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drawings/drawing6.xml" ContentType="application/vnd.openxmlformats-officedocument.drawing+xml"/>
  <Override PartName="/xl/charts/chart42.xml" ContentType="application/vnd.openxmlformats-officedocument.drawingml.chart+xml"/>
  <Override PartName="/xl/charts/chart43.xml" ContentType="application/vnd.openxmlformats-officedocument.drawingml.chart+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430" codeName="{C5BBEA04-B48B-DB03-FC8F-E18A6752861A}"/>
  <workbookPr codeName="DieseArbeitsmappe"/>
  <mc:AlternateContent xmlns:mc="http://schemas.openxmlformats.org/markup-compatibility/2006">
    <mc:Choice Requires="x15">
      <x15ac:absPath xmlns:x15ac="http://schemas.microsoft.com/office/spreadsheetml/2010/11/ac" url="C:\Users\Gregor Jeker\Desktop\"/>
    </mc:Choice>
  </mc:AlternateContent>
  <xr:revisionPtr revIDLastSave="0" documentId="13_ncr:1_{702286F3-F309-41FE-AE3D-C70859DB57C3}" xr6:coauthVersionLast="47" xr6:coauthVersionMax="47" xr10:uidLastSave="{00000000-0000-0000-0000-000000000000}"/>
  <bookViews>
    <workbookView xWindow="-108" yWindow="-108" windowWidth="23256" windowHeight="12576" tabRatio="840" xr2:uid="{00000000-000D-0000-FFFF-FFFF00000000}"/>
  </bookViews>
  <sheets>
    <sheet name="Internal heat load" sheetId="14832" r:id="rId1"/>
    <sheet name="Anleitung" sheetId="14831" r:id="rId2"/>
    <sheet name="Begriffe" sheetId="14829" state="hidden" r:id="rId3"/>
    <sheet name="Eingabedaten" sheetId="14809" r:id="rId4"/>
    <sheet name="Datenblatt" sheetId="14786" r:id="rId5"/>
    <sheet name="Raumnutzung_1" sheetId="14830" state="hidden" r:id="rId6"/>
    <sheet name="Res_Std" sheetId="14815" r:id="rId7"/>
    <sheet name="Res_Zw" sheetId="14824" r:id="rId8"/>
    <sheet name="Res_Best" sheetId="14825" r:id="rId9"/>
    <sheet name="KZ_Raum_2024" sheetId="14826" state="hidden" r:id="rId10"/>
    <sheet name="Int_Wärmelasten" sheetId="14828" state="hidden" r:id="rId11"/>
    <sheet name="Profile" sheetId="14814" state="hidden" r:id="rId12"/>
    <sheet name="Hüllzahl" sheetId="14813" state="hidden" r:id="rId13"/>
    <sheet name="SIA 380-1" sheetId="14822" state="hidden" r:id="rId14"/>
    <sheet name="Kälte_TEC-Tool" sheetId="14821" state="hidden" r:id="rId15"/>
  </sheets>
  <externalReferences>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s>
  <definedNames>
    <definedName name="__ref1" localSheetId="10">#REF!</definedName>
    <definedName name="__ref1" localSheetId="5">#REF!</definedName>
    <definedName name="__ref1" localSheetId="8">#REF!</definedName>
    <definedName name="__ref1" localSheetId="7">#REF!</definedName>
    <definedName name="__ref1">#REF!</definedName>
    <definedName name="_xlnm._FilterDatabase" localSheetId="4" hidden="1">Datenblatt!$A$4:$Q$196</definedName>
    <definedName name="_xlnm._FilterDatabase" localSheetId="5" hidden="1">Raumnutzung_1!$A$4:$Q$196</definedName>
    <definedName name="_Kat1">[1]Beurteilung!$G$11</definedName>
    <definedName name="_Kat2">[1]Beurteilung!$G$19</definedName>
    <definedName name="_Kat3">[1]Beurteilung!$G$30</definedName>
    <definedName name="_Kat4">[1]Beurteilung!$G$40</definedName>
    <definedName name="_Kat5">[1]Beurteilung!$G$51</definedName>
    <definedName name="_Kat6">[1]Beurteilung!$G$56</definedName>
    <definedName name="_Kat7">[1]Beurteilung!$G$59</definedName>
    <definedName name="_Kat8">[1]Beurteilung!$G$62</definedName>
    <definedName name="_NR1">'[2]Drop-down'!$A$5:$A$6</definedName>
    <definedName name="_NR2">'[2]Drop-down'!$B$5:$B$6</definedName>
    <definedName name="_NR3">'[2]Drop-down'!$C$5:$C$6</definedName>
    <definedName name="_NR4">'[2]Drop-down'!$D$5:$D$6</definedName>
    <definedName name="_NR5">'[2]Drop-down'!$E$5:$E$9</definedName>
    <definedName name="_NR6">'[2]Drop-down'!$F$5:$F$14</definedName>
    <definedName name="_NR7">'[2]Drop-down'!$G$5:$G$105</definedName>
    <definedName name="_PW1">[3]Zusammenzug_SIMMA_JUD!$A$2:$A$4</definedName>
    <definedName name="_ref1" localSheetId="12">#REF!</definedName>
    <definedName name="_ref1" localSheetId="10">#REF!</definedName>
    <definedName name="_ref1" localSheetId="5">#REF!</definedName>
    <definedName name="_ref1" localSheetId="8">#REF!</definedName>
    <definedName name="_ref1" localSheetId="7">#REF!</definedName>
    <definedName name="_ref1">#REF!</definedName>
    <definedName name="a0" localSheetId="10">#REF!</definedName>
    <definedName name="a0" localSheetId="5">#REF!</definedName>
    <definedName name="a0" localSheetId="8">#REF!</definedName>
    <definedName name="a0" localSheetId="7">#REF!</definedName>
    <definedName name="a0" localSheetId="13">'SIA 380-1'!$D$41</definedName>
    <definedName name="a0">#REF!</definedName>
    <definedName name="Abo">'[2]Drop-down'!$B$4:$B$6</definedName>
    <definedName name="ABOMW">[3]Zusammenzug_SIMMA_JUD!$C$2:$C$4</definedName>
    <definedName name="AE" localSheetId="13">'SIA 380-1'!$D$8</definedName>
    <definedName name="AGF">'[4]1_Elementflaechen'!$Z$35</definedName>
    <definedName name="ant_woh" localSheetId="10">#REF!</definedName>
    <definedName name="ant_woh" localSheetId="5">#REF!</definedName>
    <definedName name="ant_woh" localSheetId="8">#REF!</definedName>
    <definedName name="ant_woh" localSheetId="7">#REF!</definedName>
    <definedName name="ant_woh" localSheetId="13">#REF!</definedName>
    <definedName name="ant_woh">#REF!</definedName>
    <definedName name="AP" localSheetId="10">#REF!</definedName>
    <definedName name="AP" localSheetId="5">#REF!</definedName>
    <definedName name="AP" localSheetId="8">#REF!</definedName>
    <definedName name="AP" localSheetId="7">#REF!</definedName>
    <definedName name="AP" localSheetId="13">'SIA 380-1'!$D$35</definedName>
    <definedName name="AP">#REF!</definedName>
    <definedName name="Auftragsbeschreibung" localSheetId="10">#REF!</definedName>
    <definedName name="Auftragsbeschreibung" localSheetId="5">#REF!</definedName>
    <definedName name="Auftragsbeschreibung" localSheetId="8">#REF!</definedName>
    <definedName name="Auftragsbeschreibung" localSheetId="7">#REF!</definedName>
    <definedName name="Auftragsbeschreibung" localSheetId="13">#REF!</definedName>
    <definedName name="Auftragsbeschreibung">#REF!</definedName>
    <definedName name="AusstattungCHF" localSheetId="10">#REF!</definedName>
    <definedName name="AusstattungCHF" localSheetId="5">#REF!</definedName>
    <definedName name="AusstattungCHF" localSheetId="8">#REF!</definedName>
    <definedName name="AusstattungCHF" localSheetId="7">#REF!</definedName>
    <definedName name="AusstattungCHF" localSheetId="13">#REF!</definedName>
    <definedName name="AusstattungCHF">#REF!</definedName>
    <definedName name="BauvorbereitungCHF" localSheetId="10">#REF!</definedName>
    <definedName name="BauvorbereitungCHF" localSheetId="5">#REF!</definedName>
    <definedName name="BauvorbereitungCHF" localSheetId="8">#REF!</definedName>
    <definedName name="BauvorbereitungCHF" localSheetId="7">#REF!</definedName>
    <definedName name="BauvorbereitungCHF" localSheetId="13">#REF!</definedName>
    <definedName name="BauvorbereitungCHF">#REF!</definedName>
    <definedName name="BGF" localSheetId="10">#REF!</definedName>
    <definedName name="BGF" localSheetId="5">#REF!</definedName>
    <definedName name="BGF" localSheetId="8">#REF!</definedName>
    <definedName name="BGF" localSheetId="7">#REF!</definedName>
    <definedName name="bGF" localSheetId="13">'SIA 380-1'!$D$52</definedName>
    <definedName name="BGF">#REF!</definedName>
    <definedName name="bGW" localSheetId="10">#REF!</definedName>
    <definedName name="bGW" localSheetId="5">#REF!</definedName>
    <definedName name="bGW" localSheetId="8">#REF!</definedName>
    <definedName name="bGW" localSheetId="7">#REF!</definedName>
    <definedName name="bGW" localSheetId="13">'SIA 380-1'!$D$54</definedName>
    <definedName name="bGW">#REF!</definedName>
    <definedName name="BodenErdeF" localSheetId="10">#REF!</definedName>
    <definedName name="BodenErdeF" localSheetId="5">#REF!</definedName>
    <definedName name="BodenErdeF" localSheetId="8">#REF!</definedName>
    <definedName name="BodenErdeF" localSheetId="7">#REF!</definedName>
    <definedName name="BodenErdeF" localSheetId="13">'SIA 380-1'!$D$23</definedName>
    <definedName name="BodenErdeF">#REF!</definedName>
    <definedName name="BodenUnb" localSheetId="10">#REF!</definedName>
    <definedName name="BodenUnb" localSheetId="5">#REF!</definedName>
    <definedName name="BodenUnb" localSheetId="8">#REF!</definedName>
    <definedName name="BodenUnb" localSheetId="7">#REF!</definedName>
    <definedName name="BodenUnb" localSheetId="13">'SIA 380-1'!$D$61</definedName>
    <definedName name="BodenUnb">#REF!</definedName>
    <definedName name="cbxDeltaTemp" localSheetId="3">[5]ComboBoxen!$AB$3:$AC$5</definedName>
    <definedName name="cbxDeltaTemp" localSheetId="12">[5]ComboBoxen!$AB$3:$AC$5</definedName>
    <definedName name="cbxDeltaTemp">[5]ComboBoxen!$AB$3:$AC$5</definedName>
    <definedName name="cbxEtaWRG" localSheetId="3">[5]ComboBoxen!$AU$3:$AV$6</definedName>
    <definedName name="cbxEtaWRG" localSheetId="12">[5]ComboBoxen!$AU$3:$AV$6</definedName>
    <definedName name="cbxEtaWRG">[5]ComboBoxen!$AU$3:$AV$6</definedName>
    <definedName name="CEBF" localSheetId="10">#REF!</definedName>
    <definedName name="CEBF" localSheetId="5">#REF!</definedName>
    <definedName name="CEBF" localSheetId="8">#REF!</definedName>
    <definedName name="CEBF" localSheetId="7">#REF!</definedName>
    <definedName name="CEBF" localSheetId="13">'SIA 380-1'!$D$27</definedName>
    <definedName name="CEBF">#REF!</definedName>
    <definedName name="CHDMW">[3]Zusammenzug_SIMMA_JUD!$F$2:$F$4</definedName>
    <definedName name="daten_klima_1" localSheetId="3">[5]Klimadaten!$A$1:$AA$75</definedName>
    <definedName name="daten_klima_1" localSheetId="12">[5]Klimadaten!$A$1:$AA$75</definedName>
    <definedName name="daten_klima_1">[5]Klimadaten!$A$1:$AA$75</definedName>
    <definedName name="daten_klima_2" localSheetId="3">[5]Klimadaten!$A$77:$J$93</definedName>
    <definedName name="daten_klima_2" localSheetId="12">[5]Klimadaten!$A$77:$J$93</definedName>
    <definedName name="daten_klima_2">[5]Klimadaten!$A$77:$J$93</definedName>
    <definedName name="Daten_T3" localSheetId="3">[5]Standard!$FW$8:$GM$51</definedName>
    <definedName name="Daten_T3" localSheetId="12">[5]Standard!$FW$8:$GM$51</definedName>
    <definedName name="Daten_T3">[5]Standard!$FW$8:$GM$51</definedName>
    <definedName name="_xlnm.Database" localSheetId="3">'[5]Kaelte Tab 1'!$A$3:$AU$33</definedName>
    <definedName name="_xlnm.Database" localSheetId="12">'[5]Kaelte Tab 1'!$A$3:$AU$33</definedName>
    <definedName name="_xlnm.Database">'[5]Kaelte Tab 1'!$A$3:$AU$33</definedName>
    <definedName name="deltaThetahmax" localSheetId="10">#REF!</definedName>
    <definedName name="deltaThetahmax" localSheetId="5">#REF!</definedName>
    <definedName name="deltaThetahmax" localSheetId="8">#REF!</definedName>
    <definedName name="deltaThetahmax" localSheetId="7">#REF!</definedName>
    <definedName name="deltaThetahmax" localSheetId="13">'SIA 380-1'!$D$56</definedName>
    <definedName name="deltaThetahmax">#REF!</definedName>
    <definedName name="Detailhandel">'[2]Drop-down'!$G$4:$G$105</definedName>
    <definedName name="DiaKalt" localSheetId="3">[5]Gleichzeitigkeit!$AE$6:$BB$10</definedName>
    <definedName name="DiaKalt" localSheetId="12">[5]Gleichzeitigkeit!$AE$6:$BB$10</definedName>
    <definedName name="DiaKalt">[5]Gleichzeitigkeit!$AE$6:$BB$10</definedName>
    <definedName name="DiaLuft" localSheetId="3">[5]Gleichzeitigkeit!$C$6:$Z$10</definedName>
    <definedName name="DiaLuft" localSheetId="12">[5]Gleichzeitigkeit!$C$6:$Z$10</definedName>
    <definedName name="DiaLuft">[5]Gleichzeitigkeit!$C$6:$Z$10</definedName>
    <definedName name="DiaTab" localSheetId="3">[5]Gleichzeitigkeit!$BF$9:$FD$28</definedName>
    <definedName name="DiaTab" localSheetId="12">[5]Gleichzeitigkeit!$BF$9:$FD$28</definedName>
    <definedName name="DiaTab">[5]Gleichzeitigkeit!$BF$9:$FD$28</definedName>
    <definedName name="DiaWeek" localSheetId="3">[5]Gleichzeitigkeit!$C$18:$BB$22</definedName>
    <definedName name="DiaWeek" localSheetId="12">[5]Gleichzeitigkeit!$C$18:$BB$22</definedName>
    <definedName name="DiaWeek">[5]Gleichzeitigkeit!$C$18:$BB$22</definedName>
    <definedName name="_xlnm.Print_Area" localSheetId="4">Datenblatt!$A$2:$O$211</definedName>
    <definedName name="_xlnm.Print_Area" localSheetId="3">Eingabedaten!$A$1:$FK$54</definedName>
    <definedName name="_xlnm.Print_Area" localSheetId="5">Raumnutzung_1!$A$2:$O$211</definedName>
    <definedName name="_xlnm.Print_Area" localSheetId="8">Res_Best!$A$1:$AU$50</definedName>
    <definedName name="_xlnm.Print_Area" localSheetId="7">Res_Zw!$A$1:$AU$50</definedName>
    <definedName name="_xlnm.Print_Area" localSheetId="13">'SIA 380-1'!$A$1:$T$43</definedName>
    <definedName name="_xlnm.Print_Titles" localSheetId="3">Eingabedaten!$A:$C</definedName>
    <definedName name="_xlnm.Print_Titles" localSheetId="12">Hüllzahl!$A:$C</definedName>
    <definedName name="_xlnm.Print_Titles" localSheetId="8">Res_Best!$A:$B</definedName>
    <definedName name="_xlnm.Print_Titles" localSheetId="6">Res_Std!$A:$B</definedName>
    <definedName name="_xlnm.Print_Titles" localSheetId="7">Res_Zw!$A:$B</definedName>
    <definedName name="E3beheizt">'[1]E-Daten'!$I$15</definedName>
    <definedName name="E4beheizt" localSheetId="10">#REF!</definedName>
    <definedName name="E4beheizt" localSheetId="5">#REF!</definedName>
    <definedName name="E4beheizt" localSheetId="8">#REF!</definedName>
    <definedName name="E4beheizt" localSheetId="7">#REF!</definedName>
    <definedName name="E4beheizt" localSheetId="13">'SIA 380-1'!$D$15</definedName>
    <definedName name="E4beheizt">#REF!</definedName>
    <definedName name="E4unbeheizt">'[4]1_Elementflaechen'!$Z$21</definedName>
    <definedName name="E5total" localSheetId="13">[1]Eingabe!$W$52</definedName>
    <definedName name="EBF" localSheetId="10">#REF!</definedName>
    <definedName name="EBF" localSheetId="5">#REF!</definedName>
    <definedName name="EBF" localSheetId="8">#REF!</definedName>
    <definedName name="EBF" localSheetId="7">#REF!</definedName>
    <definedName name="EBF" localSheetId="13">'SIA 380-1'!$D$8</definedName>
    <definedName name="EBF">#REF!</definedName>
    <definedName name="EinwohnerMW">[3]Zusammenzug_SIMMA_JUD!$H$2:$H$253</definedName>
    <definedName name="Elektrizitaetsverbrauch" localSheetId="10">#REF!</definedName>
    <definedName name="Elektrizitaetsverbrauch" localSheetId="5">#REF!</definedName>
    <definedName name="Elektrizitaetsverbrauch" localSheetId="8">#REF!</definedName>
    <definedName name="Elektrizitaetsverbrauch" localSheetId="7">#REF!</definedName>
    <definedName name="Elektrizitaetsverbrauch" localSheetId="13">#REF!</definedName>
    <definedName name="Elektrizitaetsverbrauch">#REF!</definedName>
    <definedName name="fE" localSheetId="10">#REF!</definedName>
    <definedName name="fE" localSheetId="5">#REF!</definedName>
    <definedName name="fE" localSheetId="8">#REF!</definedName>
    <definedName name="fE" localSheetId="7">#REF!</definedName>
    <definedName name="fE" localSheetId="13">'SIA 380-1'!$D$39</definedName>
    <definedName name="fE">#REF!</definedName>
    <definedName name="Fensteranteil" localSheetId="10">#REF!</definedName>
    <definedName name="Fensteranteil" localSheetId="5">#REF!</definedName>
    <definedName name="Fensteranteil" localSheetId="8">#REF!</definedName>
    <definedName name="Fensteranteil" localSheetId="7">#REF!</definedName>
    <definedName name="Fensteranteil">#REF!</definedName>
    <definedName name="FF" localSheetId="10">#REF!</definedName>
    <definedName name="FF" localSheetId="5">#REF!</definedName>
    <definedName name="FF" localSheetId="8">#REF!</definedName>
    <definedName name="FF" localSheetId="7">#REF!</definedName>
    <definedName name="FF" localSheetId="13">'SIA 380-1'!$D$28</definedName>
    <definedName name="FF">#REF!</definedName>
    <definedName name="filter" localSheetId="10">#REF!</definedName>
    <definedName name="filter" localSheetId="5">#REF!</definedName>
    <definedName name="filter" localSheetId="8">#REF!</definedName>
    <definedName name="filter" localSheetId="7">#REF!</definedName>
    <definedName name="filter">#REF!</definedName>
    <definedName name="FS_nord">'[1]E-Daten'!$N$21</definedName>
    <definedName name="FS_ost">'[1]E-Daten'!$N$22</definedName>
    <definedName name="FS_sud">'[1]E-Daten'!$N$20</definedName>
    <definedName name="FS_west">'[1]E-Daten'!$N$23</definedName>
    <definedName name="G_E5" localSheetId="10">#REF!</definedName>
    <definedName name="G_E5" localSheetId="5">#REF!</definedName>
    <definedName name="G_E5" localSheetId="8">#REF!</definedName>
    <definedName name="G_E5" localSheetId="7">#REF!</definedName>
    <definedName name="G_E5" localSheetId="13">'SIA 380-1'!$D$29</definedName>
    <definedName name="G_E5">#REF!</definedName>
    <definedName name="gain1" localSheetId="3">'[5]Kühllastauswertung gain'!$B$4</definedName>
    <definedName name="gain1" localSheetId="12">'[5]Kühllastauswertung gain'!$B$4</definedName>
    <definedName name="gain1">'[5]Kühllastauswertung gain'!$B$4</definedName>
    <definedName name="gain2" localSheetId="3">'[5]Kühllastauswertung gain'!$AA$4</definedName>
    <definedName name="gain2" localSheetId="12">'[5]Kühllastauswertung gain'!$AA$4</definedName>
    <definedName name="gain2">'[5]Kühllastauswertung gain'!$AA$4</definedName>
    <definedName name="gain3" localSheetId="3">'[5]Kühllastauswertung gain'!$AZ$4</definedName>
    <definedName name="gain3" localSheetId="12">'[5]Kühllastauswertung gain'!$AZ$4</definedName>
    <definedName name="gain3">'[5]Kühllastauswertung gain'!$AZ$4</definedName>
    <definedName name="gain4" localSheetId="3">'[5]Kühllastauswertung gain'!$BY$4</definedName>
    <definedName name="gain4" localSheetId="12">'[5]Kühllastauswertung gain'!$BY$4</definedName>
    <definedName name="gain4">'[5]Kühllastauswertung gain'!$BY$4</definedName>
    <definedName name="gain5" localSheetId="3">'[5]Kühllastauswertung gain'!$CX$4</definedName>
    <definedName name="gain5" localSheetId="12">'[5]Kühllastauswertung gain'!$CX$4</definedName>
    <definedName name="gain5">'[5]Kühllastauswertung gain'!$CX$4</definedName>
    <definedName name="gain6" localSheetId="3">'[5]Kühllastauswertung gain'!$DW$4</definedName>
    <definedName name="gain6" localSheetId="12">'[5]Kühllastauswertung gain'!$DW$4</definedName>
    <definedName name="gain6">'[5]Kühllastauswertung gain'!$DW$4</definedName>
    <definedName name="gain7" localSheetId="3">'[5]Kühllastauswertung gain'!$FV$4</definedName>
    <definedName name="gain7" localSheetId="12">'[5]Kühllastauswertung gain'!$FV$4</definedName>
    <definedName name="gain7">'[5]Kühllastauswertung gain'!$FV$4</definedName>
    <definedName name="GE_AGF" localSheetId="10">#REF!</definedName>
    <definedName name="GE_AGF" localSheetId="5">#REF!</definedName>
    <definedName name="GE_AGF" localSheetId="8">#REF!</definedName>
    <definedName name="GE_AGF" localSheetId="7">#REF!</definedName>
    <definedName name="GE_AGF" localSheetId="13">#REF!</definedName>
    <definedName name="GE_AGF">#REF!</definedName>
    <definedName name="GE_Aushub" localSheetId="10">#REF!</definedName>
    <definedName name="GE_Aushub" localSheetId="5">#REF!</definedName>
    <definedName name="GE_Aushub" localSheetId="8">#REF!</definedName>
    <definedName name="GE_Aushub" localSheetId="7">#REF!</definedName>
    <definedName name="GE_Aushub" localSheetId="13">#REF!</definedName>
    <definedName name="GE_Aushub">#REF!</definedName>
    <definedName name="GE_Decken" localSheetId="10">#REF!</definedName>
    <definedName name="GE_Decken" localSheetId="5">#REF!</definedName>
    <definedName name="GE_Decken" localSheetId="8">#REF!</definedName>
    <definedName name="GE_Decken" localSheetId="7">#REF!</definedName>
    <definedName name="GE_Decken" localSheetId="13">#REF!</definedName>
    <definedName name="GE_Decken">#REF!</definedName>
    <definedName name="GE_E3" localSheetId="10">#REF!</definedName>
    <definedName name="GE_E3" localSheetId="5">#REF!</definedName>
    <definedName name="GE_E3" localSheetId="8">#REF!</definedName>
    <definedName name="GE_E3" localSheetId="7">#REF!</definedName>
    <definedName name="GE_E3" localSheetId="13">#REF!</definedName>
    <definedName name="GE_E3">#REF!</definedName>
    <definedName name="GE_FlachdachFolie" localSheetId="10">#REF!</definedName>
    <definedName name="GE_FlachdachFolie" localSheetId="5">#REF!</definedName>
    <definedName name="GE_FlachdachFolie" localSheetId="8">#REF!</definedName>
    <definedName name="GE_FlachdachFolie" localSheetId="7">#REF!</definedName>
    <definedName name="GE_FlachdachFolie" localSheetId="13">#REF!</definedName>
    <definedName name="GE_FlachdachFolie">#REF!</definedName>
    <definedName name="GE_FlachdachHolz" localSheetId="10">#REF!</definedName>
    <definedName name="GE_FlachdachHolz" localSheetId="5">#REF!</definedName>
    <definedName name="GE_FlachdachHolz" localSheetId="8">#REF!</definedName>
    <definedName name="GE_FlachdachHolz" localSheetId="7">#REF!</definedName>
    <definedName name="GE_FlachdachHolz" localSheetId="13">#REF!</definedName>
    <definedName name="GE_FlachdachHolz">#REF!</definedName>
    <definedName name="GE_FlachdachKompakt" localSheetId="10">#REF!</definedName>
    <definedName name="GE_FlachdachKompakt" localSheetId="5">#REF!</definedName>
    <definedName name="GE_FlachdachKompakt" localSheetId="8">#REF!</definedName>
    <definedName name="GE_FlachdachKompakt" localSheetId="7">#REF!</definedName>
    <definedName name="GE_FlachdachKompakt" localSheetId="13">#REF!</definedName>
    <definedName name="GE_FlachdachKompakt">#REF!</definedName>
    <definedName name="GE_Gebaeudetechnik" localSheetId="10">#REF!</definedName>
    <definedName name="GE_Gebaeudetechnik" localSheetId="5">#REF!</definedName>
    <definedName name="GE_Gebaeudetechnik" localSheetId="8">#REF!</definedName>
    <definedName name="GE_Gebaeudetechnik" localSheetId="7">#REF!</definedName>
    <definedName name="GE_Gebaeudetechnik" localSheetId="13">#REF!</definedName>
    <definedName name="GE_Gebaeudetechnik">#REF!</definedName>
    <definedName name="GE_Glasfassade" localSheetId="10">#REF!</definedName>
    <definedName name="GE_Glasfassade" localSheetId="5">#REF!</definedName>
    <definedName name="GE_Glasfassade" localSheetId="8">#REF!</definedName>
    <definedName name="GE_Glasfassade" localSheetId="7">#REF!</definedName>
    <definedName name="GE_Glasfassade" localSheetId="13">#REF!</definedName>
    <definedName name="GE_Glasfassade">#REF!</definedName>
    <definedName name="GE_hinterlüftetBeton" localSheetId="10">#REF!</definedName>
    <definedName name="GE_hinterlüftetBeton" localSheetId="5">#REF!</definedName>
    <definedName name="GE_hinterlüftetBeton" localSheetId="8">#REF!</definedName>
    <definedName name="GE_hinterlüftetBeton" localSheetId="7">#REF!</definedName>
    <definedName name="GE_hinterlüftetBeton" localSheetId="13">#REF!</definedName>
    <definedName name="GE_hinterlüftetBeton">#REF!</definedName>
    <definedName name="GE_hinterlüftetFaserzement" localSheetId="10">#REF!</definedName>
    <definedName name="GE_hinterlüftetFaserzement" localSheetId="5">#REF!</definedName>
    <definedName name="GE_hinterlüftetFaserzement" localSheetId="8">#REF!</definedName>
    <definedName name="GE_hinterlüftetFaserzement" localSheetId="7">#REF!</definedName>
    <definedName name="GE_hinterlüftetFaserzement" localSheetId="13">#REF!</definedName>
    <definedName name="GE_hinterlüftetFaserzement">#REF!</definedName>
    <definedName name="GE_hinterlüftetFeinsteinzeug" localSheetId="10">#REF!</definedName>
    <definedName name="GE_hinterlüftetFeinsteinzeug" localSheetId="5">#REF!</definedName>
    <definedName name="GE_hinterlüftetFeinsteinzeug" localSheetId="8">#REF!</definedName>
    <definedName name="GE_hinterlüftetFeinsteinzeug" localSheetId="7">#REF!</definedName>
    <definedName name="GE_hinterlüftetFeinsteinzeug" localSheetId="13">#REF!</definedName>
    <definedName name="GE_hinterlüftetFeinsteinzeug">#REF!</definedName>
    <definedName name="GE_hinterlüftetHolz" localSheetId="10">#REF!</definedName>
    <definedName name="GE_hinterlüftetHolz" localSheetId="5">#REF!</definedName>
    <definedName name="GE_hinterlüftetHolz" localSheetId="8">#REF!</definedName>
    <definedName name="GE_hinterlüftetHolz" localSheetId="7">#REF!</definedName>
    <definedName name="GE_hinterlüftetHolz" localSheetId="13">#REF!</definedName>
    <definedName name="GE_hinterlüftetHolz">#REF!</definedName>
    <definedName name="GE_hinterlüftetKeramisch" localSheetId="10">#REF!</definedName>
    <definedName name="GE_hinterlüftetKeramisch" localSheetId="5">#REF!</definedName>
    <definedName name="GE_hinterlüftetKeramisch" localSheetId="8">#REF!</definedName>
    <definedName name="GE_hinterlüftetKeramisch" localSheetId="7">#REF!</definedName>
    <definedName name="GE_hinterlüftetKeramisch" localSheetId="13">#REF!</definedName>
    <definedName name="GE_hinterlüftetKeramisch">#REF!</definedName>
    <definedName name="GE_hinterlüftetMetallGlas" localSheetId="10">#REF!</definedName>
    <definedName name="GE_hinterlüftetMetallGlas" localSheetId="5">#REF!</definedName>
    <definedName name="GE_hinterlüftetMetallGlas" localSheetId="8">#REF!</definedName>
    <definedName name="GE_hinterlüftetMetallGlas" localSheetId="7">#REF!</definedName>
    <definedName name="GE_hinterlüftetMetallGlas" localSheetId="13">#REF!</definedName>
    <definedName name="GE_hinterlüftetMetallGlas">#REF!</definedName>
    <definedName name="GE_hinterlüftetStein" localSheetId="10">#REF!</definedName>
    <definedName name="GE_hinterlüftetStein" localSheetId="5">#REF!</definedName>
    <definedName name="GE_hinterlüftetStein" localSheetId="8">#REF!</definedName>
    <definedName name="GE_hinterlüftetStein" localSheetId="7">#REF!</definedName>
    <definedName name="GE_hinterlüftetStein" localSheetId="13">#REF!</definedName>
    <definedName name="GE_hinterlüftetStein">#REF!</definedName>
    <definedName name="GE_Holzfenster" localSheetId="10">#REF!</definedName>
    <definedName name="GE_Holzfenster" localSheetId="5">#REF!</definedName>
    <definedName name="GE_Holzfenster" localSheetId="8">#REF!</definedName>
    <definedName name="GE_Holzfenster" localSheetId="7">#REF!</definedName>
    <definedName name="GE_Holzfenster" localSheetId="13">#REF!</definedName>
    <definedName name="GE_Holzfenster">#REF!</definedName>
    <definedName name="GE_Holzmetallfenster" localSheetId="10">#REF!</definedName>
    <definedName name="GE_Holzmetallfenster" localSheetId="5">#REF!</definedName>
    <definedName name="GE_Holzmetallfenster" localSheetId="8">#REF!</definedName>
    <definedName name="GE_Holzmetallfenster" localSheetId="7">#REF!</definedName>
    <definedName name="GE_Holzmetallfenster" localSheetId="13">#REF!</definedName>
    <definedName name="GE_Holzmetallfenster">#REF!</definedName>
    <definedName name="GE_Holzständer" localSheetId="10">#REF!</definedName>
    <definedName name="GE_Holzständer" localSheetId="5">#REF!</definedName>
    <definedName name="GE_Holzständer" localSheetId="8">#REF!</definedName>
    <definedName name="GE_Holzständer" localSheetId="7">#REF!</definedName>
    <definedName name="GE_Holzständer" localSheetId="13">#REF!</definedName>
    <definedName name="GE_Holzständer">#REF!</definedName>
    <definedName name="GE_Kompaktfassade" localSheetId="10">#REF!</definedName>
    <definedName name="GE_Kompaktfassade" localSheetId="5">#REF!</definedName>
    <definedName name="GE_Kompaktfassade" localSheetId="8">#REF!</definedName>
    <definedName name="GE_Kompaktfassade" localSheetId="7">#REF!</definedName>
    <definedName name="GE_Kompaktfassade" localSheetId="13">#REF!</definedName>
    <definedName name="GE_Kompaktfassade">#REF!</definedName>
    <definedName name="GE_Kunststofffenster" localSheetId="10">#REF!</definedName>
    <definedName name="GE_Kunststofffenster" localSheetId="5">#REF!</definedName>
    <definedName name="GE_Kunststofffenster" localSheetId="8">#REF!</definedName>
    <definedName name="GE_Kunststofffenster" localSheetId="7">#REF!</definedName>
    <definedName name="GE_Kunststofffenster" localSheetId="13">#REF!</definedName>
    <definedName name="GE_Kunststofffenster">#REF!</definedName>
    <definedName name="GE_MA" localSheetId="10">#REF!</definedName>
    <definedName name="GE_MA" localSheetId="5">#REF!</definedName>
    <definedName name="GE_MA" localSheetId="8">#REF!</definedName>
    <definedName name="GE_MA" localSheetId="7">#REF!</definedName>
    <definedName name="GE_MA" localSheetId="13">#REF!</definedName>
    <definedName name="GE_MA">#REF!</definedName>
    <definedName name="GE_Metallfenster" localSheetId="10">#REF!</definedName>
    <definedName name="GE_Metallfenster" localSheetId="5">#REF!</definedName>
    <definedName name="GE_Metallfenster" localSheetId="8">#REF!</definedName>
    <definedName name="GE_Metallfenster" localSheetId="7">#REF!</definedName>
    <definedName name="GE_Metallfenster" localSheetId="13">#REF!</definedName>
    <definedName name="GE_Metallfenster">#REF!</definedName>
    <definedName name="GE_Rohbau" localSheetId="10">#REF!</definedName>
    <definedName name="GE_Rohbau" localSheetId="5">#REF!</definedName>
    <definedName name="GE_Rohbau" localSheetId="8">#REF!</definedName>
    <definedName name="GE_Rohbau" localSheetId="7">#REF!</definedName>
    <definedName name="GE_Rohbau" localSheetId="13">#REF!</definedName>
    <definedName name="GE_Rohbau">#REF!</definedName>
    <definedName name="GE_SteildachFaserzement" localSheetId="10">#REF!</definedName>
    <definedName name="GE_SteildachFaserzement" localSheetId="5">#REF!</definedName>
    <definedName name="GE_SteildachFaserzement" localSheetId="8">#REF!</definedName>
    <definedName name="GE_SteildachFaserzement" localSheetId="7">#REF!</definedName>
    <definedName name="GE_SteildachFaserzement" localSheetId="13">#REF!</definedName>
    <definedName name="GE_SteildachFaserzement">#REF!</definedName>
    <definedName name="GE_SteildachMetall" localSheetId="10">#REF!</definedName>
    <definedName name="GE_SteildachMetall" localSheetId="5">#REF!</definedName>
    <definedName name="GE_SteildachMetall" localSheetId="8">#REF!</definedName>
    <definedName name="GE_SteildachMetall" localSheetId="7">#REF!</definedName>
    <definedName name="GE_SteildachMetall" localSheetId="13">#REF!</definedName>
    <definedName name="GE_SteildachMetall">#REF!</definedName>
    <definedName name="GE_SteildachZiegel" localSheetId="10">#REF!</definedName>
    <definedName name="GE_SteildachZiegel" localSheetId="5">#REF!</definedName>
    <definedName name="GE_SteildachZiegel" localSheetId="8">#REF!</definedName>
    <definedName name="GE_SteildachZiegel" localSheetId="7">#REF!</definedName>
    <definedName name="GE_SteildachZiegel" localSheetId="13">#REF!</definedName>
    <definedName name="GE_SteildachZiegel">#REF!</definedName>
    <definedName name="GE_Zweischalenmw" localSheetId="10">#REF!</definedName>
    <definedName name="GE_Zweischalenmw" localSheetId="5">#REF!</definedName>
    <definedName name="GE_Zweischalenmw" localSheetId="8">#REF!</definedName>
    <definedName name="GE_Zweischalenmw" localSheetId="7">#REF!</definedName>
    <definedName name="GE_Zweischalenmw" localSheetId="13">#REF!</definedName>
    <definedName name="GE_Zweischalenmw">#REF!</definedName>
    <definedName name="Gebaeudehuellzahl" localSheetId="10">#REF!</definedName>
    <definedName name="Gebaeudehuellzahl" localSheetId="5">#REF!</definedName>
    <definedName name="Gebaeudehuellzahl" localSheetId="8">#REF!</definedName>
    <definedName name="Gebaeudehuellzahl" localSheetId="7">#REF!</definedName>
    <definedName name="Gebaeudehuellzahl">#REF!</definedName>
    <definedName name="Gebaeudelebensdauer" localSheetId="10">#REF!</definedName>
    <definedName name="Gebaeudelebensdauer" localSheetId="5">#REF!</definedName>
    <definedName name="Gebaeudelebensdauer" localSheetId="8">#REF!</definedName>
    <definedName name="Gebaeudelebensdauer" localSheetId="7">#REF!</definedName>
    <definedName name="Gebaeudelebensdauer" localSheetId="13">#REF!</definedName>
    <definedName name="Gebaeudelebensdauer">#REF!</definedName>
    <definedName name="GebKat" localSheetId="10">#REF!</definedName>
    <definedName name="GebKat" localSheetId="5">#REF!</definedName>
    <definedName name="GebKat" localSheetId="8">#REF!</definedName>
    <definedName name="GebKat" localSheetId="7">#REF!</definedName>
    <definedName name="GebKat" localSheetId="13">'SIA 380-1'!$D$6</definedName>
    <definedName name="GebKat">#REF!</definedName>
    <definedName name="gedaemmteDecke">'[1]E-Daten'!$I$39</definedName>
    <definedName name="GFbeheizt" localSheetId="13">[1]Eingabe!$W$62</definedName>
    <definedName name="GFtotal">'[4]1_Elementflaechen'!$Z$31</definedName>
    <definedName name="GraueEnergie" localSheetId="10">#REF!</definedName>
    <definedName name="GraueEnergie" localSheetId="5">#REF!</definedName>
    <definedName name="GraueEnergie" localSheetId="8">#REF!</definedName>
    <definedName name="GraueEnergie" localSheetId="7">#REF!</definedName>
    <definedName name="GraueEnergie" localSheetId="13">#REF!</definedName>
    <definedName name="GraueEnergie">#REF!</definedName>
    <definedName name="Grenzwert" localSheetId="10">#REF!</definedName>
    <definedName name="Grenzwert" localSheetId="5">#REF!</definedName>
    <definedName name="Grenzwert" localSheetId="8">#REF!</definedName>
    <definedName name="Grenzwert" localSheetId="7">#REF!</definedName>
    <definedName name="Grenzwert" localSheetId="13">'SIA 380-1'!#REF!</definedName>
    <definedName name="Grenzwert">#REF!</definedName>
    <definedName name="GrenzwertGE" localSheetId="10">#REF!</definedName>
    <definedName name="GrenzwertGE" localSheetId="5">#REF!</definedName>
    <definedName name="GrenzwertGE" localSheetId="8">#REF!</definedName>
    <definedName name="GrenzwertGE" localSheetId="7">#REF!</definedName>
    <definedName name="GrenzwertGE" localSheetId="13">#REF!</definedName>
    <definedName name="GrenzwertGE">#REF!</definedName>
    <definedName name="GrundstueckCHF" localSheetId="10">#REF!</definedName>
    <definedName name="GrundstueckCHF" localSheetId="5">#REF!</definedName>
    <definedName name="GrundstueckCHF" localSheetId="8">#REF!</definedName>
    <definedName name="GrundstueckCHF" localSheetId="7">#REF!</definedName>
    <definedName name="GrundstueckCHF" localSheetId="13">#REF!</definedName>
    <definedName name="GrundstueckCHF">#REF!</definedName>
    <definedName name="HonorareProzent" localSheetId="10">#REF!</definedName>
    <definedName name="HonorareProzent" localSheetId="5">#REF!</definedName>
    <definedName name="HonorareProzent" localSheetId="8">#REF!</definedName>
    <definedName name="HonorareProzent" localSheetId="7">#REF!</definedName>
    <definedName name="HonorareProzent" localSheetId="13">#REF!</definedName>
    <definedName name="HonorareProzent">#REF!</definedName>
    <definedName name="HTMW">[3]Zusammenzug_SIMMA_JUD!$B$2:$B$4</definedName>
    <definedName name="HueM" localSheetId="10">#REF!</definedName>
    <definedName name="HueM" localSheetId="5">#REF!</definedName>
    <definedName name="HueM" localSheetId="8">#REF!</definedName>
    <definedName name="HueM" localSheetId="7">#REF!</definedName>
    <definedName name="HueM" localSheetId="13">'SIA 380-1'!$D$57</definedName>
    <definedName name="HueM">#REF!</definedName>
    <definedName name="include" localSheetId="10">#REF!</definedName>
    <definedName name="include" localSheetId="11">#REF!</definedName>
    <definedName name="include" localSheetId="5">#REF!</definedName>
    <definedName name="include" localSheetId="8">#REF!</definedName>
    <definedName name="include" localSheetId="7">#REF!</definedName>
    <definedName name="include">#REF!</definedName>
    <definedName name="Index_T3" localSheetId="3">[5]Standard!$FW$8:$GM$8</definedName>
    <definedName name="Index_T3" localSheetId="12">[5]Standard!$FW$8:$GM$8</definedName>
    <definedName name="Index_T3">[5]Standard!$FW$8:$GM$8</definedName>
    <definedName name="KaelteData1" localSheetId="3">'[5]Kaelte Tab 1'!$A$7:$IV$32</definedName>
    <definedName name="KaelteData1" localSheetId="12">'[5]Kaelte Tab 1'!$A$7:$IV$32</definedName>
    <definedName name="KaelteData1">'[5]Kaelte Tab 1'!$A$7:$IV$32</definedName>
    <definedName name="KaelteData12" localSheetId="10">#REF!</definedName>
    <definedName name="KaelteData12" localSheetId="11">#REF!</definedName>
    <definedName name="KaelteData12" localSheetId="5">#REF!</definedName>
    <definedName name="KaelteData12" localSheetId="8">#REF!</definedName>
    <definedName name="KaelteData12" localSheetId="7">#REF!</definedName>
    <definedName name="KaelteData12">#REF!</definedName>
    <definedName name="KaelteData2" localSheetId="3">'[5]Kaelte Tab 2'!$A$7:$IV$32</definedName>
    <definedName name="KaelteData2" localSheetId="12">'[5]Kaelte Tab 2'!$A$7:$IV$32</definedName>
    <definedName name="KaelteData2">'[5]Kaelte Tab 2'!$A$7:$IV$32</definedName>
    <definedName name="KaelteData4" localSheetId="3">'[5]Kaelte Tab 4'!$A$7:$N$18</definedName>
    <definedName name="KaelteData4" localSheetId="12">'[5]Kaelte Tab 4'!$A$7:$N$18</definedName>
    <definedName name="KaelteData4">'[5]Kaelte Tab 4'!$A$7:$N$18</definedName>
    <definedName name="KaelteTab1" localSheetId="3">'[5]Kaelte Tab 1'!$A$3:$AU$33</definedName>
    <definedName name="KaelteTab1" localSheetId="12">'[5]Kaelte Tab 1'!$A$3:$AU$33</definedName>
    <definedName name="KaelteTab1">'[5]Kaelte Tab 1'!$A$3:$AU$33</definedName>
    <definedName name="KaelteTab2" localSheetId="3">'[5]Kaelte Tab 2'!$A$3:$P$33</definedName>
    <definedName name="KaelteTab2" localSheetId="12">'[5]Kaelte Tab 2'!$A$3:$P$33</definedName>
    <definedName name="KaelteTab2">'[5]Kaelte Tab 2'!$A$3:$P$33</definedName>
    <definedName name="KaelteTotal" localSheetId="3">'[5]Kaelte Tab 1'!$A$7:$IV$43</definedName>
    <definedName name="KaelteTotal" localSheetId="12">'[5]Kaelte Tab 1'!$A$7:$IV$43</definedName>
    <definedName name="KaelteTotal">'[5]Kaelte Tab 1'!$A$7:$IV$43</definedName>
    <definedName name="Kat0_Gew">[1]Beurteilung!$H$8:$H$10</definedName>
    <definedName name="Kat0_Max">[1]Beurteilung!$J$8:$J$10</definedName>
    <definedName name="Kat0_Note">[1]Beurteilung!$K$8:$K$10</definedName>
    <definedName name="Kat1_Gew">[1]Beurteilung!$H$12:$H$18</definedName>
    <definedName name="Kat1_Max">[1]Beurteilung!$J$12:$J$18</definedName>
    <definedName name="Kat1_Note">[1]Beurteilung!$K$12:$K$18</definedName>
    <definedName name="Kat2_Gew">[1]Beurteilung!$H$20:$H$29</definedName>
    <definedName name="Kat2_Max">[1]Beurteilung!$J$20:$J$29</definedName>
    <definedName name="Kat2_Note">[1]Beurteilung!$K$20:$K$29</definedName>
    <definedName name="Kat3_Gew">[1]Beurteilung!$H$31:$H$39</definedName>
    <definedName name="Kat3_Max">[1]Beurteilung!$J$31:$J$39</definedName>
    <definedName name="Kat3_Note">[1]Beurteilung!$K$31:$K$39</definedName>
    <definedName name="Kat4_Gew">[1]Beurteilung!$H$41:$H$50</definedName>
    <definedName name="Kat4_Max">[1]Beurteilung!$J$41:$J$50</definedName>
    <definedName name="Kat4_Note">[1]Beurteilung!$K$41:$K$50</definedName>
    <definedName name="Kat5_Gew">[1]Beurteilung!$H$52:$H$55</definedName>
    <definedName name="Kat5_Max">[1]Beurteilung!$J$52:$J$55</definedName>
    <definedName name="Kat5_Note">[1]Beurteilung!$K$52:$K$55</definedName>
    <definedName name="Kat6_Gew">[1]Beurteilung!$H$57:$H$58</definedName>
    <definedName name="Kat6_Max">[1]Beurteilung!$J$57:$J$58</definedName>
    <definedName name="Kat6_Note">[1]Beurteilung!$K$57:$K$58</definedName>
    <definedName name="Kat7_Gew">[1]Beurteilung!$H$60:$H$61</definedName>
    <definedName name="Kat7_Max">[1]Beurteilung!$J$60:$J$61</definedName>
    <definedName name="Kat7_Note">[1]Beurteilung!$K$60:$K$61</definedName>
    <definedName name="Kat8_Gew">[1]Beurteilung!$H$63:$H$64</definedName>
    <definedName name="Kat8_Max">[1]Beurteilung!$J$63:$J$64</definedName>
    <definedName name="Kat8_Note">[1]Beurteilung!$K$63:$K$64</definedName>
    <definedName name="KernstadtMW">[3]Zusammenzug_SIMMA_JUD!$E$2:$E$4</definedName>
    <definedName name="Klimastation">[6]Projekt!$BB$36</definedName>
    <definedName name="Kühl__register__Nr" localSheetId="3">'[5]Kaelte Tab 2'!$A$3:$P$33</definedName>
    <definedName name="Kühl__register__Nr" localSheetId="12">'[5]Kaelte Tab 2'!$A$3:$P$33</definedName>
    <definedName name="Kühl__register__Nr">'[5]Kaelte Tab 2'!$A$3:$P$33</definedName>
    <definedName name="KW_B_2" localSheetId="10">#REF!</definedName>
    <definedName name="KW_B_2" localSheetId="5">#REF!</definedName>
    <definedName name="KW_B_2" localSheetId="8">#REF!</definedName>
    <definedName name="KW_B_2" localSheetId="7">#REF!</definedName>
    <definedName name="KW_B_2" localSheetId="13">#REF!</definedName>
    <definedName name="KW_B_2">#REF!</definedName>
    <definedName name="KW_MD_1" localSheetId="10">#REF!</definedName>
    <definedName name="KW_MD_1" localSheetId="5">#REF!</definedName>
    <definedName name="KW_MD_1" localSheetId="8">#REF!</definedName>
    <definedName name="KW_MD_1" localSheetId="7">#REF!</definedName>
    <definedName name="KW_MD_1" localSheetId="13">#REF!</definedName>
    <definedName name="KW_MD_1">#REF!</definedName>
    <definedName name="KW_MD_2" localSheetId="10">#REF!</definedName>
    <definedName name="KW_MD_2" localSheetId="5">#REF!</definedName>
    <definedName name="KW_MD_2" localSheetId="8">#REF!</definedName>
    <definedName name="KW_MD_2" localSheetId="7">#REF!</definedName>
    <definedName name="KW_MD_2" localSheetId="13">#REF!</definedName>
    <definedName name="KW_MD_2">#REF!</definedName>
    <definedName name="KW_MD_3" localSheetId="10">#REF!</definedName>
    <definedName name="KW_MD_3" localSheetId="5">#REF!</definedName>
    <definedName name="KW_MD_3" localSheetId="8">#REF!</definedName>
    <definedName name="KW_MD_3" localSheetId="7">#REF!</definedName>
    <definedName name="KW_MD_3" localSheetId="13">#REF!</definedName>
    <definedName name="KW_MD_3">#REF!</definedName>
    <definedName name="KW_MF_1" localSheetId="10">#REF!</definedName>
    <definedName name="KW_MF_1" localSheetId="5">#REF!</definedName>
    <definedName name="KW_MF_1" localSheetId="8">#REF!</definedName>
    <definedName name="KW_MF_1" localSheetId="7">#REF!</definedName>
    <definedName name="KW_MF_1" localSheetId="13">#REF!</definedName>
    <definedName name="KW_MF_1">#REF!</definedName>
    <definedName name="KW_MF_2" localSheetId="10">#REF!</definedName>
    <definedName name="KW_MF_2" localSheetId="5">#REF!</definedName>
    <definedName name="KW_MF_2" localSheetId="8">#REF!</definedName>
    <definedName name="KW_MF_2" localSheetId="7">#REF!</definedName>
    <definedName name="KW_MF_2" localSheetId="13">#REF!</definedName>
    <definedName name="KW_MF_2">#REF!</definedName>
    <definedName name="KW_T" localSheetId="10">#REF!</definedName>
    <definedName name="KW_T" localSheetId="5">#REF!</definedName>
    <definedName name="KW_T" localSheetId="8">#REF!</definedName>
    <definedName name="KW_T" localSheetId="7">#REF!</definedName>
    <definedName name="KW_T" localSheetId="13">#REF!</definedName>
    <definedName name="KW_T">#REF!</definedName>
    <definedName name="last" localSheetId="3">[7]Parameter!#REF!</definedName>
    <definedName name="last" localSheetId="12">[7]Parameter!#REF!</definedName>
    <definedName name="last" localSheetId="10">[7]Parameter!#REF!</definedName>
    <definedName name="last" localSheetId="11">[7]Parameter!#REF!</definedName>
    <definedName name="last" localSheetId="5">[7]Parameter!#REF!</definedName>
    <definedName name="last" localSheetId="8">[7]Parameter!#REF!</definedName>
    <definedName name="last" localSheetId="7">[7]Parameter!#REF!</definedName>
    <definedName name="last">[7]Parameter!#REF!</definedName>
    <definedName name="letzte" localSheetId="12">[8]Parameter!#REF!</definedName>
    <definedName name="letzte" localSheetId="10">[8]Parameter!#REF!</definedName>
    <definedName name="letzte" localSheetId="11">[8]Parameter!#REF!</definedName>
    <definedName name="letzte" localSheetId="5">[8]Parameter!#REF!</definedName>
    <definedName name="letzte" localSheetId="8">[8]Parameter!#REF!</definedName>
    <definedName name="letzte" localSheetId="7">[8]Parameter!#REF!</definedName>
    <definedName name="letzte">[8]Parameter!#REF!</definedName>
    <definedName name="LuftData1" localSheetId="3">'[5]Luft Tab 1'!$A$7:$IV$33</definedName>
    <definedName name="LuftData1" localSheetId="12">'[5]Luft Tab 1'!$A$7:$IV$33</definedName>
    <definedName name="LuftData1">'[5]Luft Tab 1'!$A$7:$IV$33</definedName>
    <definedName name="LuftData2" localSheetId="3">'[5]Luft Tab 2'!$A$7:$IV$32</definedName>
    <definedName name="LuftData2" localSheetId="12">'[5]Luft Tab 2'!$A$7:$IV$32</definedName>
    <definedName name="LuftData2">'[5]Luft Tab 2'!$A$7:$IV$32</definedName>
    <definedName name="LuftData3" localSheetId="3">[5]Standard!$A$7:$IV$31</definedName>
    <definedName name="LuftData3" localSheetId="12">[5]Standard!$A$7:$IV$31</definedName>
    <definedName name="LuftData3">[5]Standard!$A$7:$IV$31</definedName>
    <definedName name="LuftData4" localSheetId="3">'[5]Luft Tab 4'!$B$7:$BG$18</definedName>
    <definedName name="LuftData4" localSheetId="12">'[5]Luft Tab 4'!$B$7:$BG$18</definedName>
    <definedName name="LuftData4">'[5]Luft Tab 4'!$B$7:$BG$18</definedName>
    <definedName name="LuftTab1" localSheetId="3">'[5]Luft Tab 1'!$A$3:$V$34</definedName>
    <definedName name="LuftTab1" localSheetId="12">'[5]Luft Tab 1'!$A$3:$V$34</definedName>
    <definedName name="LuftTab1">'[5]Luft Tab 1'!$A$3:$V$34</definedName>
    <definedName name="LuftTab2" localSheetId="3">'[5]Luft Tab 2'!$A$3:$O$33</definedName>
    <definedName name="LuftTab2" localSheetId="12">'[5]Luft Tab 2'!$A$3:$O$33</definedName>
    <definedName name="LuftTab2">'[5]Luft Tab 2'!$A$3:$O$33</definedName>
    <definedName name="LuftTab3" localSheetId="3">[5]Standard!$A$5:$FV$30</definedName>
    <definedName name="LuftTab3" localSheetId="12">[5]Standard!$A$5:$FV$30</definedName>
    <definedName name="LuftTab3">[5]Standard!$A$5:$FV$30</definedName>
    <definedName name="LuftTab4" localSheetId="3">'[5]Luft Tab 4'!$A$3:$BG$18</definedName>
    <definedName name="LuftTab4" localSheetId="12">'[5]Luft Tab 4'!$A$3:$BG$18</definedName>
    <definedName name="LuftTab4">'[5]Luft Tab 4'!$A$3:$BG$18</definedName>
    <definedName name="LuftTabMI1" localSheetId="3">'[5]Luft Tab MI 1'!$A$7:$IV$32</definedName>
    <definedName name="LuftTabMI1" localSheetId="12">'[5]Luft Tab MI 1'!$A$7:$IV$32</definedName>
    <definedName name="LuftTabMI1">'[5]Luft Tab MI 1'!$A$7:$IV$32</definedName>
    <definedName name="LuftTabMI2" localSheetId="3">'[5]Luft Tab MI 2'!$A$7:$IV$32</definedName>
    <definedName name="LuftTabMI2" localSheetId="12">'[5]Luft Tab MI 2'!$A$7:$IV$32</definedName>
    <definedName name="LuftTabMI2">'[5]Luft Tab MI 2'!$A$7:$IV$32</definedName>
    <definedName name="MinergieKennzahl" localSheetId="10">#REF!</definedName>
    <definedName name="MinergieKennzahl" localSheetId="5">#REF!</definedName>
    <definedName name="MinergieKennzahl" localSheetId="8">#REF!</definedName>
    <definedName name="MinergieKennzahl" localSheetId="7">#REF!</definedName>
    <definedName name="MinergieKennzahl" localSheetId="13">'SIA 380-1'!$J$57</definedName>
    <definedName name="MinergieKennzahl">#REF!</definedName>
    <definedName name="monthly" localSheetId="12">[9]Stundenmodell!#REF!</definedName>
    <definedName name="monthly" localSheetId="10">[9]Stundenmodell!#REF!</definedName>
    <definedName name="monthly" localSheetId="11">[9]Stundenmodell!#REF!</definedName>
    <definedName name="monthly" localSheetId="5">[9]Stundenmodell!#REF!</definedName>
    <definedName name="monthly" localSheetId="8">[9]Stundenmodell!#REF!</definedName>
    <definedName name="monthly" localSheetId="7">[9]Stundenmodell!#REF!</definedName>
    <definedName name="monthly">[9]Stundenmodell!#REF!</definedName>
    <definedName name="MWSTProzent" localSheetId="10">#REF!</definedName>
    <definedName name="MWSTProzent" localSheetId="5">#REF!</definedName>
    <definedName name="MWSTProzent" localSheetId="8">#REF!</definedName>
    <definedName name="MWSTProzent" localSheetId="7">#REF!</definedName>
    <definedName name="MWSTProzent" localSheetId="13">#REF!</definedName>
    <definedName name="MWSTProzent">#REF!</definedName>
    <definedName name="NAME">'[4]1_Elementflaechen'!$M$8</definedName>
    <definedName name="nutzid" localSheetId="9">[10]Datenblatt!$C$1</definedName>
    <definedName name="nutzid" localSheetId="11">Datenblatt!$C$1</definedName>
    <definedName name="nutzid" localSheetId="5">Raumnutzung_1!$C$1</definedName>
    <definedName name="nutzid">Datenblatt!$C$1</definedName>
    <definedName name="Objektname">[1]Eingabe!$A$2</definedName>
    <definedName name="OEV">'[2]Drop-down'!$E$4:$E$9</definedName>
    <definedName name="p">'[2]Drop-down'!$F$4:$F$14</definedName>
    <definedName name="ParkplatzMW">[3]Zusammenzug_SIMMA_JUD!$G$2:$G$23</definedName>
    <definedName name="PEF">'[2]Drop-down'!$H$4:$H$5</definedName>
    <definedName name="Primaer" localSheetId="10">#REF!</definedName>
    <definedName name="Primaer" localSheetId="5">#REF!</definedName>
    <definedName name="Primaer" localSheetId="8">#REF!</definedName>
    <definedName name="Primaer" localSheetId="7">#REF!</definedName>
    <definedName name="Primaer" localSheetId="13">'SIA 380-1'!$R$28</definedName>
    <definedName name="Primaer">#REF!</definedName>
    <definedName name="print" localSheetId="10">#REF!</definedName>
    <definedName name="print" localSheetId="11">#REF!</definedName>
    <definedName name="print" localSheetId="5">#REF!</definedName>
    <definedName name="print" localSheetId="8">#REF!</definedName>
    <definedName name="print" localSheetId="7">#REF!</definedName>
    <definedName name="print">#REF!</definedName>
    <definedName name="Projektname">[1]Eingabe!$B$2</definedName>
    <definedName name="PW">'[2]Drop-down'!$A$4:$A$6</definedName>
    <definedName name="QE" localSheetId="10">#REF!</definedName>
    <definedName name="QE" localSheetId="5">#REF!</definedName>
    <definedName name="QE" localSheetId="8">#REF!</definedName>
    <definedName name="QE" localSheetId="7">#REF!</definedName>
    <definedName name="QE" localSheetId="13">'SIA 380-1'!$D$38</definedName>
    <definedName name="QE">#REF!</definedName>
    <definedName name="Qh" localSheetId="10">#REF!</definedName>
    <definedName name="Qh" localSheetId="5">#REF!</definedName>
    <definedName name="Qh" localSheetId="8">#REF!</definedName>
    <definedName name="Qh" localSheetId="7">#REF!</definedName>
    <definedName name="Qh" localSheetId="13">'SIA 380-1'!$P$100</definedName>
    <definedName name="Qh">#REF!</definedName>
    <definedName name="QhmitWB" localSheetId="10">#REF!</definedName>
    <definedName name="QhmitWB" localSheetId="5">#REF!</definedName>
    <definedName name="QhmitWB" localSheetId="8">#REF!</definedName>
    <definedName name="QhmitWB" localSheetId="7">#REF!</definedName>
    <definedName name="QhmitWB" localSheetId="13">'SIA 380-1'!$P$101</definedName>
    <definedName name="QhmitWB">#REF!</definedName>
    <definedName name="QhzuHg" localSheetId="10">#REF!</definedName>
    <definedName name="QhzuHg" localSheetId="5">#REF!</definedName>
    <definedName name="QhzuHg" localSheetId="8">#REF!</definedName>
    <definedName name="QhzuHg" localSheetId="7">#REF!</definedName>
    <definedName name="QhzuHg" localSheetId="13">'SIA 380-1'!$J$54</definedName>
    <definedName name="QhzuHg">#REF!</definedName>
    <definedName name="QhzuHgAlt" localSheetId="10">#REF!</definedName>
    <definedName name="QhzuHgAlt" localSheetId="5">#REF!</definedName>
    <definedName name="QhzuHgAlt" localSheetId="8">#REF!</definedName>
    <definedName name="QhzuHgAlt" localSheetId="7">#REF!</definedName>
    <definedName name="QhzuHgAlt" localSheetId="13">'SIA 380-1'!$J$60</definedName>
    <definedName name="QhzuHgAlt">#REF!</definedName>
    <definedName name="QP" localSheetId="10">#REF!</definedName>
    <definedName name="QP" localSheetId="5">#REF!</definedName>
    <definedName name="QP" localSheetId="8">#REF!</definedName>
    <definedName name="QP" localSheetId="7">#REF!</definedName>
    <definedName name="QP" localSheetId="13">'SIA 380-1'!$D$36</definedName>
    <definedName name="QP">#REF!</definedName>
    <definedName name="QWW" localSheetId="10">#REF!</definedName>
    <definedName name="QWW" localSheetId="5">#REF!</definedName>
    <definedName name="QWW" localSheetId="8">#REF!</definedName>
    <definedName name="QWW" localSheetId="7">#REF!</definedName>
    <definedName name="QWW" localSheetId="13">'SIA 380-1'!$D$40</definedName>
    <definedName name="QWW">#REF!</definedName>
    <definedName name="Siedlungstyp">'[2]Drop-down'!$C$4:$C$6</definedName>
    <definedName name="SMA_Faktor">'[11]Referenz-Energie'!$H$34</definedName>
    <definedName name="spalten_klima_1" localSheetId="3">[5]Klimadaten!$A$3:$AA$3</definedName>
    <definedName name="spalten_klima_1" localSheetId="12">[5]Klimadaten!$A$3:$AA$3</definedName>
    <definedName name="spalten_klima_1">[5]Klimadaten!$A$3:$AA$3</definedName>
    <definedName name="spalten_klima_2" localSheetId="3">[5]Klimadaten!$A$79:$J$79</definedName>
    <definedName name="spalten_klima_2" localSheetId="12">[5]Klimadaten!$A$79:$J$79</definedName>
    <definedName name="spalten_klima_2">[5]Klimadaten!$A$79:$J$79</definedName>
    <definedName name="spalten_kühll_1" localSheetId="3">'[5]Kaelte Tab 1-1'!$AR$3:$BA$3</definedName>
    <definedName name="spalten_kühll_1" localSheetId="12">'[5]Kaelte Tab 1-1'!$AR$3:$BA$3</definedName>
    <definedName name="spalten_kühll_1">'[5]Kaelte Tab 1-1'!$AR$3:$BA$3</definedName>
    <definedName name="Standard" localSheetId="10">#REF!</definedName>
    <definedName name="Standard" localSheetId="5">#REF!</definedName>
    <definedName name="Standard" localSheetId="8">#REF!</definedName>
    <definedName name="Standard" localSheetId="7">#REF!</definedName>
    <definedName name="Standard" localSheetId="13">'SIA 380-1'!$D$7</definedName>
    <definedName name="Standard">#REF!</definedName>
    <definedName name="SUPERMARKTMW">[3]Zusammenzug_SIMMA_JUD!$D$2:$D$1002</definedName>
    <definedName name="t3_daten" localSheetId="3">'[5]Kaelte Tab 1-1'!$AT$3:$AV$17</definedName>
    <definedName name="t3_daten" localSheetId="12">'[5]Kaelte Tab 1-1'!$AT$3:$AV$17</definedName>
    <definedName name="t3_daten">'[5]Kaelte Tab 1-1'!$AT$3:$AV$17</definedName>
    <definedName name="t3_index" localSheetId="3">'[5]Kaelte Tab 1-1'!$AT$3:$AV$3</definedName>
    <definedName name="t3_index" localSheetId="12">'[5]Kaelte Tab 1-1'!$AT$3:$AV$3</definedName>
    <definedName name="t3_index">'[5]Kaelte Tab 1-1'!$AT$3:$AV$3</definedName>
    <definedName name="tau0" localSheetId="10">#REF!</definedName>
    <definedName name="tau0" localSheetId="5">#REF!</definedName>
    <definedName name="tau0" localSheetId="8">#REF!</definedName>
    <definedName name="tau0" localSheetId="7">#REF!</definedName>
    <definedName name="tau0" localSheetId="13">'SIA 380-1'!$D$42</definedName>
    <definedName name="tau0">#REF!</definedName>
    <definedName name="tblAnlageNR" localSheetId="3">[5]ComboBoxen!$C$3:$C$32</definedName>
    <definedName name="tblAnlageNR" localSheetId="12">[5]ComboBoxen!$C$3:$C$32</definedName>
    <definedName name="tblAnlageNR">[5]ComboBoxen!$C$3:$C$32</definedName>
    <definedName name="tblAnlageTyp" localSheetId="3">[5]ComboBoxen!$A$2:$A$9</definedName>
    <definedName name="tblAnlageTyp" localSheetId="12">[5]ComboBoxen!$A$2:$A$9</definedName>
    <definedName name="tblAnlageTyp">[5]ComboBoxen!$A$2:$A$9</definedName>
    <definedName name="tblArbeitsZahl" localSheetId="3">[5]ComboBoxen!$AP$3:$AQ$8</definedName>
    <definedName name="tblArbeitsZahl" localSheetId="12">[5]ComboBoxen!$AP$3:$AQ$8</definedName>
    <definedName name="tblArbeitsZahl">[5]ComboBoxen!$AP$3:$AQ$8</definedName>
    <definedName name="tblAussenWand" localSheetId="3">[5]ComboBoxen!$S$3:$T$25</definedName>
    <definedName name="tblAussenWand" localSheetId="12">[5]ComboBoxen!$S$3:$T$25</definedName>
    <definedName name="tblAussenWand">[5]ComboBoxen!$S$3:$T$25</definedName>
    <definedName name="tblBaumasse" localSheetId="3">[5]ComboBoxen!$D$2:$D$4</definedName>
    <definedName name="tblBaumasse" localSheetId="12">[5]ComboBoxen!$D$2:$D$4</definedName>
    <definedName name="tblBaumasse">[5]ComboBoxen!$D$2:$D$4</definedName>
    <definedName name="tblBoden" localSheetId="3">[5]ComboBoxen!$Q$3:$R$25</definedName>
    <definedName name="tblBoden" localSheetId="12">[5]ComboBoxen!$Q$3:$R$25</definedName>
    <definedName name="tblBoden">[5]ComboBoxen!$Q$3:$R$25</definedName>
    <definedName name="tblDecke" localSheetId="3">[5]ComboBoxen!$O$3:$P$17</definedName>
    <definedName name="tblDecke" localSheetId="12">[5]ComboBoxen!$O$3:$P$17</definedName>
    <definedName name="tblDecke">[5]ComboBoxen!$O$3:$P$17</definedName>
    <definedName name="tblDeltaTemp" localSheetId="3">[5]ComboBoxen!$AB$3:$AC$5</definedName>
    <definedName name="tblDeltaTemp" localSheetId="12">[5]ComboBoxen!$AB$3:$AC$5</definedName>
    <definedName name="tblDeltaTemp">[5]ComboBoxen!$AB$3:$AC$5</definedName>
    <definedName name="tblDVerABL" localSheetId="3">[5]ComboBoxen!$J$3:$K$6</definedName>
    <definedName name="tblDVerABL" localSheetId="12">[5]ComboBoxen!$J$3:$K$6</definedName>
    <definedName name="tblDVerABL">[5]ComboBoxen!$J$3:$K$6</definedName>
    <definedName name="tblDVerZUL" localSheetId="3">[5]ComboBoxen!$H$3:$I$6</definedName>
    <definedName name="tblDVerZUL" localSheetId="12">[5]ComboBoxen!$H$3:$I$6</definedName>
    <definedName name="tblDVerZUL">[5]ComboBoxen!$H$3:$I$6</definedName>
    <definedName name="tblEnthalpie" localSheetId="3">[5]ComboBoxen!$I$2:$I$5</definedName>
    <definedName name="tblEnthalpie" localSheetId="12">[5]ComboBoxen!$I$2:$I$5</definedName>
    <definedName name="tblEnthalpie">[5]ComboBoxen!$I$2:$I$5</definedName>
    <definedName name="tblEtaWRG" localSheetId="3">[5]ComboBoxen!$AU$3:$AW$6</definedName>
    <definedName name="tblEtaWRG" localSheetId="12">[5]ComboBoxen!$AU$3:$AW$6</definedName>
    <definedName name="tblEtaWRG">[5]ComboBoxen!$AU$3:$AW$6</definedName>
    <definedName name="tblFRAnteil" localSheetId="3">[5]ComboBoxen!#REF!</definedName>
    <definedName name="tblFRAnteil" localSheetId="12">[5]ComboBoxen!#REF!</definedName>
    <definedName name="tblFRAnteil" localSheetId="10">[5]ComboBoxen!#REF!</definedName>
    <definedName name="tblFRAnteil" localSheetId="11">[5]ComboBoxen!#REF!</definedName>
    <definedName name="tblFRAnteil" localSheetId="5">[5]ComboBoxen!#REF!</definedName>
    <definedName name="tblFRAnteil" localSheetId="8">[5]ComboBoxen!#REF!</definedName>
    <definedName name="tblFRAnteil" localSheetId="7">[5]ComboBoxen!#REF!</definedName>
    <definedName name="tblFRAnteil">[5]ComboBoxen!#REF!</definedName>
    <definedName name="tblGWert" localSheetId="3">[5]ComboBoxen!$Y$3:$Z$5</definedName>
    <definedName name="tblGWert" localSheetId="12">[5]ComboBoxen!$Y$3:$Z$5</definedName>
    <definedName name="tblGWert">[5]ComboBoxen!$Y$3:$Z$5</definedName>
    <definedName name="tblInnenWand" localSheetId="3">[5]ComboBoxen!$U$3:$V$25</definedName>
    <definedName name="tblInnenWand" localSheetId="12">[5]ComboBoxen!$U$3:$V$25</definedName>
    <definedName name="tblInnenWand">[5]ComboBoxen!$U$3:$V$25</definedName>
    <definedName name="tblKaelteAnlage" localSheetId="3">[5]ComboBoxen!$J$2:$J$33</definedName>
    <definedName name="tblKaelteAnlage" localSheetId="12">[5]ComboBoxen!$J$2:$J$33</definedName>
    <definedName name="tblKaelteAnlage">[5]ComboBoxen!$J$2:$J$33</definedName>
    <definedName name="tblKuehlFlaeche" localSheetId="3">[5]ComboBoxen!$AE$3:$AE$5</definedName>
    <definedName name="tblKuehlFlaeche" localSheetId="12">[5]ComboBoxen!$AE$3:$AE$5</definedName>
    <definedName name="tblKuehlFlaeche">[5]ComboBoxen!$AE$3:$AE$5</definedName>
    <definedName name="tblKuehlLeistung" localSheetId="3">[5]ComboBoxen!$AE$3:$AF$6</definedName>
    <definedName name="tblKuehlLeistung" localSheetId="12">[5]ComboBoxen!$AE$3:$AF$6</definedName>
    <definedName name="tblKuehlLeistung">[5]ComboBoxen!$AE$3:$AF$6</definedName>
    <definedName name="tblLocation" localSheetId="3">[5]ComboBoxen!$A$3:$A$10</definedName>
    <definedName name="tblLocation" localSheetId="12">[5]ComboBoxen!$A$3:$A$10</definedName>
    <definedName name="tblLocation">[5]ComboBoxen!$A$3:$A$10</definedName>
    <definedName name="tblLuftWechsel" localSheetId="3">[5]ComboBoxen!#REF!</definedName>
    <definedName name="tblLuftWechsel" localSheetId="12">[5]ComboBoxen!#REF!</definedName>
    <definedName name="tblLuftWechsel" localSheetId="10">[5]ComboBoxen!#REF!</definedName>
    <definedName name="tblLuftWechsel" localSheetId="11">[5]ComboBoxen!#REF!</definedName>
    <definedName name="tblLuftWechsel" localSheetId="5">[5]ComboBoxen!#REF!</definedName>
    <definedName name="tblLuftWechsel" localSheetId="8">[5]ComboBoxen!#REF!</definedName>
    <definedName name="tblLuftWechsel" localSheetId="7">[5]ComboBoxen!#REF!</definedName>
    <definedName name="tblLuftWechsel">[5]ComboBoxen!#REF!</definedName>
    <definedName name="tblMaterial" localSheetId="3">[5]ComboBoxen!$AH$3:$AL$20</definedName>
    <definedName name="tblMaterial" localSheetId="12">[5]ComboBoxen!$AH$3:$AL$20</definedName>
    <definedName name="tblMaterial">[5]ComboBoxen!$AH$3:$AL$20</definedName>
    <definedName name="tblNutzName" localSheetId="3">[5]Standard!$B$32:$B$51</definedName>
    <definedName name="tblNutzName" localSheetId="12">[5]Standard!$B$32:$B$51</definedName>
    <definedName name="tblNutzName">[5]Standard!$B$32:$B$51</definedName>
    <definedName name="tblNutzung" localSheetId="3">[5]ComboBoxen!$B$3:$B$35</definedName>
    <definedName name="tblNutzung" localSheetId="12">[5]ComboBoxen!$B$3:$B$35</definedName>
    <definedName name="tblNutzung">[5]ComboBoxen!$B$3:$B$35</definedName>
    <definedName name="tblNutzungen" localSheetId="3">[5]Standard!$B$9:$B$51</definedName>
    <definedName name="tblNutzungen" localSheetId="12">[5]Standard!$B$9:$B$51</definedName>
    <definedName name="tblNutzungen">[5]Standard!$B$9:$B$51</definedName>
    <definedName name="tblOrientierung" localSheetId="3">[5]ComboBoxen!$C$2:$C$9</definedName>
    <definedName name="tblOrientierung" localSheetId="12">[5]ComboBoxen!$C$2:$C$9</definedName>
    <definedName name="tblOrientierung">[5]ComboBoxen!$C$2:$C$9</definedName>
    <definedName name="tblRaumGruppe" localSheetId="3">[5]ComboBoxen!$L$3:$L$8</definedName>
    <definedName name="tblRaumGruppe" localSheetId="12">[5]ComboBoxen!$L$3:$L$8</definedName>
    <definedName name="tblRaumGruppe">[5]ComboBoxen!$L$3:$L$8</definedName>
    <definedName name="tblRegister1" localSheetId="3">[5]ComboBoxen!$F$2:$F$7</definedName>
    <definedName name="tblRegister1" localSheetId="12">[5]ComboBoxen!$F$2:$F$7</definedName>
    <definedName name="tblRegister1">[5]ComboBoxen!$F$2:$F$7</definedName>
    <definedName name="tblRegister2" localSheetId="3">[5]ComboBoxen!$H$2:$H$8</definedName>
    <definedName name="tblRegister2" localSheetId="12">[5]ComboBoxen!$H$2:$H$8</definedName>
    <definedName name="tblRegister2">[5]ComboBoxen!$H$2:$H$8</definedName>
    <definedName name="tblSpezNutz" localSheetId="3">[5]ComboBoxen!$AR$3:$AR$45</definedName>
    <definedName name="tblSpezNutz" localSheetId="12">[5]ComboBoxen!$AR$3:$AR$45</definedName>
    <definedName name="tblSpezNutz">[5]ComboBoxen!$AR$3:$AR$45</definedName>
    <definedName name="tblStdIndex" localSheetId="3">[5]Standard!$A$9:$A$30</definedName>
    <definedName name="tblStdIndex" localSheetId="12">[5]Standard!$A$9:$A$30</definedName>
    <definedName name="tblStdIndex">[5]Standard!$A$9:$A$30</definedName>
    <definedName name="tblStdNutzung" localSheetId="3">[5]Standard!$B$9:$B$30</definedName>
    <definedName name="tblStdNutzung" localSheetId="12">[5]Standard!$B$9:$B$30</definedName>
    <definedName name="tblStdNutzung">[5]Standard!$B$9:$B$30</definedName>
    <definedName name="tblSteuerung" localSheetId="3">[5]ComboBoxen!$B$2:$B$4</definedName>
    <definedName name="tblSteuerung" localSheetId="12">[5]ComboBoxen!$B$2:$B$4</definedName>
    <definedName name="tblSteuerung">[5]ComboBoxen!$B$2:$B$4</definedName>
    <definedName name="tblUWert" localSheetId="3">[5]ComboBoxen!$W$3:$X$5</definedName>
    <definedName name="tblUWert" localSheetId="12">[5]ComboBoxen!$W$3:$X$5</definedName>
    <definedName name="tblUWert">[5]ComboBoxen!$W$3:$X$5</definedName>
    <definedName name="tblVentStufen" localSheetId="3">[5]ComboBoxen!$G$3:$G$5</definedName>
    <definedName name="tblVentStufen" localSheetId="12">[5]ComboBoxen!$G$3:$G$5</definedName>
    <definedName name="tblVentStufen">[5]ComboBoxen!$G$3:$G$5</definedName>
    <definedName name="tblWaermeLast" localSheetId="3">[5]ComboBoxen!$E$2:$E$4</definedName>
    <definedName name="tblWaermeLast" localSheetId="12">[5]ComboBoxen!$E$2:$E$4</definedName>
    <definedName name="tblWaermeLast">[5]ComboBoxen!$E$2:$E$4</definedName>
    <definedName name="tblWirkGrad" localSheetId="3">[5]ComboBoxen!$E$3:$F$7</definedName>
    <definedName name="tblWirkGrad" localSheetId="12">[5]ComboBoxen!$E$3:$F$7</definedName>
    <definedName name="tblWirkGrad">[5]ComboBoxen!$E$3:$F$7</definedName>
    <definedName name="tblWLBeleuchtung" localSheetId="3">[5]ComboBoxen!#REF!</definedName>
    <definedName name="tblWLBeleuchtung" localSheetId="12">[5]ComboBoxen!#REF!</definedName>
    <definedName name="tblWLBeleuchtung" localSheetId="10">[5]ComboBoxen!#REF!</definedName>
    <definedName name="tblWLBeleuchtung" localSheetId="11">[5]ComboBoxen!#REF!</definedName>
    <definedName name="tblWLBeleuchtung" localSheetId="5">[5]ComboBoxen!#REF!</definedName>
    <definedName name="tblWLBeleuchtung" localSheetId="8">[5]ComboBoxen!#REF!</definedName>
    <definedName name="tblWLBeleuchtung" localSheetId="7">[5]ComboBoxen!#REF!</definedName>
    <definedName name="tblWLBeleuchtung">[5]ComboBoxen!#REF!</definedName>
    <definedName name="tblWLGeraete" localSheetId="3">[5]ComboBoxen!#REF!</definedName>
    <definedName name="tblWLGeraete" localSheetId="12">[5]ComboBoxen!#REF!</definedName>
    <definedName name="tblWLGeraete" localSheetId="10">[5]ComboBoxen!#REF!</definedName>
    <definedName name="tblWLGeraete" localSheetId="11">[5]ComboBoxen!#REF!</definedName>
    <definedName name="tblWLGeraete" localSheetId="5">[5]ComboBoxen!#REF!</definedName>
    <definedName name="tblWLGeraete" localSheetId="8">[5]ComboBoxen!#REF!</definedName>
    <definedName name="tblWLGeraete" localSheetId="7">[5]ComboBoxen!#REF!</definedName>
    <definedName name="tblWLGeraete">[5]ComboBoxen!#REF!</definedName>
    <definedName name="tblWLPersonen" localSheetId="3">[5]ComboBoxen!#REF!</definedName>
    <definedName name="tblWLPersonen" localSheetId="12">[5]ComboBoxen!#REF!</definedName>
    <definedName name="tblWLPersonen" localSheetId="10">[5]ComboBoxen!#REF!</definedName>
    <definedName name="tblWLPersonen" localSheetId="11">[5]ComboBoxen!#REF!</definedName>
    <definedName name="tblWLPersonen" localSheetId="5">[5]ComboBoxen!#REF!</definedName>
    <definedName name="tblWLPersonen" localSheetId="8">[5]ComboBoxen!#REF!</definedName>
    <definedName name="tblWLPersonen" localSheetId="7">[5]ComboBoxen!#REF!</definedName>
    <definedName name="tblWLPersonen">[5]ComboBoxen!#REF!</definedName>
    <definedName name="Thetahmax" localSheetId="10">#REF!</definedName>
    <definedName name="Thetahmax" localSheetId="5">#REF!</definedName>
    <definedName name="Thetahmax" localSheetId="8">#REF!</definedName>
    <definedName name="Thetahmax" localSheetId="7">#REF!</definedName>
    <definedName name="Thetahmax" localSheetId="13">#REF!</definedName>
    <definedName name="Thetahmax">#REF!</definedName>
    <definedName name="Thetai" localSheetId="10">#REF!</definedName>
    <definedName name="Thetai" localSheetId="5">#REF!</definedName>
    <definedName name="Thetai" localSheetId="8">#REF!</definedName>
    <definedName name="Thetai" localSheetId="7">#REF!</definedName>
    <definedName name="Thetai" localSheetId="13">'SIA 380-1'!$D$55</definedName>
    <definedName name="Thetai">#REF!</definedName>
    <definedName name="Thetaig" localSheetId="10">#REF!</definedName>
    <definedName name="Thetaig" localSheetId="5">#REF!</definedName>
    <definedName name="Thetaig" localSheetId="8">#REF!</definedName>
    <definedName name="Thetaig" localSheetId="7">#REF!</definedName>
    <definedName name="Thetaig" localSheetId="13">'SIA 380-1'!$D$60</definedName>
    <definedName name="Thetaig">#REF!</definedName>
    <definedName name="THGEF">'[2]Drop-down'!$I$4:$I$5</definedName>
    <definedName name="tP" localSheetId="10">#REF!</definedName>
    <definedName name="tP" localSheetId="5">#REF!</definedName>
    <definedName name="tP" localSheetId="8">#REF!</definedName>
    <definedName name="tP" localSheetId="7">#REF!</definedName>
    <definedName name="tP" localSheetId="13">'SIA 380-1'!$D$37</definedName>
    <definedName name="tP">#REF!</definedName>
    <definedName name="ts4_daten" localSheetId="3">'[5]Kaelte Tab 2'!$A$66:$T$76</definedName>
    <definedName name="ts4_daten" localSheetId="12">'[5]Kaelte Tab 2'!$A$66:$T$76</definedName>
    <definedName name="ts4_daten">'[5]Kaelte Tab 2'!$A$66:$T$76</definedName>
    <definedName name="ts4_index" localSheetId="3">'[5]Kaelte Tab 2'!$A$66:$T$66</definedName>
    <definedName name="ts4_index" localSheetId="12">'[5]Kaelte Tab 2'!$A$66:$T$66</definedName>
    <definedName name="ts4_index">'[5]Kaelte Tab 2'!$A$66:$T$66</definedName>
    <definedName name="typ" localSheetId="3">'[7]01_Vorlage'!#REF!</definedName>
    <definedName name="typ" localSheetId="12">'[7]01_Vorlage'!#REF!</definedName>
    <definedName name="typ" localSheetId="10">'[7]01_Vorlage'!#REF!</definedName>
    <definedName name="typ" localSheetId="11">'[7]01_Vorlage'!#REF!</definedName>
    <definedName name="typ" localSheetId="5">'[7]01_Vorlage'!#REF!</definedName>
    <definedName name="typ" localSheetId="8">'[7]01_Vorlage'!#REF!</definedName>
    <definedName name="typ" localSheetId="7">'[7]01_Vorlage'!#REF!</definedName>
    <definedName name="typ">'[7]01_Vorlage'!#REF!</definedName>
    <definedName name="U_Boden" localSheetId="10">#REF!</definedName>
    <definedName name="U_Boden" localSheetId="5">#REF!</definedName>
    <definedName name="U_Boden" localSheetId="8">#REF!</definedName>
    <definedName name="U_Boden" localSheetId="7">#REF!</definedName>
    <definedName name="U_Boden" localSheetId="13">'SIA 380-1'!$E$23</definedName>
    <definedName name="U_Boden">#REF!</definedName>
    <definedName name="U_DAFbeheizt" localSheetId="10">#REF!</definedName>
    <definedName name="U_DAFbeheizt" localSheetId="5">#REF!</definedName>
    <definedName name="U_DAFbeheizt" localSheetId="8">#REF!</definedName>
    <definedName name="U_DAFbeheizt" localSheetId="7">#REF!</definedName>
    <definedName name="U_DAFbeheizt" localSheetId="13">'SIA 380-1'!$E$22</definedName>
    <definedName name="U_DAFbeheizt">#REF!</definedName>
    <definedName name="U_E3" localSheetId="10">#REF!</definedName>
    <definedName name="U_E3" localSheetId="5">#REF!</definedName>
    <definedName name="U_E3" localSheetId="8">#REF!</definedName>
    <definedName name="U_E3" localSheetId="7">#REF!</definedName>
    <definedName name="U_E3" localSheetId="13">'SIA 380-1'!$E$14</definedName>
    <definedName name="U_E3">#REF!</definedName>
    <definedName name="U_E4" localSheetId="10">#REF!</definedName>
    <definedName name="U_E4" localSheetId="5">#REF!</definedName>
    <definedName name="U_E4" localSheetId="8">#REF!</definedName>
    <definedName name="U_E4" localSheetId="7">#REF!</definedName>
    <definedName name="U_E4" localSheetId="13">'SIA 380-1'!$E$15</definedName>
    <definedName name="U_E4">#REF!</definedName>
    <definedName name="U_E5" localSheetId="10">#REF!</definedName>
    <definedName name="U_E5" localSheetId="5">#REF!</definedName>
    <definedName name="U_E5" localSheetId="8">#REF!</definedName>
    <definedName name="U_E5" localSheetId="7">#REF!</definedName>
    <definedName name="U_E5" localSheetId="13">'SIA 380-1'!$E$16</definedName>
    <definedName name="U_E5">#REF!</definedName>
    <definedName name="U_gedaemmteDecken" localSheetId="10">#REF!</definedName>
    <definedName name="U_gedaemmteDecken" localSheetId="5">#REF!</definedName>
    <definedName name="U_gedaemmteDecken" localSheetId="8">#REF!</definedName>
    <definedName name="U_gedaemmteDecken" localSheetId="7">#REF!</definedName>
    <definedName name="U_gedaemmteDecken" localSheetId="13">'SIA 380-1'!$Q$31</definedName>
    <definedName name="U_gedaemmteDecken">#REF!</definedName>
    <definedName name="unterirdVol" localSheetId="10">#REF!</definedName>
    <definedName name="unterirdVol" localSheetId="5">#REF!</definedName>
    <definedName name="unterirdVol" localSheetId="8">#REF!</definedName>
    <definedName name="unterirdVol" localSheetId="7">#REF!</definedName>
    <definedName name="unterirdVol" localSheetId="13">'SIA 380-1'!#REF!</definedName>
    <definedName name="unterirdVol">#REF!</definedName>
    <definedName name="V_BGVol">[12]V_1_Elementflaechen!$X$39</definedName>
    <definedName name="V_BodenErdeF">[12]V_2_Kennwerte!$T$63</definedName>
    <definedName name="V_BOF">[12]V_1_Elementflaechen!$X$15</definedName>
    <definedName name="V_DAFbeheizt">[12]VoreinstellungenAHB!$X$29</definedName>
    <definedName name="V_E3beheizt">[12]VoreinstellungenAHB!$X$18</definedName>
    <definedName name="V_E4beheizt">[12]VoreinstellungenAHB!$X$21</definedName>
    <definedName name="V_E5Nord">[12]VoreinstellungenAHB!$X$25</definedName>
    <definedName name="V_E5ost">[12]VoreinstellungenAHB!$X$26</definedName>
    <definedName name="V_E5Sued">[12]VoreinstellungenAHB!$X$24</definedName>
    <definedName name="V_E5total">[12]VoreinstellungenAHB!$X$23</definedName>
    <definedName name="V_E5west">[12]VoreinstellungenAHB!$X$27</definedName>
    <definedName name="V_EBF" localSheetId="10">#REF!</definedName>
    <definedName name="V_EBF" localSheetId="5">#REF!</definedName>
    <definedName name="V_EBF" localSheetId="8">#REF!</definedName>
    <definedName name="V_EBF" localSheetId="7">#REF!</definedName>
    <definedName name="V_EBF" localSheetId="13">'SIA 380-1'!#REF!</definedName>
    <definedName name="V_EBF">#REF!</definedName>
    <definedName name="V_Fensteranteil" localSheetId="10">#REF!</definedName>
    <definedName name="V_Fensteranteil" localSheetId="5">#REF!</definedName>
    <definedName name="V_Fensteranteil" localSheetId="8">#REF!</definedName>
    <definedName name="V_Fensteranteil" localSheetId="7">#REF!</definedName>
    <definedName name="V_Fensteranteil" localSheetId="13">'SIA 380-1'!#REF!</definedName>
    <definedName name="V_Fensteranteil">#REF!</definedName>
    <definedName name="V_Gebaeudehuellzahl" localSheetId="10">#REF!</definedName>
    <definedName name="V_Gebaeudehuellzahl" localSheetId="5">#REF!</definedName>
    <definedName name="V_Gebaeudehuellzahl" localSheetId="8">#REF!</definedName>
    <definedName name="V_Gebaeudehuellzahl" localSheetId="7">#REF!</definedName>
    <definedName name="V_Gebaeudehuellzahl" localSheetId="13">'SIA 380-1'!#REF!</definedName>
    <definedName name="V_Gebaeudehuellzahl">#REF!</definedName>
    <definedName name="V_gedaemmteDecke">[12]VoreinstellungenAHB!$X$37</definedName>
    <definedName name="V_GFbeheizt">[12]VoreinstellungenAHB!$X$33</definedName>
    <definedName name="V_GSF" localSheetId="10">#REF!</definedName>
    <definedName name="V_GSF" localSheetId="5">#REF!</definedName>
    <definedName name="V_GSF" localSheetId="8">#REF!</definedName>
    <definedName name="V_GSF" localSheetId="7">#REF!</definedName>
    <definedName name="V_GSF" localSheetId="13">#REF!</definedName>
    <definedName name="V_GSF">#REF!</definedName>
    <definedName name="V_MinergieKennzahl" localSheetId="10">#REF!</definedName>
    <definedName name="V_MinergieKennzahl" localSheetId="5">#REF!</definedName>
    <definedName name="V_MinergieKennzahl" localSheetId="8">#REF!</definedName>
    <definedName name="V_MinergieKennzahl" localSheetId="7">#REF!</definedName>
    <definedName name="V_MinergieKennzahl" localSheetId="13">'SIA 380-1'!#REF!</definedName>
    <definedName name="V_MinergieKennzahl">#REF!</definedName>
    <definedName name="V_Qh" localSheetId="10">#REF!</definedName>
    <definedName name="V_Qh" localSheetId="5">#REF!</definedName>
    <definedName name="V_Qh" localSheetId="8">#REF!</definedName>
    <definedName name="V_Qh" localSheetId="7">#REF!</definedName>
    <definedName name="V_Qh" localSheetId="13">'SIA 380-1'!#REF!</definedName>
    <definedName name="V_Qh">#REF!</definedName>
    <definedName name="V_QhmitWB" localSheetId="10">#REF!</definedName>
    <definedName name="V_QhmitWB" localSheetId="5">#REF!</definedName>
    <definedName name="V_QhmitWB" localSheetId="8">#REF!</definedName>
    <definedName name="V_QhmitWB" localSheetId="7">#REF!</definedName>
    <definedName name="V_QhmitWB" localSheetId="13">'SIA 380-1'!#REF!</definedName>
    <definedName name="V_QhmitWB">#REF!</definedName>
    <definedName name="V_QhzuHg" localSheetId="10">#REF!</definedName>
    <definedName name="V_QhzuHg" localSheetId="5">#REF!</definedName>
    <definedName name="V_QhzuHg" localSheetId="8">#REF!</definedName>
    <definedName name="V_QhzuHg" localSheetId="7">#REF!</definedName>
    <definedName name="V_QhzuHg" localSheetId="13">'SIA 380-1'!#REF!</definedName>
    <definedName name="V_QhzuHg">#REF!</definedName>
    <definedName name="V_U_E4">[12]V_2_Kennwerte!$X$65</definedName>
    <definedName name="VolAUL" localSheetId="10">#REF!</definedName>
    <definedName name="VolAUL" localSheetId="5">#REF!</definedName>
    <definedName name="VolAUL" localSheetId="8">#REF!</definedName>
    <definedName name="VolAUL" localSheetId="7">#REF!</definedName>
    <definedName name="VolAUL" localSheetId="13">#REF!</definedName>
    <definedName name="VolAUL">#REF!</definedName>
    <definedName name="VStandard" localSheetId="10">#REF!</definedName>
    <definedName name="VStandard" localSheetId="5">#REF!</definedName>
    <definedName name="VStandard" localSheetId="8">#REF!</definedName>
    <definedName name="VStandard" localSheetId="7">#REF!</definedName>
    <definedName name="VStandard" localSheetId="13">'SIA 380-1'!$D$33</definedName>
    <definedName name="VStandard">#REF!</definedName>
    <definedName name="Vth" localSheetId="10">#REF!</definedName>
    <definedName name="Vth" localSheetId="5">#REF!</definedName>
    <definedName name="Vth" localSheetId="8">#REF!</definedName>
    <definedName name="Vth" localSheetId="7">#REF!</definedName>
    <definedName name="Vth" localSheetId="13">'SIA 380-1'!$D$26</definedName>
    <definedName name="Vth">#REF!</definedName>
    <definedName name="WBZuschlag" localSheetId="10">#REF!</definedName>
    <definedName name="WBZuschlag" localSheetId="5">#REF!</definedName>
    <definedName name="WBZuschlag" localSheetId="8">#REF!</definedName>
    <definedName name="WBZuschlag" localSheetId="7">#REF!</definedName>
    <definedName name="WBZuschlag" localSheetId="13">'SIA 380-1'!$D$30</definedName>
    <definedName name="WBZuschlag">#REF!</definedName>
    <definedName name="Werte" localSheetId="10">#REF!</definedName>
    <definedName name="Werte" localSheetId="11">#REF!</definedName>
    <definedName name="Werte" localSheetId="5">#REF!</definedName>
    <definedName name="Werte" localSheetId="8">#REF!</definedName>
    <definedName name="Werte" localSheetId="7">#REF!</definedName>
    <definedName name="Werte">#REF!</definedName>
    <definedName name="WW" localSheetId="10">#REF!</definedName>
    <definedName name="WW" localSheetId="5">#REF!</definedName>
    <definedName name="WW" localSheetId="8">#REF!</definedName>
    <definedName name="WW" localSheetId="7">#REF!</definedName>
    <definedName name="WW" localSheetId="13">'SIA 380-1'!$D$43</definedName>
    <definedName name="WW">#REF!</definedName>
    <definedName name="ZoomDia" localSheetId="3">'[5]Kaelte Tab 1-1'!$D$38:$V$73</definedName>
    <definedName name="ZoomDia" localSheetId="12">'[5]Kaelte Tab 1-1'!$D$38:$V$73</definedName>
    <definedName name="ZoomDia">'[5]Kaelte Tab 1-1'!$D$38:$V$73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4832" l="1"/>
  <c r="F5" i="14832"/>
  <c r="E11" i="14832"/>
  <c r="E12" i="14832"/>
  <c r="E13" i="14832"/>
  <c r="E14" i="14832"/>
  <c r="E15" i="14832"/>
  <c r="E16" i="14832"/>
  <c r="E17" i="14832"/>
  <c r="E18" i="14832"/>
  <c r="E19" i="14832"/>
  <c r="E20" i="14832"/>
  <c r="E21" i="14832"/>
  <c r="E22" i="14832"/>
  <c r="E23" i="14832"/>
  <c r="E24" i="14832"/>
  <c r="E25" i="14832"/>
  <c r="E26" i="14832"/>
  <c r="E27" i="14832"/>
  <c r="E28" i="14832"/>
  <c r="E29" i="14832"/>
  <c r="E30" i="14832"/>
  <c r="E31" i="14832"/>
  <c r="E32" i="14832"/>
  <c r="E33" i="14832"/>
  <c r="E10" i="14832"/>
  <c r="E5" i="14832"/>
  <c r="A1" i="14832" a="1"/>
  <c r="A1" i="14832" s="1"/>
  <c r="G1" i="14829"/>
  <c r="F6" i="14829" s="1"/>
  <c r="F7" i="14829" l="1"/>
  <c r="F8" i="14829"/>
  <c r="F9" i="14829"/>
  <c r="F10" i="14829"/>
  <c r="F11" i="14829"/>
  <c r="F12" i="14829"/>
  <c r="F13" i="14829"/>
  <c r="F14" i="14829"/>
  <c r="F15" i="14829"/>
  <c r="F16" i="14829"/>
  <c r="F17" i="14829"/>
  <c r="F18" i="14829"/>
  <c r="F19" i="14829"/>
  <c r="F20" i="14829"/>
  <c r="F21" i="14829"/>
  <c r="F22" i="14829"/>
  <c r="F23" i="14829"/>
  <c r="F24" i="14829"/>
  <c r="F25" i="14829"/>
  <c r="F26" i="14829"/>
  <c r="F27" i="14829"/>
  <c r="F28" i="14829"/>
  <c r="F29" i="14829"/>
  <c r="F30" i="14829"/>
  <c r="F31" i="14829"/>
  <c r="F32" i="14829"/>
  <c r="F33" i="14829"/>
  <c r="F34" i="14829"/>
  <c r="F35" i="14829"/>
  <c r="F36" i="14829"/>
  <c r="F37" i="14829"/>
  <c r="F38" i="14829"/>
  <c r="F39" i="14829"/>
  <c r="F40" i="14829"/>
  <c r="F41" i="14829"/>
  <c r="F42" i="14829"/>
  <c r="F43" i="14829"/>
  <c r="F44" i="14829"/>
  <c r="F45" i="14829"/>
  <c r="F46" i="14829"/>
  <c r="F47" i="14829"/>
  <c r="F48" i="14829"/>
  <c r="F49" i="14829"/>
  <c r="F50" i="14829"/>
  <c r="F51" i="14829"/>
  <c r="F52" i="14829"/>
  <c r="F53" i="14829"/>
  <c r="F54" i="14829"/>
  <c r="F55" i="14829"/>
  <c r="F56" i="14829"/>
  <c r="F57" i="14829"/>
  <c r="F58" i="14829"/>
  <c r="F59" i="14829"/>
  <c r="F60" i="14829"/>
  <c r="F61" i="14829"/>
  <c r="F62" i="14829"/>
  <c r="F63" i="14829"/>
  <c r="F64" i="14829"/>
  <c r="F65" i="14829"/>
  <c r="F66" i="14829"/>
  <c r="F67" i="14829"/>
  <c r="F68" i="14829"/>
  <c r="F69" i="14829"/>
  <c r="F70" i="14829"/>
  <c r="F71" i="14829"/>
  <c r="F72" i="14829"/>
  <c r="F73" i="14829"/>
  <c r="F74" i="14829"/>
  <c r="F75" i="14829"/>
  <c r="F76" i="14829"/>
  <c r="F77" i="14829"/>
  <c r="F78" i="14829"/>
  <c r="F79" i="14829"/>
  <c r="F80" i="14829"/>
  <c r="F81" i="14829"/>
  <c r="F82" i="14829"/>
  <c r="F83" i="14829"/>
  <c r="F84" i="14829"/>
  <c r="F85" i="14829"/>
  <c r="F86" i="14829"/>
  <c r="F87" i="14829"/>
  <c r="F88" i="14829"/>
  <c r="F89" i="14829"/>
  <c r="F90" i="14829"/>
  <c r="F91" i="14829"/>
  <c r="F92" i="14829"/>
  <c r="F93" i="14829"/>
  <c r="F94" i="14829"/>
  <c r="F95" i="14829"/>
  <c r="F96" i="14829"/>
  <c r="F97" i="14829"/>
  <c r="F98" i="14829"/>
  <c r="F99" i="14829"/>
  <c r="F100" i="14829"/>
  <c r="F101" i="14829"/>
  <c r="F102" i="14829"/>
  <c r="F103" i="14829"/>
  <c r="F104" i="14829"/>
  <c r="F105" i="14829"/>
  <c r="F106" i="14829"/>
  <c r="F107" i="14829"/>
  <c r="F108" i="14829"/>
  <c r="F109" i="14829"/>
  <c r="F110" i="14829"/>
  <c r="F111" i="14829"/>
  <c r="F112" i="14829"/>
  <c r="F113" i="14829"/>
  <c r="F114" i="14829"/>
  <c r="F115" i="14829"/>
  <c r="F116" i="14829"/>
  <c r="F117" i="14829"/>
  <c r="F118" i="14829"/>
  <c r="F119" i="14829"/>
  <c r="F120" i="14829"/>
  <c r="F121" i="14829"/>
  <c r="F122" i="14829"/>
  <c r="F123" i="14829"/>
  <c r="F124" i="14829"/>
  <c r="F125" i="14829"/>
  <c r="F126" i="14829"/>
  <c r="F127" i="14829"/>
  <c r="F128" i="14829"/>
  <c r="F129" i="14829"/>
  <c r="F130" i="14829"/>
  <c r="F131" i="14829"/>
  <c r="F132" i="14829"/>
  <c r="F133" i="14829"/>
  <c r="F134" i="14829"/>
  <c r="F135" i="14829"/>
  <c r="F136" i="14829"/>
  <c r="F137" i="14829"/>
  <c r="F138" i="14829"/>
  <c r="F139" i="14829"/>
  <c r="F140" i="14829"/>
  <c r="F141" i="14829"/>
  <c r="F142" i="14829"/>
  <c r="F143" i="14829"/>
  <c r="F144" i="14829"/>
  <c r="F145" i="14829"/>
  <c r="F146" i="14829"/>
  <c r="F147" i="14829"/>
  <c r="F148" i="14829"/>
  <c r="F149" i="14829"/>
  <c r="F150" i="14829"/>
  <c r="F151" i="14829"/>
  <c r="F152" i="14829"/>
  <c r="F153" i="14829"/>
  <c r="F154" i="14829"/>
  <c r="F155" i="14829"/>
  <c r="F156" i="14829"/>
  <c r="F157" i="14829"/>
  <c r="F160" i="14829"/>
  <c r="F161" i="14829"/>
  <c r="F162" i="14829"/>
  <c r="F163" i="14829"/>
  <c r="F164" i="14829"/>
  <c r="F165" i="14829"/>
  <c r="F166" i="14829"/>
  <c r="F167" i="14829"/>
  <c r="F168" i="14829"/>
  <c r="F169" i="14829"/>
  <c r="F170" i="14829"/>
  <c r="F171" i="14829"/>
  <c r="F172" i="14829"/>
  <c r="F173" i="14829"/>
  <c r="F174" i="14829"/>
  <c r="F175" i="14829"/>
  <c r="F176" i="14829"/>
  <c r="F177" i="14829"/>
  <c r="F178" i="14829"/>
  <c r="F179" i="14829"/>
  <c r="F180" i="14829"/>
  <c r="F181" i="14829"/>
  <c r="F182" i="14829"/>
  <c r="F183" i="14829"/>
  <c r="F184" i="14829"/>
  <c r="F185" i="14829"/>
  <c r="F186" i="14829"/>
  <c r="F187" i="14829"/>
  <c r="F188" i="14829"/>
  <c r="F189" i="14829"/>
  <c r="F190" i="14829"/>
  <c r="F191" i="14829"/>
  <c r="F192" i="14829"/>
  <c r="F193" i="14829"/>
  <c r="F194" i="14829"/>
  <c r="F195" i="14829"/>
  <c r="F196" i="14829"/>
  <c r="F197" i="14829"/>
  <c r="F198" i="14829"/>
  <c r="F199" i="14829"/>
  <c r="F200" i="14829"/>
  <c r="F201" i="14829"/>
  <c r="F202" i="14829"/>
  <c r="F203" i="14829"/>
  <c r="F204" i="14829"/>
  <c r="F205" i="14829"/>
  <c r="F206" i="14829"/>
  <c r="F207" i="14829"/>
  <c r="F208" i="14829"/>
  <c r="F209" i="14829"/>
  <c r="F210" i="14829"/>
  <c r="F211" i="14829"/>
  <c r="F212" i="14829"/>
  <c r="F213" i="14829"/>
  <c r="F214" i="14829"/>
  <c r="F215" i="14829"/>
  <c r="F216" i="14829"/>
  <c r="F217" i="14829"/>
  <c r="F218" i="14829"/>
  <c r="F219" i="14829"/>
  <c r="F220" i="14829"/>
  <c r="F221" i="14829"/>
  <c r="F222" i="14829"/>
  <c r="F223" i="14829"/>
  <c r="F224" i="14829"/>
  <c r="F225" i="14829"/>
  <c r="F226" i="14829"/>
  <c r="F227" i="14829"/>
  <c r="F228" i="14829"/>
  <c r="F229" i="14829"/>
  <c r="F230" i="14829"/>
  <c r="F231" i="14829"/>
  <c r="F232" i="14829"/>
  <c r="F233" i="14829"/>
  <c r="F234" i="14829"/>
  <c r="F235" i="14829"/>
  <c r="F236" i="14829"/>
  <c r="F237" i="14829"/>
  <c r="F238" i="14829"/>
  <c r="F239" i="14829"/>
  <c r="F240" i="14829"/>
  <c r="F241" i="14829"/>
  <c r="F242" i="14829"/>
  <c r="F243" i="14829"/>
  <c r="F244" i="14829"/>
  <c r="F245" i="14829"/>
  <c r="F246" i="14829"/>
  <c r="F247" i="14829"/>
  <c r="F248" i="14829"/>
  <c r="F249" i="14829"/>
  <c r="F250" i="14829"/>
  <c r="F251" i="14829"/>
  <c r="F252" i="14829"/>
  <c r="F253" i="14829"/>
  <c r="F254" i="14829"/>
  <c r="F255" i="14829"/>
  <c r="F256" i="14829"/>
  <c r="F257" i="14829"/>
  <c r="F258" i="14829"/>
  <c r="F259" i="14829"/>
  <c r="F260" i="14829"/>
  <c r="F261" i="14829"/>
  <c r="F262" i="14829"/>
  <c r="F263" i="14829"/>
  <c r="F264" i="14829"/>
  <c r="F265" i="14829"/>
  <c r="F266" i="14829"/>
  <c r="F267" i="14829"/>
  <c r="F268" i="14829"/>
  <c r="F269" i="14829"/>
  <c r="F270" i="14829"/>
  <c r="F271" i="14829"/>
  <c r="F272" i="14829"/>
  <c r="F273" i="14829"/>
  <c r="F274" i="14829"/>
  <c r="F275" i="14829"/>
  <c r="F276" i="14829"/>
  <c r="F277" i="14829"/>
  <c r="F278" i="14829"/>
  <c r="F279" i="14829"/>
  <c r="F280" i="14829"/>
  <c r="F281" i="14829"/>
  <c r="F282" i="14829"/>
  <c r="F283" i="14829"/>
  <c r="F284" i="14829"/>
  <c r="F285" i="14829"/>
  <c r="F286" i="14829"/>
  <c r="F287" i="14829"/>
  <c r="F288" i="14829"/>
  <c r="F289" i="14829"/>
  <c r="F290" i="14829"/>
  <c r="F291" i="14829"/>
  <c r="F292" i="14829"/>
  <c r="F293" i="14829"/>
  <c r="F294" i="14829"/>
  <c r="F295" i="14829"/>
  <c r="F296" i="14829"/>
  <c r="F297" i="14829"/>
  <c r="F298" i="14829"/>
  <c r="F299" i="14829"/>
  <c r="F300" i="14829"/>
  <c r="F301" i="14829"/>
  <c r="F302" i="14829"/>
  <c r="F303" i="14829"/>
  <c r="F304" i="14829"/>
  <c r="F305" i="14829"/>
  <c r="F306" i="14829"/>
  <c r="F307" i="14829"/>
  <c r="F308" i="14829"/>
  <c r="F309" i="14829"/>
  <c r="F310" i="14829"/>
  <c r="F311" i="14829"/>
  <c r="F312" i="14829"/>
  <c r="F313" i="14829"/>
  <c r="F314" i="14829"/>
  <c r="F315" i="14829"/>
  <c r="F316" i="14829"/>
  <c r="F317" i="14829"/>
  <c r="F318" i="14829"/>
  <c r="F319" i="14829"/>
  <c r="F320" i="14829"/>
  <c r="F321" i="14829"/>
  <c r="F322" i="14829"/>
  <c r="F323" i="14829"/>
  <c r="F324" i="14829"/>
  <c r="F325" i="14829"/>
  <c r="F326" i="14829"/>
  <c r="F327" i="14829"/>
  <c r="F328" i="14829"/>
  <c r="F329" i="14829"/>
  <c r="F330" i="14829"/>
  <c r="F331" i="14829"/>
  <c r="F332" i="14829"/>
  <c r="F333" i="14829"/>
  <c r="F334" i="14829"/>
  <c r="F335" i="14829"/>
  <c r="F336" i="14829"/>
  <c r="F337" i="14829"/>
  <c r="F338" i="14829"/>
  <c r="F339" i="14829"/>
  <c r="F340" i="14829"/>
  <c r="F341" i="14829"/>
  <c r="C2" i="14830" s="1"/>
  <c r="F342" i="14829"/>
  <c r="I2" i="14830" s="1"/>
  <c r="F343" i="14829"/>
  <c r="F344" i="14829"/>
  <c r="F345" i="14829"/>
  <c r="F346" i="14829"/>
  <c r="F347" i="14829"/>
  <c r="F348" i="14829"/>
  <c r="F349" i="14829"/>
  <c r="F350" i="14829"/>
  <c r="F351" i="14829"/>
  <c r="F352" i="14829"/>
  <c r="F353" i="14829"/>
  <c r="F354" i="14829"/>
  <c r="F355" i="14829"/>
  <c r="F356" i="14829"/>
  <c r="F357" i="14829"/>
  <c r="F358" i="14829"/>
  <c r="F359" i="14829"/>
  <c r="F360" i="14829"/>
  <c r="F361" i="14829"/>
  <c r="F362" i="14829"/>
  <c r="F363" i="14829"/>
  <c r="F364" i="14829"/>
  <c r="F365" i="14829"/>
  <c r="A2" i="14831" s="1"/>
  <c r="F366" i="14829"/>
  <c r="F367" i="14829"/>
  <c r="F368" i="14829"/>
  <c r="F369" i="14829"/>
  <c r="F370" i="14829"/>
  <c r="F371" i="14829"/>
  <c r="F372" i="14829"/>
  <c r="J239" i="14830"/>
  <c r="J238" i="14830"/>
  <c r="J237" i="14830"/>
  <c r="C235" i="14830"/>
  <c r="C209" i="14830"/>
  <c r="C207" i="14830"/>
  <c r="C201" i="14830"/>
  <c r="O160" i="14830"/>
  <c r="N160" i="14830"/>
  <c r="M160" i="14830"/>
  <c r="C125" i="14830"/>
  <c r="M105" i="14830"/>
  <c r="O105" i="14830" s="1"/>
  <c r="O99" i="14830"/>
  <c r="N99" i="14830"/>
  <c r="M99" i="14830"/>
  <c r="O96" i="14830"/>
  <c r="N96" i="14830"/>
  <c r="M96" i="14830"/>
  <c r="O93" i="14830"/>
  <c r="N93" i="14830"/>
  <c r="M93" i="14830"/>
  <c r="O89" i="14830"/>
  <c r="N89" i="14830"/>
  <c r="M89" i="14830"/>
  <c r="C85" i="14830"/>
  <c r="C17" i="14830"/>
  <c r="C16" i="14830"/>
  <c r="C11" i="14830"/>
  <c r="C10" i="14830"/>
  <c r="C9" i="14830"/>
  <c r="C8" i="14830"/>
  <c r="O2" i="14830"/>
  <c r="O122" i="14830" s="1"/>
  <c r="A1" i="14829" l="1"/>
  <c r="E159" i="14829"/>
  <c r="D159" i="14829"/>
  <c r="E158" i="14829"/>
  <c r="D158" i="14829"/>
  <c r="A7" i="14829"/>
  <c r="A8" i="14829" s="1"/>
  <c r="A9" i="14829" s="1"/>
  <c r="A10" i="14829" s="1"/>
  <c r="A11" i="14829" s="1"/>
  <c r="A12" i="14829" s="1"/>
  <c r="A13" i="14829" s="1"/>
  <c r="A14" i="14829" s="1"/>
  <c r="A15" i="14829" s="1"/>
  <c r="A16" i="14829" s="1"/>
  <c r="A17" i="14829" s="1"/>
  <c r="A18" i="14829" s="1"/>
  <c r="A19" i="14829" s="1"/>
  <c r="A20" i="14829" s="1"/>
  <c r="A21" i="14829" s="1"/>
  <c r="A22" i="14829" s="1"/>
  <c r="A23" i="14829" s="1"/>
  <c r="A24" i="14829" s="1"/>
  <c r="A25" i="14829" s="1"/>
  <c r="A26" i="14829" s="1"/>
  <c r="A27" i="14829" s="1"/>
  <c r="A28" i="14829" s="1"/>
  <c r="A29" i="14829" s="1"/>
  <c r="A30" i="14829" s="1"/>
  <c r="A31" i="14829" s="1"/>
  <c r="A32" i="14829" s="1"/>
  <c r="A33" i="14829" s="1"/>
  <c r="A34" i="14829" s="1"/>
  <c r="A35" i="14829" s="1"/>
  <c r="A36" i="14829" s="1"/>
  <c r="A37" i="14829" s="1"/>
  <c r="A38" i="14829" s="1"/>
  <c r="A39" i="14829" s="1"/>
  <c r="A40" i="14829" s="1"/>
  <c r="A41" i="14829" s="1"/>
  <c r="A42" i="14829" s="1"/>
  <c r="A43" i="14829" s="1"/>
  <c r="A44" i="14829" s="1"/>
  <c r="A45" i="14829" s="1"/>
  <c r="A46" i="14829" s="1"/>
  <c r="A47" i="14829" s="1"/>
  <c r="A48" i="14829" s="1"/>
  <c r="A49" i="14829" s="1"/>
  <c r="A50" i="14829" s="1"/>
  <c r="A51" i="14829" s="1"/>
  <c r="A52" i="14829" s="1"/>
  <c r="A53" i="14829" s="1"/>
  <c r="A54" i="14829" s="1"/>
  <c r="A55" i="14829" s="1"/>
  <c r="A56" i="14829" s="1"/>
  <c r="A57" i="14829" s="1"/>
  <c r="A58" i="14829" s="1"/>
  <c r="A59" i="14829" s="1"/>
  <c r="A60" i="14829" s="1"/>
  <c r="A61" i="14829" s="1"/>
  <c r="A62" i="14829" s="1"/>
  <c r="A63" i="14829" s="1"/>
  <c r="A64" i="14829" s="1"/>
  <c r="A65" i="14829" s="1"/>
  <c r="A66" i="14829" s="1"/>
  <c r="A67" i="14829" s="1"/>
  <c r="A68" i="14829" s="1"/>
  <c r="A69" i="14829" s="1"/>
  <c r="A70" i="14829" s="1"/>
  <c r="A71" i="14829" s="1"/>
  <c r="A72" i="14829" s="1"/>
  <c r="A73" i="14829" s="1"/>
  <c r="A74" i="14829" s="1"/>
  <c r="A75" i="14829" s="1"/>
  <c r="A76" i="14829" s="1"/>
  <c r="A77" i="14829" s="1"/>
  <c r="A78" i="14829" s="1"/>
  <c r="C24" i="14830" l="1"/>
  <c r="F158" i="14829"/>
  <c r="F159" i="14829"/>
  <c r="C25" i="14830"/>
  <c r="A79" i="14829"/>
  <c r="A80" i="14829" s="1"/>
  <c r="A81" i="14829" s="1"/>
  <c r="A82" i="14829" s="1"/>
  <c r="A83" i="14829" s="1"/>
  <c r="A84" i="14829" s="1"/>
  <c r="A85" i="14829" s="1"/>
  <c r="A86" i="14829" s="1"/>
  <c r="A87" i="14829" s="1"/>
  <c r="A88" i="14829" s="1"/>
  <c r="A89" i="14829" s="1"/>
  <c r="A90" i="14829" s="1"/>
  <c r="A91" i="14829" s="1"/>
  <c r="A92" i="14829" s="1"/>
  <c r="A93" i="14829" s="1"/>
  <c r="A94" i="14829" s="1"/>
  <c r="C177" i="14830"/>
  <c r="C169" i="14830"/>
  <c r="C164" i="14830"/>
  <c r="C148" i="14830"/>
  <c r="C140" i="14830"/>
  <c r="C135" i="14830"/>
  <c r="C131" i="14830"/>
  <c r="C114" i="14830"/>
  <c r="C92" i="14830"/>
  <c r="C82" i="14830"/>
  <c r="C77" i="14830"/>
  <c r="C71" i="14830"/>
  <c r="C60" i="14830"/>
  <c r="C54" i="14830"/>
  <c r="C50" i="14830"/>
  <c r="C37" i="14830"/>
  <c r="C29" i="14830"/>
  <c r="C20" i="14830"/>
  <c r="C12" i="14830"/>
  <c r="C180" i="14830"/>
  <c r="C176" i="14830"/>
  <c r="C168" i="14830"/>
  <c r="C163" i="14830"/>
  <c r="C145" i="14830"/>
  <c r="C139" i="14830"/>
  <c r="C134" i="14830"/>
  <c r="C130" i="14830"/>
  <c r="C120" i="14830"/>
  <c r="C113" i="14830"/>
  <c r="C91" i="14830"/>
  <c r="C80" i="14830"/>
  <c r="C75" i="14830"/>
  <c r="C70" i="14830"/>
  <c r="C58" i="14830"/>
  <c r="C53" i="14830"/>
  <c r="C49" i="14830"/>
  <c r="C36" i="14830"/>
  <c r="C26" i="14830"/>
  <c r="C18" i="14830"/>
  <c r="C179" i="14830"/>
  <c r="C174" i="14830"/>
  <c r="C166" i="14830"/>
  <c r="C162" i="14830"/>
  <c r="C150" i="14830"/>
  <c r="C142" i="14830"/>
  <c r="C137" i="14830"/>
  <c r="C133" i="14830"/>
  <c r="C129" i="14830"/>
  <c r="C119" i="14830"/>
  <c r="C110" i="14830"/>
  <c r="C105" i="14830"/>
  <c r="C84" i="14830"/>
  <c r="C79" i="14830"/>
  <c r="C74" i="14830"/>
  <c r="C69" i="14830"/>
  <c r="C56" i="14830"/>
  <c r="C52" i="14830"/>
  <c r="C48" i="14830"/>
  <c r="C33" i="14830"/>
  <c r="C182" i="14830"/>
  <c r="C178" i="14830"/>
  <c r="C173" i="14830"/>
  <c r="C165" i="14830"/>
  <c r="C149" i="14830"/>
  <c r="C141" i="14830"/>
  <c r="C136" i="14830"/>
  <c r="C132" i="14830"/>
  <c r="C128" i="14830"/>
  <c r="C118" i="14830"/>
  <c r="C109" i="14830"/>
  <c r="C83" i="14830"/>
  <c r="C78" i="14830"/>
  <c r="C72" i="14830"/>
  <c r="C61" i="14830"/>
  <c r="C55" i="14830"/>
  <c r="C51" i="14830"/>
  <c r="C38" i="14830"/>
  <c r="C31" i="14830"/>
  <c r="C145" i="14786"/>
  <c r="C139" i="14786"/>
  <c r="C140" i="14786"/>
  <c r="C141" i="14786"/>
  <c r="FK7" i="14809"/>
  <c r="CY7" i="14809"/>
  <c r="C181" i="14830" l="1"/>
  <c r="AW6" i="14815"/>
  <c r="AW7" i="14815"/>
  <c r="AW8" i="14815"/>
  <c r="AW9" i="14815"/>
  <c r="AW10" i="14815"/>
  <c r="AW11" i="14815"/>
  <c r="AW12" i="14815"/>
  <c r="AW13" i="14815"/>
  <c r="AW14" i="14815"/>
  <c r="AW15" i="14815"/>
  <c r="AW16" i="14815"/>
  <c r="AW17" i="14815"/>
  <c r="AW18" i="14815"/>
  <c r="AW19" i="14815"/>
  <c r="AW20" i="14815"/>
  <c r="AW21" i="14815"/>
  <c r="AW22" i="14815"/>
  <c r="AW23" i="14815"/>
  <c r="AW24" i="14815"/>
  <c r="AW25" i="14815"/>
  <c r="AW26" i="14815"/>
  <c r="AW27" i="14815"/>
  <c r="AW28" i="14815"/>
  <c r="AW29" i="14815"/>
  <c r="AW30" i="14815"/>
  <c r="AW31" i="14815"/>
  <c r="AW32" i="14815"/>
  <c r="AW33" i="14815"/>
  <c r="AW34" i="14815"/>
  <c r="AW35" i="14815"/>
  <c r="AW36" i="14815"/>
  <c r="AW37" i="14815"/>
  <c r="AW38" i="14815"/>
  <c r="AW39" i="14815"/>
  <c r="AW40" i="14815"/>
  <c r="AW41" i="14815"/>
  <c r="AW42" i="14815"/>
  <c r="AW43" i="14815"/>
  <c r="AW44" i="14815"/>
  <c r="AW45" i="14815"/>
  <c r="AW46" i="14815"/>
  <c r="AW47" i="14815"/>
  <c r="AW48" i="14815"/>
  <c r="AW49" i="14815"/>
  <c r="AW50" i="14815"/>
  <c r="EY7" i="14809" l="1"/>
  <c r="EZ7" i="14809"/>
  <c r="FA7" i="14809"/>
  <c r="FB7" i="14809"/>
  <c r="FC7" i="14809"/>
  <c r="FD7" i="14809"/>
  <c r="FE7" i="14809"/>
  <c r="FF7" i="14809"/>
  <c r="FG7" i="14809"/>
  <c r="FH7" i="14809"/>
  <c r="FI7" i="14809"/>
  <c r="EX7" i="14809"/>
  <c r="BN10" i="14809" l="1"/>
  <c r="HK7" i="14809"/>
  <c r="EB35" i="14815"/>
  <c r="M105" i="14786"/>
  <c r="O105" i="14786" s="1"/>
  <c r="C172" i="14786" l="1"/>
  <c r="C172" i="14830"/>
  <c r="CS6" i="14824"/>
  <c r="CT6" i="14824"/>
  <c r="CU6" i="14824"/>
  <c r="CV6" i="14824"/>
  <c r="CW6" i="14824"/>
  <c r="CX6" i="14824"/>
  <c r="CY6" i="14824"/>
  <c r="CZ6" i="14824"/>
  <c r="DA6" i="14824"/>
  <c r="DB6" i="14824"/>
  <c r="DC6" i="14824"/>
  <c r="DD6" i="14824"/>
  <c r="DE6" i="14824"/>
  <c r="DF6" i="14824"/>
  <c r="DG6" i="14824"/>
  <c r="DH6" i="14824"/>
  <c r="DI6" i="14824"/>
  <c r="DJ6" i="14824"/>
  <c r="DK6" i="14824"/>
  <c r="DL6" i="14824"/>
  <c r="DM6" i="14824"/>
  <c r="DN6" i="14824"/>
  <c r="DO6" i="14824"/>
  <c r="DP6" i="14824"/>
  <c r="DQ6" i="14824"/>
  <c r="DR6" i="14824"/>
  <c r="DS6" i="14824"/>
  <c r="DT6" i="14824"/>
  <c r="DU6" i="14824"/>
  <c r="DV6" i="14824"/>
  <c r="DW6" i="14824"/>
  <c r="DX6" i="14824"/>
  <c r="DY6" i="14824"/>
  <c r="DZ6" i="14824"/>
  <c r="EA6" i="14824"/>
  <c r="EB6" i="14824"/>
  <c r="EC6" i="14824"/>
  <c r="ED6" i="14824"/>
  <c r="EE6" i="14824"/>
  <c r="EF6" i="14824"/>
  <c r="EG6" i="14824"/>
  <c r="EH6" i="14824"/>
  <c r="EI6" i="14824"/>
  <c r="EJ6" i="14824"/>
  <c r="CS7" i="14824"/>
  <c r="CT7" i="14824"/>
  <c r="CU7" i="14824"/>
  <c r="CV7" i="14824"/>
  <c r="CW7" i="14824"/>
  <c r="CX7" i="14824"/>
  <c r="CY7" i="14824"/>
  <c r="CZ7" i="14824"/>
  <c r="DA7" i="14824"/>
  <c r="DB7" i="14824"/>
  <c r="DC7" i="14824"/>
  <c r="DD7" i="14824"/>
  <c r="DE7" i="14824"/>
  <c r="DF7" i="14824"/>
  <c r="DG7" i="14824"/>
  <c r="DH7" i="14824"/>
  <c r="DI7" i="14824"/>
  <c r="DJ7" i="14824"/>
  <c r="DK7" i="14824"/>
  <c r="DL7" i="14824"/>
  <c r="DM7" i="14824"/>
  <c r="DN7" i="14824"/>
  <c r="DO7" i="14824"/>
  <c r="DP7" i="14824"/>
  <c r="DQ7" i="14824"/>
  <c r="DR7" i="14824"/>
  <c r="DS7" i="14824"/>
  <c r="DT7" i="14824"/>
  <c r="DU7" i="14824"/>
  <c r="DV7" i="14824"/>
  <c r="DW7" i="14824"/>
  <c r="DX7" i="14824"/>
  <c r="DY7" i="14824"/>
  <c r="DZ7" i="14824"/>
  <c r="EA7" i="14824"/>
  <c r="EB7" i="14824"/>
  <c r="EC7" i="14824"/>
  <c r="ED7" i="14824"/>
  <c r="EE7" i="14824"/>
  <c r="EF7" i="14824"/>
  <c r="EG7" i="14824"/>
  <c r="EH7" i="14824"/>
  <c r="EI7" i="14824"/>
  <c r="EJ7" i="14824"/>
  <c r="CS8" i="14824"/>
  <c r="CT8" i="14824"/>
  <c r="CU8" i="14824"/>
  <c r="CV8" i="14824"/>
  <c r="CW8" i="14824"/>
  <c r="CX8" i="14824"/>
  <c r="CY8" i="14824"/>
  <c r="CZ8" i="14824"/>
  <c r="DA8" i="14824"/>
  <c r="DB8" i="14824"/>
  <c r="DC8" i="14824"/>
  <c r="DD8" i="14824"/>
  <c r="DE8" i="14824"/>
  <c r="DF8" i="14824"/>
  <c r="DG8" i="14824"/>
  <c r="DH8" i="14824"/>
  <c r="DI8" i="14824"/>
  <c r="DJ8" i="14824"/>
  <c r="DK8" i="14824"/>
  <c r="DL8" i="14824"/>
  <c r="DM8" i="14824"/>
  <c r="DN8" i="14824"/>
  <c r="DO8" i="14824"/>
  <c r="DP8" i="14824"/>
  <c r="DQ8" i="14824"/>
  <c r="DR8" i="14824"/>
  <c r="DS8" i="14824"/>
  <c r="DT8" i="14824"/>
  <c r="DU8" i="14824"/>
  <c r="DV8" i="14824"/>
  <c r="DW8" i="14824"/>
  <c r="DX8" i="14824"/>
  <c r="DY8" i="14824"/>
  <c r="DZ8" i="14824"/>
  <c r="EA8" i="14824"/>
  <c r="EB8" i="14824"/>
  <c r="EC8" i="14824"/>
  <c r="ED8" i="14824"/>
  <c r="EE8" i="14824"/>
  <c r="EF8" i="14824"/>
  <c r="EG8" i="14824"/>
  <c r="EH8" i="14824"/>
  <c r="EI8" i="14824"/>
  <c r="EJ8" i="14824"/>
  <c r="CS9" i="14824"/>
  <c r="CT9" i="14824"/>
  <c r="CU9" i="14824"/>
  <c r="CV9" i="14824"/>
  <c r="CW9" i="14824"/>
  <c r="CX9" i="14824"/>
  <c r="CY9" i="14824"/>
  <c r="CZ9" i="14824"/>
  <c r="DA9" i="14824"/>
  <c r="DB9" i="14824"/>
  <c r="DC9" i="14824"/>
  <c r="DD9" i="14824"/>
  <c r="DE9" i="14824"/>
  <c r="DF9" i="14824"/>
  <c r="DG9" i="14824"/>
  <c r="DH9" i="14824"/>
  <c r="DI9" i="14824"/>
  <c r="DJ9" i="14824"/>
  <c r="DK9" i="14824"/>
  <c r="DL9" i="14824"/>
  <c r="DM9" i="14824"/>
  <c r="DN9" i="14824"/>
  <c r="DO9" i="14824"/>
  <c r="DP9" i="14824"/>
  <c r="DQ9" i="14824"/>
  <c r="DR9" i="14824"/>
  <c r="DS9" i="14824"/>
  <c r="DT9" i="14824"/>
  <c r="DU9" i="14824"/>
  <c r="DV9" i="14824"/>
  <c r="DW9" i="14824"/>
  <c r="DX9" i="14824"/>
  <c r="DY9" i="14824"/>
  <c r="DZ9" i="14824"/>
  <c r="EA9" i="14824"/>
  <c r="EB9" i="14824"/>
  <c r="EC9" i="14824"/>
  <c r="ED9" i="14824"/>
  <c r="EE9" i="14824"/>
  <c r="EF9" i="14824"/>
  <c r="EG9" i="14824"/>
  <c r="EH9" i="14824"/>
  <c r="EI9" i="14824"/>
  <c r="EJ9" i="14824"/>
  <c r="CS10" i="14824"/>
  <c r="CT10" i="14824"/>
  <c r="CU10" i="14824"/>
  <c r="CV10" i="14824"/>
  <c r="CW10" i="14824"/>
  <c r="CX10" i="14824"/>
  <c r="CY10" i="14824"/>
  <c r="CZ10" i="14824"/>
  <c r="DA10" i="14824"/>
  <c r="DB10" i="14824"/>
  <c r="DC10" i="14824"/>
  <c r="DD10" i="14824"/>
  <c r="DE10" i="14824"/>
  <c r="DF10" i="14824"/>
  <c r="DG10" i="14824"/>
  <c r="DH10" i="14824"/>
  <c r="DI10" i="14824"/>
  <c r="DJ10" i="14824"/>
  <c r="DK10" i="14824"/>
  <c r="DL10" i="14824"/>
  <c r="DM10" i="14824"/>
  <c r="DN10" i="14824"/>
  <c r="DO10" i="14824"/>
  <c r="DP10" i="14824"/>
  <c r="DQ10" i="14824"/>
  <c r="DR10" i="14824"/>
  <c r="DS10" i="14824"/>
  <c r="DT10" i="14824"/>
  <c r="DU10" i="14824"/>
  <c r="DV10" i="14824"/>
  <c r="DW10" i="14824"/>
  <c r="DX10" i="14824"/>
  <c r="DY10" i="14824"/>
  <c r="DZ10" i="14824"/>
  <c r="EA10" i="14824"/>
  <c r="EB10" i="14824"/>
  <c r="EC10" i="14824"/>
  <c r="ED10" i="14824"/>
  <c r="EE10" i="14824"/>
  <c r="EF10" i="14824"/>
  <c r="EG10" i="14824"/>
  <c r="EH10" i="14824"/>
  <c r="EI10" i="14824"/>
  <c r="EJ10" i="14824"/>
  <c r="CS11" i="14824"/>
  <c r="CT11" i="14824"/>
  <c r="CU11" i="14824"/>
  <c r="CV11" i="14824"/>
  <c r="CW11" i="14824"/>
  <c r="CX11" i="14824"/>
  <c r="CY11" i="14824"/>
  <c r="CZ11" i="14824"/>
  <c r="DA11" i="14824"/>
  <c r="DB11" i="14824"/>
  <c r="DC11" i="14824"/>
  <c r="DD11" i="14824"/>
  <c r="DE11" i="14824"/>
  <c r="DF11" i="14824"/>
  <c r="DG11" i="14824"/>
  <c r="DH11" i="14824"/>
  <c r="DI11" i="14824"/>
  <c r="DJ11" i="14824"/>
  <c r="DK11" i="14824"/>
  <c r="DL11" i="14824"/>
  <c r="DM11" i="14824"/>
  <c r="DN11" i="14824"/>
  <c r="DO11" i="14824"/>
  <c r="DP11" i="14824"/>
  <c r="DQ11" i="14824"/>
  <c r="DR11" i="14824"/>
  <c r="DS11" i="14824"/>
  <c r="DT11" i="14824"/>
  <c r="DU11" i="14824"/>
  <c r="DV11" i="14824"/>
  <c r="DW11" i="14824"/>
  <c r="DX11" i="14824"/>
  <c r="DY11" i="14824"/>
  <c r="DZ11" i="14824"/>
  <c r="EA11" i="14824"/>
  <c r="EB11" i="14824"/>
  <c r="EC11" i="14824"/>
  <c r="ED11" i="14824"/>
  <c r="EE11" i="14824"/>
  <c r="EF11" i="14824"/>
  <c r="EG11" i="14824"/>
  <c r="EH11" i="14824"/>
  <c r="EI11" i="14824"/>
  <c r="EJ11" i="14824"/>
  <c r="CS12" i="14824"/>
  <c r="CT12" i="14824"/>
  <c r="CU12" i="14824"/>
  <c r="CV12" i="14824"/>
  <c r="CW12" i="14824"/>
  <c r="CX12" i="14824"/>
  <c r="CY12" i="14824"/>
  <c r="CZ12" i="14824"/>
  <c r="DA12" i="14824"/>
  <c r="DB12" i="14824"/>
  <c r="DC12" i="14824"/>
  <c r="DD12" i="14824"/>
  <c r="DE12" i="14824"/>
  <c r="DF12" i="14824"/>
  <c r="DG12" i="14824"/>
  <c r="DH12" i="14824"/>
  <c r="DI12" i="14824"/>
  <c r="DJ12" i="14824"/>
  <c r="DK12" i="14824"/>
  <c r="DL12" i="14824"/>
  <c r="DM12" i="14824"/>
  <c r="DN12" i="14824"/>
  <c r="DO12" i="14824"/>
  <c r="DP12" i="14824"/>
  <c r="DQ12" i="14824"/>
  <c r="DR12" i="14824"/>
  <c r="DS12" i="14824"/>
  <c r="DT12" i="14824"/>
  <c r="DU12" i="14824"/>
  <c r="DV12" i="14824"/>
  <c r="DW12" i="14824"/>
  <c r="DX12" i="14824"/>
  <c r="DY12" i="14824"/>
  <c r="DZ12" i="14824"/>
  <c r="EA12" i="14824"/>
  <c r="EB12" i="14824"/>
  <c r="EC12" i="14824"/>
  <c r="ED12" i="14824"/>
  <c r="EE12" i="14824"/>
  <c r="EF12" i="14824"/>
  <c r="EG12" i="14824"/>
  <c r="EH12" i="14824"/>
  <c r="EI12" i="14824"/>
  <c r="EJ12" i="14824"/>
  <c r="CS13" i="14824"/>
  <c r="CT13" i="14824"/>
  <c r="CU13" i="14824"/>
  <c r="CV13" i="14824"/>
  <c r="CW13" i="14824"/>
  <c r="CX13" i="14824"/>
  <c r="CY13" i="14824"/>
  <c r="CZ13" i="14824"/>
  <c r="DA13" i="14824"/>
  <c r="DB13" i="14824"/>
  <c r="DC13" i="14824"/>
  <c r="DD13" i="14824"/>
  <c r="DE13" i="14824"/>
  <c r="DF13" i="14824"/>
  <c r="DG13" i="14824"/>
  <c r="DH13" i="14824"/>
  <c r="DI13" i="14824"/>
  <c r="DJ13" i="14824"/>
  <c r="DK13" i="14824"/>
  <c r="DL13" i="14824"/>
  <c r="DM13" i="14824"/>
  <c r="DN13" i="14824"/>
  <c r="DO13" i="14824"/>
  <c r="DP13" i="14824"/>
  <c r="DQ13" i="14824"/>
  <c r="DR13" i="14824"/>
  <c r="DS13" i="14824"/>
  <c r="DT13" i="14824"/>
  <c r="DU13" i="14824"/>
  <c r="DV13" i="14824"/>
  <c r="DW13" i="14824"/>
  <c r="DX13" i="14824"/>
  <c r="DY13" i="14824"/>
  <c r="DZ13" i="14824"/>
  <c r="EA13" i="14824"/>
  <c r="EB13" i="14824"/>
  <c r="EC13" i="14824"/>
  <c r="ED13" i="14824"/>
  <c r="EE13" i="14824"/>
  <c r="EF13" i="14824"/>
  <c r="EG13" i="14824"/>
  <c r="EH13" i="14824"/>
  <c r="EI13" i="14824"/>
  <c r="EJ13" i="14824"/>
  <c r="CS14" i="14824"/>
  <c r="CT14" i="14824"/>
  <c r="CU14" i="14824"/>
  <c r="CV14" i="14824"/>
  <c r="CW14" i="14824"/>
  <c r="CX14" i="14824"/>
  <c r="CY14" i="14824"/>
  <c r="CZ14" i="14824"/>
  <c r="DA14" i="14824"/>
  <c r="DB14" i="14824"/>
  <c r="DC14" i="14824"/>
  <c r="DD14" i="14824"/>
  <c r="DE14" i="14824"/>
  <c r="DF14" i="14824"/>
  <c r="DG14" i="14824"/>
  <c r="DH14" i="14824"/>
  <c r="DI14" i="14824"/>
  <c r="DJ14" i="14824"/>
  <c r="DK14" i="14824"/>
  <c r="DL14" i="14824"/>
  <c r="DM14" i="14824"/>
  <c r="DN14" i="14824"/>
  <c r="DO14" i="14824"/>
  <c r="DP14" i="14824"/>
  <c r="DQ14" i="14824"/>
  <c r="DR14" i="14824"/>
  <c r="DS14" i="14824"/>
  <c r="DT14" i="14824"/>
  <c r="DU14" i="14824"/>
  <c r="DV14" i="14824"/>
  <c r="DW14" i="14824"/>
  <c r="DX14" i="14824"/>
  <c r="DY14" i="14824"/>
  <c r="DZ14" i="14824"/>
  <c r="EA14" i="14824"/>
  <c r="EB14" i="14824"/>
  <c r="EC14" i="14824"/>
  <c r="ED14" i="14824"/>
  <c r="EE14" i="14824"/>
  <c r="EF14" i="14824"/>
  <c r="EG14" i="14824"/>
  <c r="EH14" i="14824"/>
  <c r="EI14" i="14824"/>
  <c r="EJ14" i="14824"/>
  <c r="CS15" i="14824"/>
  <c r="CT15" i="14824"/>
  <c r="CU15" i="14824"/>
  <c r="CV15" i="14824"/>
  <c r="CW15" i="14824"/>
  <c r="CX15" i="14824"/>
  <c r="CY15" i="14824"/>
  <c r="CZ15" i="14824"/>
  <c r="DA15" i="14824"/>
  <c r="DB15" i="14824"/>
  <c r="DC15" i="14824"/>
  <c r="DD15" i="14824"/>
  <c r="DE15" i="14824"/>
  <c r="DF15" i="14824"/>
  <c r="DG15" i="14824"/>
  <c r="DH15" i="14824"/>
  <c r="DI15" i="14824"/>
  <c r="DJ15" i="14824"/>
  <c r="DK15" i="14824"/>
  <c r="DL15" i="14824"/>
  <c r="DM15" i="14824"/>
  <c r="DN15" i="14824"/>
  <c r="DO15" i="14824"/>
  <c r="DP15" i="14824"/>
  <c r="DQ15" i="14824"/>
  <c r="DR15" i="14824"/>
  <c r="DS15" i="14824"/>
  <c r="DT15" i="14824"/>
  <c r="DU15" i="14824"/>
  <c r="DV15" i="14824"/>
  <c r="DW15" i="14824"/>
  <c r="DX15" i="14824"/>
  <c r="DY15" i="14824"/>
  <c r="DZ15" i="14824"/>
  <c r="EA15" i="14824"/>
  <c r="EB15" i="14824"/>
  <c r="EC15" i="14824"/>
  <c r="ED15" i="14824"/>
  <c r="EE15" i="14824"/>
  <c r="EF15" i="14824"/>
  <c r="EG15" i="14824"/>
  <c r="EH15" i="14824"/>
  <c r="EI15" i="14824"/>
  <c r="EJ15" i="14824"/>
  <c r="CS16" i="14824"/>
  <c r="CT16" i="14824"/>
  <c r="CU16" i="14824"/>
  <c r="CV16" i="14824"/>
  <c r="CW16" i="14824"/>
  <c r="CX16" i="14824"/>
  <c r="CY16" i="14824"/>
  <c r="CZ16" i="14824"/>
  <c r="DA16" i="14824"/>
  <c r="DB16" i="14824"/>
  <c r="DC16" i="14824"/>
  <c r="DD16" i="14824"/>
  <c r="DE16" i="14824"/>
  <c r="DF16" i="14824"/>
  <c r="DG16" i="14824"/>
  <c r="DH16" i="14824"/>
  <c r="DI16" i="14824"/>
  <c r="DJ16" i="14824"/>
  <c r="DK16" i="14824"/>
  <c r="DL16" i="14824"/>
  <c r="DM16" i="14824"/>
  <c r="DN16" i="14824"/>
  <c r="DO16" i="14824"/>
  <c r="DP16" i="14824"/>
  <c r="DQ16" i="14824"/>
  <c r="DR16" i="14824"/>
  <c r="DS16" i="14824"/>
  <c r="DT16" i="14824"/>
  <c r="DU16" i="14824"/>
  <c r="DV16" i="14824"/>
  <c r="DW16" i="14824"/>
  <c r="DX16" i="14824"/>
  <c r="DY16" i="14824"/>
  <c r="DZ16" i="14824"/>
  <c r="EA16" i="14824"/>
  <c r="EB16" i="14824"/>
  <c r="EC16" i="14824"/>
  <c r="ED16" i="14824"/>
  <c r="EE16" i="14824"/>
  <c r="EF16" i="14824"/>
  <c r="EG16" i="14824"/>
  <c r="EH16" i="14824"/>
  <c r="EI16" i="14824"/>
  <c r="EJ16" i="14824"/>
  <c r="CS17" i="14824"/>
  <c r="CT17" i="14824"/>
  <c r="CU17" i="14824"/>
  <c r="CV17" i="14824"/>
  <c r="CW17" i="14824"/>
  <c r="CX17" i="14824"/>
  <c r="CY17" i="14824"/>
  <c r="CZ17" i="14824"/>
  <c r="DA17" i="14824"/>
  <c r="DB17" i="14824"/>
  <c r="DC17" i="14824"/>
  <c r="DD17" i="14824"/>
  <c r="DE17" i="14824"/>
  <c r="DF17" i="14824"/>
  <c r="DG17" i="14824"/>
  <c r="DH17" i="14824"/>
  <c r="DI17" i="14824"/>
  <c r="DJ17" i="14824"/>
  <c r="DK17" i="14824"/>
  <c r="DL17" i="14824"/>
  <c r="DM17" i="14824"/>
  <c r="DN17" i="14824"/>
  <c r="DO17" i="14824"/>
  <c r="DP17" i="14824"/>
  <c r="DQ17" i="14824"/>
  <c r="DR17" i="14824"/>
  <c r="DS17" i="14824"/>
  <c r="DT17" i="14824"/>
  <c r="DU17" i="14824"/>
  <c r="DV17" i="14824"/>
  <c r="DW17" i="14824"/>
  <c r="DX17" i="14824"/>
  <c r="DY17" i="14824"/>
  <c r="DZ17" i="14824"/>
  <c r="EA17" i="14824"/>
  <c r="EB17" i="14824"/>
  <c r="EC17" i="14824"/>
  <c r="ED17" i="14824"/>
  <c r="EE17" i="14824"/>
  <c r="EF17" i="14824"/>
  <c r="EG17" i="14824"/>
  <c r="EH17" i="14824"/>
  <c r="EI17" i="14824"/>
  <c r="EJ17" i="14824"/>
  <c r="CS18" i="14824"/>
  <c r="CT18" i="14824"/>
  <c r="CU18" i="14824"/>
  <c r="CV18" i="14824"/>
  <c r="CW18" i="14824"/>
  <c r="CX18" i="14824"/>
  <c r="CY18" i="14824"/>
  <c r="CZ18" i="14824"/>
  <c r="DA18" i="14824"/>
  <c r="DB18" i="14824"/>
  <c r="DC18" i="14824"/>
  <c r="DD18" i="14824"/>
  <c r="DE18" i="14824"/>
  <c r="DF18" i="14824"/>
  <c r="DG18" i="14824"/>
  <c r="DH18" i="14824"/>
  <c r="DI18" i="14824"/>
  <c r="DJ18" i="14824"/>
  <c r="DK18" i="14824"/>
  <c r="DL18" i="14824"/>
  <c r="DM18" i="14824"/>
  <c r="DN18" i="14824"/>
  <c r="DO18" i="14824"/>
  <c r="DP18" i="14824"/>
  <c r="DQ18" i="14824"/>
  <c r="DR18" i="14824"/>
  <c r="DS18" i="14824"/>
  <c r="DT18" i="14824"/>
  <c r="DU18" i="14824"/>
  <c r="DV18" i="14824"/>
  <c r="DW18" i="14824"/>
  <c r="DX18" i="14824"/>
  <c r="DY18" i="14824"/>
  <c r="DZ18" i="14824"/>
  <c r="EA18" i="14824"/>
  <c r="EB18" i="14824"/>
  <c r="EC18" i="14824"/>
  <c r="ED18" i="14824"/>
  <c r="EE18" i="14824"/>
  <c r="EF18" i="14824"/>
  <c r="EG18" i="14824"/>
  <c r="EH18" i="14824"/>
  <c r="EI18" i="14824"/>
  <c r="EJ18" i="14824"/>
  <c r="CS19" i="14824"/>
  <c r="CT19" i="14824"/>
  <c r="CU19" i="14824"/>
  <c r="CV19" i="14824"/>
  <c r="CW19" i="14824"/>
  <c r="CX19" i="14824"/>
  <c r="CY19" i="14824"/>
  <c r="CZ19" i="14824"/>
  <c r="DA19" i="14824"/>
  <c r="DB19" i="14824"/>
  <c r="DC19" i="14824"/>
  <c r="DD19" i="14824"/>
  <c r="DE19" i="14824"/>
  <c r="DF19" i="14824"/>
  <c r="DG19" i="14824"/>
  <c r="DH19" i="14824"/>
  <c r="DI19" i="14824"/>
  <c r="DJ19" i="14824"/>
  <c r="DK19" i="14824"/>
  <c r="DL19" i="14824"/>
  <c r="DM19" i="14824"/>
  <c r="DN19" i="14824"/>
  <c r="DO19" i="14824"/>
  <c r="DP19" i="14824"/>
  <c r="DQ19" i="14824"/>
  <c r="DR19" i="14824"/>
  <c r="DS19" i="14824"/>
  <c r="DT19" i="14824"/>
  <c r="DU19" i="14824"/>
  <c r="DV19" i="14824"/>
  <c r="DW19" i="14824"/>
  <c r="DX19" i="14824"/>
  <c r="DY19" i="14824"/>
  <c r="DZ19" i="14824"/>
  <c r="EA19" i="14824"/>
  <c r="EB19" i="14824"/>
  <c r="EC19" i="14824"/>
  <c r="ED19" i="14824"/>
  <c r="EE19" i="14824"/>
  <c r="EF19" i="14824"/>
  <c r="EG19" i="14824"/>
  <c r="EH19" i="14824"/>
  <c r="EI19" i="14824"/>
  <c r="EJ19" i="14824"/>
  <c r="CS20" i="14824"/>
  <c r="CT20" i="14824"/>
  <c r="CU20" i="14824"/>
  <c r="CV20" i="14824"/>
  <c r="CW20" i="14824"/>
  <c r="CX20" i="14824"/>
  <c r="CY20" i="14824"/>
  <c r="CZ20" i="14824"/>
  <c r="DA20" i="14824"/>
  <c r="DB20" i="14824"/>
  <c r="DC20" i="14824"/>
  <c r="DD20" i="14824"/>
  <c r="DE20" i="14824"/>
  <c r="DF20" i="14824"/>
  <c r="DG20" i="14824"/>
  <c r="DH20" i="14824"/>
  <c r="DI20" i="14824"/>
  <c r="DJ20" i="14824"/>
  <c r="DK20" i="14824"/>
  <c r="DL20" i="14824"/>
  <c r="DM20" i="14824"/>
  <c r="DN20" i="14824"/>
  <c r="DO20" i="14824"/>
  <c r="DP20" i="14824"/>
  <c r="DQ20" i="14824"/>
  <c r="DR20" i="14824"/>
  <c r="DS20" i="14824"/>
  <c r="DT20" i="14824"/>
  <c r="DU20" i="14824"/>
  <c r="DV20" i="14824"/>
  <c r="DW20" i="14824"/>
  <c r="DX20" i="14824"/>
  <c r="DY20" i="14824"/>
  <c r="DZ20" i="14824"/>
  <c r="EA20" i="14824"/>
  <c r="EB20" i="14824"/>
  <c r="EC20" i="14824"/>
  <c r="ED20" i="14824"/>
  <c r="EE20" i="14824"/>
  <c r="EF20" i="14824"/>
  <c r="EG20" i="14824"/>
  <c r="EH20" i="14824"/>
  <c r="EI20" i="14824"/>
  <c r="EJ20" i="14824"/>
  <c r="CS21" i="14824"/>
  <c r="CT21" i="14824"/>
  <c r="CU21" i="14824"/>
  <c r="CV21" i="14824"/>
  <c r="CW21" i="14824"/>
  <c r="CX21" i="14824"/>
  <c r="CY21" i="14824"/>
  <c r="CZ21" i="14824"/>
  <c r="DA21" i="14824"/>
  <c r="DB21" i="14824"/>
  <c r="DC21" i="14824"/>
  <c r="DD21" i="14824"/>
  <c r="DE21" i="14824"/>
  <c r="DF21" i="14824"/>
  <c r="DG21" i="14824"/>
  <c r="DH21" i="14824"/>
  <c r="DI21" i="14824"/>
  <c r="DJ21" i="14824"/>
  <c r="DK21" i="14824"/>
  <c r="DL21" i="14824"/>
  <c r="DM21" i="14824"/>
  <c r="DN21" i="14824"/>
  <c r="DO21" i="14824"/>
  <c r="DP21" i="14824"/>
  <c r="DQ21" i="14824"/>
  <c r="DR21" i="14824"/>
  <c r="DS21" i="14824"/>
  <c r="DT21" i="14824"/>
  <c r="DU21" i="14824"/>
  <c r="DV21" i="14824"/>
  <c r="DW21" i="14824"/>
  <c r="DX21" i="14824"/>
  <c r="DY21" i="14824"/>
  <c r="DZ21" i="14824"/>
  <c r="EA21" i="14824"/>
  <c r="EB21" i="14824"/>
  <c r="EC21" i="14824"/>
  <c r="ED21" i="14824"/>
  <c r="EE21" i="14824"/>
  <c r="EF21" i="14824"/>
  <c r="EG21" i="14824"/>
  <c r="EH21" i="14824"/>
  <c r="EI21" i="14824"/>
  <c r="EJ21" i="14824"/>
  <c r="CS22" i="14824"/>
  <c r="CT22" i="14824"/>
  <c r="CU22" i="14824"/>
  <c r="CV22" i="14824"/>
  <c r="CW22" i="14824"/>
  <c r="CX22" i="14824"/>
  <c r="CY22" i="14824"/>
  <c r="CZ22" i="14824"/>
  <c r="DA22" i="14824"/>
  <c r="DB22" i="14824"/>
  <c r="DC22" i="14824"/>
  <c r="DD22" i="14824"/>
  <c r="DE22" i="14824"/>
  <c r="DF22" i="14824"/>
  <c r="DG22" i="14824"/>
  <c r="DH22" i="14824"/>
  <c r="DI22" i="14824"/>
  <c r="DJ22" i="14824"/>
  <c r="DK22" i="14824"/>
  <c r="DL22" i="14824"/>
  <c r="DM22" i="14824"/>
  <c r="DN22" i="14824"/>
  <c r="DO22" i="14824"/>
  <c r="DP22" i="14824"/>
  <c r="DQ22" i="14824"/>
  <c r="DR22" i="14824"/>
  <c r="DS22" i="14824"/>
  <c r="DT22" i="14824"/>
  <c r="DU22" i="14824"/>
  <c r="DV22" i="14824"/>
  <c r="DW22" i="14824"/>
  <c r="DX22" i="14824"/>
  <c r="DY22" i="14824"/>
  <c r="DZ22" i="14824"/>
  <c r="EA22" i="14824"/>
  <c r="EB22" i="14824"/>
  <c r="EC22" i="14824"/>
  <c r="ED22" i="14824"/>
  <c r="EE22" i="14824"/>
  <c r="EF22" i="14824"/>
  <c r="EG22" i="14824"/>
  <c r="EH22" i="14824"/>
  <c r="EI22" i="14824"/>
  <c r="EJ22" i="14824"/>
  <c r="CS23" i="14824"/>
  <c r="CT23" i="14824"/>
  <c r="CU23" i="14824"/>
  <c r="CV23" i="14824"/>
  <c r="CW23" i="14824"/>
  <c r="CX23" i="14824"/>
  <c r="CY23" i="14824"/>
  <c r="CZ23" i="14824"/>
  <c r="DA23" i="14824"/>
  <c r="DB23" i="14824"/>
  <c r="DC23" i="14824"/>
  <c r="DD23" i="14824"/>
  <c r="DE23" i="14824"/>
  <c r="DF23" i="14824"/>
  <c r="DG23" i="14824"/>
  <c r="DH23" i="14824"/>
  <c r="DI23" i="14824"/>
  <c r="DJ23" i="14824"/>
  <c r="DK23" i="14824"/>
  <c r="DL23" i="14824"/>
  <c r="DM23" i="14824"/>
  <c r="DN23" i="14824"/>
  <c r="DO23" i="14824"/>
  <c r="DP23" i="14824"/>
  <c r="DQ23" i="14824"/>
  <c r="DR23" i="14824"/>
  <c r="DS23" i="14824"/>
  <c r="DT23" i="14824"/>
  <c r="DU23" i="14824"/>
  <c r="DV23" i="14824"/>
  <c r="DW23" i="14824"/>
  <c r="DX23" i="14824"/>
  <c r="DY23" i="14824"/>
  <c r="DZ23" i="14824"/>
  <c r="EA23" i="14824"/>
  <c r="EB23" i="14824"/>
  <c r="EC23" i="14824"/>
  <c r="ED23" i="14824"/>
  <c r="EE23" i="14824"/>
  <c r="EF23" i="14824"/>
  <c r="EG23" i="14824"/>
  <c r="EH23" i="14824"/>
  <c r="EI23" i="14824"/>
  <c r="EJ23" i="14824"/>
  <c r="CS24" i="14824"/>
  <c r="CT24" i="14824"/>
  <c r="CU24" i="14824"/>
  <c r="CV24" i="14824"/>
  <c r="CW24" i="14824"/>
  <c r="CX24" i="14824"/>
  <c r="CY24" i="14824"/>
  <c r="CZ24" i="14824"/>
  <c r="DA24" i="14824"/>
  <c r="DB24" i="14824"/>
  <c r="DC24" i="14824"/>
  <c r="DD24" i="14824"/>
  <c r="DE24" i="14824"/>
  <c r="DF24" i="14824"/>
  <c r="DG24" i="14824"/>
  <c r="DH24" i="14824"/>
  <c r="DI24" i="14824"/>
  <c r="DJ24" i="14824"/>
  <c r="DK24" i="14824"/>
  <c r="DL24" i="14824"/>
  <c r="DM24" i="14824"/>
  <c r="DN24" i="14824"/>
  <c r="DO24" i="14824"/>
  <c r="DP24" i="14824"/>
  <c r="DQ24" i="14824"/>
  <c r="DR24" i="14824"/>
  <c r="DS24" i="14824"/>
  <c r="DT24" i="14824"/>
  <c r="DU24" i="14824"/>
  <c r="DV24" i="14824"/>
  <c r="DW24" i="14824"/>
  <c r="DX24" i="14824"/>
  <c r="DY24" i="14824"/>
  <c r="DZ24" i="14824"/>
  <c r="EA24" i="14824"/>
  <c r="EB24" i="14824"/>
  <c r="EC24" i="14824"/>
  <c r="ED24" i="14824"/>
  <c r="EE24" i="14824"/>
  <c r="EF24" i="14824"/>
  <c r="EG24" i="14824"/>
  <c r="EH24" i="14824"/>
  <c r="EI24" i="14824"/>
  <c r="EJ24" i="14824"/>
  <c r="CS25" i="14824"/>
  <c r="CT25" i="14824"/>
  <c r="CU25" i="14824"/>
  <c r="CV25" i="14824"/>
  <c r="CW25" i="14824"/>
  <c r="CX25" i="14824"/>
  <c r="CY25" i="14824"/>
  <c r="CZ25" i="14824"/>
  <c r="DA25" i="14824"/>
  <c r="DB25" i="14824"/>
  <c r="DC25" i="14824"/>
  <c r="DD25" i="14824"/>
  <c r="DE25" i="14824"/>
  <c r="DF25" i="14824"/>
  <c r="DG25" i="14824"/>
  <c r="DH25" i="14824"/>
  <c r="DI25" i="14824"/>
  <c r="DJ25" i="14824"/>
  <c r="DK25" i="14824"/>
  <c r="DL25" i="14824"/>
  <c r="DM25" i="14824"/>
  <c r="DN25" i="14824"/>
  <c r="DO25" i="14824"/>
  <c r="DP25" i="14824"/>
  <c r="DQ25" i="14824"/>
  <c r="DR25" i="14824"/>
  <c r="DS25" i="14824"/>
  <c r="DT25" i="14824"/>
  <c r="DU25" i="14824"/>
  <c r="DV25" i="14824"/>
  <c r="DW25" i="14824"/>
  <c r="DX25" i="14824"/>
  <c r="DY25" i="14824"/>
  <c r="DZ25" i="14824"/>
  <c r="EA25" i="14824"/>
  <c r="EB25" i="14824"/>
  <c r="EC25" i="14824"/>
  <c r="ED25" i="14824"/>
  <c r="EE25" i="14824"/>
  <c r="EF25" i="14824"/>
  <c r="EG25" i="14824"/>
  <c r="EH25" i="14824"/>
  <c r="EI25" i="14824"/>
  <c r="EJ25" i="14824"/>
  <c r="CS26" i="14824"/>
  <c r="CT26" i="14824"/>
  <c r="CU26" i="14824"/>
  <c r="CV26" i="14824"/>
  <c r="CW26" i="14824"/>
  <c r="CX26" i="14824"/>
  <c r="CY26" i="14824"/>
  <c r="CZ26" i="14824"/>
  <c r="DA26" i="14824"/>
  <c r="DB26" i="14824"/>
  <c r="DC26" i="14824"/>
  <c r="DD26" i="14824"/>
  <c r="DE26" i="14824"/>
  <c r="DF26" i="14824"/>
  <c r="DG26" i="14824"/>
  <c r="DH26" i="14824"/>
  <c r="DI26" i="14824"/>
  <c r="DJ26" i="14824"/>
  <c r="DK26" i="14824"/>
  <c r="DL26" i="14824"/>
  <c r="DM26" i="14824"/>
  <c r="DN26" i="14824"/>
  <c r="DO26" i="14824"/>
  <c r="DP26" i="14824"/>
  <c r="DQ26" i="14824"/>
  <c r="DR26" i="14824"/>
  <c r="DS26" i="14824"/>
  <c r="DT26" i="14824"/>
  <c r="DU26" i="14824"/>
  <c r="DV26" i="14824"/>
  <c r="DW26" i="14824"/>
  <c r="DX26" i="14824"/>
  <c r="DY26" i="14824"/>
  <c r="DZ26" i="14824"/>
  <c r="EA26" i="14824"/>
  <c r="EB26" i="14824"/>
  <c r="EC26" i="14824"/>
  <c r="ED26" i="14824"/>
  <c r="EE26" i="14824"/>
  <c r="EF26" i="14824"/>
  <c r="EG26" i="14824"/>
  <c r="EH26" i="14824"/>
  <c r="EI26" i="14824"/>
  <c r="EJ26" i="14824"/>
  <c r="CS27" i="14824"/>
  <c r="CT27" i="14824"/>
  <c r="CU27" i="14824"/>
  <c r="CV27" i="14824"/>
  <c r="CW27" i="14824"/>
  <c r="CX27" i="14824"/>
  <c r="CY27" i="14824"/>
  <c r="CZ27" i="14824"/>
  <c r="DA27" i="14824"/>
  <c r="DB27" i="14824"/>
  <c r="DC27" i="14824"/>
  <c r="DD27" i="14824"/>
  <c r="DE27" i="14824"/>
  <c r="DF27" i="14824"/>
  <c r="DG27" i="14824"/>
  <c r="DH27" i="14824"/>
  <c r="DI27" i="14824"/>
  <c r="DJ27" i="14824"/>
  <c r="DK27" i="14824"/>
  <c r="DL27" i="14824"/>
  <c r="DM27" i="14824"/>
  <c r="DN27" i="14824"/>
  <c r="DO27" i="14824"/>
  <c r="DP27" i="14824"/>
  <c r="DQ27" i="14824"/>
  <c r="DR27" i="14824"/>
  <c r="DS27" i="14824"/>
  <c r="DT27" i="14824"/>
  <c r="DU27" i="14824"/>
  <c r="DV27" i="14824"/>
  <c r="DW27" i="14824"/>
  <c r="DX27" i="14824"/>
  <c r="DY27" i="14824"/>
  <c r="DZ27" i="14824"/>
  <c r="EA27" i="14824"/>
  <c r="EB27" i="14824"/>
  <c r="EC27" i="14824"/>
  <c r="ED27" i="14824"/>
  <c r="EE27" i="14824"/>
  <c r="EF27" i="14824"/>
  <c r="EG27" i="14824"/>
  <c r="EH27" i="14824"/>
  <c r="EI27" i="14824"/>
  <c r="EJ27" i="14824"/>
  <c r="CS28" i="14824"/>
  <c r="CT28" i="14824"/>
  <c r="CU28" i="14824"/>
  <c r="CV28" i="14824"/>
  <c r="CW28" i="14824"/>
  <c r="CX28" i="14824"/>
  <c r="CY28" i="14824"/>
  <c r="CZ28" i="14824"/>
  <c r="DA28" i="14824"/>
  <c r="DB28" i="14824"/>
  <c r="DC28" i="14824"/>
  <c r="DD28" i="14824"/>
  <c r="DE28" i="14824"/>
  <c r="DF28" i="14824"/>
  <c r="DG28" i="14824"/>
  <c r="DH28" i="14824"/>
  <c r="DI28" i="14824"/>
  <c r="DJ28" i="14824"/>
  <c r="DK28" i="14824"/>
  <c r="DL28" i="14824"/>
  <c r="DM28" i="14824"/>
  <c r="DN28" i="14824"/>
  <c r="DO28" i="14824"/>
  <c r="DP28" i="14824"/>
  <c r="DQ28" i="14824"/>
  <c r="DR28" i="14824"/>
  <c r="DS28" i="14824"/>
  <c r="DT28" i="14824"/>
  <c r="DU28" i="14824"/>
  <c r="DV28" i="14824"/>
  <c r="DW28" i="14824"/>
  <c r="DX28" i="14824"/>
  <c r="DY28" i="14824"/>
  <c r="DZ28" i="14824"/>
  <c r="EA28" i="14824"/>
  <c r="EB28" i="14824"/>
  <c r="EC28" i="14824"/>
  <c r="ED28" i="14824"/>
  <c r="EE28" i="14824"/>
  <c r="EF28" i="14824"/>
  <c r="EG28" i="14824"/>
  <c r="EH28" i="14824"/>
  <c r="EI28" i="14824"/>
  <c r="EJ28" i="14824"/>
  <c r="CS29" i="14824"/>
  <c r="CT29" i="14824"/>
  <c r="CU29" i="14824"/>
  <c r="CV29" i="14824"/>
  <c r="CW29" i="14824"/>
  <c r="CX29" i="14824"/>
  <c r="CY29" i="14824"/>
  <c r="CZ29" i="14824"/>
  <c r="DA29" i="14824"/>
  <c r="DB29" i="14824"/>
  <c r="DC29" i="14824"/>
  <c r="DD29" i="14824"/>
  <c r="DE29" i="14824"/>
  <c r="DF29" i="14824"/>
  <c r="DG29" i="14824"/>
  <c r="DH29" i="14824"/>
  <c r="DI29" i="14824"/>
  <c r="DJ29" i="14824"/>
  <c r="DK29" i="14824"/>
  <c r="DL29" i="14824"/>
  <c r="DM29" i="14824"/>
  <c r="DN29" i="14824"/>
  <c r="DO29" i="14824"/>
  <c r="DP29" i="14824"/>
  <c r="DQ29" i="14824"/>
  <c r="DR29" i="14824"/>
  <c r="DS29" i="14824"/>
  <c r="DT29" i="14824"/>
  <c r="DU29" i="14824"/>
  <c r="DV29" i="14824"/>
  <c r="DW29" i="14824"/>
  <c r="DX29" i="14824"/>
  <c r="DY29" i="14824"/>
  <c r="DZ29" i="14824"/>
  <c r="EA29" i="14824"/>
  <c r="EB29" i="14824"/>
  <c r="EC29" i="14824"/>
  <c r="ED29" i="14824"/>
  <c r="EE29" i="14824"/>
  <c r="EF29" i="14824"/>
  <c r="EG29" i="14824"/>
  <c r="EH29" i="14824"/>
  <c r="EI29" i="14824"/>
  <c r="EJ29" i="14824"/>
  <c r="CS30" i="14824"/>
  <c r="CT30" i="14824"/>
  <c r="CU30" i="14824"/>
  <c r="CV30" i="14824"/>
  <c r="CW30" i="14824"/>
  <c r="CX30" i="14824"/>
  <c r="CY30" i="14824"/>
  <c r="CZ30" i="14824"/>
  <c r="DA30" i="14824"/>
  <c r="DB30" i="14824"/>
  <c r="DC30" i="14824"/>
  <c r="DD30" i="14824"/>
  <c r="DE30" i="14824"/>
  <c r="DF30" i="14824"/>
  <c r="DG30" i="14824"/>
  <c r="DH30" i="14824"/>
  <c r="DI30" i="14824"/>
  <c r="DJ30" i="14824"/>
  <c r="DK30" i="14824"/>
  <c r="DL30" i="14824"/>
  <c r="DM30" i="14824"/>
  <c r="DN30" i="14824"/>
  <c r="DO30" i="14824"/>
  <c r="DP30" i="14824"/>
  <c r="DQ30" i="14824"/>
  <c r="DR30" i="14824"/>
  <c r="DS30" i="14824"/>
  <c r="DT30" i="14824"/>
  <c r="DU30" i="14824"/>
  <c r="DV30" i="14824"/>
  <c r="DW30" i="14824"/>
  <c r="DX30" i="14824"/>
  <c r="DY30" i="14824"/>
  <c r="DZ30" i="14824"/>
  <c r="EA30" i="14824"/>
  <c r="EB30" i="14824"/>
  <c r="EC30" i="14824"/>
  <c r="ED30" i="14824"/>
  <c r="EE30" i="14824"/>
  <c r="EF30" i="14824"/>
  <c r="EG30" i="14824"/>
  <c r="EH30" i="14824"/>
  <c r="EI30" i="14824"/>
  <c r="EJ30" i="14824"/>
  <c r="CS31" i="14824"/>
  <c r="CT31" i="14824"/>
  <c r="CU31" i="14824"/>
  <c r="CV31" i="14824"/>
  <c r="CW31" i="14824"/>
  <c r="CX31" i="14824"/>
  <c r="CY31" i="14824"/>
  <c r="CZ31" i="14824"/>
  <c r="DA31" i="14824"/>
  <c r="DB31" i="14824"/>
  <c r="DC31" i="14824"/>
  <c r="DD31" i="14824"/>
  <c r="DE31" i="14824"/>
  <c r="DF31" i="14824"/>
  <c r="DG31" i="14824"/>
  <c r="DH31" i="14824"/>
  <c r="DI31" i="14824"/>
  <c r="DJ31" i="14824"/>
  <c r="DK31" i="14824"/>
  <c r="DL31" i="14824"/>
  <c r="DM31" i="14824"/>
  <c r="DN31" i="14824"/>
  <c r="DO31" i="14824"/>
  <c r="DP31" i="14824"/>
  <c r="DQ31" i="14824"/>
  <c r="DR31" i="14824"/>
  <c r="DS31" i="14824"/>
  <c r="DT31" i="14824"/>
  <c r="DU31" i="14824"/>
  <c r="DV31" i="14824"/>
  <c r="DW31" i="14824"/>
  <c r="DX31" i="14824"/>
  <c r="DY31" i="14824"/>
  <c r="DZ31" i="14824"/>
  <c r="EA31" i="14824"/>
  <c r="EB31" i="14824"/>
  <c r="EC31" i="14824"/>
  <c r="ED31" i="14824"/>
  <c r="EE31" i="14824"/>
  <c r="EF31" i="14824"/>
  <c r="EG31" i="14824"/>
  <c r="EH31" i="14824"/>
  <c r="EI31" i="14824"/>
  <c r="EJ31" i="14824"/>
  <c r="CS32" i="14824"/>
  <c r="CT32" i="14824"/>
  <c r="CU32" i="14824"/>
  <c r="CV32" i="14824"/>
  <c r="CW32" i="14824"/>
  <c r="CX32" i="14824"/>
  <c r="CY32" i="14824"/>
  <c r="CZ32" i="14824"/>
  <c r="DA32" i="14824"/>
  <c r="DB32" i="14824"/>
  <c r="DC32" i="14824"/>
  <c r="DD32" i="14824"/>
  <c r="DE32" i="14824"/>
  <c r="DF32" i="14824"/>
  <c r="DG32" i="14824"/>
  <c r="DH32" i="14824"/>
  <c r="DI32" i="14824"/>
  <c r="DJ32" i="14824"/>
  <c r="DK32" i="14824"/>
  <c r="DL32" i="14824"/>
  <c r="DM32" i="14824"/>
  <c r="DN32" i="14824"/>
  <c r="DO32" i="14824"/>
  <c r="DP32" i="14824"/>
  <c r="DQ32" i="14824"/>
  <c r="DR32" i="14824"/>
  <c r="DS32" i="14824"/>
  <c r="DT32" i="14824"/>
  <c r="DU32" i="14824"/>
  <c r="DV32" i="14824"/>
  <c r="DW32" i="14824"/>
  <c r="DX32" i="14824"/>
  <c r="DY32" i="14824"/>
  <c r="DZ32" i="14824"/>
  <c r="EA32" i="14824"/>
  <c r="EB32" i="14824"/>
  <c r="EC32" i="14824"/>
  <c r="ED32" i="14824"/>
  <c r="EE32" i="14824"/>
  <c r="EF32" i="14824"/>
  <c r="EG32" i="14824"/>
  <c r="EH32" i="14824"/>
  <c r="EI32" i="14824"/>
  <c r="EJ32" i="14824"/>
  <c r="CS33" i="14824"/>
  <c r="CT33" i="14824"/>
  <c r="CU33" i="14824"/>
  <c r="CV33" i="14824"/>
  <c r="CW33" i="14824"/>
  <c r="CX33" i="14824"/>
  <c r="CY33" i="14824"/>
  <c r="CZ33" i="14824"/>
  <c r="DA33" i="14824"/>
  <c r="DB33" i="14824"/>
  <c r="DC33" i="14824"/>
  <c r="DD33" i="14824"/>
  <c r="DE33" i="14824"/>
  <c r="DF33" i="14824"/>
  <c r="DG33" i="14824"/>
  <c r="DH33" i="14824"/>
  <c r="DI33" i="14824"/>
  <c r="DJ33" i="14824"/>
  <c r="DK33" i="14824"/>
  <c r="DL33" i="14824"/>
  <c r="DM33" i="14824"/>
  <c r="DN33" i="14824"/>
  <c r="DO33" i="14824"/>
  <c r="DP33" i="14824"/>
  <c r="DQ33" i="14824"/>
  <c r="DR33" i="14824"/>
  <c r="DS33" i="14824"/>
  <c r="DT33" i="14824"/>
  <c r="DU33" i="14824"/>
  <c r="DV33" i="14824"/>
  <c r="DW33" i="14824"/>
  <c r="DX33" i="14824"/>
  <c r="DY33" i="14824"/>
  <c r="DZ33" i="14824"/>
  <c r="EA33" i="14824"/>
  <c r="EB33" i="14824"/>
  <c r="EC33" i="14824"/>
  <c r="ED33" i="14824"/>
  <c r="EE33" i="14824"/>
  <c r="EF33" i="14824"/>
  <c r="EG33" i="14824"/>
  <c r="EH33" i="14824"/>
  <c r="EI33" i="14824"/>
  <c r="EJ33" i="14824"/>
  <c r="CS34" i="14824"/>
  <c r="CT34" i="14824"/>
  <c r="CU34" i="14824"/>
  <c r="CV34" i="14824"/>
  <c r="CW34" i="14824"/>
  <c r="CX34" i="14824"/>
  <c r="CY34" i="14824"/>
  <c r="CZ34" i="14824"/>
  <c r="DA34" i="14824"/>
  <c r="DB34" i="14824"/>
  <c r="DC34" i="14824"/>
  <c r="DD34" i="14824"/>
  <c r="DE34" i="14824"/>
  <c r="DF34" i="14824"/>
  <c r="DG34" i="14824"/>
  <c r="DH34" i="14824"/>
  <c r="DI34" i="14824"/>
  <c r="DJ34" i="14824"/>
  <c r="DK34" i="14824"/>
  <c r="DL34" i="14824"/>
  <c r="DM34" i="14824"/>
  <c r="DN34" i="14824"/>
  <c r="DO34" i="14824"/>
  <c r="DP34" i="14824"/>
  <c r="DQ34" i="14824"/>
  <c r="DR34" i="14824"/>
  <c r="DS34" i="14824"/>
  <c r="DT34" i="14824"/>
  <c r="DU34" i="14824"/>
  <c r="DV34" i="14824"/>
  <c r="DW34" i="14824"/>
  <c r="DX34" i="14824"/>
  <c r="DY34" i="14824"/>
  <c r="DZ34" i="14824"/>
  <c r="EA34" i="14824"/>
  <c r="EB34" i="14824"/>
  <c r="EC34" i="14824"/>
  <c r="ED34" i="14824"/>
  <c r="EE34" i="14824"/>
  <c r="EF34" i="14824"/>
  <c r="EG34" i="14824"/>
  <c r="EH34" i="14824"/>
  <c r="EI34" i="14824"/>
  <c r="EJ34" i="14824"/>
  <c r="CS35" i="14824"/>
  <c r="CT35" i="14824"/>
  <c r="CU35" i="14824"/>
  <c r="CV35" i="14824"/>
  <c r="CW35" i="14824"/>
  <c r="CX35" i="14824"/>
  <c r="CY35" i="14824"/>
  <c r="CZ35" i="14824"/>
  <c r="DA35" i="14824"/>
  <c r="DB35" i="14824"/>
  <c r="DC35" i="14824"/>
  <c r="DD35" i="14824"/>
  <c r="DE35" i="14824"/>
  <c r="DF35" i="14824"/>
  <c r="DG35" i="14824"/>
  <c r="DH35" i="14824"/>
  <c r="DI35" i="14824"/>
  <c r="DJ35" i="14824"/>
  <c r="DK35" i="14824"/>
  <c r="DL35" i="14824"/>
  <c r="DM35" i="14824"/>
  <c r="DN35" i="14824"/>
  <c r="DO35" i="14824"/>
  <c r="DP35" i="14824"/>
  <c r="DQ35" i="14824"/>
  <c r="DR35" i="14824"/>
  <c r="DS35" i="14824"/>
  <c r="DT35" i="14824"/>
  <c r="DU35" i="14824"/>
  <c r="DV35" i="14824"/>
  <c r="DW35" i="14824"/>
  <c r="DX35" i="14824"/>
  <c r="DY35" i="14824"/>
  <c r="DZ35" i="14824"/>
  <c r="EA35" i="14824"/>
  <c r="EB35" i="14824"/>
  <c r="EC35" i="14824"/>
  <c r="ED35" i="14824"/>
  <c r="EE35" i="14824"/>
  <c r="EF35" i="14824"/>
  <c r="EG35" i="14824"/>
  <c r="EH35" i="14824"/>
  <c r="EI35" i="14824"/>
  <c r="EJ35" i="14824"/>
  <c r="CS36" i="14824"/>
  <c r="CT36" i="14824"/>
  <c r="CU36" i="14824"/>
  <c r="CV36" i="14824"/>
  <c r="CW36" i="14824"/>
  <c r="CX36" i="14824"/>
  <c r="CY36" i="14824"/>
  <c r="CZ36" i="14824"/>
  <c r="DA36" i="14824"/>
  <c r="DB36" i="14824"/>
  <c r="DC36" i="14824"/>
  <c r="DD36" i="14824"/>
  <c r="DE36" i="14824"/>
  <c r="DF36" i="14824"/>
  <c r="DG36" i="14824"/>
  <c r="DH36" i="14824"/>
  <c r="DI36" i="14824"/>
  <c r="DJ36" i="14824"/>
  <c r="DK36" i="14824"/>
  <c r="DL36" i="14824"/>
  <c r="DM36" i="14824"/>
  <c r="DN36" i="14824"/>
  <c r="DO36" i="14824"/>
  <c r="DP36" i="14824"/>
  <c r="DQ36" i="14824"/>
  <c r="DR36" i="14824"/>
  <c r="DS36" i="14824"/>
  <c r="DT36" i="14824"/>
  <c r="DU36" i="14824"/>
  <c r="DV36" i="14824"/>
  <c r="DW36" i="14824"/>
  <c r="DX36" i="14824"/>
  <c r="DY36" i="14824"/>
  <c r="DZ36" i="14824"/>
  <c r="EA36" i="14824"/>
  <c r="EB36" i="14824"/>
  <c r="EC36" i="14824"/>
  <c r="ED36" i="14824"/>
  <c r="EE36" i="14824"/>
  <c r="EF36" i="14824"/>
  <c r="EG36" i="14824"/>
  <c r="EH36" i="14824"/>
  <c r="EI36" i="14824"/>
  <c r="EJ36" i="14824"/>
  <c r="CS37" i="14824"/>
  <c r="CT37" i="14824"/>
  <c r="CU37" i="14824"/>
  <c r="CV37" i="14824"/>
  <c r="CW37" i="14824"/>
  <c r="CX37" i="14824"/>
  <c r="CY37" i="14824"/>
  <c r="CZ37" i="14824"/>
  <c r="DA37" i="14824"/>
  <c r="DB37" i="14824"/>
  <c r="DC37" i="14824"/>
  <c r="DD37" i="14824"/>
  <c r="DE37" i="14824"/>
  <c r="DF37" i="14824"/>
  <c r="DG37" i="14824"/>
  <c r="DH37" i="14824"/>
  <c r="DI37" i="14824"/>
  <c r="DJ37" i="14824"/>
  <c r="DK37" i="14824"/>
  <c r="DL37" i="14824"/>
  <c r="DM37" i="14824"/>
  <c r="DN37" i="14824"/>
  <c r="DO37" i="14824"/>
  <c r="DP37" i="14824"/>
  <c r="DQ37" i="14824"/>
  <c r="DR37" i="14824"/>
  <c r="DS37" i="14824"/>
  <c r="DT37" i="14824"/>
  <c r="DU37" i="14824"/>
  <c r="DV37" i="14824"/>
  <c r="DW37" i="14824"/>
  <c r="DX37" i="14824"/>
  <c r="DY37" i="14824"/>
  <c r="DZ37" i="14824"/>
  <c r="EA37" i="14824"/>
  <c r="EB37" i="14824"/>
  <c r="EC37" i="14824"/>
  <c r="ED37" i="14824"/>
  <c r="EE37" i="14824"/>
  <c r="EF37" i="14824"/>
  <c r="EG37" i="14824"/>
  <c r="EH37" i="14824"/>
  <c r="EI37" i="14824"/>
  <c r="EJ37" i="14824"/>
  <c r="CS38" i="14824"/>
  <c r="CT38" i="14824"/>
  <c r="CU38" i="14824"/>
  <c r="CV38" i="14824"/>
  <c r="CW38" i="14824"/>
  <c r="CX38" i="14824"/>
  <c r="CY38" i="14824"/>
  <c r="CZ38" i="14824"/>
  <c r="DA38" i="14824"/>
  <c r="DB38" i="14824"/>
  <c r="DC38" i="14824"/>
  <c r="DD38" i="14824"/>
  <c r="DE38" i="14824"/>
  <c r="DF38" i="14824"/>
  <c r="DG38" i="14824"/>
  <c r="DH38" i="14824"/>
  <c r="DI38" i="14824"/>
  <c r="DJ38" i="14824"/>
  <c r="DK38" i="14824"/>
  <c r="DL38" i="14824"/>
  <c r="DM38" i="14824"/>
  <c r="DN38" i="14824"/>
  <c r="DO38" i="14824"/>
  <c r="DP38" i="14824"/>
  <c r="DQ38" i="14824"/>
  <c r="DR38" i="14824"/>
  <c r="DS38" i="14824"/>
  <c r="DT38" i="14824"/>
  <c r="DU38" i="14824"/>
  <c r="DV38" i="14824"/>
  <c r="DW38" i="14824"/>
  <c r="DX38" i="14824"/>
  <c r="DY38" i="14824"/>
  <c r="DZ38" i="14824"/>
  <c r="EA38" i="14824"/>
  <c r="EB38" i="14824"/>
  <c r="EC38" i="14824"/>
  <c r="ED38" i="14824"/>
  <c r="EE38" i="14824"/>
  <c r="EF38" i="14824"/>
  <c r="EG38" i="14824"/>
  <c r="EH38" i="14824"/>
  <c r="EI38" i="14824"/>
  <c r="EJ38" i="14824"/>
  <c r="CS39" i="14824"/>
  <c r="CT39" i="14824"/>
  <c r="CU39" i="14824"/>
  <c r="CV39" i="14824"/>
  <c r="CW39" i="14824"/>
  <c r="CX39" i="14824"/>
  <c r="CY39" i="14824"/>
  <c r="CZ39" i="14824"/>
  <c r="DA39" i="14824"/>
  <c r="DB39" i="14824"/>
  <c r="DC39" i="14824"/>
  <c r="DD39" i="14824"/>
  <c r="DE39" i="14824"/>
  <c r="DF39" i="14824"/>
  <c r="DG39" i="14824"/>
  <c r="DH39" i="14824"/>
  <c r="DI39" i="14824"/>
  <c r="DJ39" i="14824"/>
  <c r="DK39" i="14824"/>
  <c r="DL39" i="14824"/>
  <c r="DM39" i="14824"/>
  <c r="DN39" i="14824"/>
  <c r="DO39" i="14824"/>
  <c r="DP39" i="14824"/>
  <c r="DQ39" i="14824"/>
  <c r="DR39" i="14824"/>
  <c r="DS39" i="14824"/>
  <c r="DT39" i="14824"/>
  <c r="DU39" i="14824"/>
  <c r="DV39" i="14824"/>
  <c r="DW39" i="14824"/>
  <c r="DX39" i="14824"/>
  <c r="DY39" i="14824"/>
  <c r="DZ39" i="14824"/>
  <c r="EA39" i="14824"/>
  <c r="EB39" i="14824"/>
  <c r="EC39" i="14824"/>
  <c r="ED39" i="14824"/>
  <c r="EE39" i="14824"/>
  <c r="EF39" i="14824"/>
  <c r="EG39" i="14824"/>
  <c r="EH39" i="14824"/>
  <c r="EI39" i="14824"/>
  <c r="EJ39" i="14824"/>
  <c r="CS40" i="14824"/>
  <c r="CT40" i="14824"/>
  <c r="CU40" i="14824"/>
  <c r="CV40" i="14824"/>
  <c r="CW40" i="14824"/>
  <c r="CX40" i="14824"/>
  <c r="CY40" i="14824"/>
  <c r="CZ40" i="14824"/>
  <c r="DA40" i="14824"/>
  <c r="DB40" i="14824"/>
  <c r="DC40" i="14824"/>
  <c r="DD40" i="14824"/>
  <c r="DE40" i="14824"/>
  <c r="DF40" i="14824"/>
  <c r="DG40" i="14824"/>
  <c r="DH40" i="14824"/>
  <c r="DI40" i="14824"/>
  <c r="DJ40" i="14824"/>
  <c r="DK40" i="14824"/>
  <c r="DL40" i="14824"/>
  <c r="DM40" i="14824"/>
  <c r="DN40" i="14824"/>
  <c r="DO40" i="14824"/>
  <c r="DP40" i="14824"/>
  <c r="DQ40" i="14824"/>
  <c r="DR40" i="14824"/>
  <c r="DS40" i="14824"/>
  <c r="DT40" i="14824"/>
  <c r="DU40" i="14824"/>
  <c r="DV40" i="14824"/>
  <c r="DW40" i="14824"/>
  <c r="DX40" i="14824"/>
  <c r="DY40" i="14824"/>
  <c r="DZ40" i="14824"/>
  <c r="EA40" i="14824"/>
  <c r="EB40" i="14824"/>
  <c r="EC40" i="14824"/>
  <c r="ED40" i="14824"/>
  <c r="EE40" i="14824"/>
  <c r="EF40" i="14824"/>
  <c r="EG40" i="14824"/>
  <c r="EH40" i="14824"/>
  <c r="EI40" i="14824"/>
  <c r="EJ40" i="14824"/>
  <c r="CS41" i="14824"/>
  <c r="CT41" i="14824"/>
  <c r="CU41" i="14824"/>
  <c r="CV41" i="14824"/>
  <c r="CW41" i="14824"/>
  <c r="CX41" i="14824"/>
  <c r="CY41" i="14824"/>
  <c r="CZ41" i="14824"/>
  <c r="DA41" i="14824"/>
  <c r="DB41" i="14824"/>
  <c r="DC41" i="14824"/>
  <c r="DD41" i="14824"/>
  <c r="DE41" i="14824"/>
  <c r="DF41" i="14824"/>
  <c r="DG41" i="14824"/>
  <c r="DH41" i="14824"/>
  <c r="DI41" i="14824"/>
  <c r="DJ41" i="14824"/>
  <c r="DK41" i="14824"/>
  <c r="DL41" i="14824"/>
  <c r="DM41" i="14824"/>
  <c r="DN41" i="14824"/>
  <c r="DO41" i="14824"/>
  <c r="DP41" i="14824"/>
  <c r="DQ41" i="14824"/>
  <c r="DR41" i="14824"/>
  <c r="DS41" i="14824"/>
  <c r="DT41" i="14824"/>
  <c r="DU41" i="14824"/>
  <c r="DV41" i="14824"/>
  <c r="DW41" i="14824"/>
  <c r="DX41" i="14824"/>
  <c r="DY41" i="14824"/>
  <c r="DZ41" i="14824"/>
  <c r="EA41" i="14824"/>
  <c r="EB41" i="14824"/>
  <c r="EC41" i="14824"/>
  <c r="ED41" i="14824"/>
  <c r="EE41" i="14824"/>
  <c r="EF41" i="14824"/>
  <c r="EG41" i="14824"/>
  <c r="EH41" i="14824"/>
  <c r="EI41" i="14824"/>
  <c r="EJ41" i="14824"/>
  <c r="CS42" i="14824"/>
  <c r="CT42" i="14824"/>
  <c r="CU42" i="14824"/>
  <c r="CV42" i="14824"/>
  <c r="CW42" i="14824"/>
  <c r="CX42" i="14824"/>
  <c r="CY42" i="14824"/>
  <c r="CZ42" i="14824"/>
  <c r="DA42" i="14824"/>
  <c r="DB42" i="14824"/>
  <c r="DC42" i="14824"/>
  <c r="DD42" i="14824"/>
  <c r="DE42" i="14824"/>
  <c r="DF42" i="14824"/>
  <c r="DG42" i="14824"/>
  <c r="DH42" i="14824"/>
  <c r="DI42" i="14824"/>
  <c r="DJ42" i="14824"/>
  <c r="DK42" i="14824"/>
  <c r="DL42" i="14824"/>
  <c r="DM42" i="14824"/>
  <c r="DN42" i="14824"/>
  <c r="DO42" i="14824"/>
  <c r="DP42" i="14824"/>
  <c r="DQ42" i="14824"/>
  <c r="DR42" i="14824"/>
  <c r="DS42" i="14824"/>
  <c r="DT42" i="14824"/>
  <c r="DU42" i="14824"/>
  <c r="DV42" i="14824"/>
  <c r="DW42" i="14824"/>
  <c r="DX42" i="14824"/>
  <c r="DY42" i="14824"/>
  <c r="DZ42" i="14824"/>
  <c r="EA42" i="14824"/>
  <c r="EB42" i="14824"/>
  <c r="EC42" i="14824"/>
  <c r="ED42" i="14824"/>
  <c r="EE42" i="14824"/>
  <c r="EF42" i="14824"/>
  <c r="EG42" i="14824"/>
  <c r="EH42" i="14824"/>
  <c r="EI42" i="14824"/>
  <c r="EJ42" i="14824"/>
  <c r="CS43" i="14824"/>
  <c r="CT43" i="14824"/>
  <c r="CU43" i="14824"/>
  <c r="CV43" i="14824"/>
  <c r="CW43" i="14824"/>
  <c r="CX43" i="14824"/>
  <c r="CY43" i="14824"/>
  <c r="CZ43" i="14824"/>
  <c r="DA43" i="14824"/>
  <c r="DB43" i="14824"/>
  <c r="DC43" i="14824"/>
  <c r="DD43" i="14824"/>
  <c r="DE43" i="14824"/>
  <c r="DF43" i="14824"/>
  <c r="DG43" i="14824"/>
  <c r="DH43" i="14824"/>
  <c r="DI43" i="14824"/>
  <c r="DJ43" i="14824"/>
  <c r="DK43" i="14824"/>
  <c r="DL43" i="14824"/>
  <c r="DM43" i="14824"/>
  <c r="DN43" i="14824"/>
  <c r="DO43" i="14824"/>
  <c r="DP43" i="14824"/>
  <c r="DQ43" i="14824"/>
  <c r="DR43" i="14824"/>
  <c r="DS43" i="14824"/>
  <c r="DT43" i="14824"/>
  <c r="DU43" i="14824"/>
  <c r="DV43" i="14824"/>
  <c r="DW43" i="14824"/>
  <c r="DX43" i="14824"/>
  <c r="DY43" i="14824"/>
  <c r="DZ43" i="14824"/>
  <c r="EA43" i="14824"/>
  <c r="EB43" i="14824"/>
  <c r="EC43" i="14824"/>
  <c r="ED43" i="14824"/>
  <c r="EE43" i="14824"/>
  <c r="EF43" i="14824"/>
  <c r="EG43" i="14824"/>
  <c r="EH43" i="14824"/>
  <c r="EI43" i="14824"/>
  <c r="EJ43" i="14824"/>
  <c r="CS44" i="14824"/>
  <c r="CT44" i="14824"/>
  <c r="CU44" i="14824"/>
  <c r="CV44" i="14824"/>
  <c r="CW44" i="14824"/>
  <c r="CX44" i="14824"/>
  <c r="CY44" i="14824"/>
  <c r="CZ44" i="14824"/>
  <c r="DA44" i="14824"/>
  <c r="DB44" i="14824"/>
  <c r="DC44" i="14824"/>
  <c r="DD44" i="14824"/>
  <c r="DE44" i="14824"/>
  <c r="DF44" i="14824"/>
  <c r="DG44" i="14824"/>
  <c r="DH44" i="14824"/>
  <c r="DI44" i="14824"/>
  <c r="DJ44" i="14824"/>
  <c r="DK44" i="14824"/>
  <c r="DL44" i="14824"/>
  <c r="DM44" i="14824"/>
  <c r="DN44" i="14824"/>
  <c r="DO44" i="14824"/>
  <c r="DP44" i="14824"/>
  <c r="DQ44" i="14824"/>
  <c r="DR44" i="14824"/>
  <c r="DS44" i="14824"/>
  <c r="DT44" i="14824"/>
  <c r="DU44" i="14824"/>
  <c r="DV44" i="14824"/>
  <c r="DW44" i="14824"/>
  <c r="DX44" i="14824"/>
  <c r="DY44" i="14824"/>
  <c r="DZ44" i="14824"/>
  <c r="EA44" i="14824"/>
  <c r="EB44" i="14824"/>
  <c r="EC44" i="14824"/>
  <c r="ED44" i="14824"/>
  <c r="EE44" i="14824"/>
  <c r="EF44" i="14824"/>
  <c r="EG44" i="14824"/>
  <c r="EH44" i="14824"/>
  <c r="EI44" i="14824"/>
  <c r="EJ44" i="14824"/>
  <c r="CS45" i="14824"/>
  <c r="CT45" i="14824"/>
  <c r="CU45" i="14824"/>
  <c r="CV45" i="14824"/>
  <c r="CW45" i="14824"/>
  <c r="CX45" i="14824"/>
  <c r="CY45" i="14824"/>
  <c r="CZ45" i="14824"/>
  <c r="DA45" i="14824"/>
  <c r="DB45" i="14824"/>
  <c r="DC45" i="14824"/>
  <c r="DD45" i="14824"/>
  <c r="DE45" i="14824"/>
  <c r="DF45" i="14824"/>
  <c r="DG45" i="14824"/>
  <c r="DH45" i="14824"/>
  <c r="DI45" i="14824"/>
  <c r="DJ45" i="14824"/>
  <c r="DK45" i="14824"/>
  <c r="DL45" i="14824"/>
  <c r="DM45" i="14824"/>
  <c r="DN45" i="14824"/>
  <c r="DO45" i="14824"/>
  <c r="DP45" i="14824"/>
  <c r="DQ45" i="14824"/>
  <c r="DR45" i="14824"/>
  <c r="DS45" i="14824"/>
  <c r="DT45" i="14824"/>
  <c r="DU45" i="14824"/>
  <c r="DV45" i="14824"/>
  <c r="DW45" i="14824"/>
  <c r="DX45" i="14824"/>
  <c r="DY45" i="14824"/>
  <c r="DZ45" i="14824"/>
  <c r="EA45" i="14824"/>
  <c r="EB45" i="14824"/>
  <c r="EC45" i="14824"/>
  <c r="ED45" i="14824"/>
  <c r="EE45" i="14824"/>
  <c r="EF45" i="14824"/>
  <c r="EG45" i="14824"/>
  <c r="EH45" i="14824"/>
  <c r="EI45" i="14824"/>
  <c r="EJ45" i="14824"/>
  <c r="CS46" i="14824"/>
  <c r="CT46" i="14824"/>
  <c r="CU46" i="14824"/>
  <c r="CV46" i="14824"/>
  <c r="CW46" i="14824"/>
  <c r="CX46" i="14824"/>
  <c r="CY46" i="14824"/>
  <c r="CZ46" i="14824"/>
  <c r="DA46" i="14824"/>
  <c r="DB46" i="14824"/>
  <c r="DC46" i="14824"/>
  <c r="DD46" i="14824"/>
  <c r="DE46" i="14824"/>
  <c r="DF46" i="14824"/>
  <c r="DG46" i="14824"/>
  <c r="DH46" i="14824"/>
  <c r="DI46" i="14824"/>
  <c r="DJ46" i="14824"/>
  <c r="DK46" i="14824"/>
  <c r="DL46" i="14824"/>
  <c r="DM46" i="14824"/>
  <c r="DN46" i="14824"/>
  <c r="DO46" i="14824"/>
  <c r="DP46" i="14824"/>
  <c r="DQ46" i="14824"/>
  <c r="DR46" i="14824"/>
  <c r="DS46" i="14824"/>
  <c r="DT46" i="14824"/>
  <c r="DU46" i="14824"/>
  <c r="DV46" i="14824"/>
  <c r="DW46" i="14824"/>
  <c r="DX46" i="14824"/>
  <c r="DY46" i="14824"/>
  <c r="DZ46" i="14824"/>
  <c r="EA46" i="14824"/>
  <c r="EB46" i="14824"/>
  <c r="EC46" i="14824"/>
  <c r="ED46" i="14824"/>
  <c r="EE46" i="14824"/>
  <c r="EF46" i="14824"/>
  <c r="EG46" i="14824"/>
  <c r="EH46" i="14824"/>
  <c r="EI46" i="14824"/>
  <c r="EJ46" i="14824"/>
  <c r="CS47" i="14824"/>
  <c r="CT47" i="14824"/>
  <c r="CU47" i="14824"/>
  <c r="CV47" i="14824"/>
  <c r="CW47" i="14824"/>
  <c r="CX47" i="14824"/>
  <c r="CY47" i="14824"/>
  <c r="CZ47" i="14824"/>
  <c r="DA47" i="14824"/>
  <c r="DB47" i="14824"/>
  <c r="DC47" i="14824"/>
  <c r="DD47" i="14824"/>
  <c r="DE47" i="14824"/>
  <c r="DF47" i="14824"/>
  <c r="DG47" i="14824"/>
  <c r="DH47" i="14824"/>
  <c r="DI47" i="14824"/>
  <c r="DJ47" i="14824"/>
  <c r="DK47" i="14824"/>
  <c r="DL47" i="14824"/>
  <c r="DM47" i="14824"/>
  <c r="DN47" i="14824"/>
  <c r="DO47" i="14824"/>
  <c r="DP47" i="14824"/>
  <c r="DQ47" i="14824"/>
  <c r="DR47" i="14824"/>
  <c r="DS47" i="14824"/>
  <c r="DT47" i="14824"/>
  <c r="DU47" i="14824"/>
  <c r="DV47" i="14824"/>
  <c r="DW47" i="14824"/>
  <c r="DX47" i="14824"/>
  <c r="DY47" i="14824"/>
  <c r="DZ47" i="14824"/>
  <c r="EA47" i="14824"/>
  <c r="EB47" i="14824"/>
  <c r="EC47" i="14824"/>
  <c r="ED47" i="14824"/>
  <c r="EE47" i="14824"/>
  <c r="EF47" i="14824"/>
  <c r="EG47" i="14824"/>
  <c r="EH47" i="14824"/>
  <c r="EI47" i="14824"/>
  <c r="EJ47" i="14824"/>
  <c r="CS48" i="14824"/>
  <c r="CT48" i="14824"/>
  <c r="CU48" i="14824"/>
  <c r="CV48" i="14824"/>
  <c r="CW48" i="14824"/>
  <c r="CX48" i="14824"/>
  <c r="CY48" i="14824"/>
  <c r="CZ48" i="14824"/>
  <c r="DA48" i="14824"/>
  <c r="DB48" i="14824"/>
  <c r="DC48" i="14824"/>
  <c r="DD48" i="14824"/>
  <c r="DE48" i="14824"/>
  <c r="DF48" i="14824"/>
  <c r="DG48" i="14824"/>
  <c r="DH48" i="14824"/>
  <c r="DI48" i="14824"/>
  <c r="DJ48" i="14824"/>
  <c r="DK48" i="14824"/>
  <c r="DL48" i="14824"/>
  <c r="DM48" i="14824"/>
  <c r="DN48" i="14824"/>
  <c r="DO48" i="14824"/>
  <c r="DP48" i="14824"/>
  <c r="DQ48" i="14824"/>
  <c r="DR48" i="14824"/>
  <c r="DS48" i="14824"/>
  <c r="DT48" i="14824"/>
  <c r="DU48" i="14824"/>
  <c r="DV48" i="14824"/>
  <c r="DW48" i="14824"/>
  <c r="DX48" i="14824"/>
  <c r="DY48" i="14824"/>
  <c r="DZ48" i="14824"/>
  <c r="EA48" i="14824"/>
  <c r="EB48" i="14824"/>
  <c r="EC48" i="14824"/>
  <c r="ED48" i="14824"/>
  <c r="EE48" i="14824"/>
  <c r="EF48" i="14824"/>
  <c r="EG48" i="14824"/>
  <c r="EH48" i="14824"/>
  <c r="EI48" i="14824"/>
  <c r="EJ48" i="14824"/>
  <c r="CS49" i="14824"/>
  <c r="CT49" i="14824"/>
  <c r="CU49" i="14824"/>
  <c r="CV49" i="14824"/>
  <c r="CW49" i="14824"/>
  <c r="CX49" i="14824"/>
  <c r="CY49" i="14824"/>
  <c r="CZ49" i="14824"/>
  <c r="DA49" i="14824"/>
  <c r="DB49" i="14824"/>
  <c r="DC49" i="14824"/>
  <c r="DD49" i="14824"/>
  <c r="DE49" i="14824"/>
  <c r="DF49" i="14824"/>
  <c r="DG49" i="14824"/>
  <c r="DH49" i="14824"/>
  <c r="DI49" i="14824"/>
  <c r="DJ49" i="14824"/>
  <c r="DK49" i="14824"/>
  <c r="DL49" i="14824"/>
  <c r="DM49" i="14824"/>
  <c r="DN49" i="14824"/>
  <c r="DO49" i="14824"/>
  <c r="DP49" i="14824"/>
  <c r="DQ49" i="14824"/>
  <c r="DR49" i="14824"/>
  <c r="DS49" i="14824"/>
  <c r="DT49" i="14824"/>
  <c r="DU49" i="14824"/>
  <c r="DV49" i="14824"/>
  <c r="DW49" i="14824"/>
  <c r="DX49" i="14824"/>
  <c r="DY49" i="14824"/>
  <c r="DZ49" i="14824"/>
  <c r="EA49" i="14824"/>
  <c r="EB49" i="14824"/>
  <c r="EC49" i="14824"/>
  <c r="ED49" i="14824"/>
  <c r="EE49" i="14824"/>
  <c r="EF49" i="14824"/>
  <c r="EG49" i="14824"/>
  <c r="EH49" i="14824"/>
  <c r="EI49" i="14824"/>
  <c r="EJ49" i="14824"/>
  <c r="CS50" i="14824"/>
  <c r="CT50" i="14824"/>
  <c r="CU50" i="14824"/>
  <c r="CV50" i="14824"/>
  <c r="CW50" i="14824"/>
  <c r="CX50" i="14824"/>
  <c r="CY50" i="14824"/>
  <c r="CZ50" i="14824"/>
  <c r="DA50" i="14824"/>
  <c r="DB50" i="14824"/>
  <c r="DC50" i="14824"/>
  <c r="DD50" i="14824"/>
  <c r="DE50" i="14824"/>
  <c r="DF50" i="14824"/>
  <c r="DG50" i="14824"/>
  <c r="DH50" i="14824"/>
  <c r="DI50" i="14824"/>
  <c r="DJ50" i="14824"/>
  <c r="DK50" i="14824"/>
  <c r="DL50" i="14824"/>
  <c r="DM50" i="14824"/>
  <c r="DN50" i="14824"/>
  <c r="DO50" i="14824"/>
  <c r="DP50" i="14824"/>
  <c r="DQ50" i="14824"/>
  <c r="DR50" i="14824"/>
  <c r="DS50" i="14824"/>
  <c r="DT50" i="14824"/>
  <c r="DU50" i="14824"/>
  <c r="DV50" i="14824"/>
  <c r="DW50" i="14824"/>
  <c r="DX50" i="14824"/>
  <c r="DY50" i="14824"/>
  <c r="DZ50" i="14824"/>
  <c r="EA50" i="14824"/>
  <c r="EB50" i="14824"/>
  <c r="EC50" i="14824"/>
  <c r="ED50" i="14824"/>
  <c r="EE50" i="14824"/>
  <c r="EF50" i="14824"/>
  <c r="EG50" i="14824"/>
  <c r="EH50" i="14824"/>
  <c r="EI50" i="14824"/>
  <c r="EJ50" i="14824"/>
  <c r="CR7" i="14824"/>
  <c r="CR8" i="14824"/>
  <c r="CR9" i="14824"/>
  <c r="CR10" i="14824"/>
  <c r="CR11" i="14824"/>
  <c r="CR12" i="14824"/>
  <c r="CR13" i="14824"/>
  <c r="CR14" i="14824"/>
  <c r="CR15" i="14824"/>
  <c r="CR16" i="14824"/>
  <c r="CR17" i="14824"/>
  <c r="CR18" i="14824"/>
  <c r="CR19" i="14824"/>
  <c r="CR20" i="14824"/>
  <c r="CR21" i="14824"/>
  <c r="CR22" i="14824"/>
  <c r="CR23" i="14824"/>
  <c r="CR24" i="14824"/>
  <c r="CR25" i="14824"/>
  <c r="CR26" i="14824"/>
  <c r="CR27" i="14824"/>
  <c r="CR28" i="14824"/>
  <c r="CR29" i="14824"/>
  <c r="CR30" i="14824"/>
  <c r="CR31" i="14824"/>
  <c r="CR32" i="14824"/>
  <c r="CR33" i="14824"/>
  <c r="CR34" i="14824"/>
  <c r="CR35" i="14824"/>
  <c r="CR36" i="14824"/>
  <c r="CR37" i="14824"/>
  <c r="CR38" i="14824"/>
  <c r="CR39" i="14824"/>
  <c r="CR40" i="14824"/>
  <c r="CR41" i="14824"/>
  <c r="CR42" i="14824"/>
  <c r="CR43" i="14824"/>
  <c r="CR44" i="14824"/>
  <c r="CR45" i="14824"/>
  <c r="CR46" i="14824"/>
  <c r="CR47" i="14824"/>
  <c r="CR48" i="14824"/>
  <c r="CR49" i="14824"/>
  <c r="CR50" i="14824"/>
  <c r="CR6" i="14824"/>
  <c r="EJ50" i="14825"/>
  <c r="CS6" i="14825"/>
  <c r="CT6" i="14825"/>
  <c r="CU6" i="14825"/>
  <c r="CV6" i="14825"/>
  <c r="CW6" i="14825"/>
  <c r="CX6" i="14825"/>
  <c r="CY6" i="14825"/>
  <c r="CZ6" i="14825"/>
  <c r="DA6" i="14825"/>
  <c r="DB6" i="14825"/>
  <c r="DC6" i="14825"/>
  <c r="DD6" i="14825"/>
  <c r="DE6" i="14825"/>
  <c r="DF6" i="14825"/>
  <c r="DG6" i="14825"/>
  <c r="DH6" i="14825"/>
  <c r="DI6" i="14825"/>
  <c r="DJ6" i="14825"/>
  <c r="DK6" i="14825"/>
  <c r="DL6" i="14825"/>
  <c r="DM6" i="14825"/>
  <c r="DN6" i="14825"/>
  <c r="DO6" i="14825"/>
  <c r="DP6" i="14825"/>
  <c r="DQ6" i="14825"/>
  <c r="DR6" i="14825"/>
  <c r="DS6" i="14825"/>
  <c r="DT6" i="14825"/>
  <c r="DU6" i="14825"/>
  <c r="DV6" i="14825"/>
  <c r="DW6" i="14825"/>
  <c r="DX6" i="14825"/>
  <c r="DY6" i="14825"/>
  <c r="DZ6" i="14825"/>
  <c r="EA6" i="14825"/>
  <c r="EB6" i="14825"/>
  <c r="EC6" i="14825"/>
  <c r="ED6" i="14825"/>
  <c r="EE6" i="14825"/>
  <c r="EF6" i="14825"/>
  <c r="EG6" i="14825"/>
  <c r="EH6" i="14825"/>
  <c r="EI6" i="14825"/>
  <c r="EJ6" i="14825"/>
  <c r="CS7" i="14825"/>
  <c r="CT7" i="14825"/>
  <c r="CU7" i="14825"/>
  <c r="CV7" i="14825"/>
  <c r="CW7" i="14825"/>
  <c r="CX7" i="14825"/>
  <c r="CY7" i="14825"/>
  <c r="CZ7" i="14825"/>
  <c r="DA7" i="14825"/>
  <c r="DB7" i="14825"/>
  <c r="DC7" i="14825"/>
  <c r="DD7" i="14825"/>
  <c r="DE7" i="14825"/>
  <c r="DF7" i="14825"/>
  <c r="DG7" i="14825"/>
  <c r="DH7" i="14825"/>
  <c r="DI7" i="14825"/>
  <c r="DJ7" i="14825"/>
  <c r="DK7" i="14825"/>
  <c r="DL7" i="14825"/>
  <c r="DM7" i="14825"/>
  <c r="DN7" i="14825"/>
  <c r="DO7" i="14825"/>
  <c r="DP7" i="14825"/>
  <c r="DQ7" i="14825"/>
  <c r="DR7" i="14825"/>
  <c r="DS7" i="14825"/>
  <c r="DT7" i="14825"/>
  <c r="DU7" i="14825"/>
  <c r="DV7" i="14825"/>
  <c r="DW7" i="14825"/>
  <c r="DX7" i="14825"/>
  <c r="DY7" i="14825"/>
  <c r="DZ7" i="14825"/>
  <c r="EA7" i="14825"/>
  <c r="EB7" i="14825"/>
  <c r="EC7" i="14825"/>
  <c r="ED7" i="14825"/>
  <c r="EE7" i="14825"/>
  <c r="EF7" i="14825"/>
  <c r="EG7" i="14825"/>
  <c r="EH7" i="14825"/>
  <c r="EI7" i="14825"/>
  <c r="EJ7" i="14825"/>
  <c r="CS8" i="14825"/>
  <c r="CT8" i="14825"/>
  <c r="CU8" i="14825"/>
  <c r="CV8" i="14825"/>
  <c r="CW8" i="14825"/>
  <c r="CX8" i="14825"/>
  <c r="CY8" i="14825"/>
  <c r="CZ8" i="14825"/>
  <c r="DA8" i="14825"/>
  <c r="DB8" i="14825"/>
  <c r="DC8" i="14825"/>
  <c r="DD8" i="14825"/>
  <c r="DE8" i="14825"/>
  <c r="DF8" i="14825"/>
  <c r="DG8" i="14825"/>
  <c r="DH8" i="14825"/>
  <c r="DI8" i="14825"/>
  <c r="DJ8" i="14825"/>
  <c r="DK8" i="14825"/>
  <c r="DL8" i="14825"/>
  <c r="DM8" i="14825"/>
  <c r="DN8" i="14825"/>
  <c r="DO8" i="14825"/>
  <c r="DP8" i="14825"/>
  <c r="DQ8" i="14825"/>
  <c r="DR8" i="14825"/>
  <c r="DS8" i="14825"/>
  <c r="DT8" i="14825"/>
  <c r="DU8" i="14825"/>
  <c r="DV8" i="14825"/>
  <c r="DW8" i="14825"/>
  <c r="DX8" i="14825"/>
  <c r="DY8" i="14825"/>
  <c r="DZ8" i="14825"/>
  <c r="EA8" i="14825"/>
  <c r="EB8" i="14825"/>
  <c r="EC8" i="14825"/>
  <c r="ED8" i="14825"/>
  <c r="EE8" i="14825"/>
  <c r="EF8" i="14825"/>
  <c r="EG8" i="14825"/>
  <c r="EH8" i="14825"/>
  <c r="EI8" i="14825"/>
  <c r="EJ8" i="14825"/>
  <c r="CS9" i="14825"/>
  <c r="CT9" i="14825"/>
  <c r="CU9" i="14825"/>
  <c r="CV9" i="14825"/>
  <c r="CW9" i="14825"/>
  <c r="CX9" i="14825"/>
  <c r="CY9" i="14825"/>
  <c r="CZ9" i="14825"/>
  <c r="DA9" i="14825"/>
  <c r="DB9" i="14825"/>
  <c r="DC9" i="14825"/>
  <c r="DD9" i="14825"/>
  <c r="DE9" i="14825"/>
  <c r="DF9" i="14825"/>
  <c r="DG9" i="14825"/>
  <c r="DH9" i="14825"/>
  <c r="DI9" i="14825"/>
  <c r="DJ9" i="14825"/>
  <c r="DK9" i="14825"/>
  <c r="DL9" i="14825"/>
  <c r="DM9" i="14825"/>
  <c r="DN9" i="14825"/>
  <c r="DO9" i="14825"/>
  <c r="DP9" i="14825"/>
  <c r="DQ9" i="14825"/>
  <c r="DR9" i="14825"/>
  <c r="DS9" i="14825"/>
  <c r="DT9" i="14825"/>
  <c r="DU9" i="14825"/>
  <c r="DV9" i="14825"/>
  <c r="DW9" i="14825"/>
  <c r="DX9" i="14825"/>
  <c r="DY9" i="14825"/>
  <c r="DZ9" i="14825"/>
  <c r="EA9" i="14825"/>
  <c r="EB9" i="14825"/>
  <c r="EC9" i="14825"/>
  <c r="ED9" i="14825"/>
  <c r="EE9" i="14825"/>
  <c r="EF9" i="14825"/>
  <c r="EG9" i="14825"/>
  <c r="EH9" i="14825"/>
  <c r="EI9" i="14825"/>
  <c r="EJ9" i="14825"/>
  <c r="CS10" i="14825"/>
  <c r="CT10" i="14825"/>
  <c r="CU10" i="14825"/>
  <c r="CV10" i="14825"/>
  <c r="CW10" i="14825"/>
  <c r="CX10" i="14825"/>
  <c r="CY10" i="14825"/>
  <c r="CZ10" i="14825"/>
  <c r="DA10" i="14825"/>
  <c r="DB10" i="14825"/>
  <c r="DC10" i="14825"/>
  <c r="DD10" i="14825"/>
  <c r="DE10" i="14825"/>
  <c r="DF10" i="14825"/>
  <c r="DG10" i="14825"/>
  <c r="DH10" i="14825"/>
  <c r="DI10" i="14825"/>
  <c r="DJ10" i="14825"/>
  <c r="DK10" i="14825"/>
  <c r="DL10" i="14825"/>
  <c r="DM10" i="14825"/>
  <c r="DN10" i="14825"/>
  <c r="DO10" i="14825"/>
  <c r="DP10" i="14825"/>
  <c r="DQ10" i="14825"/>
  <c r="DR10" i="14825"/>
  <c r="DS10" i="14825"/>
  <c r="DT10" i="14825"/>
  <c r="DU10" i="14825"/>
  <c r="DV10" i="14825"/>
  <c r="DW10" i="14825"/>
  <c r="DX10" i="14825"/>
  <c r="DY10" i="14825"/>
  <c r="DZ10" i="14825"/>
  <c r="EA10" i="14825"/>
  <c r="EB10" i="14825"/>
  <c r="EC10" i="14825"/>
  <c r="ED10" i="14825"/>
  <c r="EE10" i="14825"/>
  <c r="EF10" i="14825"/>
  <c r="EG10" i="14825"/>
  <c r="EH10" i="14825"/>
  <c r="EI10" i="14825"/>
  <c r="EJ10" i="14825"/>
  <c r="CS11" i="14825"/>
  <c r="CT11" i="14825"/>
  <c r="CU11" i="14825"/>
  <c r="CV11" i="14825"/>
  <c r="CW11" i="14825"/>
  <c r="CX11" i="14825"/>
  <c r="CY11" i="14825"/>
  <c r="CZ11" i="14825"/>
  <c r="DA11" i="14825"/>
  <c r="DB11" i="14825"/>
  <c r="DC11" i="14825"/>
  <c r="DD11" i="14825"/>
  <c r="DE11" i="14825"/>
  <c r="DF11" i="14825"/>
  <c r="DG11" i="14825"/>
  <c r="DH11" i="14825"/>
  <c r="DI11" i="14825"/>
  <c r="DJ11" i="14825"/>
  <c r="DK11" i="14825"/>
  <c r="DL11" i="14825"/>
  <c r="DM11" i="14825"/>
  <c r="DN11" i="14825"/>
  <c r="DO11" i="14825"/>
  <c r="DP11" i="14825"/>
  <c r="DQ11" i="14825"/>
  <c r="DR11" i="14825"/>
  <c r="DS11" i="14825"/>
  <c r="DT11" i="14825"/>
  <c r="DU11" i="14825"/>
  <c r="DV11" i="14825"/>
  <c r="DW11" i="14825"/>
  <c r="DX11" i="14825"/>
  <c r="DY11" i="14825"/>
  <c r="DZ11" i="14825"/>
  <c r="EA11" i="14825"/>
  <c r="EB11" i="14825"/>
  <c r="EC11" i="14825"/>
  <c r="ED11" i="14825"/>
  <c r="EE11" i="14825"/>
  <c r="EF11" i="14825"/>
  <c r="EG11" i="14825"/>
  <c r="EH11" i="14825"/>
  <c r="EI11" i="14825"/>
  <c r="EJ11" i="14825"/>
  <c r="CS12" i="14825"/>
  <c r="CT12" i="14825"/>
  <c r="CU12" i="14825"/>
  <c r="CV12" i="14825"/>
  <c r="CW12" i="14825"/>
  <c r="CX12" i="14825"/>
  <c r="CY12" i="14825"/>
  <c r="CZ12" i="14825"/>
  <c r="DA12" i="14825"/>
  <c r="DB12" i="14825"/>
  <c r="DC12" i="14825"/>
  <c r="DD12" i="14825"/>
  <c r="DE12" i="14825"/>
  <c r="DF12" i="14825"/>
  <c r="DG12" i="14825"/>
  <c r="DH12" i="14825"/>
  <c r="DI12" i="14825"/>
  <c r="DJ12" i="14825"/>
  <c r="DK12" i="14825"/>
  <c r="DL12" i="14825"/>
  <c r="DM12" i="14825"/>
  <c r="DN12" i="14825"/>
  <c r="DO12" i="14825"/>
  <c r="DP12" i="14825"/>
  <c r="DQ12" i="14825"/>
  <c r="DR12" i="14825"/>
  <c r="DS12" i="14825"/>
  <c r="DT12" i="14825"/>
  <c r="DU12" i="14825"/>
  <c r="DV12" i="14825"/>
  <c r="DW12" i="14825"/>
  <c r="DX12" i="14825"/>
  <c r="DY12" i="14825"/>
  <c r="DZ12" i="14825"/>
  <c r="EA12" i="14825"/>
  <c r="EB12" i="14825"/>
  <c r="EC12" i="14825"/>
  <c r="ED12" i="14825"/>
  <c r="EE12" i="14825"/>
  <c r="EF12" i="14825"/>
  <c r="EG12" i="14825"/>
  <c r="EH12" i="14825"/>
  <c r="EI12" i="14825"/>
  <c r="EJ12" i="14825"/>
  <c r="CS13" i="14825"/>
  <c r="CT13" i="14825"/>
  <c r="CU13" i="14825"/>
  <c r="CV13" i="14825"/>
  <c r="CW13" i="14825"/>
  <c r="CX13" i="14825"/>
  <c r="CY13" i="14825"/>
  <c r="CZ13" i="14825"/>
  <c r="DA13" i="14825"/>
  <c r="DB13" i="14825"/>
  <c r="DC13" i="14825"/>
  <c r="DD13" i="14825"/>
  <c r="DE13" i="14825"/>
  <c r="DF13" i="14825"/>
  <c r="DG13" i="14825"/>
  <c r="DH13" i="14825"/>
  <c r="DI13" i="14825"/>
  <c r="DJ13" i="14825"/>
  <c r="DK13" i="14825"/>
  <c r="DL13" i="14825"/>
  <c r="DM13" i="14825"/>
  <c r="DN13" i="14825"/>
  <c r="DO13" i="14825"/>
  <c r="DP13" i="14825"/>
  <c r="DQ13" i="14825"/>
  <c r="DR13" i="14825"/>
  <c r="DS13" i="14825"/>
  <c r="DT13" i="14825"/>
  <c r="DU13" i="14825"/>
  <c r="DV13" i="14825"/>
  <c r="DW13" i="14825"/>
  <c r="DX13" i="14825"/>
  <c r="DY13" i="14825"/>
  <c r="DZ13" i="14825"/>
  <c r="EA13" i="14825"/>
  <c r="EB13" i="14825"/>
  <c r="EC13" i="14825"/>
  <c r="ED13" i="14825"/>
  <c r="EE13" i="14825"/>
  <c r="EF13" i="14825"/>
  <c r="EG13" i="14825"/>
  <c r="EH13" i="14825"/>
  <c r="EI13" i="14825"/>
  <c r="EJ13" i="14825"/>
  <c r="CS14" i="14825"/>
  <c r="CT14" i="14825"/>
  <c r="CU14" i="14825"/>
  <c r="CV14" i="14825"/>
  <c r="CW14" i="14825"/>
  <c r="CX14" i="14825"/>
  <c r="CY14" i="14825"/>
  <c r="CZ14" i="14825"/>
  <c r="DA14" i="14825"/>
  <c r="DB14" i="14825"/>
  <c r="DC14" i="14825"/>
  <c r="DD14" i="14825"/>
  <c r="DE14" i="14825"/>
  <c r="DF14" i="14825"/>
  <c r="DG14" i="14825"/>
  <c r="DH14" i="14825"/>
  <c r="DI14" i="14825"/>
  <c r="DJ14" i="14825"/>
  <c r="DK14" i="14825"/>
  <c r="DL14" i="14825"/>
  <c r="DM14" i="14825"/>
  <c r="DN14" i="14825"/>
  <c r="DO14" i="14825"/>
  <c r="DP14" i="14825"/>
  <c r="DQ14" i="14825"/>
  <c r="DR14" i="14825"/>
  <c r="DS14" i="14825"/>
  <c r="DT14" i="14825"/>
  <c r="DU14" i="14825"/>
  <c r="DV14" i="14825"/>
  <c r="DW14" i="14825"/>
  <c r="DX14" i="14825"/>
  <c r="DY14" i="14825"/>
  <c r="DZ14" i="14825"/>
  <c r="EA14" i="14825"/>
  <c r="EB14" i="14825"/>
  <c r="EC14" i="14825"/>
  <c r="ED14" i="14825"/>
  <c r="EE14" i="14825"/>
  <c r="EF14" i="14825"/>
  <c r="EG14" i="14825"/>
  <c r="EH14" i="14825"/>
  <c r="EI14" i="14825"/>
  <c r="EJ14" i="14825"/>
  <c r="CS15" i="14825"/>
  <c r="CT15" i="14825"/>
  <c r="CU15" i="14825"/>
  <c r="CV15" i="14825"/>
  <c r="CW15" i="14825"/>
  <c r="CX15" i="14825"/>
  <c r="CY15" i="14825"/>
  <c r="CZ15" i="14825"/>
  <c r="DA15" i="14825"/>
  <c r="DB15" i="14825"/>
  <c r="DC15" i="14825"/>
  <c r="DD15" i="14825"/>
  <c r="DE15" i="14825"/>
  <c r="DF15" i="14825"/>
  <c r="DG15" i="14825"/>
  <c r="DH15" i="14825"/>
  <c r="DI15" i="14825"/>
  <c r="DJ15" i="14825"/>
  <c r="DK15" i="14825"/>
  <c r="DL15" i="14825"/>
  <c r="DM15" i="14825"/>
  <c r="DN15" i="14825"/>
  <c r="DO15" i="14825"/>
  <c r="DP15" i="14825"/>
  <c r="DQ15" i="14825"/>
  <c r="DR15" i="14825"/>
  <c r="DS15" i="14825"/>
  <c r="DT15" i="14825"/>
  <c r="DU15" i="14825"/>
  <c r="DV15" i="14825"/>
  <c r="DW15" i="14825"/>
  <c r="DX15" i="14825"/>
  <c r="DY15" i="14825"/>
  <c r="DZ15" i="14825"/>
  <c r="EA15" i="14825"/>
  <c r="EB15" i="14825"/>
  <c r="EC15" i="14825"/>
  <c r="ED15" i="14825"/>
  <c r="EE15" i="14825"/>
  <c r="EF15" i="14825"/>
  <c r="EG15" i="14825"/>
  <c r="EH15" i="14825"/>
  <c r="EI15" i="14825"/>
  <c r="EJ15" i="14825"/>
  <c r="CS16" i="14825"/>
  <c r="CT16" i="14825"/>
  <c r="CU16" i="14825"/>
  <c r="CV16" i="14825"/>
  <c r="CW16" i="14825"/>
  <c r="CX16" i="14825"/>
  <c r="CY16" i="14825"/>
  <c r="CZ16" i="14825"/>
  <c r="DA16" i="14825"/>
  <c r="DB16" i="14825"/>
  <c r="DC16" i="14825"/>
  <c r="DD16" i="14825"/>
  <c r="DE16" i="14825"/>
  <c r="DF16" i="14825"/>
  <c r="DG16" i="14825"/>
  <c r="DH16" i="14825"/>
  <c r="DI16" i="14825"/>
  <c r="DJ16" i="14825"/>
  <c r="DK16" i="14825"/>
  <c r="DL16" i="14825"/>
  <c r="DM16" i="14825"/>
  <c r="DN16" i="14825"/>
  <c r="DO16" i="14825"/>
  <c r="DP16" i="14825"/>
  <c r="DQ16" i="14825"/>
  <c r="DR16" i="14825"/>
  <c r="DS16" i="14825"/>
  <c r="DT16" i="14825"/>
  <c r="DU16" i="14825"/>
  <c r="DV16" i="14825"/>
  <c r="DW16" i="14825"/>
  <c r="DX16" i="14825"/>
  <c r="DY16" i="14825"/>
  <c r="DZ16" i="14825"/>
  <c r="EA16" i="14825"/>
  <c r="EB16" i="14825"/>
  <c r="EC16" i="14825"/>
  <c r="ED16" i="14825"/>
  <c r="EE16" i="14825"/>
  <c r="EF16" i="14825"/>
  <c r="EG16" i="14825"/>
  <c r="EH16" i="14825"/>
  <c r="EI16" i="14825"/>
  <c r="EJ16" i="14825"/>
  <c r="CS17" i="14825"/>
  <c r="CT17" i="14825"/>
  <c r="CU17" i="14825"/>
  <c r="CV17" i="14825"/>
  <c r="CW17" i="14825"/>
  <c r="CX17" i="14825"/>
  <c r="CY17" i="14825"/>
  <c r="CZ17" i="14825"/>
  <c r="DA17" i="14825"/>
  <c r="DB17" i="14825"/>
  <c r="DC17" i="14825"/>
  <c r="DD17" i="14825"/>
  <c r="DE17" i="14825"/>
  <c r="DF17" i="14825"/>
  <c r="DG17" i="14825"/>
  <c r="DH17" i="14825"/>
  <c r="DI17" i="14825"/>
  <c r="DJ17" i="14825"/>
  <c r="DK17" i="14825"/>
  <c r="DL17" i="14825"/>
  <c r="DM17" i="14825"/>
  <c r="DN17" i="14825"/>
  <c r="DO17" i="14825"/>
  <c r="DP17" i="14825"/>
  <c r="DQ17" i="14825"/>
  <c r="DR17" i="14825"/>
  <c r="DS17" i="14825"/>
  <c r="DT17" i="14825"/>
  <c r="DU17" i="14825"/>
  <c r="DV17" i="14825"/>
  <c r="DW17" i="14825"/>
  <c r="DX17" i="14825"/>
  <c r="DY17" i="14825"/>
  <c r="DZ17" i="14825"/>
  <c r="EA17" i="14825"/>
  <c r="EB17" i="14825"/>
  <c r="EC17" i="14825"/>
  <c r="ED17" i="14825"/>
  <c r="EE17" i="14825"/>
  <c r="EF17" i="14825"/>
  <c r="EG17" i="14825"/>
  <c r="EH17" i="14825"/>
  <c r="EI17" i="14825"/>
  <c r="EJ17" i="14825"/>
  <c r="CS18" i="14825"/>
  <c r="CT18" i="14825"/>
  <c r="CU18" i="14825"/>
  <c r="CV18" i="14825"/>
  <c r="CW18" i="14825"/>
  <c r="CX18" i="14825"/>
  <c r="CY18" i="14825"/>
  <c r="CZ18" i="14825"/>
  <c r="DA18" i="14825"/>
  <c r="DB18" i="14825"/>
  <c r="DC18" i="14825"/>
  <c r="DD18" i="14825"/>
  <c r="DE18" i="14825"/>
  <c r="DF18" i="14825"/>
  <c r="DG18" i="14825"/>
  <c r="DH18" i="14825"/>
  <c r="DI18" i="14825"/>
  <c r="DJ18" i="14825"/>
  <c r="DK18" i="14825"/>
  <c r="DL18" i="14825"/>
  <c r="DM18" i="14825"/>
  <c r="DN18" i="14825"/>
  <c r="DO18" i="14825"/>
  <c r="DP18" i="14825"/>
  <c r="DQ18" i="14825"/>
  <c r="DR18" i="14825"/>
  <c r="DS18" i="14825"/>
  <c r="DT18" i="14825"/>
  <c r="DU18" i="14825"/>
  <c r="DV18" i="14825"/>
  <c r="DW18" i="14825"/>
  <c r="DX18" i="14825"/>
  <c r="DY18" i="14825"/>
  <c r="DZ18" i="14825"/>
  <c r="EA18" i="14825"/>
  <c r="EB18" i="14825"/>
  <c r="EC18" i="14825"/>
  <c r="ED18" i="14825"/>
  <c r="EE18" i="14825"/>
  <c r="EF18" i="14825"/>
  <c r="EG18" i="14825"/>
  <c r="EH18" i="14825"/>
  <c r="EI18" i="14825"/>
  <c r="EJ18" i="14825"/>
  <c r="CS19" i="14825"/>
  <c r="CT19" i="14825"/>
  <c r="CU19" i="14825"/>
  <c r="CV19" i="14825"/>
  <c r="CW19" i="14825"/>
  <c r="CX19" i="14825"/>
  <c r="CY19" i="14825"/>
  <c r="CZ19" i="14825"/>
  <c r="DA19" i="14825"/>
  <c r="DB19" i="14825"/>
  <c r="DC19" i="14825"/>
  <c r="DD19" i="14825"/>
  <c r="DE19" i="14825"/>
  <c r="DF19" i="14825"/>
  <c r="DG19" i="14825"/>
  <c r="DH19" i="14825"/>
  <c r="DI19" i="14825"/>
  <c r="DJ19" i="14825"/>
  <c r="DK19" i="14825"/>
  <c r="DL19" i="14825"/>
  <c r="DM19" i="14825"/>
  <c r="DN19" i="14825"/>
  <c r="DO19" i="14825"/>
  <c r="DP19" i="14825"/>
  <c r="DQ19" i="14825"/>
  <c r="DR19" i="14825"/>
  <c r="DS19" i="14825"/>
  <c r="DT19" i="14825"/>
  <c r="DU19" i="14825"/>
  <c r="DV19" i="14825"/>
  <c r="DW19" i="14825"/>
  <c r="DX19" i="14825"/>
  <c r="DY19" i="14825"/>
  <c r="DZ19" i="14825"/>
  <c r="EA19" i="14825"/>
  <c r="EB19" i="14825"/>
  <c r="EC19" i="14825"/>
  <c r="ED19" i="14825"/>
  <c r="EE19" i="14825"/>
  <c r="EF19" i="14825"/>
  <c r="EG19" i="14825"/>
  <c r="EH19" i="14825"/>
  <c r="EI19" i="14825"/>
  <c r="EJ19" i="14825"/>
  <c r="CS20" i="14825"/>
  <c r="CT20" i="14825"/>
  <c r="CU20" i="14825"/>
  <c r="CV20" i="14825"/>
  <c r="CW20" i="14825"/>
  <c r="CX20" i="14825"/>
  <c r="CY20" i="14825"/>
  <c r="CZ20" i="14825"/>
  <c r="DA20" i="14825"/>
  <c r="DB20" i="14825"/>
  <c r="DC20" i="14825"/>
  <c r="DD20" i="14825"/>
  <c r="DE20" i="14825"/>
  <c r="DF20" i="14825"/>
  <c r="DG20" i="14825"/>
  <c r="DH20" i="14825"/>
  <c r="DI20" i="14825"/>
  <c r="DJ20" i="14825"/>
  <c r="DK20" i="14825"/>
  <c r="DL20" i="14825"/>
  <c r="DM20" i="14825"/>
  <c r="DN20" i="14825"/>
  <c r="DO20" i="14825"/>
  <c r="DP20" i="14825"/>
  <c r="DQ20" i="14825"/>
  <c r="DR20" i="14825"/>
  <c r="DS20" i="14825"/>
  <c r="DT20" i="14825"/>
  <c r="DU20" i="14825"/>
  <c r="DV20" i="14825"/>
  <c r="DW20" i="14825"/>
  <c r="DX20" i="14825"/>
  <c r="DY20" i="14825"/>
  <c r="DZ20" i="14825"/>
  <c r="EA20" i="14825"/>
  <c r="EB20" i="14825"/>
  <c r="EC20" i="14825"/>
  <c r="ED20" i="14825"/>
  <c r="EE20" i="14825"/>
  <c r="EF20" i="14825"/>
  <c r="EG20" i="14825"/>
  <c r="EH20" i="14825"/>
  <c r="EI20" i="14825"/>
  <c r="EJ20" i="14825"/>
  <c r="CS21" i="14825"/>
  <c r="CT21" i="14825"/>
  <c r="CU21" i="14825"/>
  <c r="CV21" i="14825"/>
  <c r="CW21" i="14825"/>
  <c r="CX21" i="14825"/>
  <c r="CY21" i="14825"/>
  <c r="CZ21" i="14825"/>
  <c r="DA21" i="14825"/>
  <c r="DB21" i="14825"/>
  <c r="DC21" i="14825"/>
  <c r="DD21" i="14825"/>
  <c r="DE21" i="14825"/>
  <c r="DF21" i="14825"/>
  <c r="DG21" i="14825"/>
  <c r="DH21" i="14825"/>
  <c r="DI21" i="14825"/>
  <c r="DJ21" i="14825"/>
  <c r="DK21" i="14825"/>
  <c r="DL21" i="14825"/>
  <c r="DM21" i="14825"/>
  <c r="DN21" i="14825"/>
  <c r="DO21" i="14825"/>
  <c r="DP21" i="14825"/>
  <c r="DQ21" i="14825"/>
  <c r="DR21" i="14825"/>
  <c r="DS21" i="14825"/>
  <c r="DT21" i="14825"/>
  <c r="DU21" i="14825"/>
  <c r="DV21" i="14825"/>
  <c r="DW21" i="14825"/>
  <c r="DX21" i="14825"/>
  <c r="DY21" i="14825"/>
  <c r="DZ21" i="14825"/>
  <c r="EA21" i="14825"/>
  <c r="EB21" i="14825"/>
  <c r="EC21" i="14825"/>
  <c r="ED21" i="14825"/>
  <c r="EE21" i="14825"/>
  <c r="EF21" i="14825"/>
  <c r="EG21" i="14825"/>
  <c r="EH21" i="14825"/>
  <c r="EI21" i="14825"/>
  <c r="EJ21" i="14825"/>
  <c r="CS22" i="14825"/>
  <c r="CT22" i="14825"/>
  <c r="CU22" i="14825"/>
  <c r="CV22" i="14825"/>
  <c r="CW22" i="14825"/>
  <c r="CX22" i="14825"/>
  <c r="CY22" i="14825"/>
  <c r="CZ22" i="14825"/>
  <c r="DA22" i="14825"/>
  <c r="DB22" i="14825"/>
  <c r="DC22" i="14825"/>
  <c r="DD22" i="14825"/>
  <c r="DE22" i="14825"/>
  <c r="DF22" i="14825"/>
  <c r="DG22" i="14825"/>
  <c r="DH22" i="14825"/>
  <c r="DI22" i="14825"/>
  <c r="DJ22" i="14825"/>
  <c r="DK22" i="14825"/>
  <c r="DL22" i="14825"/>
  <c r="DM22" i="14825"/>
  <c r="DN22" i="14825"/>
  <c r="DO22" i="14825"/>
  <c r="DP22" i="14825"/>
  <c r="DQ22" i="14825"/>
  <c r="DR22" i="14825"/>
  <c r="DS22" i="14825"/>
  <c r="DT22" i="14825"/>
  <c r="DU22" i="14825"/>
  <c r="DV22" i="14825"/>
  <c r="DW22" i="14825"/>
  <c r="DX22" i="14825"/>
  <c r="DY22" i="14825"/>
  <c r="DZ22" i="14825"/>
  <c r="EA22" i="14825"/>
  <c r="EB22" i="14825"/>
  <c r="EC22" i="14825"/>
  <c r="ED22" i="14825"/>
  <c r="EE22" i="14825"/>
  <c r="EF22" i="14825"/>
  <c r="EG22" i="14825"/>
  <c r="EH22" i="14825"/>
  <c r="EI22" i="14825"/>
  <c r="EJ22" i="14825"/>
  <c r="CS23" i="14825"/>
  <c r="CT23" i="14825"/>
  <c r="CU23" i="14825"/>
  <c r="CV23" i="14825"/>
  <c r="CW23" i="14825"/>
  <c r="CX23" i="14825"/>
  <c r="CY23" i="14825"/>
  <c r="CZ23" i="14825"/>
  <c r="DA23" i="14825"/>
  <c r="DB23" i="14825"/>
  <c r="DC23" i="14825"/>
  <c r="DD23" i="14825"/>
  <c r="DE23" i="14825"/>
  <c r="DF23" i="14825"/>
  <c r="DG23" i="14825"/>
  <c r="DH23" i="14825"/>
  <c r="DI23" i="14825"/>
  <c r="DJ23" i="14825"/>
  <c r="DK23" i="14825"/>
  <c r="DL23" i="14825"/>
  <c r="DM23" i="14825"/>
  <c r="DN23" i="14825"/>
  <c r="DO23" i="14825"/>
  <c r="DP23" i="14825"/>
  <c r="DQ23" i="14825"/>
  <c r="DR23" i="14825"/>
  <c r="DS23" i="14825"/>
  <c r="DT23" i="14825"/>
  <c r="DU23" i="14825"/>
  <c r="DV23" i="14825"/>
  <c r="DW23" i="14825"/>
  <c r="DX23" i="14825"/>
  <c r="DY23" i="14825"/>
  <c r="DZ23" i="14825"/>
  <c r="EA23" i="14825"/>
  <c r="EB23" i="14825"/>
  <c r="EC23" i="14825"/>
  <c r="ED23" i="14825"/>
  <c r="EE23" i="14825"/>
  <c r="EF23" i="14825"/>
  <c r="EG23" i="14825"/>
  <c r="EH23" i="14825"/>
  <c r="EI23" i="14825"/>
  <c r="EJ23" i="14825"/>
  <c r="CS24" i="14825"/>
  <c r="CT24" i="14825"/>
  <c r="CU24" i="14825"/>
  <c r="CV24" i="14825"/>
  <c r="CW24" i="14825"/>
  <c r="CX24" i="14825"/>
  <c r="CY24" i="14825"/>
  <c r="CZ24" i="14825"/>
  <c r="DA24" i="14825"/>
  <c r="DB24" i="14825"/>
  <c r="DC24" i="14825"/>
  <c r="DD24" i="14825"/>
  <c r="DE24" i="14825"/>
  <c r="DF24" i="14825"/>
  <c r="DG24" i="14825"/>
  <c r="DH24" i="14825"/>
  <c r="DI24" i="14825"/>
  <c r="DJ24" i="14825"/>
  <c r="DK24" i="14825"/>
  <c r="DL24" i="14825"/>
  <c r="DM24" i="14825"/>
  <c r="DN24" i="14825"/>
  <c r="DO24" i="14825"/>
  <c r="DP24" i="14825"/>
  <c r="DQ24" i="14825"/>
  <c r="DR24" i="14825"/>
  <c r="DS24" i="14825"/>
  <c r="DT24" i="14825"/>
  <c r="DU24" i="14825"/>
  <c r="DV24" i="14825"/>
  <c r="DW24" i="14825"/>
  <c r="DX24" i="14825"/>
  <c r="DY24" i="14825"/>
  <c r="DZ24" i="14825"/>
  <c r="EA24" i="14825"/>
  <c r="EB24" i="14825"/>
  <c r="EC24" i="14825"/>
  <c r="ED24" i="14825"/>
  <c r="EE24" i="14825"/>
  <c r="EF24" i="14825"/>
  <c r="EG24" i="14825"/>
  <c r="EH24" i="14825"/>
  <c r="EI24" i="14825"/>
  <c r="EJ24" i="14825"/>
  <c r="CS25" i="14825"/>
  <c r="CT25" i="14825"/>
  <c r="CU25" i="14825"/>
  <c r="CV25" i="14825"/>
  <c r="CW25" i="14825"/>
  <c r="CX25" i="14825"/>
  <c r="CY25" i="14825"/>
  <c r="CZ25" i="14825"/>
  <c r="DA25" i="14825"/>
  <c r="DB25" i="14825"/>
  <c r="DC25" i="14825"/>
  <c r="DD25" i="14825"/>
  <c r="DE25" i="14825"/>
  <c r="DF25" i="14825"/>
  <c r="DG25" i="14825"/>
  <c r="DH25" i="14825"/>
  <c r="DI25" i="14825"/>
  <c r="DJ25" i="14825"/>
  <c r="DK25" i="14825"/>
  <c r="DL25" i="14825"/>
  <c r="DM25" i="14825"/>
  <c r="DN25" i="14825"/>
  <c r="DO25" i="14825"/>
  <c r="DP25" i="14825"/>
  <c r="DQ25" i="14825"/>
  <c r="DR25" i="14825"/>
  <c r="DS25" i="14825"/>
  <c r="DT25" i="14825"/>
  <c r="DU25" i="14825"/>
  <c r="DV25" i="14825"/>
  <c r="DW25" i="14825"/>
  <c r="DX25" i="14825"/>
  <c r="DY25" i="14825"/>
  <c r="DZ25" i="14825"/>
  <c r="EA25" i="14825"/>
  <c r="EB25" i="14825"/>
  <c r="EC25" i="14825"/>
  <c r="ED25" i="14825"/>
  <c r="EE25" i="14825"/>
  <c r="EF25" i="14825"/>
  <c r="EG25" i="14825"/>
  <c r="EH25" i="14825"/>
  <c r="EI25" i="14825"/>
  <c r="EJ25" i="14825"/>
  <c r="CS26" i="14825"/>
  <c r="CT26" i="14825"/>
  <c r="CU26" i="14825"/>
  <c r="CV26" i="14825"/>
  <c r="CW26" i="14825"/>
  <c r="CX26" i="14825"/>
  <c r="CY26" i="14825"/>
  <c r="CZ26" i="14825"/>
  <c r="DA26" i="14825"/>
  <c r="DB26" i="14825"/>
  <c r="DC26" i="14825"/>
  <c r="DD26" i="14825"/>
  <c r="DE26" i="14825"/>
  <c r="DF26" i="14825"/>
  <c r="DG26" i="14825"/>
  <c r="DH26" i="14825"/>
  <c r="DI26" i="14825"/>
  <c r="DJ26" i="14825"/>
  <c r="DK26" i="14825"/>
  <c r="DL26" i="14825"/>
  <c r="DM26" i="14825"/>
  <c r="DN26" i="14825"/>
  <c r="DO26" i="14825"/>
  <c r="DP26" i="14825"/>
  <c r="DQ26" i="14825"/>
  <c r="DR26" i="14825"/>
  <c r="DS26" i="14825"/>
  <c r="DT26" i="14825"/>
  <c r="DU26" i="14825"/>
  <c r="DV26" i="14825"/>
  <c r="DW26" i="14825"/>
  <c r="DX26" i="14825"/>
  <c r="DY26" i="14825"/>
  <c r="DZ26" i="14825"/>
  <c r="EA26" i="14825"/>
  <c r="EB26" i="14825"/>
  <c r="EC26" i="14825"/>
  <c r="ED26" i="14825"/>
  <c r="EE26" i="14825"/>
  <c r="EF26" i="14825"/>
  <c r="EG26" i="14825"/>
  <c r="EH26" i="14825"/>
  <c r="EI26" i="14825"/>
  <c r="EJ26" i="14825"/>
  <c r="CS27" i="14825"/>
  <c r="CT27" i="14825"/>
  <c r="CU27" i="14825"/>
  <c r="CV27" i="14825"/>
  <c r="CW27" i="14825"/>
  <c r="CX27" i="14825"/>
  <c r="CY27" i="14825"/>
  <c r="CZ27" i="14825"/>
  <c r="DA27" i="14825"/>
  <c r="DB27" i="14825"/>
  <c r="DC27" i="14825"/>
  <c r="DD27" i="14825"/>
  <c r="DE27" i="14825"/>
  <c r="DF27" i="14825"/>
  <c r="DG27" i="14825"/>
  <c r="DH27" i="14825"/>
  <c r="DI27" i="14825"/>
  <c r="DJ27" i="14825"/>
  <c r="DK27" i="14825"/>
  <c r="DL27" i="14825"/>
  <c r="DM27" i="14825"/>
  <c r="DN27" i="14825"/>
  <c r="DO27" i="14825"/>
  <c r="DP27" i="14825"/>
  <c r="DQ27" i="14825"/>
  <c r="DR27" i="14825"/>
  <c r="DS27" i="14825"/>
  <c r="DT27" i="14825"/>
  <c r="DU27" i="14825"/>
  <c r="DV27" i="14825"/>
  <c r="DW27" i="14825"/>
  <c r="DX27" i="14825"/>
  <c r="DY27" i="14825"/>
  <c r="DZ27" i="14825"/>
  <c r="EA27" i="14825"/>
  <c r="EB27" i="14825"/>
  <c r="EC27" i="14825"/>
  <c r="ED27" i="14825"/>
  <c r="EE27" i="14825"/>
  <c r="EF27" i="14825"/>
  <c r="EG27" i="14825"/>
  <c r="EH27" i="14825"/>
  <c r="EI27" i="14825"/>
  <c r="EJ27" i="14825"/>
  <c r="CS28" i="14825"/>
  <c r="CT28" i="14825"/>
  <c r="CU28" i="14825"/>
  <c r="CV28" i="14825"/>
  <c r="CW28" i="14825"/>
  <c r="CX28" i="14825"/>
  <c r="CY28" i="14825"/>
  <c r="CZ28" i="14825"/>
  <c r="DA28" i="14825"/>
  <c r="DB28" i="14825"/>
  <c r="DC28" i="14825"/>
  <c r="DD28" i="14825"/>
  <c r="DE28" i="14825"/>
  <c r="DF28" i="14825"/>
  <c r="DG28" i="14825"/>
  <c r="DH28" i="14825"/>
  <c r="DI28" i="14825"/>
  <c r="DJ28" i="14825"/>
  <c r="DK28" i="14825"/>
  <c r="DL28" i="14825"/>
  <c r="DM28" i="14825"/>
  <c r="DN28" i="14825"/>
  <c r="DO28" i="14825"/>
  <c r="DP28" i="14825"/>
  <c r="DQ28" i="14825"/>
  <c r="DR28" i="14825"/>
  <c r="DS28" i="14825"/>
  <c r="DT28" i="14825"/>
  <c r="DU28" i="14825"/>
  <c r="DV28" i="14825"/>
  <c r="DW28" i="14825"/>
  <c r="DX28" i="14825"/>
  <c r="DY28" i="14825"/>
  <c r="DZ28" i="14825"/>
  <c r="EA28" i="14825"/>
  <c r="EB28" i="14825"/>
  <c r="EC28" i="14825"/>
  <c r="ED28" i="14825"/>
  <c r="EE28" i="14825"/>
  <c r="EF28" i="14825"/>
  <c r="EG28" i="14825"/>
  <c r="EH28" i="14825"/>
  <c r="EI28" i="14825"/>
  <c r="EJ28" i="14825"/>
  <c r="CS29" i="14825"/>
  <c r="CT29" i="14825"/>
  <c r="CU29" i="14825"/>
  <c r="CV29" i="14825"/>
  <c r="CW29" i="14825"/>
  <c r="CX29" i="14825"/>
  <c r="CY29" i="14825"/>
  <c r="CZ29" i="14825"/>
  <c r="DA29" i="14825"/>
  <c r="DB29" i="14825"/>
  <c r="DC29" i="14825"/>
  <c r="DD29" i="14825"/>
  <c r="DE29" i="14825"/>
  <c r="DF29" i="14825"/>
  <c r="DG29" i="14825"/>
  <c r="DH29" i="14825"/>
  <c r="DI29" i="14825"/>
  <c r="DJ29" i="14825"/>
  <c r="DK29" i="14825"/>
  <c r="DL29" i="14825"/>
  <c r="DM29" i="14825"/>
  <c r="DN29" i="14825"/>
  <c r="DO29" i="14825"/>
  <c r="DP29" i="14825"/>
  <c r="DQ29" i="14825"/>
  <c r="DR29" i="14825"/>
  <c r="DS29" i="14825"/>
  <c r="DT29" i="14825"/>
  <c r="DU29" i="14825"/>
  <c r="DV29" i="14825"/>
  <c r="DW29" i="14825"/>
  <c r="DX29" i="14825"/>
  <c r="DY29" i="14825"/>
  <c r="DZ29" i="14825"/>
  <c r="EA29" i="14825"/>
  <c r="EB29" i="14825"/>
  <c r="EC29" i="14825"/>
  <c r="ED29" i="14825"/>
  <c r="EE29" i="14825"/>
  <c r="EF29" i="14825"/>
  <c r="EG29" i="14825"/>
  <c r="EH29" i="14825"/>
  <c r="EI29" i="14825"/>
  <c r="EJ29" i="14825"/>
  <c r="CS30" i="14825"/>
  <c r="CT30" i="14825"/>
  <c r="CU30" i="14825"/>
  <c r="CV30" i="14825"/>
  <c r="CW30" i="14825"/>
  <c r="CX30" i="14825"/>
  <c r="CY30" i="14825"/>
  <c r="CZ30" i="14825"/>
  <c r="DA30" i="14825"/>
  <c r="DB30" i="14825"/>
  <c r="DC30" i="14825"/>
  <c r="DD30" i="14825"/>
  <c r="DE30" i="14825"/>
  <c r="DF30" i="14825"/>
  <c r="DG30" i="14825"/>
  <c r="DH30" i="14825"/>
  <c r="DI30" i="14825"/>
  <c r="DJ30" i="14825"/>
  <c r="DK30" i="14825"/>
  <c r="DL30" i="14825"/>
  <c r="DM30" i="14825"/>
  <c r="DN30" i="14825"/>
  <c r="DO30" i="14825"/>
  <c r="DP30" i="14825"/>
  <c r="DQ30" i="14825"/>
  <c r="DR30" i="14825"/>
  <c r="DS30" i="14825"/>
  <c r="DT30" i="14825"/>
  <c r="DU30" i="14825"/>
  <c r="DV30" i="14825"/>
  <c r="DW30" i="14825"/>
  <c r="DX30" i="14825"/>
  <c r="DY30" i="14825"/>
  <c r="DZ30" i="14825"/>
  <c r="EA30" i="14825"/>
  <c r="EB30" i="14825"/>
  <c r="EC30" i="14825"/>
  <c r="ED30" i="14825"/>
  <c r="EE30" i="14825"/>
  <c r="EF30" i="14825"/>
  <c r="EG30" i="14825"/>
  <c r="EH30" i="14825"/>
  <c r="EI30" i="14825"/>
  <c r="EJ30" i="14825"/>
  <c r="CS31" i="14825"/>
  <c r="CT31" i="14825"/>
  <c r="CU31" i="14825"/>
  <c r="CV31" i="14825"/>
  <c r="CW31" i="14825"/>
  <c r="CX31" i="14825"/>
  <c r="CY31" i="14825"/>
  <c r="CZ31" i="14825"/>
  <c r="DA31" i="14825"/>
  <c r="DB31" i="14825"/>
  <c r="DC31" i="14825"/>
  <c r="DD31" i="14825"/>
  <c r="DE31" i="14825"/>
  <c r="DF31" i="14825"/>
  <c r="DG31" i="14825"/>
  <c r="DH31" i="14825"/>
  <c r="DI31" i="14825"/>
  <c r="DJ31" i="14825"/>
  <c r="DK31" i="14825"/>
  <c r="DL31" i="14825"/>
  <c r="DM31" i="14825"/>
  <c r="DN31" i="14825"/>
  <c r="DO31" i="14825"/>
  <c r="DP31" i="14825"/>
  <c r="DQ31" i="14825"/>
  <c r="DR31" i="14825"/>
  <c r="DS31" i="14825"/>
  <c r="DT31" i="14825"/>
  <c r="DU31" i="14825"/>
  <c r="DV31" i="14825"/>
  <c r="DW31" i="14825"/>
  <c r="DX31" i="14825"/>
  <c r="DY31" i="14825"/>
  <c r="DZ31" i="14825"/>
  <c r="EA31" i="14825"/>
  <c r="EB31" i="14825"/>
  <c r="EC31" i="14825"/>
  <c r="ED31" i="14825"/>
  <c r="EE31" i="14825"/>
  <c r="EF31" i="14825"/>
  <c r="EG31" i="14825"/>
  <c r="EH31" i="14825"/>
  <c r="EI31" i="14825"/>
  <c r="EJ31" i="14825"/>
  <c r="CS32" i="14825"/>
  <c r="CT32" i="14825"/>
  <c r="CU32" i="14825"/>
  <c r="CV32" i="14825"/>
  <c r="CW32" i="14825"/>
  <c r="CX32" i="14825"/>
  <c r="CY32" i="14825"/>
  <c r="CZ32" i="14825"/>
  <c r="DA32" i="14825"/>
  <c r="DB32" i="14825"/>
  <c r="DC32" i="14825"/>
  <c r="DD32" i="14825"/>
  <c r="DE32" i="14825"/>
  <c r="DF32" i="14825"/>
  <c r="DG32" i="14825"/>
  <c r="DH32" i="14825"/>
  <c r="DI32" i="14825"/>
  <c r="DJ32" i="14825"/>
  <c r="DK32" i="14825"/>
  <c r="DL32" i="14825"/>
  <c r="DM32" i="14825"/>
  <c r="DN32" i="14825"/>
  <c r="DO32" i="14825"/>
  <c r="DP32" i="14825"/>
  <c r="DQ32" i="14825"/>
  <c r="DR32" i="14825"/>
  <c r="DS32" i="14825"/>
  <c r="DT32" i="14825"/>
  <c r="DU32" i="14825"/>
  <c r="DV32" i="14825"/>
  <c r="DW32" i="14825"/>
  <c r="DX32" i="14825"/>
  <c r="DY32" i="14825"/>
  <c r="DZ32" i="14825"/>
  <c r="EA32" i="14825"/>
  <c r="EB32" i="14825"/>
  <c r="EC32" i="14825"/>
  <c r="ED32" i="14825"/>
  <c r="EE32" i="14825"/>
  <c r="EF32" i="14825"/>
  <c r="EG32" i="14825"/>
  <c r="EH32" i="14825"/>
  <c r="EI32" i="14825"/>
  <c r="EJ32" i="14825"/>
  <c r="CS33" i="14825"/>
  <c r="CT33" i="14825"/>
  <c r="CU33" i="14825"/>
  <c r="CV33" i="14825"/>
  <c r="CW33" i="14825"/>
  <c r="CX33" i="14825"/>
  <c r="CY33" i="14825"/>
  <c r="CZ33" i="14825"/>
  <c r="DA33" i="14825"/>
  <c r="DB33" i="14825"/>
  <c r="DC33" i="14825"/>
  <c r="DD33" i="14825"/>
  <c r="DE33" i="14825"/>
  <c r="DF33" i="14825"/>
  <c r="DG33" i="14825"/>
  <c r="DH33" i="14825"/>
  <c r="DI33" i="14825"/>
  <c r="DJ33" i="14825"/>
  <c r="DK33" i="14825"/>
  <c r="DL33" i="14825"/>
  <c r="DM33" i="14825"/>
  <c r="DN33" i="14825"/>
  <c r="DO33" i="14825"/>
  <c r="DP33" i="14825"/>
  <c r="DQ33" i="14825"/>
  <c r="DR33" i="14825"/>
  <c r="DS33" i="14825"/>
  <c r="DT33" i="14825"/>
  <c r="DU33" i="14825"/>
  <c r="DV33" i="14825"/>
  <c r="DW33" i="14825"/>
  <c r="DX33" i="14825"/>
  <c r="DY33" i="14825"/>
  <c r="DZ33" i="14825"/>
  <c r="EA33" i="14825"/>
  <c r="EB33" i="14825"/>
  <c r="EC33" i="14825"/>
  <c r="ED33" i="14825"/>
  <c r="EE33" i="14825"/>
  <c r="EF33" i="14825"/>
  <c r="EG33" i="14825"/>
  <c r="EH33" i="14825"/>
  <c r="EI33" i="14825"/>
  <c r="EJ33" i="14825"/>
  <c r="CS34" i="14825"/>
  <c r="CT34" i="14825"/>
  <c r="CU34" i="14825"/>
  <c r="CV34" i="14825"/>
  <c r="CW34" i="14825"/>
  <c r="CX34" i="14825"/>
  <c r="CY34" i="14825"/>
  <c r="CZ34" i="14825"/>
  <c r="DA34" i="14825"/>
  <c r="DB34" i="14825"/>
  <c r="DC34" i="14825"/>
  <c r="DD34" i="14825"/>
  <c r="DE34" i="14825"/>
  <c r="DF34" i="14825"/>
  <c r="DG34" i="14825"/>
  <c r="DH34" i="14825"/>
  <c r="DI34" i="14825"/>
  <c r="DJ34" i="14825"/>
  <c r="DK34" i="14825"/>
  <c r="DL34" i="14825"/>
  <c r="DM34" i="14825"/>
  <c r="DN34" i="14825"/>
  <c r="DO34" i="14825"/>
  <c r="DP34" i="14825"/>
  <c r="DQ34" i="14825"/>
  <c r="DR34" i="14825"/>
  <c r="DS34" i="14825"/>
  <c r="DT34" i="14825"/>
  <c r="DU34" i="14825"/>
  <c r="DV34" i="14825"/>
  <c r="DW34" i="14825"/>
  <c r="DX34" i="14825"/>
  <c r="DY34" i="14825"/>
  <c r="DZ34" i="14825"/>
  <c r="EA34" i="14825"/>
  <c r="EB34" i="14825"/>
  <c r="EC34" i="14825"/>
  <c r="ED34" i="14825"/>
  <c r="EE34" i="14825"/>
  <c r="EF34" i="14825"/>
  <c r="EG34" i="14825"/>
  <c r="EH34" i="14825"/>
  <c r="EI34" i="14825"/>
  <c r="EJ34" i="14825"/>
  <c r="CS35" i="14825"/>
  <c r="CT35" i="14825"/>
  <c r="CU35" i="14825"/>
  <c r="CV35" i="14825"/>
  <c r="CW35" i="14825"/>
  <c r="CX35" i="14825"/>
  <c r="CY35" i="14825"/>
  <c r="CZ35" i="14825"/>
  <c r="DA35" i="14825"/>
  <c r="DB35" i="14825"/>
  <c r="DC35" i="14825"/>
  <c r="DD35" i="14825"/>
  <c r="DE35" i="14825"/>
  <c r="DF35" i="14825"/>
  <c r="DG35" i="14825"/>
  <c r="DH35" i="14825"/>
  <c r="DI35" i="14825"/>
  <c r="DJ35" i="14825"/>
  <c r="DK35" i="14825"/>
  <c r="DL35" i="14825"/>
  <c r="DM35" i="14825"/>
  <c r="DN35" i="14825"/>
  <c r="DO35" i="14825"/>
  <c r="DP35" i="14825"/>
  <c r="DQ35" i="14825"/>
  <c r="DR35" i="14825"/>
  <c r="DS35" i="14825"/>
  <c r="DT35" i="14825"/>
  <c r="DU35" i="14825"/>
  <c r="DV35" i="14825"/>
  <c r="DW35" i="14825"/>
  <c r="DX35" i="14825"/>
  <c r="DY35" i="14825"/>
  <c r="DZ35" i="14825"/>
  <c r="EA35" i="14825"/>
  <c r="EB35" i="14825"/>
  <c r="EC35" i="14825"/>
  <c r="ED35" i="14825"/>
  <c r="EE35" i="14825"/>
  <c r="EF35" i="14825"/>
  <c r="EG35" i="14825"/>
  <c r="EH35" i="14825"/>
  <c r="EI35" i="14825"/>
  <c r="EJ35" i="14825"/>
  <c r="CS36" i="14825"/>
  <c r="CT36" i="14825"/>
  <c r="CU36" i="14825"/>
  <c r="CV36" i="14825"/>
  <c r="CW36" i="14825"/>
  <c r="CX36" i="14825"/>
  <c r="CY36" i="14825"/>
  <c r="CZ36" i="14825"/>
  <c r="DA36" i="14825"/>
  <c r="DB36" i="14825"/>
  <c r="DC36" i="14825"/>
  <c r="DD36" i="14825"/>
  <c r="DE36" i="14825"/>
  <c r="DF36" i="14825"/>
  <c r="DG36" i="14825"/>
  <c r="DH36" i="14825"/>
  <c r="DI36" i="14825"/>
  <c r="DJ36" i="14825"/>
  <c r="DK36" i="14825"/>
  <c r="DL36" i="14825"/>
  <c r="DM36" i="14825"/>
  <c r="DN36" i="14825"/>
  <c r="DO36" i="14825"/>
  <c r="DP36" i="14825"/>
  <c r="DQ36" i="14825"/>
  <c r="DR36" i="14825"/>
  <c r="DS36" i="14825"/>
  <c r="DT36" i="14825"/>
  <c r="DU36" i="14825"/>
  <c r="DV36" i="14825"/>
  <c r="DW36" i="14825"/>
  <c r="DX36" i="14825"/>
  <c r="DY36" i="14825"/>
  <c r="DZ36" i="14825"/>
  <c r="EA36" i="14825"/>
  <c r="EB36" i="14825"/>
  <c r="EC36" i="14825"/>
  <c r="ED36" i="14825"/>
  <c r="EE36" i="14825"/>
  <c r="EF36" i="14825"/>
  <c r="EG36" i="14825"/>
  <c r="EH36" i="14825"/>
  <c r="EI36" i="14825"/>
  <c r="EJ36" i="14825"/>
  <c r="CS37" i="14825"/>
  <c r="CT37" i="14825"/>
  <c r="CU37" i="14825"/>
  <c r="CV37" i="14825"/>
  <c r="CW37" i="14825"/>
  <c r="CX37" i="14825"/>
  <c r="CY37" i="14825"/>
  <c r="CZ37" i="14825"/>
  <c r="DA37" i="14825"/>
  <c r="DB37" i="14825"/>
  <c r="DC37" i="14825"/>
  <c r="DD37" i="14825"/>
  <c r="DE37" i="14825"/>
  <c r="DF37" i="14825"/>
  <c r="DG37" i="14825"/>
  <c r="DH37" i="14825"/>
  <c r="DI37" i="14825"/>
  <c r="DJ37" i="14825"/>
  <c r="DK37" i="14825"/>
  <c r="DL37" i="14825"/>
  <c r="DM37" i="14825"/>
  <c r="DN37" i="14825"/>
  <c r="DO37" i="14825"/>
  <c r="DP37" i="14825"/>
  <c r="DQ37" i="14825"/>
  <c r="DR37" i="14825"/>
  <c r="DS37" i="14825"/>
  <c r="DT37" i="14825"/>
  <c r="DU37" i="14825"/>
  <c r="DV37" i="14825"/>
  <c r="DW37" i="14825"/>
  <c r="DX37" i="14825"/>
  <c r="DY37" i="14825"/>
  <c r="DZ37" i="14825"/>
  <c r="EA37" i="14825"/>
  <c r="EB37" i="14825"/>
  <c r="EC37" i="14825"/>
  <c r="ED37" i="14825"/>
  <c r="EE37" i="14825"/>
  <c r="EF37" i="14825"/>
  <c r="EG37" i="14825"/>
  <c r="EH37" i="14825"/>
  <c r="EI37" i="14825"/>
  <c r="EJ37" i="14825"/>
  <c r="CS38" i="14825"/>
  <c r="CT38" i="14825"/>
  <c r="CU38" i="14825"/>
  <c r="CV38" i="14825"/>
  <c r="CW38" i="14825"/>
  <c r="CX38" i="14825"/>
  <c r="CY38" i="14825"/>
  <c r="CZ38" i="14825"/>
  <c r="DA38" i="14825"/>
  <c r="DB38" i="14825"/>
  <c r="DC38" i="14825"/>
  <c r="DD38" i="14825"/>
  <c r="DE38" i="14825"/>
  <c r="DF38" i="14825"/>
  <c r="DG38" i="14825"/>
  <c r="DH38" i="14825"/>
  <c r="DI38" i="14825"/>
  <c r="DJ38" i="14825"/>
  <c r="DK38" i="14825"/>
  <c r="DL38" i="14825"/>
  <c r="DM38" i="14825"/>
  <c r="DN38" i="14825"/>
  <c r="DO38" i="14825"/>
  <c r="DP38" i="14825"/>
  <c r="DQ38" i="14825"/>
  <c r="DR38" i="14825"/>
  <c r="DS38" i="14825"/>
  <c r="DT38" i="14825"/>
  <c r="DU38" i="14825"/>
  <c r="DV38" i="14825"/>
  <c r="DW38" i="14825"/>
  <c r="DX38" i="14825"/>
  <c r="DY38" i="14825"/>
  <c r="DZ38" i="14825"/>
  <c r="EA38" i="14825"/>
  <c r="EB38" i="14825"/>
  <c r="EC38" i="14825"/>
  <c r="ED38" i="14825"/>
  <c r="EE38" i="14825"/>
  <c r="EF38" i="14825"/>
  <c r="EG38" i="14825"/>
  <c r="EH38" i="14825"/>
  <c r="EI38" i="14825"/>
  <c r="EJ38" i="14825"/>
  <c r="CS39" i="14825"/>
  <c r="CT39" i="14825"/>
  <c r="CU39" i="14825"/>
  <c r="CV39" i="14825"/>
  <c r="CW39" i="14825"/>
  <c r="CX39" i="14825"/>
  <c r="CY39" i="14825"/>
  <c r="CZ39" i="14825"/>
  <c r="DA39" i="14825"/>
  <c r="DB39" i="14825"/>
  <c r="DC39" i="14825"/>
  <c r="DD39" i="14825"/>
  <c r="DE39" i="14825"/>
  <c r="DF39" i="14825"/>
  <c r="DG39" i="14825"/>
  <c r="DH39" i="14825"/>
  <c r="DI39" i="14825"/>
  <c r="DJ39" i="14825"/>
  <c r="DK39" i="14825"/>
  <c r="DL39" i="14825"/>
  <c r="DM39" i="14825"/>
  <c r="DN39" i="14825"/>
  <c r="DO39" i="14825"/>
  <c r="DP39" i="14825"/>
  <c r="DQ39" i="14825"/>
  <c r="DR39" i="14825"/>
  <c r="DS39" i="14825"/>
  <c r="DT39" i="14825"/>
  <c r="DU39" i="14825"/>
  <c r="DV39" i="14825"/>
  <c r="DW39" i="14825"/>
  <c r="DX39" i="14825"/>
  <c r="DY39" i="14825"/>
  <c r="DZ39" i="14825"/>
  <c r="EA39" i="14825"/>
  <c r="EB39" i="14825"/>
  <c r="EC39" i="14825"/>
  <c r="ED39" i="14825"/>
  <c r="EE39" i="14825"/>
  <c r="EF39" i="14825"/>
  <c r="EG39" i="14825"/>
  <c r="EH39" i="14825"/>
  <c r="EI39" i="14825"/>
  <c r="EJ39" i="14825"/>
  <c r="CS40" i="14825"/>
  <c r="CT40" i="14825"/>
  <c r="CU40" i="14825"/>
  <c r="CV40" i="14825"/>
  <c r="CW40" i="14825"/>
  <c r="CX40" i="14825"/>
  <c r="CY40" i="14825"/>
  <c r="CZ40" i="14825"/>
  <c r="DA40" i="14825"/>
  <c r="DB40" i="14825"/>
  <c r="DC40" i="14825"/>
  <c r="DD40" i="14825"/>
  <c r="DE40" i="14825"/>
  <c r="DF40" i="14825"/>
  <c r="DG40" i="14825"/>
  <c r="DH40" i="14825"/>
  <c r="DI40" i="14825"/>
  <c r="DJ40" i="14825"/>
  <c r="DK40" i="14825"/>
  <c r="DL40" i="14825"/>
  <c r="DM40" i="14825"/>
  <c r="DN40" i="14825"/>
  <c r="DO40" i="14825"/>
  <c r="DP40" i="14825"/>
  <c r="DQ40" i="14825"/>
  <c r="DR40" i="14825"/>
  <c r="DS40" i="14825"/>
  <c r="DT40" i="14825"/>
  <c r="DU40" i="14825"/>
  <c r="DV40" i="14825"/>
  <c r="DW40" i="14825"/>
  <c r="DX40" i="14825"/>
  <c r="DY40" i="14825"/>
  <c r="DZ40" i="14825"/>
  <c r="EA40" i="14825"/>
  <c r="EB40" i="14825"/>
  <c r="EC40" i="14825"/>
  <c r="ED40" i="14825"/>
  <c r="EE40" i="14825"/>
  <c r="EF40" i="14825"/>
  <c r="EG40" i="14825"/>
  <c r="EH40" i="14825"/>
  <c r="EI40" i="14825"/>
  <c r="EJ40" i="14825"/>
  <c r="CS41" i="14825"/>
  <c r="CT41" i="14825"/>
  <c r="CU41" i="14825"/>
  <c r="CV41" i="14825"/>
  <c r="CW41" i="14825"/>
  <c r="CX41" i="14825"/>
  <c r="CY41" i="14825"/>
  <c r="CZ41" i="14825"/>
  <c r="DA41" i="14825"/>
  <c r="DB41" i="14825"/>
  <c r="DC41" i="14825"/>
  <c r="DD41" i="14825"/>
  <c r="DE41" i="14825"/>
  <c r="DF41" i="14825"/>
  <c r="DG41" i="14825"/>
  <c r="DH41" i="14825"/>
  <c r="DI41" i="14825"/>
  <c r="DJ41" i="14825"/>
  <c r="DK41" i="14825"/>
  <c r="DL41" i="14825"/>
  <c r="DM41" i="14825"/>
  <c r="DN41" i="14825"/>
  <c r="DO41" i="14825"/>
  <c r="DP41" i="14825"/>
  <c r="DQ41" i="14825"/>
  <c r="DR41" i="14825"/>
  <c r="DS41" i="14825"/>
  <c r="DT41" i="14825"/>
  <c r="DU41" i="14825"/>
  <c r="DV41" i="14825"/>
  <c r="DW41" i="14825"/>
  <c r="DX41" i="14825"/>
  <c r="DY41" i="14825"/>
  <c r="DZ41" i="14825"/>
  <c r="EA41" i="14825"/>
  <c r="EB41" i="14825"/>
  <c r="EC41" i="14825"/>
  <c r="ED41" i="14825"/>
  <c r="EE41" i="14825"/>
  <c r="EF41" i="14825"/>
  <c r="EG41" i="14825"/>
  <c r="EH41" i="14825"/>
  <c r="EI41" i="14825"/>
  <c r="EJ41" i="14825"/>
  <c r="CS42" i="14825"/>
  <c r="CT42" i="14825"/>
  <c r="CU42" i="14825"/>
  <c r="CV42" i="14825"/>
  <c r="CW42" i="14825"/>
  <c r="CX42" i="14825"/>
  <c r="CY42" i="14825"/>
  <c r="CZ42" i="14825"/>
  <c r="DA42" i="14825"/>
  <c r="DB42" i="14825"/>
  <c r="DC42" i="14825"/>
  <c r="DD42" i="14825"/>
  <c r="DE42" i="14825"/>
  <c r="DF42" i="14825"/>
  <c r="DG42" i="14825"/>
  <c r="DH42" i="14825"/>
  <c r="DI42" i="14825"/>
  <c r="DJ42" i="14825"/>
  <c r="DK42" i="14825"/>
  <c r="DL42" i="14825"/>
  <c r="DM42" i="14825"/>
  <c r="DN42" i="14825"/>
  <c r="DO42" i="14825"/>
  <c r="DP42" i="14825"/>
  <c r="DQ42" i="14825"/>
  <c r="DR42" i="14825"/>
  <c r="DS42" i="14825"/>
  <c r="DT42" i="14825"/>
  <c r="DU42" i="14825"/>
  <c r="DV42" i="14825"/>
  <c r="DW42" i="14825"/>
  <c r="DX42" i="14825"/>
  <c r="DY42" i="14825"/>
  <c r="DZ42" i="14825"/>
  <c r="EA42" i="14825"/>
  <c r="EB42" i="14825"/>
  <c r="EC42" i="14825"/>
  <c r="ED42" i="14825"/>
  <c r="EE42" i="14825"/>
  <c r="EF42" i="14825"/>
  <c r="EG42" i="14825"/>
  <c r="EH42" i="14825"/>
  <c r="EI42" i="14825"/>
  <c r="EJ42" i="14825"/>
  <c r="CS43" i="14825"/>
  <c r="CT43" i="14825"/>
  <c r="CU43" i="14825"/>
  <c r="CV43" i="14825"/>
  <c r="CW43" i="14825"/>
  <c r="CX43" i="14825"/>
  <c r="CY43" i="14825"/>
  <c r="CZ43" i="14825"/>
  <c r="DA43" i="14825"/>
  <c r="DB43" i="14825"/>
  <c r="DC43" i="14825"/>
  <c r="DD43" i="14825"/>
  <c r="DE43" i="14825"/>
  <c r="DF43" i="14825"/>
  <c r="DG43" i="14825"/>
  <c r="DH43" i="14825"/>
  <c r="DI43" i="14825"/>
  <c r="DJ43" i="14825"/>
  <c r="DK43" i="14825"/>
  <c r="DL43" i="14825"/>
  <c r="DM43" i="14825"/>
  <c r="DN43" i="14825"/>
  <c r="DO43" i="14825"/>
  <c r="DP43" i="14825"/>
  <c r="DQ43" i="14825"/>
  <c r="DR43" i="14825"/>
  <c r="DS43" i="14825"/>
  <c r="DT43" i="14825"/>
  <c r="DU43" i="14825"/>
  <c r="DV43" i="14825"/>
  <c r="DW43" i="14825"/>
  <c r="DX43" i="14825"/>
  <c r="DY43" i="14825"/>
  <c r="DZ43" i="14825"/>
  <c r="EA43" i="14825"/>
  <c r="EB43" i="14825"/>
  <c r="EC43" i="14825"/>
  <c r="ED43" i="14825"/>
  <c r="EE43" i="14825"/>
  <c r="EF43" i="14825"/>
  <c r="EG43" i="14825"/>
  <c r="EH43" i="14825"/>
  <c r="EI43" i="14825"/>
  <c r="EJ43" i="14825"/>
  <c r="CS44" i="14825"/>
  <c r="CT44" i="14825"/>
  <c r="CU44" i="14825"/>
  <c r="CV44" i="14825"/>
  <c r="CW44" i="14825"/>
  <c r="CX44" i="14825"/>
  <c r="CY44" i="14825"/>
  <c r="CZ44" i="14825"/>
  <c r="DA44" i="14825"/>
  <c r="DB44" i="14825"/>
  <c r="DC44" i="14825"/>
  <c r="DD44" i="14825"/>
  <c r="DE44" i="14825"/>
  <c r="DF44" i="14825"/>
  <c r="DG44" i="14825"/>
  <c r="DH44" i="14825"/>
  <c r="DI44" i="14825"/>
  <c r="DJ44" i="14825"/>
  <c r="DK44" i="14825"/>
  <c r="DL44" i="14825"/>
  <c r="DM44" i="14825"/>
  <c r="DN44" i="14825"/>
  <c r="DO44" i="14825"/>
  <c r="DP44" i="14825"/>
  <c r="DQ44" i="14825"/>
  <c r="DR44" i="14825"/>
  <c r="DS44" i="14825"/>
  <c r="DT44" i="14825"/>
  <c r="DU44" i="14825"/>
  <c r="DV44" i="14825"/>
  <c r="DW44" i="14825"/>
  <c r="DX44" i="14825"/>
  <c r="DY44" i="14825"/>
  <c r="DZ44" i="14825"/>
  <c r="EA44" i="14825"/>
  <c r="EB44" i="14825"/>
  <c r="EC44" i="14825"/>
  <c r="ED44" i="14825"/>
  <c r="EE44" i="14825"/>
  <c r="EF44" i="14825"/>
  <c r="EG44" i="14825"/>
  <c r="EH44" i="14825"/>
  <c r="EI44" i="14825"/>
  <c r="EJ44" i="14825"/>
  <c r="CS45" i="14825"/>
  <c r="CT45" i="14825"/>
  <c r="CU45" i="14825"/>
  <c r="CV45" i="14825"/>
  <c r="CW45" i="14825"/>
  <c r="CX45" i="14825"/>
  <c r="CY45" i="14825"/>
  <c r="CZ45" i="14825"/>
  <c r="DA45" i="14825"/>
  <c r="DB45" i="14825"/>
  <c r="DC45" i="14825"/>
  <c r="DD45" i="14825"/>
  <c r="DE45" i="14825"/>
  <c r="DF45" i="14825"/>
  <c r="DG45" i="14825"/>
  <c r="DH45" i="14825"/>
  <c r="DI45" i="14825"/>
  <c r="DJ45" i="14825"/>
  <c r="DK45" i="14825"/>
  <c r="DL45" i="14825"/>
  <c r="DM45" i="14825"/>
  <c r="DN45" i="14825"/>
  <c r="DO45" i="14825"/>
  <c r="DP45" i="14825"/>
  <c r="DQ45" i="14825"/>
  <c r="DR45" i="14825"/>
  <c r="DS45" i="14825"/>
  <c r="DT45" i="14825"/>
  <c r="DU45" i="14825"/>
  <c r="DV45" i="14825"/>
  <c r="DW45" i="14825"/>
  <c r="DX45" i="14825"/>
  <c r="DY45" i="14825"/>
  <c r="DZ45" i="14825"/>
  <c r="EA45" i="14825"/>
  <c r="EB45" i="14825"/>
  <c r="EC45" i="14825"/>
  <c r="ED45" i="14825"/>
  <c r="EE45" i="14825"/>
  <c r="EF45" i="14825"/>
  <c r="EG45" i="14825"/>
  <c r="EH45" i="14825"/>
  <c r="EI45" i="14825"/>
  <c r="EJ45" i="14825"/>
  <c r="CS46" i="14825"/>
  <c r="CT46" i="14825"/>
  <c r="CU46" i="14825"/>
  <c r="CV46" i="14825"/>
  <c r="CW46" i="14825"/>
  <c r="CX46" i="14825"/>
  <c r="CY46" i="14825"/>
  <c r="CZ46" i="14825"/>
  <c r="DA46" i="14825"/>
  <c r="DB46" i="14825"/>
  <c r="DC46" i="14825"/>
  <c r="DD46" i="14825"/>
  <c r="DE46" i="14825"/>
  <c r="DF46" i="14825"/>
  <c r="DG46" i="14825"/>
  <c r="DH46" i="14825"/>
  <c r="DI46" i="14825"/>
  <c r="DJ46" i="14825"/>
  <c r="DK46" i="14825"/>
  <c r="DL46" i="14825"/>
  <c r="DM46" i="14825"/>
  <c r="DN46" i="14825"/>
  <c r="DO46" i="14825"/>
  <c r="DP46" i="14825"/>
  <c r="DQ46" i="14825"/>
  <c r="DR46" i="14825"/>
  <c r="DS46" i="14825"/>
  <c r="DT46" i="14825"/>
  <c r="DU46" i="14825"/>
  <c r="DV46" i="14825"/>
  <c r="DW46" i="14825"/>
  <c r="DX46" i="14825"/>
  <c r="DY46" i="14825"/>
  <c r="DZ46" i="14825"/>
  <c r="EA46" i="14825"/>
  <c r="EB46" i="14825"/>
  <c r="EC46" i="14825"/>
  <c r="ED46" i="14825"/>
  <c r="EE46" i="14825"/>
  <c r="EF46" i="14825"/>
  <c r="EG46" i="14825"/>
  <c r="EH46" i="14825"/>
  <c r="EI46" i="14825"/>
  <c r="EJ46" i="14825"/>
  <c r="CS47" i="14825"/>
  <c r="CT47" i="14825"/>
  <c r="CU47" i="14825"/>
  <c r="CV47" i="14825"/>
  <c r="CW47" i="14825"/>
  <c r="CX47" i="14825"/>
  <c r="CY47" i="14825"/>
  <c r="CZ47" i="14825"/>
  <c r="DA47" i="14825"/>
  <c r="DB47" i="14825"/>
  <c r="DC47" i="14825"/>
  <c r="DD47" i="14825"/>
  <c r="DE47" i="14825"/>
  <c r="DF47" i="14825"/>
  <c r="DG47" i="14825"/>
  <c r="DH47" i="14825"/>
  <c r="DI47" i="14825"/>
  <c r="DJ47" i="14825"/>
  <c r="DK47" i="14825"/>
  <c r="DL47" i="14825"/>
  <c r="DM47" i="14825"/>
  <c r="DN47" i="14825"/>
  <c r="DO47" i="14825"/>
  <c r="DP47" i="14825"/>
  <c r="DQ47" i="14825"/>
  <c r="DR47" i="14825"/>
  <c r="DS47" i="14825"/>
  <c r="DT47" i="14825"/>
  <c r="DU47" i="14825"/>
  <c r="DV47" i="14825"/>
  <c r="DW47" i="14825"/>
  <c r="DX47" i="14825"/>
  <c r="DY47" i="14825"/>
  <c r="DZ47" i="14825"/>
  <c r="EA47" i="14825"/>
  <c r="EB47" i="14825"/>
  <c r="EC47" i="14825"/>
  <c r="ED47" i="14825"/>
  <c r="EE47" i="14825"/>
  <c r="EF47" i="14825"/>
  <c r="EG47" i="14825"/>
  <c r="EH47" i="14825"/>
  <c r="EI47" i="14825"/>
  <c r="EJ47" i="14825"/>
  <c r="CS48" i="14825"/>
  <c r="CT48" i="14825"/>
  <c r="CU48" i="14825"/>
  <c r="CV48" i="14825"/>
  <c r="CW48" i="14825"/>
  <c r="CX48" i="14825"/>
  <c r="CY48" i="14825"/>
  <c r="CZ48" i="14825"/>
  <c r="DA48" i="14825"/>
  <c r="DB48" i="14825"/>
  <c r="DC48" i="14825"/>
  <c r="DD48" i="14825"/>
  <c r="DE48" i="14825"/>
  <c r="DF48" i="14825"/>
  <c r="DG48" i="14825"/>
  <c r="DH48" i="14825"/>
  <c r="DI48" i="14825"/>
  <c r="DJ48" i="14825"/>
  <c r="DK48" i="14825"/>
  <c r="DL48" i="14825"/>
  <c r="DM48" i="14825"/>
  <c r="DN48" i="14825"/>
  <c r="DO48" i="14825"/>
  <c r="DP48" i="14825"/>
  <c r="DQ48" i="14825"/>
  <c r="DR48" i="14825"/>
  <c r="DS48" i="14825"/>
  <c r="DT48" i="14825"/>
  <c r="DU48" i="14825"/>
  <c r="DV48" i="14825"/>
  <c r="DW48" i="14825"/>
  <c r="DX48" i="14825"/>
  <c r="DY48" i="14825"/>
  <c r="DZ48" i="14825"/>
  <c r="EA48" i="14825"/>
  <c r="EB48" i="14825"/>
  <c r="EC48" i="14825"/>
  <c r="ED48" i="14825"/>
  <c r="EE48" i="14825"/>
  <c r="EF48" i="14825"/>
  <c r="EG48" i="14825"/>
  <c r="EH48" i="14825"/>
  <c r="EI48" i="14825"/>
  <c r="EJ48" i="14825"/>
  <c r="CS49" i="14825"/>
  <c r="CT49" i="14825"/>
  <c r="CU49" i="14825"/>
  <c r="CV49" i="14825"/>
  <c r="CW49" i="14825"/>
  <c r="CX49" i="14825"/>
  <c r="CY49" i="14825"/>
  <c r="CZ49" i="14825"/>
  <c r="DA49" i="14825"/>
  <c r="DB49" i="14825"/>
  <c r="DC49" i="14825"/>
  <c r="DD49" i="14825"/>
  <c r="DE49" i="14825"/>
  <c r="DF49" i="14825"/>
  <c r="DG49" i="14825"/>
  <c r="DH49" i="14825"/>
  <c r="DI49" i="14825"/>
  <c r="DJ49" i="14825"/>
  <c r="DK49" i="14825"/>
  <c r="DL49" i="14825"/>
  <c r="DM49" i="14825"/>
  <c r="DN49" i="14825"/>
  <c r="DO49" i="14825"/>
  <c r="DP49" i="14825"/>
  <c r="DQ49" i="14825"/>
  <c r="DR49" i="14825"/>
  <c r="DS49" i="14825"/>
  <c r="DT49" i="14825"/>
  <c r="DU49" i="14825"/>
  <c r="DV49" i="14825"/>
  <c r="DW49" i="14825"/>
  <c r="DX49" i="14825"/>
  <c r="DY49" i="14825"/>
  <c r="DZ49" i="14825"/>
  <c r="EA49" i="14825"/>
  <c r="EB49" i="14825"/>
  <c r="EC49" i="14825"/>
  <c r="ED49" i="14825"/>
  <c r="EE49" i="14825"/>
  <c r="EF49" i="14825"/>
  <c r="EG49" i="14825"/>
  <c r="EH49" i="14825"/>
  <c r="EI49" i="14825"/>
  <c r="EJ49" i="14825"/>
  <c r="CS50" i="14825"/>
  <c r="CT50" i="14825"/>
  <c r="CU50" i="14825"/>
  <c r="CV50" i="14825"/>
  <c r="CW50" i="14825"/>
  <c r="CX50" i="14825"/>
  <c r="CY50" i="14825"/>
  <c r="CZ50" i="14825"/>
  <c r="DA50" i="14825"/>
  <c r="DB50" i="14825"/>
  <c r="DC50" i="14825"/>
  <c r="DD50" i="14825"/>
  <c r="DE50" i="14825"/>
  <c r="DF50" i="14825"/>
  <c r="DG50" i="14825"/>
  <c r="DH50" i="14825"/>
  <c r="DI50" i="14825"/>
  <c r="DJ50" i="14825"/>
  <c r="DK50" i="14825"/>
  <c r="DL50" i="14825"/>
  <c r="DM50" i="14825"/>
  <c r="DN50" i="14825"/>
  <c r="DO50" i="14825"/>
  <c r="DP50" i="14825"/>
  <c r="DQ50" i="14825"/>
  <c r="DR50" i="14825"/>
  <c r="DS50" i="14825"/>
  <c r="DT50" i="14825"/>
  <c r="DU50" i="14825"/>
  <c r="DV50" i="14825"/>
  <c r="DW50" i="14825"/>
  <c r="DX50" i="14825"/>
  <c r="DY50" i="14825"/>
  <c r="DZ50" i="14825"/>
  <c r="EA50" i="14825"/>
  <c r="EB50" i="14825"/>
  <c r="EC50" i="14825"/>
  <c r="ED50" i="14825"/>
  <c r="EE50" i="14825"/>
  <c r="EF50" i="14825"/>
  <c r="EG50" i="14825"/>
  <c r="EH50" i="14825"/>
  <c r="EI50" i="14825"/>
  <c r="CR7" i="14825"/>
  <c r="CR8" i="14825"/>
  <c r="CR9" i="14825"/>
  <c r="CR10" i="14825"/>
  <c r="CR11" i="14825"/>
  <c r="CR12" i="14825"/>
  <c r="CR13" i="14825"/>
  <c r="CR14" i="14825"/>
  <c r="CR15" i="14825"/>
  <c r="CR16" i="14825"/>
  <c r="CR17" i="14825"/>
  <c r="CR18" i="14825"/>
  <c r="CR19" i="14825"/>
  <c r="CR20" i="14825"/>
  <c r="CR21" i="14825"/>
  <c r="CR22" i="14825"/>
  <c r="CR23" i="14825"/>
  <c r="CR24" i="14825"/>
  <c r="CR25" i="14825"/>
  <c r="CR26" i="14825"/>
  <c r="CR27" i="14825"/>
  <c r="CR28" i="14825"/>
  <c r="CR29" i="14825"/>
  <c r="CR30" i="14825"/>
  <c r="CR31" i="14825"/>
  <c r="CR32" i="14825"/>
  <c r="CR33" i="14825"/>
  <c r="CR34" i="14825"/>
  <c r="CR35" i="14825"/>
  <c r="CR36" i="14825"/>
  <c r="CR37" i="14825"/>
  <c r="CR38" i="14825"/>
  <c r="CR39" i="14825"/>
  <c r="CR40" i="14825"/>
  <c r="CR41" i="14825"/>
  <c r="CR42" i="14825"/>
  <c r="CR43" i="14825"/>
  <c r="CR44" i="14825"/>
  <c r="CR45" i="14825"/>
  <c r="CR46" i="14825"/>
  <c r="CR47" i="14825"/>
  <c r="CR48" i="14825"/>
  <c r="CR49" i="14825"/>
  <c r="CR50" i="14825"/>
  <c r="CR6" i="14825"/>
  <c r="EL6" i="14815"/>
  <c r="EM6" i="14815"/>
  <c r="EL7" i="14815"/>
  <c r="EM7" i="14815"/>
  <c r="EL8" i="14815"/>
  <c r="EM8" i="14815"/>
  <c r="EL9" i="14815"/>
  <c r="EM9" i="14815"/>
  <c r="EL10" i="14815"/>
  <c r="EM10" i="14815"/>
  <c r="EL11" i="14815"/>
  <c r="EM11" i="14815"/>
  <c r="EL12" i="14815"/>
  <c r="EM12" i="14815"/>
  <c r="EL13" i="14815"/>
  <c r="EM13" i="14815"/>
  <c r="EL14" i="14815"/>
  <c r="EM14" i="14815"/>
  <c r="EL15" i="14815"/>
  <c r="EM15" i="14815"/>
  <c r="EL16" i="14815"/>
  <c r="EM16" i="14815"/>
  <c r="EL17" i="14815"/>
  <c r="EM17" i="14815"/>
  <c r="EL18" i="14815"/>
  <c r="EM18" i="14815"/>
  <c r="EL19" i="14815"/>
  <c r="EM19" i="14815"/>
  <c r="EL20" i="14815"/>
  <c r="EM20" i="14815"/>
  <c r="EL21" i="14815"/>
  <c r="EM21" i="14815"/>
  <c r="EL22" i="14815"/>
  <c r="EM22" i="14815"/>
  <c r="EL23" i="14815"/>
  <c r="EM23" i="14815"/>
  <c r="EL24" i="14815"/>
  <c r="EM24" i="14815"/>
  <c r="EL25" i="14815"/>
  <c r="EM25" i="14815"/>
  <c r="EL26" i="14815"/>
  <c r="EM26" i="14815"/>
  <c r="EL27" i="14815"/>
  <c r="EM27" i="14815"/>
  <c r="EL28" i="14815"/>
  <c r="EM28" i="14815"/>
  <c r="EL29" i="14815"/>
  <c r="EM29" i="14815"/>
  <c r="EL30" i="14815"/>
  <c r="EM30" i="14815"/>
  <c r="EL31" i="14815"/>
  <c r="EM31" i="14815"/>
  <c r="EL32" i="14815"/>
  <c r="EM32" i="14815"/>
  <c r="EL33" i="14815"/>
  <c r="EM33" i="14815"/>
  <c r="EL34" i="14815"/>
  <c r="EM34" i="14815"/>
  <c r="EL35" i="14815"/>
  <c r="EM35" i="14815"/>
  <c r="EL36" i="14815"/>
  <c r="EM36" i="14815"/>
  <c r="EL37" i="14815"/>
  <c r="EM37" i="14815"/>
  <c r="EL38" i="14815"/>
  <c r="EM38" i="14815"/>
  <c r="EL39" i="14815"/>
  <c r="EM39" i="14815"/>
  <c r="EL40" i="14815"/>
  <c r="EM40" i="14815"/>
  <c r="EL41" i="14815"/>
  <c r="EM41" i="14815"/>
  <c r="EL42" i="14815"/>
  <c r="EM42" i="14815"/>
  <c r="EL43" i="14815"/>
  <c r="EM43" i="14815"/>
  <c r="EL44" i="14815"/>
  <c r="EM44" i="14815"/>
  <c r="EL45" i="14815"/>
  <c r="EM45" i="14815"/>
  <c r="EL46" i="14815"/>
  <c r="EM46" i="14815"/>
  <c r="EL47" i="14815"/>
  <c r="EM47" i="14815"/>
  <c r="EL48" i="14815"/>
  <c r="EM48" i="14815"/>
  <c r="EL49" i="14815"/>
  <c r="EM49" i="14815"/>
  <c r="EL50" i="14815"/>
  <c r="EM50" i="14815"/>
  <c r="EK6" i="14815"/>
  <c r="EK7" i="14815"/>
  <c r="EK8" i="14815"/>
  <c r="EK9" i="14815"/>
  <c r="EK10" i="14815"/>
  <c r="EK11" i="14815"/>
  <c r="EK12" i="14815"/>
  <c r="EK13" i="14815"/>
  <c r="EK14" i="14815"/>
  <c r="EK15" i="14815"/>
  <c r="EK16" i="14815"/>
  <c r="EK17" i="14815"/>
  <c r="EK18" i="14815"/>
  <c r="EK19" i="14815"/>
  <c r="EK20" i="14815"/>
  <c r="EK21" i="14815"/>
  <c r="EK22" i="14815"/>
  <c r="EK23" i="14815"/>
  <c r="EK24" i="14815"/>
  <c r="EK25" i="14815"/>
  <c r="EK26" i="14815"/>
  <c r="EK27" i="14815"/>
  <c r="EK28" i="14815"/>
  <c r="EK29" i="14815"/>
  <c r="EK30" i="14815"/>
  <c r="EK31" i="14815"/>
  <c r="EK32" i="14815"/>
  <c r="EK33" i="14815"/>
  <c r="EK34" i="14815"/>
  <c r="EK35" i="14815"/>
  <c r="EK36" i="14815"/>
  <c r="EK37" i="14815"/>
  <c r="EK38" i="14815"/>
  <c r="EK39" i="14815"/>
  <c r="EK40" i="14815"/>
  <c r="EK41" i="14815"/>
  <c r="EK42" i="14815"/>
  <c r="EK43" i="14815"/>
  <c r="EK44" i="14815"/>
  <c r="EK45" i="14815"/>
  <c r="EK46" i="14815"/>
  <c r="EK47" i="14815"/>
  <c r="EK48" i="14815"/>
  <c r="EK49" i="14815"/>
  <c r="EK50" i="14815"/>
  <c r="EG6" i="14815"/>
  <c r="EH6" i="14815"/>
  <c r="EI6" i="14815"/>
  <c r="EJ6" i="14815"/>
  <c r="EG7" i="14815"/>
  <c r="EH7" i="14815"/>
  <c r="EI7" i="14815"/>
  <c r="EJ7" i="14815"/>
  <c r="EG8" i="14815"/>
  <c r="EH8" i="14815"/>
  <c r="EI8" i="14815"/>
  <c r="EJ8" i="14815"/>
  <c r="EG9" i="14815"/>
  <c r="EH9" i="14815"/>
  <c r="EI9" i="14815"/>
  <c r="EJ9" i="14815"/>
  <c r="EG10" i="14815"/>
  <c r="EH10" i="14815"/>
  <c r="EI10" i="14815"/>
  <c r="EJ10" i="14815"/>
  <c r="EG11" i="14815"/>
  <c r="EH11" i="14815"/>
  <c r="EI11" i="14815"/>
  <c r="EJ11" i="14815"/>
  <c r="EG12" i="14815"/>
  <c r="EH12" i="14815"/>
  <c r="EI12" i="14815"/>
  <c r="EJ12" i="14815"/>
  <c r="EG13" i="14815"/>
  <c r="EH13" i="14815"/>
  <c r="EI13" i="14815"/>
  <c r="EJ13" i="14815"/>
  <c r="EG14" i="14815"/>
  <c r="EH14" i="14815"/>
  <c r="EI14" i="14815"/>
  <c r="EJ14" i="14815"/>
  <c r="EG15" i="14815"/>
  <c r="EH15" i="14815"/>
  <c r="EI15" i="14815"/>
  <c r="EJ15" i="14815"/>
  <c r="EG16" i="14815"/>
  <c r="EH16" i="14815"/>
  <c r="EI16" i="14815"/>
  <c r="EJ16" i="14815"/>
  <c r="EG17" i="14815"/>
  <c r="EH17" i="14815"/>
  <c r="EI17" i="14815"/>
  <c r="EJ17" i="14815"/>
  <c r="EG18" i="14815"/>
  <c r="EH18" i="14815"/>
  <c r="EI18" i="14815"/>
  <c r="EJ18" i="14815"/>
  <c r="EG19" i="14815"/>
  <c r="EH19" i="14815"/>
  <c r="EI19" i="14815"/>
  <c r="EJ19" i="14815"/>
  <c r="EG20" i="14815"/>
  <c r="EH20" i="14815"/>
  <c r="EI20" i="14815"/>
  <c r="EJ20" i="14815"/>
  <c r="EG21" i="14815"/>
  <c r="EH21" i="14815"/>
  <c r="EI21" i="14815"/>
  <c r="EJ21" i="14815"/>
  <c r="EG22" i="14815"/>
  <c r="EH22" i="14815"/>
  <c r="EI22" i="14815"/>
  <c r="EJ22" i="14815"/>
  <c r="EG23" i="14815"/>
  <c r="EH23" i="14815"/>
  <c r="EI23" i="14815"/>
  <c r="EJ23" i="14815"/>
  <c r="EG24" i="14815"/>
  <c r="EH24" i="14815"/>
  <c r="EI24" i="14815"/>
  <c r="EJ24" i="14815"/>
  <c r="EG25" i="14815"/>
  <c r="EH25" i="14815"/>
  <c r="EI25" i="14815"/>
  <c r="EJ25" i="14815"/>
  <c r="EG26" i="14815"/>
  <c r="EH26" i="14815"/>
  <c r="EI26" i="14815"/>
  <c r="EJ26" i="14815"/>
  <c r="EG27" i="14815"/>
  <c r="EH27" i="14815"/>
  <c r="EI27" i="14815"/>
  <c r="EJ27" i="14815"/>
  <c r="EG28" i="14815"/>
  <c r="EH28" i="14815"/>
  <c r="EI28" i="14815"/>
  <c r="EJ28" i="14815"/>
  <c r="EG29" i="14815"/>
  <c r="EH29" i="14815"/>
  <c r="EI29" i="14815"/>
  <c r="EJ29" i="14815"/>
  <c r="EG30" i="14815"/>
  <c r="EH30" i="14815"/>
  <c r="EI30" i="14815"/>
  <c r="EJ30" i="14815"/>
  <c r="EG31" i="14815"/>
  <c r="EH31" i="14815"/>
  <c r="EI31" i="14815"/>
  <c r="EJ31" i="14815"/>
  <c r="EG32" i="14815"/>
  <c r="EH32" i="14815"/>
  <c r="EI32" i="14815"/>
  <c r="EJ32" i="14815"/>
  <c r="EG33" i="14815"/>
  <c r="EH33" i="14815"/>
  <c r="EI33" i="14815"/>
  <c r="EJ33" i="14815"/>
  <c r="EG34" i="14815"/>
  <c r="EH34" i="14815"/>
  <c r="EI34" i="14815"/>
  <c r="EJ34" i="14815"/>
  <c r="EG35" i="14815"/>
  <c r="EH35" i="14815"/>
  <c r="EI35" i="14815"/>
  <c r="EJ35" i="14815"/>
  <c r="EG36" i="14815"/>
  <c r="EH36" i="14815"/>
  <c r="EI36" i="14815"/>
  <c r="EJ36" i="14815"/>
  <c r="EG37" i="14815"/>
  <c r="EH37" i="14815"/>
  <c r="EI37" i="14815"/>
  <c r="EJ37" i="14815"/>
  <c r="EG38" i="14815"/>
  <c r="EH38" i="14815"/>
  <c r="EI38" i="14815"/>
  <c r="EJ38" i="14815"/>
  <c r="EG39" i="14815"/>
  <c r="EH39" i="14815"/>
  <c r="EI39" i="14815"/>
  <c r="EJ39" i="14815"/>
  <c r="EG40" i="14815"/>
  <c r="EH40" i="14815"/>
  <c r="EI40" i="14815"/>
  <c r="EJ40" i="14815"/>
  <c r="EG41" i="14815"/>
  <c r="EH41" i="14815"/>
  <c r="EI41" i="14815"/>
  <c r="EJ41" i="14815"/>
  <c r="EG42" i="14815"/>
  <c r="EH42" i="14815"/>
  <c r="EI42" i="14815"/>
  <c r="EJ42" i="14815"/>
  <c r="EG43" i="14815"/>
  <c r="EH43" i="14815"/>
  <c r="EI43" i="14815"/>
  <c r="EJ43" i="14815"/>
  <c r="EG44" i="14815"/>
  <c r="EH44" i="14815"/>
  <c r="EI44" i="14815"/>
  <c r="EJ44" i="14815"/>
  <c r="EG45" i="14815"/>
  <c r="EH45" i="14815"/>
  <c r="EI45" i="14815"/>
  <c r="EJ45" i="14815"/>
  <c r="EG46" i="14815"/>
  <c r="EH46" i="14815"/>
  <c r="EI46" i="14815"/>
  <c r="EJ46" i="14815"/>
  <c r="EG47" i="14815"/>
  <c r="EH47" i="14815"/>
  <c r="EI47" i="14815"/>
  <c r="EJ47" i="14815"/>
  <c r="EG48" i="14815"/>
  <c r="EH48" i="14815"/>
  <c r="EI48" i="14815"/>
  <c r="EJ48" i="14815"/>
  <c r="EG49" i="14815"/>
  <c r="EH49" i="14815"/>
  <c r="EI49" i="14815"/>
  <c r="EJ49" i="14815"/>
  <c r="EG50" i="14815"/>
  <c r="EH50" i="14815"/>
  <c r="EI50" i="14815"/>
  <c r="EJ50" i="14815"/>
  <c r="DV6" i="14815"/>
  <c r="DW6" i="14815"/>
  <c r="DX6" i="14815"/>
  <c r="DY6" i="14815"/>
  <c r="DZ6" i="14815"/>
  <c r="EA6" i="14815"/>
  <c r="EB6" i="14815"/>
  <c r="EC6" i="14815"/>
  <c r="ED6" i="14815"/>
  <c r="EE6" i="14815"/>
  <c r="EF6" i="14815"/>
  <c r="DV7" i="14815"/>
  <c r="DW7" i="14815"/>
  <c r="DX7" i="14815"/>
  <c r="DY7" i="14815"/>
  <c r="DZ7" i="14815"/>
  <c r="EA7" i="14815"/>
  <c r="EB7" i="14815"/>
  <c r="EC7" i="14815"/>
  <c r="ED7" i="14815"/>
  <c r="EE7" i="14815"/>
  <c r="EF7" i="14815"/>
  <c r="DV8" i="14815"/>
  <c r="DW8" i="14815"/>
  <c r="DX8" i="14815"/>
  <c r="DY8" i="14815"/>
  <c r="DZ8" i="14815"/>
  <c r="EA8" i="14815"/>
  <c r="EB8" i="14815"/>
  <c r="EC8" i="14815"/>
  <c r="ED8" i="14815"/>
  <c r="EE8" i="14815"/>
  <c r="EF8" i="14815"/>
  <c r="DV9" i="14815"/>
  <c r="DW9" i="14815"/>
  <c r="DX9" i="14815"/>
  <c r="DY9" i="14815"/>
  <c r="DZ9" i="14815"/>
  <c r="EA9" i="14815"/>
  <c r="EB9" i="14815"/>
  <c r="EC9" i="14815"/>
  <c r="ED9" i="14815"/>
  <c r="EE9" i="14815"/>
  <c r="EF9" i="14815"/>
  <c r="DV10" i="14815"/>
  <c r="DW10" i="14815"/>
  <c r="DX10" i="14815"/>
  <c r="DY10" i="14815"/>
  <c r="DZ10" i="14815"/>
  <c r="EA10" i="14815"/>
  <c r="EB10" i="14815"/>
  <c r="EC10" i="14815"/>
  <c r="ED10" i="14815"/>
  <c r="EE10" i="14815"/>
  <c r="EF10" i="14815"/>
  <c r="DV11" i="14815"/>
  <c r="DW11" i="14815"/>
  <c r="DX11" i="14815"/>
  <c r="DY11" i="14815"/>
  <c r="DZ11" i="14815"/>
  <c r="EA11" i="14815"/>
  <c r="EB11" i="14815"/>
  <c r="EC11" i="14815"/>
  <c r="ED11" i="14815"/>
  <c r="EE11" i="14815"/>
  <c r="EF11" i="14815"/>
  <c r="DV12" i="14815"/>
  <c r="DW12" i="14815"/>
  <c r="DX12" i="14815"/>
  <c r="DY12" i="14815"/>
  <c r="DZ12" i="14815"/>
  <c r="EA12" i="14815"/>
  <c r="EB12" i="14815"/>
  <c r="EC12" i="14815"/>
  <c r="ED12" i="14815"/>
  <c r="EE12" i="14815"/>
  <c r="EF12" i="14815"/>
  <c r="DV13" i="14815"/>
  <c r="DW13" i="14815"/>
  <c r="DX13" i="14815"/>
  <c r="DY13" i="14815"/>
  <c r="DZ13" i="14815"/>
  <c r="EA13" i="14815"/>
  <c r="EB13" i="14815"/>
  <c r="EC13" i="14815"/>
  <c r="ED13" i="14815"/>
  <c r="EE13" i="14815"/>
  <c r="EF13" i="14815"/>
  <c r="DV14" i="14815"/>
  <c r="DW14" i="14815"/>
  <c r="DX14" i="14815"/>
  <c r="DY14" i="14815"/>
  <c r="DZ14" i="14815"/>
  <c r="EA14" i="14815"/>
  <c r="EB14" i="14815"/>
  <c r="EC14" i="14815"/>
  <c r="ED14" i="14815"/>
  <c r="EE14" i="14815"/>
  <c r="EF14" i="14815"/>
  <c r="DV15" i="14815"/>
  <c r="DW15" i="14815"/>
  <c r="DX15" i="14815"/>
  <c r="DY15" i="14815"/>
  <c r="DZ15" i="14815"/>
  <c r="EA15" i="14815"/>
  <c r="EB15" i="14815"/>
  <c r="EC15" i="14815"/>
  <c r="ED15" i="14815"/>
  <c r="EE15" i="14815"/>
  <c r="EF15" i="14815"/>
  <c r="DV16" i="14815"/>
  <c r="DW16" i="14815"/>
  <c r="DX16" i="14815"/>
  <c r="DY16" i="14815"/>
  <c r="DZ16" i="14815"/>
  <c r="EA16" i="14815"/>
  <c r="EB16" i="14815"/>
  <c r="EC16" i="14815"/>
  <c r="ED16" i="14815"/>
  <c r="EE16" i="14815"/>
  <c r="EF16" i="14815"/>
  <c r="DV17" i="14815"/>
  <c r="DW17" i="14815"/>
  <c r="DX17" i="14815"/>
  <c r="DY17" i="14815"/>
  <c r="DZ17" i="14815"/>
  <c r="EA17" i="14815"/>
  <c r="EB17" i="14815"/>
  <c r="EC17" i="14815"/>
  <c r="ED17" i="14815"/>
  <c r="EE17" i="14815"/>
  <c r="EF17" i="14815"/>
  <c r="DV18" i="14815"/>
  <c r="DW18" i="14815"/>
  <c r="DX18" i="14815"/>
  <c r="DY18" i="14815"/>
  <c r="DZ18" i="14815"/>
  <c r="EA18" i="14815"/>
  <c r="EB18" i="14815"/>
  <c r="EC18" i="14815"/>
  <c r="ED18" i="14815"/>
  <c r="EE18" i="14815"/>
  <c r="EF18" i="14815"/>
  <c r="DV19" i="14815"/>
  <c r="DW19" i="14815"/>
  <c r="DX19" i="14815"/>
  <c r="DY19" i="14815"/>
  <c r="DZ19" i="14815"/>
  <c r="EA19" i="14815"/>
  <c r="EB19" i="14815"/>
  <c r="EC19" i="14815"/>
  <c r="ED19" i="14815"/>
  <c r="EE19" i="14815"/>
  <c r="EF19" i="14815"/>
  <c r="DV20" i="14815"/>
  <c r="DW20" i="14815"/>
  <c r="DX20" i="14815"/>
  <c r="DY20" i="14815"/>
  <c r="DZ20" i="14815"/>
  <c r="EA20" i="14815"/>
  <c r="EB20" i="14815"/>
  <c r="EC20" i="14815"/>
  <c r="ED20" i="14815"/>
  <c r="EE20" i="14815"/>
  <c r="EF20" i="14815"/>
  <c r="DV21" i="14815"/>
  <c r="DW21" i="14815"/>
  <c r="DX21" i="14815"/>
  <c r="DY21" i="14815"/>
  <c r="DZ21" i="14815"/>
  <c r="EA21" i="14815"/>
  <c r="EB21" i="14815"/>
  <c r="EC21" i="14815"/>
  <c r="ED21" i="14815"/>
  <c r="EE21" i="14815"/>
  <c r="EF21" i="14815"/>
  <c r="DV22" i="14815"/>
  <c r="DW22" i="14815"/>
  <c r="DX22" i="14815"/>
  <c r="DY22" i="14815"/>
  <c r="DZ22" i="14815"/>
  <c r="EA22" i="14815"/>
  <c r="EB22" i="14815"/>
  <c r="EC22" i="14815"/>
  <c r="ED22" i="14815"/>
  <c r="EE22" i="14815"/>
  <c r="EF22" i="14815"/>
  <c r="DV23" i="14815"/>
  <c r="DW23" i="14815"/>
  <c r="DX23" i="14815"/>
  <c r="DY23" i="14815"/>
  <c r="DZ23" i="14815"/>
  <c r="EA23" i="14815"/>
  <c r="EB23" i="14815"/>
  <c r="EC23" i="14815"/>
  <c r="ED23" i="14815"/>
  <c r="EE23" i="14815"/>
  <c r="EF23" i="14815"/>
  <c r="DV24" i="14815"/>
  <c r="DW24" i="14815"/>
  <c r="DX24" i="14815"/>
  <c r="DY24" i="14815"/>
  <c r="DZ24" i="14815"/>
  <c r="EA24" i="14815"/>
  <c r="EB24" i="14815"/>
  <c r="EC24" i="14815"/>
  <c r="ED24" i="14815"/>
  <c r="EE24" i="14815"/>
  <c r="EF24" i="14815"/>
  <c r="DV25" i="14815"/>
  <c r="DW25" i="14815"/>
  <c r="DX25" i="14815"/>
  <c r="DY25" i="14815"/>
  <c r="DZ25" i="14815"/>
  <c r="EA25" i="14815"/>
  <c r="EB25" i="14815"/>
  <c r="EC25" i="14815"/>
  <c r="ED25" i="14815"/>
  <c r="EE25" i="14815"/>
  <c r="EF25" i="14815"/>
  <c r="DV26" i="14815"/>
  <c r="DW26" i="14815"/>
  <c r="DX26" i="14815"/>
  <c r="DY26" i="14815"/>
  <c r="DZ26" i="14815"/>
  <c r="EA26" i="14815"/>
  <c r="EB26" i="14815"/>
  <c r="EC26" i="14815"/>
  <c r="ED26" i="14815"/>
  <c r="EE26" i="14815"/>
  <c r="EF26" i="14815"/>
  <c r="DV27" i="14815"/>
  <c r="DW27" i="14815"/>
  <c r="DX27" i="14815"/>
  <c r="DY27" i="14815"/>
  <c r="DZ27" i="14815"/>
  <c r="EA27" i="14815"/>
  <c r="EB27" i="14815"/>
  <c r="EC27" i="14815"/>
  <c r="ED27" i="14815"/>
  <c r="EE27" i="14815"/>
  <c r="EF27" i="14815"/>
  <c r="DV28" i="14815"/>
  <c r="DW28" i="14815"/>
  <c r="DX28" i="14815"/>
  <c r="DY28" i="14815"/>
  <c r="DZ28" i="14815"/>
  <c r="EA28" i="14815"/>
  <c r="EB28" i="14815"/>
  <c r="EC28" i="14815"/>
  <c r="ED28" i="14815"/>
  <c r="EE28" i="14815"/>
  <c r="EF28" i="14815"/>
  <c r="DV29" i="14815"/>
  <c r="DW29" i="14815"/>
  <c r="DX29" i="14815"/>
  <c r="DY29" i="14815"/>
  <c r="DZ29" i="14815"/>
  <c r="EA29" i="14815"/>
  <c r="EB29" i="14815"/>
  <c r="EC29" i="14815"/>
  <c r="ED29" i="14815"/>
  <c r="EE29" i="14815"/>
  <c r="EF29" i="14815"/>
  <c r="DV30" i="14815"/>
  <c r="DW30" i="14815"/>
  <c r="DX30" i="14815"/>
  <c r="DY30" i="14815"/>
  <c r="DZ30" i="14815"/>
  <c r="EA30" i="14815"/>
  <c r="EB30" i="14815"/>
  <c r="EC30" i="14815"/>
  <c r="ED30" i="14815"/>
  <c r="EE30" i="14815"/>
  <c r="EF30" i="14815"/>
  <c r="DV31" i="14815"/>
  <c r="DW31" i="14815"/>
  <c r="DX31" i="14815"/>
  <c r="DY31" i="14815"/>
  <c r="DZ31" i="14815"/>
  <c r="EA31" i="14815"/>
  <c r="EB31" i="14815"/>
  <c r="EC31" i="14815"/>
  <c r="ED31" i="14815"/>
  <c r="EE31" i="14815"/>
  <c r="EF31" i="14815"/>
  <c r="DV32" i="14815"/>
  <c r="DW32" i="14815"/>
  <c r="DX32" i="14815"/>
  <c r="DY32" i="14815"/>
  <c r="DZ32" i="14815"/>
  <c r="EA32" i="14815"/>
  <c r="EB32" i="14815"/>
  <c r="EC32" i="14815"/>
  <c r="ED32" i="14815"/>
  <c r="EE32" i="14815"/>
  <c r="EF32" i="14815"/>
  <c r="DV33" i="14815"/>
  <c r="DW33" i="14815"/>
  <c r="DX33" i="14815"/>
  <c r="DY33" i="14815"/>
  <c r="DZ33" i="14815"/>
  <c r="EA33" i="14815"/>
  <c r="EB33" i="14815"/>
  <c r="EC33" i="14815"/>
  <c r="ED33" i="14815"/>
  <c r="EE33" i="14815"/>
  <c r="EF33" i="14815"/>
  <c r="DV34" i="14815"/>
  <c r="DW34" i="14815"/>
  <c r="DX34" i="14815"/>
  <c r="DY34" i="14815"/>
  <c r="DZ34" i="14815"/>
  <c r="EA34" i="14815"/>
  <c r="EB34" i="14815"/>
  <c r="EC34" i="14815"/>
  <c r="ED34" i="14815"/>
  <c r="EE34" i="14815"/>
  <c r="EF34" i="14815"/>
  <c r="DV35" i="14815"/>
  <c r="DW35" i="14815"/>
  <c r="DX35" i="14815"/>
  <c r="DY35" i="14815"/>
  <c r="DZ35" i="14815"/>
  <c r="EA35" i="14815"/>
  <c r="EC35" i="14815"/>
  <c r="ED35" i="14815"/>
  <c r="EE35" i="14815"/>
  <c r="EF35" i="14815"/>
  <c r="DV36" i="14815"/>
  <c r="DW36" i="14815"/>
  <c r="DX36" i="14815"/>
  <c r="DY36" i="14815"/>
  <c r="DZ36" i="14815"/>
  <c r="EA36" i="14815"/>
  <c r="EB36" i="14815"/>
  <c r="EC36" i="14815"/>
  <c r="ED36" i="14815"/>
  <c r="EE36" i="14815"/>
  <c r="EF36" i="14815"/>
  <c r="DV37" i="14815"/>
  <c r="DW37" i="14815"/>
  <c r="DX37" i="14815"/>
  <c r="DY37" i="14815"/>
  <c r="DZ37" i="14815"/>
  <c r="EA37" i="14815"/>
  <c r="EB37" i="14815"/>
  <c r="EC37" i="14815"/>
  <c r="ED37" i="14815"/>
  <c r="EE37" i="14815"/>
  <c r="EF37" i="14815"/>
  <c r="DV38" i="14815"/>
  <c r="DW38" i="14815"/>
  <c r="DX38" i="14815"/>
  <c r="DY38" i="14815"/>
  <c r="DZ38" i="14815"/>
  <c r="EA38" i="14815"/>
  <c r="EB38" i="14815"/>
  <c r="EC38" i="14815"/>
  <c r="ED38" i="14815"/>
  <c r="EE38" i="14815"/>
  <c r="EF38" i="14815"/>
  <c r="DV39" i="14815"/>
  <c r="DW39" i="14815"/>
  <c r="DX39" i="14815"/>
  <c r="DY39" i="14815"/>
  <c r="DZ39" i="14815"/>
  <c r="EA39" i="14815"/>
  <c r="EB39" i="14815"/>
  <c r="EC39" i="14815"/>
  <c r="ED39" i="14815"/>
  <c r="EE39" i="14815"/>
  <c r="EF39" i="14815"/>
  <c r="DV40" i="14815"/>
  <c r="DW40" i="14815"/>
  <c r="DX40" i="14815"/>
  <c r="DY40" i="14815"/>
  <c r="DZ40" i="14815"/>
  <c r="EA40" i="14815"/>
  <c r="EB40" i="14815"/>
  <c r="EC40" i="14815"/>
  <c r="ED40" i="14815"/>
  <c r="EE40" i="14815"/>
  <c r="EF40" i="14815"/>
  <c r="DV41" i="14815"/>
  <c r="DW41" i="14815"/>
  <c r="DX41" i="14815"/>
  <c r="DY41" i="14815"/>
  <c r="DZ41" i="14815"/>
  <c r="EA41" i="14815"/>
  <c r="EB41" i="14815"/>
  <c r="EC41" i="14815"/>
  <c r="ED41" i="14815"/>
  <c r="EE41" i="14815"/>
  <c r="EF41" i="14815"/>
  <c r="DV42" i="14815"/>
  <c r="DW42" i="14815"/>
  <c r="DX42" i="14815"/>
  <c r="DY42" i="14815"/>
  <c r="DZ42" i="14815"/>
  <c r="EA42" i="14815"/>
  <c r="EB42" i="14815"/>
  <c r="EC42" i="14815"/>
  <c r="ED42" i="14815"/>
  <c r="EE42" i="14815"/>
  <c r="EF42" i="14815"/>
  <c r="DV43" i="14815"/>
  <c r="DW43" i="14815"/>
  <c r="DX43" i="14815"/>
  <c r="DY43" i="14815"/>
  <c r="DZ43" i="14815"/>
  <c r="EA43" i="14815"/>
  <c r="EB43" i="14815"/>
  <c r="EC43" i="14815"/>
  <c r="ED43" i="14815"/>
  <c r="EE43" i="14815"/>
  <c r="EF43" i="14815"/>
  <c r="DV44" i="14815"/>
  <c r="DW44" i="14815"/>
  <c r="DX44" i="14815"/>
  <c r="DY44" i="14815"/>
  <c r="DZ44" i="14815"/>
  <c r="EA44" i="14815"/>
  <c r="EB44" i="14815"/>
  <c r="EC44" i="14815"/>
  <c r="ED44" i="14815"/>
  <c r="EE44" i="14815"/>
  <c r="EF44" i="14815"/>
  <c r="DV45" i="14815"/>
  <c r="DW45" i="14815"/>
  <c r="DX45" i="14815"/>
  <c r="DY45" i="14815"/>
  <c r="DZ45" i="14815"/>
  <c r="EA45" i="14815"/>
  <c r="EB45" i="14815"/>
  <c r="EC45" i="14815"/>
  <c r="ED45" i="14815"/>
  <c r="EE45" i="14815"/>
  <c r="EF45" i="14815"/>
  <c r="DV46" i="14815"/>
  <c r="DW46" i="14815"/>
  <c r="DX46" i="14815"/>
  <c r="DY46" i="14815"/>
  <c r="DZ46" i="14815"/>
  <c r="EA46" i="14815"/>
  <c r="EB46" i="14815"/>
  <c r="EC46" i="14815"/>
  <c r="ED46" i="14815"/>
  <c r="EE46" i="14815"/>
  <c r="EF46" i="14815"/>
  <c r="DV47" i="14815"/>
  <c r="DW47" i="14815"/>
  <c r="DX47" i="14815"/>
  <c r="DY47" i="14815"/>
  <c r="DZ47" i="14815"/>
  <c r="EA47" i="14815"/>
  <c r="EB47" i="14815"/>
  <c r="EC47" i="14815"/>
  <c r="ED47" i="14815"/>
  <c r="EE47" i="14815"/>
  <c r="EF47" i="14815"/>
  <c r="DV48" i="14815"/>
  <c r="DW48" i="14815"/>
  <c r="DX48" i="14815"/>
  <c r="DY48" i="14815"/>
  <c r="DZ48" i="14815"/>
  <c r="EA48" i="14815"/>
  <c r="EB48" i="14815"/>
  <c r="EC48" i="14815"/>
  <c r="ED48" i="14815"/>
  <c r="EE48" i="14815"/>
  <c r="EF48" i="14815"/>
  <c r="DV49" i="14815"/>
  <c r="DW49" i="14815"/>
  <c r="DX49" i="14815"/>
  <c r="DY49" i="14815"/>
  <c r="DZ49" i="14815"/>
  <c r="EA49" i="14815"/>
  <c r="EB49" i="14815"/>
  <c r="EC49" i="14815"/>
  <c r="ED49" i="14815"/>
  <c r="EE49" i="14815"/>
  <c r="EF49" i="14815"/>
  <c r="DV50" i="14815"/>
  <c r="DW50" i="14815"/>
  <c r="DX50" i="14815"/>
  <c r="DY50" i="14815"/>
  <c r="DZ50" i="14815"/>
  <c r="EA50" i="14815"/>
  <c r="EB50" i="14815"/>
  <c r="EC50" i="14815"/>
  <c r="ED50" i="14815"/>
  <c r="EE50" i="14815"/>
  <c r="EF50" i="14815"/>
  <c r="CV6" i="14815"/>
  <c r="CW6" i="14815"/>
  <c r="CX6" i="14815"/>
  <c r="CY6" i="14815"/>
  <c r="CZ6" i="14815"/>
  <c r="DA6" i="14815"/>
  <c r="DB6" i="14815"/>
  <c r="DC6" i="14815"/>
  <c r="DD6" i="14815"/>
  <c r="DE6" i="14815"/>
  <c r="DF6" i="14815"/>
  <c r="DG6" i="14815"/>
  <c r="DH6" i="14815"/>
  <c r="DI6" i="14815"/>
  <c r="DJ6" i="14815"/>
  <c r="DK6" i="14815"/>
  <c r="DL6" i="14815"/>
  <c r="DM6" i="14815"/>
  <c r="DN6" i="14815"/>
  <c r="DO6" i="14815"/>
  <c r="DP6" i="14815"/>
  <c r="DQ6" i="14815"/>
  <c r="DR6" i="14815"/>
  <c r="DS6" i="14815"/>
  <c r="DT6" i="14815"/>
  <c r="DU6" i="14815"/>
  <c r="CV7" i="14815"/>
  <c r="CW7" i="14815"/>
  <c r="CX7" i="14815"/>
  <c r="CY7" i="14815"/>
  <c r="CZ7" i="14815"/>
  <c r="DA7" i="14815"/>
  <c r="DB7" i="14815"/>
  <c r="DC7" i="14815"/>
  <c r="DD7" i="14815"/>
  <c r="DE7" i="14815"/>
  <c r="DF7" i="14815"/>
  <c r="DG7" i="14815"/>
  <c r="DH7" i="14815"/>
  <c r="DI7" i="14815"/>
  <c r="DJ7" i="14815"/>
  <c r="DK7" i="14815"/>
  <c r="DL7" i="14815"/>
  <c r="DM7" i="14815"/>
  <c r="DN7" i="14815"/>
  <c r="DO7" i="14815"/>
  <c r="DP7" i="14815"/>
  <c r="DQ7" i="14815"/>
  <c r="DR7" i="14815"/>
  <c r="DS7" i="14815"/>
  <c r="DT7" i="14815"/>
  <c r="DU7" i="14815"/>
  <c r="CV8" i="14815"/>
  <c r="CW8" i="14815"/>
  <c r="CX8" i="14815"/>
  <c r="CY8" i="14815"/>
  <c r="CZ8" i="14815"/>
  <c r="DA8" i="14815"/>
  <c r="DB8" i="14815"/>
  <c r="DC8" i="14815"/>
  <c r="DD8" i="14815"/>
  <c r="DE8" i="14815"/>
  <c r="DF8" i="14815"/>
  <c r="DG8" i="14815"/>
  <c r="DH8" i="14815"/>
  <c r="DI8" i="14815"/>
  <c r="DJ8" i="14815"/>
  <c r="DK8" i="14815"/>
  <c r="DL8" i="14815"/>
  <c r="DM8" i="14815"/>
  <c r="DN8" i="14815"/>
  <c r="DO8" i="14815"/>
  <c r="DP8" i="14815"/>
  <c r="DQ8" i="14815"/>
  <c r="DR8" i="14815"/>
  <c r="DS8" i="14815"/>
  <c r="DT8" i="14815"/>
  <c r="DU8" i="14815"/>
  <c r="CV9" i="14815"/>
  <c r="CW9" i="14815"/>
  <c r="CX9" i="14815"/>
  <c r="CY9" i="14815"/>
  <c r="CZ9" i="14815"/>
  <c r="DA9" i="14815"/>
  <c r="DB9" i="14815"/>
  <c r="DC9" i="14815"/>
  <c r="DD9" i="14815"/>
  <c r="DE9" i="14815"/>
  <c r="DF9" i="14815"/>
  <c r="DG9" i="14815"/>
  <c r="DH9" i="14815"/>
  <c r="DI9" i="14815"/>
  <c r="DJ9" i="14815"/>
  <c r="DK9" i="14815"/>
  <c r="DL9" i="14815"/>
  <c r="DM9" i="14815"/>
  <c r="DN9" i="14815"/>
  <c r="DO9" i="14815"/>
  <c r="DP9" i="14815"/>
  <c r="DQ9" i="14815"/>
  <c r="DR9" i="14815"/>
  <c r="DS9" i="14815"/>
  <c r="DT9" i="14815"/>
  <c r="DU9" i="14815"/>
  <c r="CV10" i="14815"/>
  <c r="CW10" i="14815"/>
  <c r="CX10" i="14815"/>
  <c r="CY10" i="14815"/>
  <c r="CZ10" i="14815"/>
  <c r="DA10" i="14815"/>
  <c r="DB10" i="14815"/>
  <c r="DC10" i="14815"/>
  <c r="DD10" i="14815"/>
  <c r="DE10" i="14815"/>
  <c r="DF10" i="14815"/>
  <c r="DG10" i="14815"/>
  <c r="DH10" i="14815"/>
  <c r="DI10" i="14815"/>
  <c r="DJ10" i="14815"/>
  <c r="DK10" i="14815"/>
  <c r="DL10" i="14815"/>
  <c r="DM10" i="14815"/>
  <c r="DN10" i="14815"/>
  <c r="DO10" i="14815"/>
  <c r="DP10" i="14815"/>
  <c r="DQ10" i="14815"/>
  <c r="DR10" i="14815"/>
  <c r="DS10" i="14815"/>
  <c r="DT10" i="14815"/>
  <c r="DU10" i="14815"/>
  <c r="CV11" i="14815"/>
  <c r="CW11" i="14815"/>
  <c r="CX11" i="14815"/>
  <c r="CY11" i="14815"/>
  <c r="CZ11" i="14815"/>
  <c r="DA11" i="14815"/>
  <c r="DB11" i="14815"/>
  <c r="DC11" i="14815"/>
  <c r="DD11" i="14815"/>
  <c r="DE11" i="14815"/>
  <c r="DF11" i="14815"/>
  <c r="DG11" i="14815"/>
  <c r="DH11" i="14815"/>
  <c r="DI11" i="14815"/>
  <c r="DJ11" i="14815"/>
  <c r="DK11" i="14815"/>
  <c r="DL11" i="14815"/>
  <c r="DM11" i="14815"/>
  <c r="DN11" i="14815"/>
  <c r="DO11" i="14815"/>
  <c r="DP11" i="14815"/>
  <c r="DQ11" i="14815"/>
  <c r="DR11" i="14815"/>
  <c r="DS11" i="14815"/>
  <c r="DT11" i="14815"/>
  <c r="DU11" i="14815"/>
  <c r="CV12" i="14815"/>
  <c r="CW12" i="14815"/>
  <c r="CX12" i="14815"/>
  <c r="CY12" i="14815"/>
  <c r="CZ12" i="14815"/>
  <c r="DA12" i="14815"/>
  <c r="DB12" i="14815"/>
  <c r="DC12" i="14815"/>
  <c r="DD12" i="14815"/>
  <c r="DE12" i="14815"/>
  <c r="DF12" i="14815"/>
  <c r="DG12" i="14815"/>
  <c r="DH12" i="14815"/>
  <c r="DI12" i="14815"/>
  <c r="DJ12" i="14815"/>
  <c r="DK12" i="14815"/>
  <c r="DL12" i="14815"/>
  <c r="DM12" i="14815"/>
  <c r="DN12" i="14815"/>
  <c r="DO12" i="14815"/>
  <c r="DP12" i="14815"/>
  <c r="DQ12" i="14815"/>
  <c r="DR12" i="14815"/>
  <c r="DS12" i="14815"/>
  <c r="DT12" i="14815"/>
  <c r="DU12" i="14815"/>
  <c r="CV13" i="14815"/>
  <c r="CW13" i="14815"/>
  <c r="CX13" i="14815"/>
  <c r="CY13" i="14815"/>
  <c r="CZ13" i="14815"/>
  <c r="DA13" i="14815"/>
  <c r="DB13" i="14815"/>
  <c r="DC13" i="14815"/>
  <c r="DD13" i="14815"/>
  <c r="DE13" i="14815"/>
  <c r="DF13" i="14815"/>
  <c r="DG13" i="14815"/>
  <c r="DH13" i="14815"/>
  <c r="DI13" i="14815"/>
  <c r="DJ13" i="14815"/>
  <c r="DK13" i="14815"/>
  <c r="DL13" i="14815"/>
  <c r="DM13" i="14815"/>
  <c r="DN13" i="14815"/>
  <c r="DO13" i="14815"/>
  <c r="DP13" i="14815"/>
  <c r="DQ13" i="14815"/>
  <c r="DR13" i="14815"/>
  <c r="DS13" i="14815"/>
  <c r="DT13" i="14815"/>
  <c r="DU13" i="14815"/>
  <c r="CV14" i="14815"/>
  <c r="CW14" i="14815"/>
  <c r="CX14" i="14815"/>
  <c r="CY14" i="14815"/>
  <c r="CZ14" i="14815"/>
  <c r="DA14" i="14815"/>
  <c r="DB14" i="14815"/>
  <c r="DC14" i="14815"/>
  <c r="DD14" i="14815"/>
  <c r="DE14" i="14815"/>
  <c r="DF14" i="14815"/>
  <c r="DG14" i="14815"/>
  <c r="DH14" i="14815"/>
  <c r="DI14" i="14815"/>
  <c r="DJ14" i="14815"/>
  <c r="DK14" i="14815"/>
  <c r="DL14" i="14815"/>
  <c r="DM14" i="14815"/>
  <c r="DN14" i="14815"/>
  <c r="DO14" i="14815"/>
  <c r="DP14" i="14815"/>
  <c r="DQ14" i="14815"/>
  <c r="DR14" i="14815"/>
  <c r="DS14" i="14815"/>
  <c r="DT14" i="14815"/>
  <c r="DU14" i="14815"/>
  <c r="CV15" i="14815"/>
  <c r="CW15" i="14815"/>
  <c r="CX15" i="14815"/>
  <c r="CY15" i="14815"/>
  <c r="CZ15" i="14815"/>
  <c r="DA15" i="14815"/>
  <c r="DB15" i="14815"/>
  <c r="DC15" i="14815"/>
  <c r="DD15" i="14815"/>
  <c r="DE15" i="14815"/>
  <c r="DF15" i="14815"/>
  <c r="DG15" i="14815"/>
  <c r="DH15" i="14815"/>
  <c r="DI15" i="14815"/>
  <c r="DJ15" i="14815"/>
  <c r="DK15" i="14815"/>
  <c r="DL15" i="14815"/>
  <c r="DM15" i="14815"/>
  <c r="DN15" i="14815"/>
  <c r="DO15" i="14815"/>
  <c r="DP15" i="14815"/>
  <c r="DQ15" i="14815"/>
  <c r="DR15" i="14815"/>
  <c r="DS15" i="14815"/>
  <c r="DT15" i="14815"/>
  <c r="DU15" i="14815"/>
  <c r="CV16" i="14815"/>
  <c r="CW16" i="14815"/>
  <c r="CX16" i="14815"/>
  <c r="CY16" i="14815"/>
  <c r="CZ16" i="14815"/>
  <c r="DA16" i="14815"/>
  <c r="DB16" i="14815"/>
  <c r="DC16" i="14815"/>
  <c r="DD16" i="14815"/>
  <c r="DE16" i="14815"/>
  <c r="DF16" i="14815"/>
  <c r="DG16" i="14815"/>
  <c r="DH16" i="14815"/>
  <c r="DI16" i="14815"/>
  <c r="DJ16" i="14815"/>
  <c r="DK16" i="14815"/>
  <c r="DL16" i="14815"/>
  <c r="DM16" i="14815"/>
  <c r="DN16" i="14815"/>
  <c r="DO16" i="14815"/>
  <c r="DP16" i="14815"/>
  <c r="DQ16" i="14815"/>
  <c r="DR16" i="14815"/>
  <c r="DS16" i="14815"/>
  <c r="DT16" i="14815"/>
  <c r="DU16" i="14815"/>
  <c r="CV17" i="14815"/>
  <c r="CW17" i="14815"/>
  <c r="CX17" i="14815"/>
  <c r="CY17" i="14815"/>
  <c r="CZ17" i="14815"/>
  <c r="DA17" i="14815"/>
  <c r="DB17" i="14815"/>
  <c r="DC17" i="14815"/>
  <c r="DD17" i="14815"/>
  <c r="DE17" i="14815"/>
  <c r="DF17" i="14815"/>
  <c r="DG17" i="14815"/>
  <c r="DH17" i="14815"/>
  <c r="DI17" i="14815"/>
  <c r="DJ17" i="14815"/>
  <c r="DK17" i="14815"/>
  <c r="DL17" i="14815"/>
  <c r="DM17" i="14815"/>
  <c r="DN17" i="14815"/>
  <c r="DO17" i="14815"/>
  <c r="DP17" i="14815"/>
  <c r="DQ17" i="14815"/>
  <c r="DR17" i="14815"/>
  <c r="DS17" i="14815"/>
  <c r="DT17" i="14815"/>
  <c r="DU17" i="14815"/>
  <c r="CV18" i="14815"/>
  <c r="CW18" i="14815"/>
  <c r="CX18" i="14815"/>
  <c r="CY18" i="14815"/>
  <c r="CZ18" i="14815"/>
  <c r="DA18" i="14815"/>
  <c r="DB18" i="14815"/>
  <c r="DC18" i="14815"/>
  <c r="DD18" i="14815"/>
  <c r="DE18" i="14815"/>
  <c r="DF18" i="14815"/>
  <c r="DG18" i="14815"/>
  <c r="DH18" i="14815"/>
  <c r="DI18" i="14815"/>
  <c r="DJ18" i="14815"/>
  <c r="DK18" i="14815"/>
  <c r="DL18" i="14815"/>
  <c r="DM18" i="14815"/>
  <c r="DN18" i="14815"/>
  <c r="DO18" i="14815"/>
  <c r="DP18" i="14815"/>
  <c r="DQ18" i="14815"/>
  <c r="DR18" i="14815"/>
  <c r="DS18" i="14815"/>
  <c r="DT18" i="14815"/>
  <c r="DU18" i="14815"/>
  <c r="CV19" i="14815"/>
  <c r="CW19" i="14815"/>
  <c r="CX19" i="14815"/>
  <c r="CY19" i="14815"/>
  <c r="CZ19" i="14815"/>
  <c r="DA19" i="14815"/>
  <c r="DB19" i="14815"/>
  <c r="DC19" i="14815"/>
  <c r="DD19" i="14815"/>
  <c r="DE19" i="14815"/>
  <c r="DF19" i="14815"/>
  <c r="DG19" i="14815"/>
  <c r="DH19" i="14815"/>
  <c r="DI19" i="14815"/>
  <c r="DJ19" i="14815"/>
  <c r="DK19" i="14815"/>
  <c r="DL19" i="14815"/>
  <c r="DM19" i="14815"/>
  <c r="DN19" i="14815"/>
  <c r="DO19" i="14815"/>
  <c r="DP19" i="14815"/>
  <c r="DQ19" i="14815"/>
  <c r="DR19" i="14815"/>
  <c r="DS19" i="14815"/>
  <c r="DT19" i="14815"/>
  <c r="DU19" i="14815"/>
  <c r="CV20" i="14815"/>
  <c r="CW20" i="14815"/>
  <c r="CX20" i="14815"/>
  <c r="CY20" i="14815"/>
  <c r="CZ20" i="14815"/>
  <c r="DA20" i="14815"/>
  <c r="DB20" i="14815"/>
  <c r="DC20" i="14815"/>
  <c r="DD20" i="14815"/>
  <c r="DE20" i="14815"/>
  <c r="DF20" i="14815"/>
  <c r="DG20" i="14815"/>
  <c r="DH20" i="14815"/>
  <c r="DI20" i="14815"/>
  <c r="DJ20" i="14815"/>
  <c r="DK20" i="14815"/>
  <c r="DL20" i="14815"/>
  <c r="DM20" i="14815"/>
  <c r="DN20" i="14815"/>
  <c r="DO20" i="14815"/>
  <c r="DP20" i="14815"/>
  <c r="DQ20" i="14815"/>
  <c r="DR20" i="14815"/>
  <c r="DS20" i="14815"/>
  <c r="DT20" i="14815"/>
  <c r="DU20" i="14815"/>
  <c r="CV21" i="14815"/>
  <c r="CW21" i="14815"/>
  <c r="CX21" i="14815"/>
  <c r="CY21" i="14815"/>
  <c r="CZ21" i="14815"/>
  <c r="DA21" i="14815"/>
  <c r="DB21" i="14815"/>
  <c r="DC21" i="14815"/>
  <c r="DD21" i="14815"/>
  <c r="DE21" i="14815"/>
  <c r="DF21" i="14815"/>
  <c r="DG21" i="14815"/>
  <c r="DH21" i="14815"/>
  <c r="DI21" i="14815"/>
  <c r="DJ21" i="14815"/>
  <c r="DK21" i="14815"/>
  <c r="DL21" i="14815"/>
  <c r="DM21" i="14815"/>
  <c r="DN21" i="14815"/>
  <c r="DO21" i="14815"/>
  <c r="DP21" i="14815"/>
  <c r="DQ21" i="14815"/>
  <c r="DR21" i="14815"/>
  <c r="DS21" i="14815"/>
  <c r="DT21" i="14815"/>
  <c r="DU21" i="14815"/>
  <c r="CV22" i="14815"/>
  <c r="CW22" i="14815"/>
  <c r="CX22" i="14815"/>
  <c r="CY22" i="14815"/>
  <c r="CZ22" i="14815"/>
  <c r="DA22" i="14815"/>
  <c r="DB22" i="14815"/>
  <c r="DC22" i="14815"/>
  <c r="DD22" i="14815"/>
  <c r="DE22" i="14815"/>
  <c r="DF22" i="14815"/>
  <c r="DG22" i="14815"/>
  <c r="DH22" i="14815"/>
  <c r="DI22" i="14815"/>
  <c r="DJ22" i="14815"/>
  <c r="DK22" i="14815"/>
  <c r="DL22" i="14815"/>
  <c r="DM22" i="14815"/>
  <c r="DN22" i="14815"/>
  <c r="DO22" i="14815"/>
  <c r="DP22" i="14815"/>
  <c r="DQ22" i="14815"/>
  <c r="DR22" i="14815"/>
  <c r="DS22" i="14815"/>
  <c r="DT22" i="14815"/>
  <c r="DU22" i="14815"/>
  <c r="CV23" i="14815"/>
  <c r="CW23" i="14815"/>
  <c r="CX23" i="14815"/>
  <c r="CY23" i="14815"/>
  <c r="CZ23" i="14815"/>
  <c r="DA23" i="14815"/>
  <c r="DB23" i="14815"/>
  <c r="DC23" i="14815"/>
  <c r="DD23" i="14815"/>
  <c r="DE23" i="14815"/>
  <c r="DF23" i="14815"/>
  <c r="DG23" i="14815"/>
  <c r="DH23" i="14815"/>
  <c r="DI23" i="14815"/>
  <c r="DJ23" i="14815"/>
  <c r="DK23" i="14815"/>
  <c r="DL23" i="14815"/>
  <c r="DM23" i="14815"/>
  <c r="DN23" i="14815"/>
  <c r="DO23" i="14815"/>
  <c r="DP23" i="14815"/>
  <c r="DQ23" i="14815"/>
  <c r="DR23" i="14815"/>
  <c r="DS23" i="14815"/>
  <c r="DT23" i="14815"/>
  <c r="DU23" i="14815"/>
  <c r="CV24" i="14815"/>
  <c r="CW24" i="14815"/>
  <c r="CX24" i="14815"/>
  <c r="CY24" i="14815"/>
  <c r="CZ24" i="14815"/>
  <c r="DA24" i="14815"/>
  <c r="DB24" i="14815"/>
  <c r="DC24" i="14815"/>
  <c r="DD24" i="14815"/>
  <c r="DE24" i="14815"/>
  <c r="DF24" i="14815"/>
  <c r="DG24" i="14815"/>
  <c r="DH24" i="14815"/>
  <c r="DI24" i="14815"/>
  <c r="DJ24" i="14815"/>
  <c r="DK24" i="14815"/>
  <c r="DL24" i="14815"/>
  <c r="DM24" i="14815"/>
  <c r="DN24" i="14815"/>
  <c r="DO24" i="14815"/>
  <c r="DP24" i="14815"/>
  <c r="DQ24" i="14815"/>
  <c r="DR24" i="14815"/>
  <c r="DS24" i="14815"/>
  <c r="DT24" i="14815"/>
  <c r="DU24" i="14815"/>
  <c r="CV25" i="14815"/>
  <c r="CW25" i="14815"/>
  <c r="CX25" i="14815"/>
  <c r="CY25" i="14815"/>
  <c r="CZ25" i="14815"/>
  <c r="DA25" i="14815"/>
  <c r="DB25" i="14815"/>
  <c r="DC25" i="14815"/>
  <c r="DD25" i="14815"/>
  <c r="DE25" i="14815"/>
  <c r="DF25" i="14815"/>
  <c r="DG25" i="14815"/>
  <c r="DH25" i="14815"/>
  <c r="DI25" i="14815"/>
  <c r="DJ25" i="14815"/>
  <c r="DK25" i="14815"/>
  <c r="DL25" i="14815"/>
  <c r="DM25" i="14815"/>
  <c r="DN25" i="14815"/>
  <c r="DO25" i="14815"/>
  <c r="DP25" i="14815"/>
  <c r="DQ25" i="14815"/>
  <c r="DR25" i="14815"/>
  <c r="DS25" i="14815"/>
  <c r="DT25" i="14815"/>
  <c r="DU25" i="14815"/>
  <c r="CV26" i="14815"/>
  <c r="CW26" i="14815"/>
  <c r="CX26" i="14815"/>
  <c r="CY26" i="14815"/>
  <c r="CZ26" i="14815"/>
  <c r="DA26" i="14815"/>
  <c r="DB26" i="14815"/>
  <c r="DC26" i="14815"/>
  <c r="DD26" i="14815"/>
  <c r="DE26" i="14815"/>
  <c r="DF26" i="14815"/>
  <c r="DG26" i="14815"/>
  <c r="DH26" i="14815"/>
  <c r="DI26" i="14815"/>
  <c r="DJ26" i="14815"/>
  <c r="DK26" i="14815"/>
  <c r="DL26" i="14815"/>
  <c r="DM26" i="14815"/>
  <c r="DN26" i="14815"/>
  <c r="DO26" i="14815"/>
  <c r="DP26" i="14815"/>
  <c r="DQ26" i="14815"/>
  <c r="DR26" i="14815"/>
  <c r="DS26" i="14815"/>
  <c r="DT26" i="14815"/>
  <c r="DU26" i="14815"/>
  <c r="CV27" i="14815"/>
  <c r="CW27" i="14815"/>
  <c r="CX27" i="14815"/>
  <c r="CY27" i="14815"/>
  <c r="CZ27" i="14815"/>
  <c r="DA27" i="14815"/>
  <c r="DB27" i="14815"/>
  <c r="DC27" i="14815"/>
  <c r="DD27" i="14815"/>
  <c r="DE27" i="14815"/>
  <c r="DF27" i="14815"/>
  <c r="DG27" i="14815"/>
  <c r="DH27" i="14815"/>
  <c r="DI27" i="14815"/>
  <c r="DJ27" i="14815"/>
  <c r="DK27" i="14815"/>
  <c r="DL27" i="14815"/>
  <c r="DM27" i="14815"/>
  <c r="DN27" i="14815"/>
  <c r="DO27" i="14815"/>
  <c r="DP27" i="14815"/>
  <c r="DQ27" i="14815"/>
  <c r="DR27" i="14815"/>
  <c r="DS27" i="14815"/>
  <c r="DT27" i="14815"/>
  <c r="DU27" i="14815"/>
  <c r="CV28" i="14815"/>
  <c r="CW28" i="14815"/>
  <c r="CX28" i="14815"/>
  <c r="CY28" i="14815"/>
  <c r="CZ28" i="14815"/>
  <c r="DA28" i="14815"/>
  <c r="DB28" i="14815"/>
  <c r="DC28" i="14815"/>
  <c r="DD28" i="14815"/>
  <c r="DE28" i="14815"/>
  <c r="DF28" i="14815"/>
  <c r="DG28" i="14815"/>
  <c r="DH28" i="14815"/>
  <c r="DI28" i="14815"/>
  <c r="DJ28" i="14815"/>
  <c r="DK28" i="14815"/>
  <c r="DL28" i="14815"/>
  <c r="DM28" i="14815"/>
  <c r="DN28" i="14815"/>
  <c r="DO28" i="14815"/>
  <c r="DP28" i="14815"/>
  <c r="DQ28" i="14815"/>
  <c r="DR28" i="14815"/>
  <c r="DS28" i="14815"/>
  <c r="DT28" i="14815"/>
  <c r="DU28" i="14815"/>
  <c r="CV29" i="14815"/>
  <c r="CW29" i="14815"/>
  <c r="CX29" i="14815"/>
  <c r="CY29" i="14815"/>
  <c r="CZ29" i="14815"/>
  <c r="DA29" i="14815"/>
  <c r="DB29" i="14815"/>
  <c r="DC29" i="14815"/>
  <c r="DD29" i="14815"/>
  <c r="DE29" i="14815"/>
  <c r="DF29" i="14815"/>
  <c r="DG29" i="14815"/>
  <c r="DH29" i="14815"/>
  <c r="DI29" i="14815"/>
  <c r="DJ29" i="14815"/>
  <c r="DK29" i="14815"/>
  <c r="DL29" i="14815"/>
  <c r="DM29" i="14815"/>
  <c r="DN29" i="14815"/>
  <c r="DO29" i="14815"/>
  <c r="DP29" i="14815"/>
  <c r="DQ29" i="14815"/>
  <c r="DR29" i="14815"/>
  <c r="DS29" i="14815"/>
  <c r="DT29" i="14815"/>
  <c r="DU29" i="14815"/>
  <c r="CV30" i="14815"/>
  <c r="CW30" i="14815"/>
  <c r="CX30" i="14815"/>
  <c r="CY30" i="14815"/>
  <c r="CZ30" i="14815"/>
  <c r="DA30" i="14815"/>
  <c r="DB30" i="14815"/>
  <c r="DC30" i="14815"/>
  <c r="DD30" i="14815"/>
  <c r="DE30" i="14815"/>
  <c r="DF30" i="14815"/>
  <c r="DG30" i="14815"/>
  <c r="DH30" i="14815"/>
  <c r="DI30" i="14815"/>
  <c r="DJ30" i="14815"/>
  <c r="DK30" i="14815"/>
  <c r="DL30" i="14815"/>
  <c r="DM30" i="14815"/>
  <c r="DN30" i="14815"/>
  <c r="DO30" i="14815"/>
  <c r="DP30" i="14815"/>
  <c r="DQ30" i="14815"/>
  <c r="DR30" i="14815"/>
  <c r="DS30" i="14815"/>
  <c r="DT30" i="14815"/>
  <c r="DU30" i="14815"/>
  <c r="CV31" i="14815"/>
  <c r="CW31" i="14815"/>
  <c r="CX31" i="14815"/>
  <c r="CY31" i="14815"/>
  <c r="CZ31" i="14815"/>
  <c r="DA31" i="14815"/>
  <c r="DB31" i="14815"/>
  <c r="DC31" i="14815"/>
  <c r="DD31" i="14815"/>
  <c r="DE31" i="14815"/>
  <c r="DF31" i="14815"/>
  <c r="DG31" i="14815"/>
  <c r="DH31" i="14815"/>
  <c r="DI31" i="14815"/>
  <c r="DJ31" i="14815"/>
  <c r="DK31" i="14815"/>
  <c r="DL31" i="14815"/>
  <c r="DM31" i="14815"/>
  <c r="DN31" i="14815"/>
  <c r="DO31" i="14815"/>
  <c r="DP31" i="14815"/>
  <c r="DQ31" i="14815"/>
  <c r="DR31" i="14815"/>
  <c r="DS31" i="14815"/>
  <c r="DT31" i="14815"/>
  <c r="DU31" i="14815"/>
  <c r="CV32" i="14815"/>
  <c r="CW32" i="14815"/>
  <c r="CX32" i="14815"/>
  <c r="CY32" i="14815"/>
  <c r="CZ32" i="14815"/>
  <c r="DA32" i="14815"/>
  <c r="DB32" i="14815"/>
  <c r="DC32" i="14815"/>
  <c r="DD32" i="14815"/>
  <c r="DE32" i="14815"/>
  <c r="DF32" i="14815"/>
  <c r="DG32" i="14815"/>
  <c r="DH32" i="14815"/>
  <c r="DI32" i="14815"/>
  <c r="DJ32" i="14815"/>
  <c r="DK32" i="14815"/>
  <c r="DL32" i="14815"/>
  <c r="DM32" i="14815"/>
  <c r="DN32" i="14815"/>
  <c r="DO32" i="14815"/>
  <c r="DP32" i="14815"/>
  <c r="DQ32" i="14815"/>
  <c r="DR32" i="14815"/>
  <c r="DS32" i="14815"/>
  <c r="DT32" i="14815"/>
  <c r="DU32" i="14815"/>
  <c r="CV33" i="14815"/>
  <c r="CW33" i="14815"/>
  <c r="CX33" i="14815"/>
  <c r="CY33" i="14815"/>
  <c r="CZ33" i="14815"/>
  <c r="DA33" i="14815"/>
  <c r="DB33" i="14815"/>
  <c r="DC33" i="14815"/>
  <c r="DD33" i="14815"/>
  <c r="DE33" i="14815"/>
  <c r="DF33" i="14815"/>
  <c r="DG33" i="14815"/>
  <c r="DH33" i="14815"/>
  <c r="DI33" i="14815"/>
  <c r="DJ33" i="14815"/>
  <c r="DK33" i="14815"/>
  <c r="DL33" i="14815"/>
  <c r="DM33" i="14815"/>
  <c r="DN33" i="14815"/>
  <c r="DO33" i="14815"/>
  <c r="DP33" i="14815"/>
  <c r="DQ33" i="14815"/>
  <c r="DR33" i="14815"/>
  <c r="DS33" i="14815"/>
  <c r="DT33" i="14815"/>
  <c r="DU33" i="14815"/>
  <c r="CV34" i="14815"/>
  <c r="CW34" i="14815"/>
  <c r="CX34" i="14815"/>
  <c r="CY34" i="14815"/>
  <c r="CZ34" i="14815"/>
  <c r="DA34" i="14815"/>
  <c r="DB34" i="14815"/>
  <c r="DC34" i="14815"/>
  <c r="DD34" i="14815"/>
  <c r="DE34" i="14815"/>
  <c r="DF34" i="14815"/>
  <c r="DG34" i="14815"/>
  <c r="DH34" i="14815"/>
  <c r="DI34" i="14815"/>
  <c r="DJ34" i="14815"/>
  <c r="DK34" i="14815"/>
  <c r="DL34" i="14815"/>
  <c r="DM34" i="14815"/>
  <c r="DN34" i="14815"/>
  <c r="DO34" i="14815"/>
  <c r="DP34" i="14815"/>
  <c r="DQ34" i="14815"/>
  <c r="DR34" i="14815"/>
  <c r="DS34" i="14815"/>
  <c r="DT34" i="14815"/>
  <c r="DU34" i="14815"/>
  <c r="CV35" i="14815"/>
  <c r="CW35" i="14815"/>
  <c r="CX35" i="14815"/>
  <c r="CY35" i="14815"/>
  <c r="CZ35" i="14815"/>
  <c r="DA35" i="14815"/>
  <c r="DB35" i="14815"/>
  <c r="DC35" i="14815"/>
  <c r="DD35" i="14815"/>
  <c r="DE35" i="14815"/>
  <c r="DF35" i="14815"/>
  <c r="DG35" i="14815"/>
  <c r="DH35" i="14815"/>
  <c r="DI35" i="14815"/>
  <c r="DJ35" i="14815"/>
  <c r="DK35" i="14815"/>
  <c r="DL35" i="14815"/>
  <c r="DM35" i="14815"/>
  <c r="DN35" i="14815"/>
  <c r="DO35" i="14815"/>
  <c r="DP35" i="14815"/>
  <c r="DQ35" i="14815"/>
  <c r="DR35" i="14815"/>
  <c r="DS35" i="14815"/>
  <c r="DT35" i="14815"/>
  <c r="DU35" i="14815"/>
  <c r="CV36" i="14815"/>
  <c r="CW36" i="14815"/>
  <c r="CX36" i="14815"/>
  <c r="CY36" i="14815"/>
  <c r="CZ36" i="14815"/>
  <c r="DA36" i="14815"/>
  <c r="DB36" i="14815"/>
  <c r="DC36" i="14815"/>
  <c r="DD36" i="14815"/>
  <c r="DE36" i="14815"/>
  <c r="DF36" i="14815"/>
  <c r="DG36" i="14815"/>
  <c r="DH36" i="14815"/>
  <c r="DI36" i="14815"/>
  <c r="DJ36" i="14815"/>
  <c r="DK36" i="14815"/>
  <c r="DL36" i="14815"/>
  <c r="DM36" i="14815"/>
  <c r="DN36" i="14815"/>
  <c r="DO36" i="14815"/>
  <c r="DP36" i="14815"/>
  <c r="DQ36" i="14815"/>
  <c r="DR36" i="14815"/>
  <c r="DS36" i="14815"/>
  <c r="DT36" i="14815"/>
  <c r="DU36" i="14815"/>
  <c r="CV37" i="14815"/>
  <c r="CW37" i="14815"/>
  <c r="CX37" i="14815"/>
  <c r="CY37" i="14815"/>
  <c r="CZ37" i="14815"/>
  <c r="DA37" i="14815"/>
  <c r="DB37" i="14815"/>
  <c r="DC37" i="14815"/>
  <c r="DD37" i="14815"/>
  <c r="DE37" i="14815"/>
  <c r="DF37" i="14815"/>
  <c r="DG37" i="14815"/>
  <c r="DH37" i="14815"/>
  <c r="DI37" i="14815"/>
  <c r="DJ37" i="14815"/>
  <c r="DK37" i="14815"/>
  <c r="DL37" i="14815"/>
  <c r="DM37" i="14815"/>
  <c r="DN37" i="14815"/>
  <c r="DO37" i="14815"/>
  <c r="DP37" i="14815"/>
  <c r="DQ37" i="14815"/>
  <c r="DR37" i="14815"/>
  <c r="DS37" i="14815"/>
  <c r="DT37" i="14815"/>
  <c r="DU37" i="14815"/>
  <c r="CV38" i="14815"/>
  <c r="CW38" i="14815"/>
  <c r="CX38" i="14815"/>
  <c r="CY38" i="14815"/>
  <c r="CZ38" i="14815"/>
  <c r="DA38" i="14815"/>
  <c r="DB38" i="14815"/>
  <c r="DC38" i="14815"/>
  <c r="DD38" i="14815"/>
  <c r="DE38" i="14815"/>
  <c r="DF38" i="14815"/>
  <c r="DG38" i="14815"/>
  <c r="DH38" i="14815"/>
  <c r="DI38" i="14815"/>
  <c r="DJ38" i="14815"/>
  <c r="DK38" i="14815"/>
  <c r="DL38" i="14815"/>
  <c r="DM38" i="14815"/>
  <c r="DN38" i="14815"/>
  <c r="DO38" i="14815"/>
  <c r="DP38" i="14815"/>
  <c r="DQ38" i="14815"/>
  <c r="DR38" i="14815"/>
  <c r="DS38" i="14815"/>
  <c r="DT38" i="14815"/>
  <c r="DU38" i="14815"/>
  <c r="CV39" i="14815"/>
  <c r="CW39" i="14815"/>
  <c r="CX39" i="14815"/>
  <c r="CY39" i="14815"/>
  <c r="CZ39" i="14815"/>
  <c r="DA39" i="14815"/>
  <c r="DB39" i="14815"/>
  <c r="DC39" i="14815"/>
  <c r="DD39" i="14815"/>
  <c r="DE39" i="14815"/>
  <c r="DF39" i="14815"/>
  <c r="DG39" i="14815"/>
  <c r="DH39" i="14815"/>
  <c r="DI39" i="14815"/>
  <c r="DJ39" i="14815"/>
  <c r="DK39" i="14815"/>
  <c r="DL39" i="14815"/>
  <c r="DM39" i="14815"/>
  <c r="DN39" i="14815"/>
  <c r="DO39" i="14815"/>
  <c r="DP39" i="14815"/>
  <c r="DQ39" i="14815"/>
  <c r="DR39" i="14815"/>
  <c r="DS39" i="14815"/>
  <c r="DT39" i="14815"/>
  <c r="DU39" i="14815"/>
  <c r="CV40" i="14815"/>
  <c r="CW40" i="14815"/>
  <c r="CX40" i="14815"/>
  <c r="CY40" i="14815"/>
  <c r="CZ40" i="14815"/>
  <c r="DA40" i="14815"/>
  <c r="DB40" i="14815"/>
  <c r="DC40" i="14815"/>
  <c r="DD40" i="14815"/>
  <c r="DE40" i="14815"/>
  <c r="DF40" i="14815"/>
  <c r="DG40" i="14815"/>
  <c r="DH40" i="14815"/>
  <c r="DI40" i="14815"/>
  <c r="DJ40" i="14815"/>
  <c r="DK40" i="14815"/>
  <c r="DL40" i="14815"/>
  <c r="DM40" i="14815"/>
  <c r="DN40" i="14815"/>
  <c r="DO40" i="14815"/>
  <c r="DP40" i="14815"/>
  <c r="DQ40" i="14815"/>
  <c r="DR40" i="14815"/>
  <c r="DS40" i="14815"/>
  <c r="DT40" i="14815"/>
  <c r="DU40" i="14815"/>
  <c r="CV41" i="14815"/>
  <c r="CW41" i="14815"/>
  <c r="CX41" i="14815"/>
  <c r="CY41" i="14815"/>
  <c r="CZ41" i="14815"/>
  <c r="DA41" i="14815"/>
  <c r="DB41" i="14815"/>
  <c r="DC41" i="14815"/>
  <c r="DD41" i="14815"/>
  <c r="DE41" i="14815"/>
  <c r="DF41" i="14815"/>
  <c r="DG41" i="14815"/>
  <c r="DH41" i="14815"/>
  <c r="DI41" i="14815"/>
  <c r="DJ41" i="14815"/>
  <c r="DK41" i="14815"/>
  <c r="DL41" i="14815"/>
  <c r="DM41" i="14815"/>
  <c r="DN41" i="14815"/>
  <c r="DO41" i="14815"/>
  <c r="DP41" i="14815"/>
  <c r="DQ41" i="14815"/>
  <c r="DR41" i="14815"/>
  <c r="DS41" i="14815"/>
  <c r="DT41" i="14815"/>
  <c r="DU41" i="14815"/>
  <c r="CV42" i="14815"/>
  <c r="CW42" i="14815"/>
  <c r="CX42" i="14815"/>
  <c r="CY42" i="14815"/>
  <c r="CZ42" i="14815"/>
  <c r="DA42" i="14815"/>
  <c r="DB42" i="14815"/>
  <c r="DC42" i="14815"/>
  <c r="DD42" i="14815"/>
  <c r="DE42" i="14815"/>
  <c r="DF42" i="14815"/>
  <c r="DG42" i="14815"/>
  <c r="DH42" i="14815"/>
  <c r="DI42" i="14815"/>
  <c r="DJ42" i="14815"/>
  <c r="DK42" i="14815"/>
  <c r="DL42" i="14815"/>
  <c r="DM42" i="14815"/>
  <c r="DN42" i="14815"/>
  <c r="DO42" i="14815"/>
  <c r="DP42" i="14815"/>
  <c r="DQ42" i="14815"/>
  <c r="DR42" i="14815"/>
  <c r="DS42" i="14815"/>
  <c r="DT42" i="14815"/>
  <c r="DU42" i="14815"/>
  <c r="CV43" i="14815"/>
  <c r="CW43" i="14815"/>
  <c r="CX43" i="14815"/>
  <c r="CY43" i="14815"/>
  <c r="CZ43" i="14815"/>
  <c r="DA43" i="14815"/>
  <c r="DB43" i="14815"/>
  <c r="DC43" i="14815"/>
  <c r="DD43" i="14815"/>
  <c r="DE43" i="14815"/>
  <c r="DF43" i="14815"/>
  <c r="DG43" i="14815"/>
  <c r="DH43" i="14815"/>
  <c r="DI43" i="14815"/>
  <c r="DJ43" i="14815"/>
  <c r="DK43" i="14815"/>
  <c r="DL43" i="14815"/>
  <c r="DM43" i="14815"/>
  <c r="DN43" i="14815"/>
  <c r="DO43" i="14815"/>
  <c r="DP43" i="14815"/>
  <c r="DQ43" i="14815"/>
  <c r="DR43" i="14815"/>
  <c r="DS43" i="14815"/>
  <c r="DT43" i="14815"/>
  <c r="DU43" i="14815"/>
  <c r="CV44" i="14815"/>
  <c r="CW44" i="14815"/>
  <c r="CX44" i="14815"/>
  <c r="CY44" i="14815"/>
  <c r="CZ44" i="14815"/>
  <c r="DA44" i="14815"/>
  <c r="DB44" i="14815"/>
  <c r="DC44" i="14815"/>
  <c r="DD44" i="14815"/>
  <c r="DE44" i="14815"/>
  <c r="DF44" i="14815"/>
  <c r="DG44" i="14815"/>
  <c r="DH44" i="14815"/>
  <c r="DI44" i="14815"/>
  <c r="DJ44" i="14815"/>
  <c r="DK44" i="14815"/>
  <c r="DL44" i="14815"/>
  <c r="DM44" i="14815"/>
  <c r="DN44" i="14815"/>
  <c r="DO44" i="14815"/>
  <c r="DP44" i="14815"/>
  <c r="DQ44" i="14815"/>
  <c r="DR44" i="14815"/>
  <c r="DS44" i="14815"/>
  <c r="DT44" i="14815"/>
  <c r="DU44" i="14815"/>
  <c r="CV45" i="14815"/>
  <c r="CW45" i="14815"/>
  <c r="CX45" i="14815"/>
  <c r="CY45" i="14815"/>
  <c r="CZ45" i="14815"/>
  <c r="DA45" i="14815"/>
  <c r="DB45" i="14815"/>
  <c r="DC45" i="14815"/>
  <c r="DD45" i="14815"/>
  <c r="DE45" i="14815"/>
  <c r="DF45" i="14815"/>
  <c r="DG45" i="14815"/>
  <c r="DH45" i="14815"/>
  <c r="DI45" i="14815"/>
  <c r="DJ45" i="14815"/>
  <c r="DK45" i="14815"/>
  <c r="DL45" i="14815"/>
  <c r="DM45" i="14815"/>
  <c r="DN45" i="14815"/>
  <c r="DO45" i="14815"/>
  <c r="DP45" i="14815"/>
  <c r="DQ45" i="14815"/>
  <c r="DR45" i="14815"/>
  <c r="DS45" i="14815"/>
  <c r="DT45" i="14815"/>
  <c r="DU45" i="14815"/>
  <c r="CV46" i="14815"/>
  <c r="CW46" i="14815"/>
  <c r="CX46" i="14815"/>
  <c r="CY46" i="14815"/>
  <c r="CZ46" i="14815"/>
  <c r="DA46" i="14815"/>
  <c r="DB46" i="14815"/>
  <c r="DC46" i="14815"/>
  <c r="DD46" i="14815"/>
  <c r="DE46" i="14815"/>
  <c r="DF46" i="14815"/>
  <c r="DG46" i="14815"/>
  <c r="DH46" i="14815"/>
  <c r="DI46" i="14815"/>
  <c r="DJ46" i="14815"/>
  <c r="DK46" i="14815"/>
  <c r="DL46" i="14815"/>
  <c r="DM46" i="14815"/>
  <c r="DN46" i="14815"/>
  <c r="DO46" i="14815"/>
  <c r="DP46" i="14815"/>
  <c r="DQ46" i="14815"/>
  <c r="DR46" i="14815"/>
  <c r="DS46" i="14815"/>
  <c r="DT46" i="14815"/>
  <c r="DU46" i="14815"/>
  <c r="CV47" i="14815"/>
  <c r="CW47" i="14815"/>
  <c r="CX47" i="14815"/>
  <c r="CY47" i="14815"/>
  <c r="CZ47" i="14815"/>
  <c r="DA47" i="14815"/>
  <c r="DB47" i="14815"/>
  <c r="DC47" i="14815"/>
  <c r="DD47" i="14815"/>
  <c r="DE47" i="14815"/>
  <c r="DF47" i="14815"/>
  <c r="DG47" i="14815"/>
  <c r="DH47" i="14815"/>
  <c r="DI47" i="14815"/>
  <c r="DJ47" i="14815"/>
  <c r="DK47" i="14815"/>
  <c r="DL47" i="14815"/>
  <c r="DM47" i="14815"/>
  <c r="DN47" i="14815"/>
  <c r="DO47" i="14815"/>
  <c r="DP47" i="14815"/>
  <c r="DQ47" i="14815"/>
  <c r="DR47" i="14815"/>
  <c r="DS47" i="14815"/>
  <c r="DT47" i="14815"/>
  <c r="DU47" i="14815"/>
  <c r="CV48" i="14815"/>
  <c r="CW48" i="14815"/>
  <c r="CX48" i="14815"/>
  <c r="CY48" i="14815"/>
  <c r="CZ48" i="14815"/>
  <c r="DA48" i="14815"/>
  <c r="DB48" i="14815"/>
  <c r="DC48" i="14815"/>
  <c r="DD48" i="14815"/>
  <c r="DE48" i="14815"/>
  <c r="DF48" i="14815"/>
  <c r="DG48" i="14815"/>
  <c r="DH48" i="14815"/>
  <c r="DI48" i="14815"/>
  <c r="DJ48" i="14815"/>
  <c r="DK48" i="14815"/>
  <c r="DL48" i="14815"/>
  <c r="DM48" i="14815"/>
  <c r="DN48" i="14815"/>
  <c r="DO48" i="14815"/>
  <c r="DP48" i="14815"/>
  <c r="DQ48" i="14815"/>
  <c r="DR48" i="14815"/>
  <c r="DS48" i="14815"/>
  <c r="DT48" i="14815"/>
  <c r="DU48" i="14815"/>
  <c r="CV49" i="14815"/>
  <c r="CW49" i="14815"/>
  <c r="CX49" i="14815"/>
  <c r="CY49" i="14815"/>
  <c r="CZ49" i="14815"/>
  <c r="DA49" i="14815"/>
  <c r="DB49" i="14815"/>
  <c r="DC49" i="14815"/>
  <c r="DD49" i="14815"/>
  <c r="DE49" i="14815"/>
  <c r="DF49" i="14815"/>
  <c r="DG49" i="14815"/>
  <c r="DH49" i="14815"/>
  <c r="DI49" i="14815"/>
  <c r="DJ49" i="14815"/>
  <c r="DK49" i="14815"/>
  <c r="DL49" i="14815"/>
  <c r="DM49" i="14815"/>
  <c r="DN49" i="14815"/>
  <c r="DO49" i="14815"/>
  <c r="DP49" i="14815"/>
  <c r="DQ49" i="14815"/>
  <c r="DR49" i="14815"/>
  <c r="DS49" i="14815"/>
  <c r="DT49" i="14815"/>
  <c r="DU49" i="14815"/>
  <c r="CV50" i="14815"/>
  <c r="CW50" i="14815"/>
  <c r="CX50" i="14815"/>
  <c r="CY50" i="14815"/>
  <c r="CZ50" i="14815"/>
  <c r="DA50" i="14815"/>
  <c r="DB50" i="14815"/>
  <c r="DC50" i="14815"/>
  <c r="DD50" i="14815"/>
  <c r="DE50" i="14815"/>
  <c r="DF50" i="14815"/>
  <c r="DG50" i="14815"/>
  <c r="DH50" i="14815"/>
  <c r="DI50" i="14815"/>
  <c r="DJ50" i="14815"/>
  <c r="DK50" i="14815"/>
  <c r="DL50" i="14815"/>
  <c r="DM50" i="14815"/>
  <c r="DN50" i="14815"/>
  <c r="DO50" i="14815"/>
  <c r="DP50" i="14815"/>
  <c r="DQ50" i="14815"/>
  <c r="DR50" i="14815"/>
  <c r="DS50" i="14815"/>
  <c r="DT50" i="14815"/>
  <c r="DU50" i="14815"/>
  <c r="CU7" i="14815"/>
  <c r="CU8" i="14815"/>
  <c r="CU9" i="14815"/>
  <c r="CU10" i="14815"/>
  <c r="CU11" i="14815"/>
  <c r="CU12" i="14815"/>
  <c r="CU13" i="14815"/>
  <c r="CU14" i="14815"/>
  <c r="CU15" i="14815"/>
  <c r="CU16" i="14815"/>
  <c r="CU17" i="14815"/>
  <c r="CU18" i="14815"/>
  <c r="CU19" i="14815"/>
  <c r="CU20" i="14815"/>
  <c r="CU21" i="14815"/>
  <c r="CU22" i="14815"/>
  <c r="CU23" i="14815"/>
  <c r="CU24" i="14815"/>
  <c r="CU25" i="14815"/>
  <c r="CU26" i="14815"/>
  <c r="CU27" i="14815"/>
  <c r="CU28" i="14815"/>
  <c r="CU29" i="14815"/>
  <c r="CU30" i="14815"/>
  <c r="CU31" i="14815"/>
  <c r="CU32" i="14815"/>
  <c r="CU33" i="14815"/>
  <c r="CU34" i="14815"/>
  <c r="CU35" i="14815"/>
  <c r="CU36" i="14815"/>
  <c r="CU37" i="14815"/>
  <c r="CU38" i="14815"/>
  <c r="CU39" i="14815"/>
  <c r="CU40" i="14815"/>
  <c r="CU41" i="14815"/>
  <c r="CU42" i="14815"/>
  <c r="CU43" i="14815"/>
  <c r="CU44" i="14815"/>
  <c r="CU45" i="14815"/>
  <c r="CU46" i="14815"/>
  <c r="CU47" i="14815"/>
  <c r="CU48" i="14815"/>
  <c r="CU49" i="14815"/>
  <c r="CU50" i="14815"/>
  <c r="CU6" i="14815"/>
  <c r="M4" i="14830"/>
  <c r="L4" i="14786" l="1"/>
  <c r="L124" i="14786" s="1"/>
  <c r="L4" i="14830"/>
  <c r="L124" i="14830" s="1"/>
  <c r="A1" i="14825"/>
  <c r="A1" i="14824"/>
  <c r="A1" i="14815"/>
  <c r="C235" i="14786"/>
  <c r="C44" i="14809"/>
  <c r="C45" i="14809"/>
  <c r="C46" i="14809"/>
  <c r="C47" i="14809"/>
  <c r="C48" i="14809"/>
  <c r="C49" i="14809"/>
  <c r="C50" i="14809"/>
  <c r="C51" i="14809"/>
  <c r="C52" i="14809"/>
  <c r="C53" i="14809"/>
  <c r="C54" i="14809"/>
  <c r="C11" i="14809"/>
  <c r="C12" i="14809"/>
  <c r="C13" i="14809"/>
  <c r="C14" i="14809"/>
  <c r="J2" i="14830" s="1"/>
  <c r="C15" i="14809"/>
  <c r="C16" i="14809"/>
  <c r="C17" i="14809"/>
  <c r="C18" i="14809"/>
  <c r="C19" i="14809"/>
  <c r="C20" i="14809"/>
  <c r="C21" i="14809"/>
  <c r="C22" i="14809"/>
  <c r="C23" i="14809"/>
  <c r="C24" i="14809"/>
  <c r="C25" i="14809"/>
  <c r="C26" i="14809"/>
  <c r="C27" i="14809"/>
  <c r="C28" i="14809"/>
  <c r="C29" i="14809"/>
  <c r="C30" i="14809"/>
  <c r="B26" i="14815" s="1"/>
  <c r="C31" i="14809"/>
  <c r="C32" i="14809"/>
  <c r="C33" i="14809"/>
  <c r="C34" i="14809"/>
  <c r="C35" i="14809"/>
  <c r="C36" i="14809"/>
  <c r="C37" i="14809"/>
  <c r="C38" i="14809"/>
  <c r="C39" i="14809"/>
  <c r="C40" i="14809"/>
  <c r="C41" i="14809"/>
  <c r="C42" i="14809"/>
  <c r="C43" i="14809"/>
  <c r="CT42" i="14809"/>
  <c r="CT38" i="14809"/>
  <c r="CT33" i="14809"/>
  <c r="CT26" i="14809"/>
  <c r="CH41" i="14809"/>
  <c r="FV23" i="14809"/>
  <c r="CL23" i="14809"/>
  <c r="CK27" i="14809"/>
  <c r="CC53" i="14809"/>
  <c r="C7" i="14809"/>
  <c r="A176" i="14830"/>
  <c r="FY11" i="14809"/>
  <c r="B4" i="14815"/>
  <c r="FV18" i="14809"/>
  <c r="FV20" i="14809"/>
  <c r="FV22" i="14809"/>
  <c r="FV30" i="14809"/>
  <c r="FV35" i="14809"/>
  <c r="FV39" i="14809"/>
  <c r="FV40" i="14809"/>
  <c r="FW49" i="14809"/>
  <c r="FW51" i="14809"/>
  <c r="FW53" i="14809"/>
  <c r="FW23" i="14809"/>
  <c r="FV49" i="14809"/>
  <c r="FX50" i="14809"/>
  <c r="FX51" i="14809"/>
  <c r="FY10" i="14809"/>
  <c r="FY12" i="14809"/>
  <c r="FY13" i="14809"/>
  <c r="FY14" i="14809"/>
  <c r="FY15" i="14809"/>
  <c r="FY16" i="14809"/>
  <c r="FY17" i="14809"/>
  <c r="FY18" i="14809"/>
  <c r="FY19" i="14809"/>
  <c r="FY20" i="14809"/>
  <c r="FY21" i="14809"/>
  <c r="FY22" i="14809"/>
  <c r="FY23" i="14809"/>
  <c r="FY24" i="14809"/>
  <c r="FY25" i="14809"/>
  <c r="FY26" i="14809"/>
  <c r="FY27" i="14809"/>
  <c r="FY28" i="14809"/>
  <c r="FY29" i="14809"/>
  <c r="FY30" i="14809"/>
  <c r="FY31" i="14809"/>
  <c r="FY32" i="14809"/>
  <c r="FY33" i="14809"/>
  <c r="FY34" i="14809"/>
  <c r="FY35" i="14809"/>
  <c r="FY36" i="14809"/>
  <c r="FY37" i="14809"/>
  <c r="FY38" i="14809"/>
  <c r="FY39" i="14809"/>
  <c r="FY40" i="14809"/>
  <c r="FY41" i="14809"/>
  <c r="FY42" i="14809"/>
  <c r="FY44" i="14809"/>
  <c r="CC50" i="14809"/>
  <c r="CC16" i="14809"/>
  <c r="CC42" i="14809"/>
  <c r="CC51" i="14809"/>
  <c r="FV10" i="14809"/>
  <c r="FV14" i="14809"/>
  <c r="AH14" i="14809"/>
  <c r="AH18" i="14809"/>
  <c r="FJ4" i="14809"/>
  <c r="FL4" i="14809"/>
  <c r="Z4" i="14815"/>
  <c r="U4" i="14815"/>
  <c r="T4" i="14815"/>
  <c r="M4" i="14815"/>
  <c r="AA4" i="14815"/>
  <c r="L4" i="14815"/>
  <c r="P4" i="14815"/>
  <c r="I4" i="14815"/>
  <c r="I42" i="14830"/>
  <c r="N4" i="14815"/>
  <c r="AB4" i="14815"/>
  <c r="AK4" i="14815"/>
  <c r="AQ4" i="14815"/>
  <c r="W4" i="14815"/>
  <c r="X4" i="14815"/>
  <c r="Y4" i="14815"/>
  <c r="O4" i="14815"/>
  <c r="AC4" i="14815"/>
  <c r="AR4" i="14815"/>
  <c r="AL4" i="14815"/>
  <c r="AU4" i="14815"/>
  <c r="AJ4" i="14815"/>
  <c r="R4" i="14815"/>
  <c r="AP4" i="14815"/>
  <c r="F4" i="14815"/>
  <c r="H4" i="14815"/>
  <c r="J4" i="14815"/>
  <c r="Q4" i="14815"/>
  <c r="S4" i="14815"/>
  <c r="AO4" i="14815"/>
  <c r="G4" i="14815"/>
  <c r="K4" i="14815"/>
  <c r="AM4" i="14815"/>
  <c r="AS4" i="14815"/>
  <c r="AT4" i="14815"/>
  <c r="AN4" i="14815"/>
  <c r="C10" i="14809"/>
  <c r="C122" i="14830" s="1"/>
  <c r="C4" i="14815"/>
  <c r="A41" i="14830"/>
  <c r="BI4" i="14809"/>
  <c r="CM4" i="14809"/>
  <c r="CT4" i="14809"/>
  <c r="CZ4" i="14809"/>
  <c r="DA4" i="14809"/>
  <c r="DY4" i="14809"/>
  <c r="FR4" i="14809"/>
  <c r="BR8" i="14809"/>
  <c r="BG8" i="14809"/>
  <c r="BV49" i="14809"/>
  <c r="C199" i="14830" l="1"/>
  <c r="C205" i="14830"/>
  <c r="M4" i="14786"/>
  <c r="M124" i="14786" s="1"/>
  <c r="M124" i="14830"/>
  <c r="A63" i="14830"/>
  <c r="E236" i="14830"/>
  <c r="C42" i="14786"/>
  <c r="C42" i="14830"/>
  <c r="A5" i="14786"/>
  <c r="A5" i="14830"/>
  <c r="F79" i="14786"/>
  <c r="F79" i="14830"/>
  <c r="F58" i="14786"/>
  <c r="F58" i="14830"/>
  <c r="F60" i="14830"/>
  <c r="D187" i="14786"/>
  <c r="D187" i="14830"/>
  <c r="F149" i="14830"/>
  <c r="F150" i="14830"/>
  <c r="F147" i="14830"/>
  <c r="F148" i="14830"/>
  <c r="F144" i="14830"/>
  <c r="F139" i="14786"/>
  <c r="F139" i="14830"/>
  <c r="C117" i="14786"/>
  <c r="C117" i="14830"/>
  <c r="F54" i="14786"/>
  <c r="F54" i="14830"/>
  <c r="G34" i="14786"/>
  <c r="G30" i="14830"/>
  <c r="G34" i="14830"/>
  <c r="G32" i="14830"/>
  <c r="J4" i="14786"/>
  <c r="J124" i="14786" s="1"/>
  <c r="J4" i="14830"/>
  <c r="J124" i="14830" s="1"/>
  <c r="FV4" i="14809"/>
  <c r="A198" i="14830"/>
  <c r="A125" i="14786"/>
  <c r="G236" i="14830"/>
  <c r="A125" i="14830"/>
  <c r="D4" i="14809"/>
  <c r="C7" i="14830"/>
  <c r="F128" i="14786"/>
  <c r="F128" i="14830"/>
  <c r="F77" i="14786"/>
  <c r="F77" i="14830"/>
  <c r="N187" i="14786"/>
  <c r="N187" i="14830"/>
  <c r="I184" i="14786"/>
  <c r="I184" i="14830"/>
  <c r="F143" i="14830"/>
  <c r="F146" i="14830"/>
  <c r="F136" i="14786"/>
  <c r="F136" i="14830"/>
  <c r="H236" i="14830"/>
  <c r="A139" i="14830"/>
  <c r="C241" i="14786"/>
  <c r="C187" i="14786" s="1"/>
  <c r="C241" i="14830"/>
  <c r="C187" i="14830" s="1"/>
  <c r="G36" i="14786"/>
  <c r="G36" i="14830"/>
  <c r="CH8" i="14809"/>
  <c r="C244" i="14830"/>
  <c r="C239" i="14830"/>
  <c r="L4" i="14809"/>
  <c r="C15" i="14830"/>
  <c r="G38" i="14786"/>
  <c r="G38" i="14830"/>
  <c r="G33" i="14786"/>
  <c r="G31" i="14830"/>
  <c r="G29" i="14830"/>
  <c r="G33" i="14830"/>
  <c r="I4" i="14786"/>
  <c r="I124" i="14786" s="1"/>
  <c r="I4" i="14830"/>
  <c r="I124" i="14830" s="1"/>
  <c r="AG8" i="14809"/>
  <c r="F34" i="14830"/>
  <c r="F57" i="14830"/>
  <c r="F32" i="14830"/>
  <c r="F30" i="14830"/>
  <c r="BV8" i="14809"/>
  <c r="C237" i="14830"/>
  <c r="C242" i="14830"/>
  <c r="O4" i="14830"/>
  <c r="O124" i="14830" s="1"/>
  <c r="AH4" i="14809"/>
  <c r="C35" i="14830"/>
  <c r="F125" i="14786"/>
  <c r="F125" i="14830"/>
  <c r="G70" i="14786"/>
  <c r="G70" i="14830"/>
  <c r="J187" i="14786"/>
  <c r="J187" i="14830"/>
  <c r="C184" i="14786"/>
  <c r="C184" i="14830"/>
  <c r="F145" i="14786"/>
  <c r="F145" i="14830"/>
  <c r="F142" i="14830"/>
  <c r="F134" i="14786"/>
  <c r="F134" i="14830"/>
  <c r="C236" i="14786"/>
  <c r="I187" i="14786" s="1"/>
  <c r="C236" i="14830"/>
  <c r="I187" i="14830" s="1"/>
  <c r="G37" i="14786"/>
  <c r="G37" i="14830"/>
  <c r="G20" i="14786"/>
  <c r="G20" i="14830"/>
  <c r="AF8" i="14809"/>
  <c r="F56" i="14830"/>
  <c r="F33" i="14830"/>
  <c r="F31" i="14830"/>
  <c r="F29" i="14830"/>
  <c r="CN8" i="14809"/>
  <c r="N4" i="14830"/>
  <c r="N124" i="14830" s="1"/>
  <c r="C243" i="14830"/>
  <c r="C238" i="14830"/>
  <c r="A162" i="14786"/>
  <c r="A162" i="14830"/>
  <c r="I236" i="14830"/>
  <c r="A77" i="14786"/>
  <c r="F236" i="14830"/>
  <c r="A77" i="14830"/>
  <c r="AB4" i="14809"/>
  <c r="C28" i="14830"/>
  <c r="C63" i="14786"/>
  <c r="C63" i="14830"/>
  <c r="A184" i="14786"/>
  <c r="A184" i="14830"/>
  <c r="F120" i="14786"/>
  <c r="F120" i="14830"/>
  <c r="F117" i="14830"/>
  <c r="F61" i="14786"/>
  <c r="F61" i="14830"/>
  <c r="G187" i="14786"/>
  <c r="G187" i="14830"/>
  <c r="F181" i="14786"/>
  <c r="F181" i="14830"/>
  <c r="F141" i="14830"/>
  <c r="F140" i="14830"/>
  <c r="J236" i="14786"/>
  <c r="J236" i="14830"/>
  <c r="F143" i="14786"/>
  <c r="F146" i="14786"/>
  <c r="H236" i="14786"/>
  <c r="A139" i="14786"/>
  <c r="AH4" i="14825"/>
  <c r="AE4" i="14815"/>
  <c r="AE4" i="14825"/>
  <c r="AE4" i="14824"/>
  <c r="AD4" i="14815"/>
  <c r="AD4" i="14825"/>
  <c r="AD4" i="14824"/>
  <c r="AF4" i="14815"/>
  <c r="AF4" i="14825"/>
  <c r="AF4" i="14824"/>
  <c r="F141" i="14786"/>
  <c r="F140" i="14786"/>
  <c r="A176" i="14786"/>
  <c r="AU3" i="14825"/>
  <c r="AU3" i="14824"/>
  <c r="F150" i="14786"/>
  <c r="F147" i="14786"/>
  <c r="F60" i="14786"/>
  <c r="A4" i="14809"/>
  <c r="A3" i="14815"/>
  <c r="F3" i="14815"/>
  <c r="A41" i="14786"/>
  <c r="N3" i="14815"/>
  <c r="A63" i="14786"/>
  <c r="EX4" i="14809"/>
  <c r="I42" i="14786"/>
  <c r="BU18" i="14809"/>
  <c r="BT48" i="14809"/>
  <c r="BT41" i="14809"/>
  <c r="BT49" i="14809"/>
  <c r="P4" i="14825"/>
  <c r="C3" i="14824"/>
  <c r="FX49" i="14809"/>
  <c r="AM3" i="14824"/>
  <c r="P4" i="14824"/>
  <c r="G4" i="14825"/>
  <c r="AS4" i="14824"/>
  <c r="AQ4" i="14825"/>
  <c r="F3" i="14824"/>
  <c r="AS3" i="14824"/>
  <c r="Y4" i="14824"/>
  <c r="AK4" i="14824"/>
  <c r="C3" i="14825"/>
  <c r="H4" i="14825"/>
  <c r="S4" i="14825"/>
  <c r="AR4" i="14825"/>
  <c r="E4" i="14824"/>
  <c r="P3" i="14824"/>
  <c r="H4" i="14824"/>
  <c r="AO4" i="14824"/>
  <c r="N3" i="14825"/>
  <c r="K4" i="14825"/>
  <c r="W4" i="14825"/>
  <c r="AU4" i="14825"/>
  <c r="Z3" i="14824"/>
  <c r="M4" i="14824"/>
  <c r="AR4" i="14824"/>
  <c r="AD3" i="14825"/>
  <c r="O4" i="14825"/>
  <c r="AA4" i="14825"/>
  <c r="AM4" i="14825"/>
  <c r="L4" i="14824"/>
  <c r="T4" i="14824"/>
  <c r="X4" i="14824"/>
  <c r="AB4" i="14824"/>
  <c r="AJ4" i="14824"/>
  <c r="AN4" i="14824"/>
  <c r="A3" i="14825"/>
  <c r="AC4" i="14824"/>
  <c r="AG4" i="14824"/>
  <c r="AM3" i="14825"/>
  <c r="D4" i="14825"/>
  <c r="T4" i="14825"/>
  <c r="X4" i="14825"/>
  <c r="AB4" i="14825"/>
  <c r="AJ4" i="14825"/>
  <c r="AN4" i="14825"/>
  <c r="AS3" i="14815"/>
  <c r="M3" i="14824"/>
  <c r="AA3" i="14824"/>
  <c r="B4" i="14824"/>
  <c r="F4" i="14824"/>
  <c r="J4" i="14824"/>
  <c r="N4" i="14824"/>
  <c r="R4" i="14824"/>
  <c r="V4" i="14824"/>
  <c r="Z4" i="14824"/>
  <c r="AH4" i="14824"/>
  <c r="AL4" i="14824"/>
  <c r="AP4" i="14824"/>
  <c r="AT4" i="14824"/>
  <c r="F3" i="14825"/>
  <c r="Z3" i="14825"/>
  <c r="AS3" i="14825"/>
  <c r="E4" i="14825"/>
  <c r="I4" i="14825"/>
  <c r="M4" i="14825"/>
  <c r="Q4" i="14825"/>
  <c r="U4" i="14825"/>
  <c r="Y4" i="14825"/>
  <c r="AC4" i="14825"/>
  <c r="AG4" i="14825"/>
  <c r="AK4" i="14825"/>
  <c r="AO4" i="14825"/>
  <c r="AS4" i="14825"/>
  <c r="D4" i="14824"/>
  <c r="C4" i="14825"/>
  <c r="AI4" i="14825"/>
  <c r="I4" i="14824"/>
  <c r="Q4" i="14824"/>
  <c r="U4" i="14824"/>
  <c r="P3" i="14825"/>
  <c r="L4" i="14825"/>
  <c r="A3" i="14824"/>
  <c r="N3" i="14824"/>
  <c r="AD3" i="14824"/>
  <c r="C4" i="14824"/>
  <c r="G4" i="14824"/>
  <c r="K4" i="14824"/>
  <c r="O4" i="14824"/>
  <c r="S4" i="14824"/>
  <c r="W4" i="14824"/>
  <c r="AA4" i="14824"/>
  <c r="AI4" i="14824"/>
  <c r="AM4" i="14824"/>
  <c r="AQ4" i="14824"/>
  <c r="AU4" i="14824"/>
  <c r="M3" i="14825"/>
  <c r="AA3" i="14825"/>
  <c r="B4" i="14825"/>
  <c r="F4" i="14825"/>
  <c r="J4" i="14825"/>
  <c r="N4" i="14825"/>
  <c r="R4" i="14825"/>
  <c r="V4" i="14825"/>
  <c r="Z4" i="14825"/>
  <c r="AL4" i="14825"/>
  <c r="AP4" i="14825"/>
  <c r="AT4" i="14825"/>
  <c r="A198" i="14786"/>
  <c r="V4" i="14815"/>
  <c r="C3" i="14815"/>
  <c r="Z3" i="14815"/>
  <c r="M3" i="14815"/>
  <c r="AA3" i="14815"/>
  <c r="AD3" i="14815"/>
  <c r="AG4" i="14815"/>
  <c r="P3" i="14815"/>
  <c r="AM3" i="14815"/>
  <c r="AI4" i="14815"/>
  <c r="AH4" i="14815"/>
  <c r="E4" i="14815"/>
  <c r="D4" i="14815"/>
  <c r="CT40" i="14809"/>
  <c r="CT41" i="14809"/>
  <c r="CT36" i="14809"/>
  <c r="CT11" i="14809"/>
  <c r="CT25" i="14809"/>
  <c r="CT21" i="14809"/>
  <c r="CT12" i="14809"/>
  <c r="CT10" i="14809"/>
  <c r="CT18" i="14809"/>
  <c r="CT24" i="14809"/>
  <c r="CT32" i="14809"/>
  <c r="CT39" i="14809"/>
  <c r="CT27" i="14809"/>
  <c r="CT14" i="14809"/>
  <c r="CT22" i="14809"/>
  <c r="CT30" i="14809"/>
  <c r="CT37" i="14809"/>
  <c r="CT15" i="14809"/>
  <c r="CT23" i="14809"/>
  <c r="CT31" i="14809"/>
  <c r="C35" i="14786"/>
  <c r="C7" i="14786"/>
  <c r="C15" i="14786"/>
  <c r="C28" i="14786"/>
  <c r="CI37" i="14809"/>
  <c r="F236" i="14786"/>
  <c r="CL28" i="14809"/>
  <c r="CI13" i="14809"/>
  <c r="CJ18" i="14809"/>
  <c r="CJ29" i="14809"/>
  <c r="CL44" i="14809"/>
  <c r="CI19" i="14809"/>
  <c r="CH32" i="14809"/>
  <c r="CK8" i="14809"/>
  <c r="CH24" i="14809"/>
  <c r="CG36" i="14809"/>
  <c r="CK23" i="14809"/>
  <c r="C242" i="14786"/>
  <c r="CK12" i="14809"/>
  <c r="C237" i="14786"/>
  <c r="C243" i="14786"/>
  <c r="G236" i="14786"/>
  <c r="CJ16" i="14809"/>
  <c r="CJ13" i="14809"/>
  <c r="CK25" i="14809"/>
  <c r="CL32" i="14809"/>
  <c r="CJ54" i="14809"/>
  <c r="C238" i="14786"/>
  <c r="C244" i="14786"/>
  <c r="CL17" i="14809"/>
  <c r="C239" i="14786"/>
  <c r="E236" i="14786"/>
  <c r="I236" i="14786"/>
  <c r="CK22" i="14809"/>
  <c r="CJ14" i="14809"/>
  <c r="CG17" i="14809"/>
  <c r="CG20" i="14809"/>
  <c r="CJ27" i="14809"/>
  <c r="CG12" i="14809"/>
  <c r="CK14" i="14809"/>
  <c r="CH17" i="14809"/>
  <c r="CJ22" i="14809"/>
  <c r="CJ37" i="14809"/>
  <c r="CG15" i="14809"/>
  <c r="CK21" i="14809"/>
  <c r="CI26" i="14809"/>
  <c r="CH30" i="14809"/>
  <c r="CJ34" i="14809"/>
  <c r="CI38" i="14809"/>
  <c r="CI12" i="14809"/>
  <c r="CJ12" i="14809"/>
  <c r="CL14" i="14809"/>
  <c r="CK17" i="14809"/>
  <c r="CJ23" i="14809"/>
  <c r="CJ44" i="14809"/>
  <c r="CL15" i="14809"/>
  <c r="CL22" i="14809"/>
  <c r="CH27" i="14809"/>
  <c r="CJ31" i="14809"/>
  <c r="CH35" i="14809"/>
  <c r="CH20" i="14809"/>
  <c r="F142" i="14786"/>
  <c r="CD8" i="14809"/>
  <c r="CG8" i="14809"/>
  <c r="CI54" i="14809"/>
  <c r="CI44" i="14809"/>
  <c r="CK41" i="14809"/>
  <c r="CG41" i="14809"/>
  <c r="CH38" i="14809"/>
  <c r="CH37" i="14809"/>
  <c r="CJ36" i="14809"/>
  <c r="CL35" i="14809"/>
  <c r="CG35" i="14809"/>
  <c r="CI34" i="14809"/>
  <c r="CK33" i="14809"/>
  <c r="CK32" i="14809"/>
  <c r="CG32" i="14809"/>
  <c r="CI31" i="14809"/>
  <c r="CK30" i="14809"/>
  <c r="CG30" i="14809"/>
  <c r="CI29" i="14809"/>
  <c r="CK28" i="14809"/>
  <c r="CG28" i="14809"/>
  <c r="CL26" i="14809"/>
  <c r="CH26" i="14809"/>
  <c r="CI25" i="14809"/>
  <c r="CK24" i="14809"/>
  <c r="CG24" i="14809"/>
  <c r="CI22" i="14809"/>
  <c r="CJ21" i="14809"/>
  <c r="CI20" i="14809"/>
  <c r="CH19" i="14809"/>
  <c r="CI18" i="14809"/>
  <c r="CK15" i="14809"/>
  <c r="CL13" i="14809"/>
  <c r="CH13" i="14809"/>
  <c r="CL54" i="14809"/>
  <c r="CH54" i="14809"/>
  <c r="CH44" i="14809"/>
  <c r="CJ41" i="14809"/>
  <c r="CL38" i="14809"/>
  <c r="CG38" i="14809"/>
  <c r="CG37" i="14809"/>
  <c r="CI36" i="14809"/>
  <c r="CK35" i="14809"/>
  <c r="CL34" i="14809"/>
  <c r="CH34" i="14809"/>
  <c r="CI33" i="14809"/>
  <c r="CJ32" i="14809"/>
  <c r="CL31" i="14809"/>
  <c r="CH31" i="14809"/>
  <c r="CJ30" i="14809"/>
  <c r="CL29" i="14809"/>
  <c r="CH29" i="14809"/>
  <c r="CJ28" i="14809"/>
  <c r="CL27" i="14809"/>
  <c r="CK26" i="14809"/>
  <c r="CG26" i="14809"/>
  <c r="CH25" i="14809"/>
  <c r="CJ24" i="14809"/>
  <c r="CI23" i="14809"/>
  <c r="CH22" i="14809"/>
  <c r="CI21" i="14809"/>
  <c r="CL19" i="14809"/>
  <c r="CL18" i="14809"/>
  <c r="CH18" i="14809"/>
  <c r="CI15" i="14809"/>
  <c r="CK13" i="14809"/>
  <c r="CG13" i="14809"/>
  <c r="CK54" i="14809"/>
  <c r="CG54" i="14809"/>
  <c r="CG44" i="14809"/>
  <c r="CI41" i="14809"/>
  <c r="CK38" i="14809"/>
  <c r="CL37" i="14809"/>
  <c r="CL36" i="14809"/>
  <c r="CH36" i="14809"/>
  <c r="CI35" i="14809"/>
  <c r="CK34" i="14809"/>
  <c r="CG34" i="14809"/>
  <c r="CH33" i="14809"/>
  <c r="CI32" i="14809"/>
  <c r="CK31" i="14809"/>
  <c r="CG31" i="14809"/>
  <c r="CI30" i="14809"/>
  <c r="CK29" i="14809"/>
  <c r="CG29" i="14809"/>
  <c r="CI28" i="14809"/>
  <c r="CI27" i="14809"/>
  <c r="CJ26" i="14809"/>
  <c r="CL25" i="14809"/>
  <c r="CG25" i="14809"/>
  <c r="CI24" i="14809"/>
  <c r="CH23" i="14809"/>
  <c r="CL21" i="14809"/>
  <c r="CH21" i="14809"/>
  <c r="CK19" i="14809"/>
  <c r="CK18" i="14809"/>
  <c r="CG18" i="14809"/>
  <c r="CH15" i="14809"/>
  <c r="CG21" i="14809"/>
  <c r="CL24" i="14809"/>
  <c r="CH28" i="14809"/>
  <c r="CL30" i="14809"/>
  <c r="CL33" i="14809"/>
  <c r="CK36" i="14809"/>
  <c r="CL41" i="14809"/>
  <c r="CJ15" i="14809"/>
  <c r="CG4" i="14809"/>
  <c r="CJ35" i="14809"/>
  <c r="CG27" i="14809"/>
  <c r="CG22" i="14809"/>
  <c r="CJ19" i="14809"/>
  <c r="CK16" i="14809"/>
  <c r="CI14" i="14809"/>
  <c r="CH12" i="14809"/>
  <c r="CK44" i="14809"/>
  <c r="CJ33" i="14809"/>
  <c r="CJ25" i="14809"/>
  <c r="CL20" i="14809"/>
  <c r="CG19" i="14809"/>
  <c r="CI16" i="14809"/>
  <c r="CH14" i="14809"/>
  <c r="CJ38" i="14809"/>
  <c r="CG33" i="14809"/>
  <c r="CG23" i="14809"/>
  <c r="CK20" i="14809"/>
  <c r="CI17" i="14809"/>
  <c r="CH16" i="14809"/>
  <c r="CL12" i="14809"/>
  <c r="CL16" i="14809"/>
  <c r="CK37" i="14809"/>
  <c r="CL8" i="14809"/>
  <c r="CG14" i="14809"/>
  <c r="CG16" i="14809"/>
  <c r="CJ17" i="14809"/>
  <c r="CJ20" i="14809"/>
  <c r="CI8" i="14809"/>
  <c r="CJ8" i="14809"/>
  <c r="AP4" i="14809"/>
  <c r="CQ4" i="14809"/>
  <c r="AW4" i="14809"/>
  <c r="AK4" i="14809"/>
  <c r="BL4" i="14809"/>
  <c r="BT15" i="14809"/>
  <c r="F144" i="14786"/>
  <c r="F148" i="14786"/>
  <c r="BV54" i="14809"/>
  <c r="F149" i="14786"/>
  <c r="BU31" i="14809"/>
  <c r="F56" i="14786"/>
  <c r="BT25" i="14809"/>
  <c r="FX11" i="14809"/>
  <c r="BU40" i="14809"/>
  <c r="CC33" i="14809"/>
  <c r="FX39" i="14809"/>
  <c r="G30" i="14786"/>
  <c r="AH10" i="14809"/>
  <c r="BU46" i="14809"/>
  <c r="CC37" i="14809"/>
  <c r="FX40" i="14809"/>
  <c r="G32" i="14786"/>
  <c r="F34" i="14786"/>
  <c r="BT19" i="14809"/>
  <c r="G29" i="14786"/>
  <c r="AH20" i="14809"/>
  <c r="BT51" i="14809"/>
  <c r="BV22" i="14809"/>
  <c r="FX22" i="14809" s="1"/>
  <c r="BT32" i="14809"/>
  <c r="CC44" i="14809"/>
  <c r="CC17" i="14809"/>
  <c r="FX19" i="14809"/>
  <c r="FX43" i="14809"/>
  <c r="FY52" i="14809"/>
  <c r="G31" i="14786"/>
  <c r="F32" i="14786"/>
  <c r="F30" i="14786"/>
  <c r="BU20" i="14809"/>
  <c r="F31" i="14786"/>
  <c r="F57" i="14786"/>
  <c r="BT10" i="14809"/>
  <c r="BV36" i="14809"/>
  <c r="FX36" i="14809" s="1"/>
  <c r="BU47" i="14809"/>
  <c r="CC29" i="14809"/>
  <c r="CC45" i="14809"/>
  <c r="FX20" i="14809"/>
  <c r="FX52" i="14809"/>
  <c r="FY47" i="14809"/>
  <c r="F29" i="14786"/>
  <c r="F33" i="14786"/>
  <c r="F117" i="14786"/>
  <c r="CC48" i="14809"/>
  <c r="FW48" i="14809"/>
  <c r="O4" i="14786"/>
  <c r="O124" i="14786" s="1"/>
  <c r="BT27" i="14809"/>
  <c r="BT47" i="14809"/>
  <c r="BU37" i="14809"/>
  <c r="BU28" i="14809"/>
  <c r="BU16" i="14809"/>
  <c r="CC52" i="14809"/>
  <c r="FY50" i="14809"/>
  <c r="FY46" i="14809"/>
  <c r="BT22" i="14809"/>
  <c r="BV26" i="14809"/>
  <c r="FX26" i="14809" s="1"/>
  <c r="BT28" i="14809"/>
  <c r="BT50" i="14809"/>
  <c r="BU36" i="14809"/>
  <c r="BU27" i="14809"/>
  <c r="BU13" i="14809"/>
  <c r="FV50" i="14809"/>
  <c r="FY49" i="14809"/>
  <c r="FY45" i="14809"/>
  <c r="BT42" i="14809"/>
  <c r="BV13" i="14809"/>
  <c r="FX13" i="14809" s="1"/>
  <c r="BT16" i="14809"/>
  <c r="BT31" i="14809"/>
  <c r="BU48" i="14809"/>
  <c r="BU32" i="14809"/>
  <c r="BU21" i="14809"/>
  <c r="CC46" i="14809"/>
  <c r="CC25" i="14809"/>
  <c r="CC13" i="14809"/>
  <c r="FV11" i="14809"/>
  <c r="FX35" i="14809"/>
  <c r="FX44" i="14809"/>
  <c r="FY43" i="14809"/>
  <c r="FY48" i="14809"/>
  <c r="N4" i="14786"/>
  <c r="N124" i="14786" s="1"/>
  <c r="BV27" i="14809"/>
  <c r="FX27" i="14809" s="1"/>
  <c r="BV31" i="14809"/>
  <c r="FX31" i="14809" s="1"/>
  <c r="BU54" i="14809"/>
  <c r="BU44" i="14809"/>
  <c r="BU39" i="14809"/>
  <c r="BU23" i="14809"/>
  <c r="BU12" i="14809"/>
  <c r="BT37" i="14809"/>
  <c r="BT20" i="14809"/>
  <c r="BV29" i="14809"/>
  <c r="FX29" i="14809" s="1"/>
  <c r="BU51" i="14809"/>
  <c r="BU25" i="14809"/>
  <c r="BU10" i="14809"/>
  <c r="BT13" i="14809"/>
  <c r="BV16" i="14809"/>
  <c r="FX16" i="14809" s="1"/>
  <c r="BV28" i="14809"/>
  <c r="FX28" i="14809" s="1"/>
  <c r="BV32" i="14809"/>
  <c r="FX32" i="14809" s="1"/>
  <c r="BU52" i="14809"/>
  <c r="BU43" i="14809"/>
  <c r="BU33" i="14809"/>
  <c r="BU17" i="14809"/>
  <c r="BU11" i="14809"/>
  <c r="BT36" i="14809"/>
  <c r="BT18" i="14809"/>
  <c r="BV41" i="14809"/>
  <c r="FX41" i="14809" s="1"/>
  <c r="BV21" i="14809"/>
  <c r="FX21" i="14809" s="1"/>
  <c r="BV38" i="14809"/>
  <c r="FX38" i="14809" s="1"/>
  <c r="BU42" i="14809"/>
  <c r="BU15" i="14809"/>
  <c r="BT35" i="14809"/>
  <c r="AH22" i="14809"/>
  <c r="AH16" i="14809"/>
  <c r="AH19" i="14809"/>
  <c r="AH21" i="14809"/>
  <c r="AH15" i="14809"/>
  <c r="CC20" i="14809"/>
  <c r="CC39" i="14809"/>
  <c r="CC18" i="14809"/>
  <c r="CC40" i="14809"/>
  <c r="CC19" i="14809"/>
  <c r="BU24" i="14809"/>
  <c r="BV30" i="14809"/>
  <c r="FX30" i="14809" s="1"/>
  <c r="CC22" i="14809"/>
  <c r="BU14" i="14809"/>
  <c r="BV47" i="14809"/>
  <c r="FX47" i="14809" s="1"/>
  <c r="AH33" i="14809"/>
  <c r="BT11" i="14809"/>
  <c r="BT33" i="14809"/>
  <c r="BT52" i="14809"/>
  <c r="BV14" i="14809"/>
  <c r="FX14" i="14809" s="1"/>
  <c r="BV37" i="14809"/>
  <c r="FX37" i="14809" s="1"/>
  <c r="CC54" i="14809"/>
  <c r="CC26" i="14809"/>
  <c r="CC38" i="14809"/>
  <c r="AH12" i="14809"/>
  <c r="BT12" i="14809"/>
  <c r="BT23" i="14809"/>
  <c r="BT39" i="14809"/>
  <c r="BT44" i="14809"/>
  <c r="BT54" i="14809"/>
  <c r="BV15" i="14809"/>
  <c r="FX15" i="14809" s="1"/>
  <c r="BV24" i="14809"/>
  <c r="FX24" i="14809" s="1"/>
  <c r="BV42" i="14809"/>
  <c r="FX42" i="14809" s="1"/>
  <c r="BV48" i="14809"/>
  <c r="FX48" i="14809" s="1"/>
  <c r="BT21" i="14809"/>
  <c r="BT29" i="14809"/>
  <c r="BT34" i="14809"/>
  <c r="BU50" i="14809"/>
  <c r="BU41" i="14809"/>
  <c r="BU35" i="14809"/>
  <c r="BU30" i="14809"/>
  <c r="BU26" i="14809"/>
  <c r="BU19" i="14809"/>
  <c r="CC10" i="14809"/>
  <c r="CC49" i="14809"/>
  <c r="CC47" i="14809"/>
  <c r="CC23" i="14809"/>
  <c r="CC27" i="14809"/>
  <c r="CC31" i="14809"/>
  <c r="CC35" i="14809"/>
  <c r="CC21" i="14809"/>
  <c r="CC15" i="14809"/>
  <c r="FV43" i="14809"/>
  <c r="FV48" i="14809"/>
  <c r="FX33" i="14809"/>
  <c r="AH11" i="14809"/>
  <c r="BT17" i="14809"/>
  <c r="BT43" i="14809"/>
  <c r="BV23" i="14809"/>
  <c r="FX23" i="14809" s="1"/>
  <c r="CC41" i="14809"/>
  <c r="CC30" i="14809"/>
  <c r="CC34" i="14809"/>
  <c r="CC14" i="14809"/>
  <c r="BT14" i="14809"/>
  <c r="BT24" i="14809"/>
  <c r="BT40" i="14809"/>
  <c r="BT46" i="14809"/>
  <c r="BV12" i="14809"/>
  <c r="FX12" i="14809" s="1"/>
  <c r="BV17" i="14809"/>
  <c r="FX17" i="14809" s="1"/>
  <c r="BV25" i="14809"/>
  <c r="FX25" i="14809" s="1"/>
  <c r="BV51" i="14809"/>
  <c r="BT26" i="14809"/>
  <c r="BT30" i="14809"/>
  <c r="BT38" i="14809"/>
  <c r="BU49" i="14809"/>
  <c r="BU38" i="14809"/>
  <c r="BU34" i="14809"/>
  <c r="BU29" i="14809"/>
  <c r="BU22" i="14809"/>
  <c r="CC11" i="14809"/>
  <c r="CC43" i="14809"/>
  <c r="CC24" i="14809"/>
  <c r="CC28" i="14809"/>
  <c r="CC32" i="14809"/>
  <c r="CC36" i="14809"/>
  <c r="CC12" i="14809"/>
  <c r="FV44" i="14809"/>
  <c r="FX10" i="14809"/>
  <c r="C203" i="14830" s="1"/>
  <c r="FX18" i="14809"/>
  <c r="FX34" i="14809"/>
  <c r="FX46" i="14809"/>
  <c r="BD8" i="14809"/>
  <c r="S8" i="14809"/>
  <c r="BT8" i="14809"/>
  <c r="BX8" i="14809"/>
  <c r="AP8" i="14809"/>
  <c r="BW8" i="14809"/>
  <c r="O8" i="14809"/>
  <c r="BI8" i="14809"/>
  <c r="L8" i="14809"/>
  <c r="BE8" i="14809"/>
  <c r="CM8" i="14809"/>
  <c r="P8" i="14809"/>
  <c r="T8" i="14809"/>
  <c r="AQ8" i="14809"/>
  <c r="BF8" i="14809"/>
  <c r="CA8" i="14809"/>
  <c r="AU8" i="14809"/>
  <c r="CF8" i="14809"/>
  <c r="AB8" i="14809"/>
  <c r="AM8" i="14809"/>
  <c r="M8" i="14809"/>
  <c r="Q8" i="14809"/>
  <c r="U8" i="14809"/>
  <c r="AS8" i="14809"/>
  <c r="BJ8" i="14809"/>
  <c r="BZ8" i="14809"/>
  <c r="AT8" i="14809"/>
  <c r="BH8" i="14809"/>
  <c r="CE8" i="14809"/>
  <c r="BS8" i="14809"/>
  <c r="CO8" i="14809"/>
  <c r="AC8" i="14809"/>
  <c r="AN8" i="14809"/>
  <c r="W8" i="14809"/>
  <c r="AR8" i="14809"/>
  <c r="CB8" i="14809"/>
  <c r="N8" i="14809"/>
  <c r="R8" i="14809"/>
  <c r="V8" i="14809"/>
  <c r="BC8" i="14809"/>
  <c r="BP8" i="14809"/>
  <c r="BB8" i="14809"/>
  <c r="BU8" i="14809"/>
  <c r="CZ7" i="14809"/>
  <c r="CS7" i="14809"/>
  <c r="CR7" i="14809"/>
  <c r="CQ7" i="14809"/>
  <c r="CO7" i="14809"/>
  <c r="CN7" i="14809"/>
  <c r="CF7" i="14809"/>
  <c r="CE7" i="14809"/>
  <c r="CB7" i="14809"/>
  <c r="CA7" i="14809"/>
  <c r="BY7" i="14809"/>
  <c r="BX7" i="14809"/>
  <c r="BV7" i="14809"/>
  <c r="BU7" i="14809"/>
  <c r="BS7" i="14809"/>
  <c r="BH7" i="14809"/>
  <c r="BF7" i="14809"/>
  <c r="BD7" i="14809"/>
  <c r="AU7" i="14809"/>
  <c r="AT7" i="14809"/>
  <c r="AR7" i="14809"/>
  <c r="AQ7" i="14809"/>
  <c r="AN7" i="14809"/>
  <c r="AG7" i="14809"/>
  <c r="AC7" i="14809"/>
  <c r="W7" i="14809"/>
  <c r="V7" i="14809"/>
  <c r="T7" i="14809"/>
  <c r="S7" i="14809"/>
  <c r="Q7" i="14809"/>
  <c r="P7" i="14809"/>
  <c r="N7" i="14809"/>
  <c r="M7" i="14809"/>
  <c r="C91" i="14786" l="1"/>
  <c r="C92" i="14786"/>
  <c r="CG7" i="14809"/>
  <c r="C182" i="14786"/>
  <c r="C52" i="14786"/>
  <c r="C61" i="14786"/>
  <c r="C109" i="14786"/>
  <c r="C78" i="14786"/>
  <c r="C163" i="14786"/>
  <c r="C18" i="14786"/>
  <c r="C36" i="14786"/>
  <c r="C55" i="14786"/>
  <c r="C176" i="14786"/>
  <c r="C33" i="14786"/>
  <c r="C71" i="14786"/>
  <c r="C82" i="14786"/>
  <c r="C168" i="14786"/>
  <c r="C20" i="14786"/>
  <c r="C48" i="14786"/>
  <c r="C77" i="14786"/>
  <c r="C105" i="14786"/>
  <c r="C120" i="14786"/>
  <c r="C148" i="14786"/>
  <c r="C38" i="14786"/>
  <c r="C60" i="14786"/>
  <c r="C70" i="14786"/>
  <c r="C75" i="14786"/>
  <c r="C119" i="14786"/>
  <c r="C129" i="14786"/>
  <c r="C133" i="14786"/>
  <c r="C137" i="14786"/>
  <c r="C142" i="14786"/>
  <c r="C174" i="14786"/>
  <c r="C131" i="14786"/>
  <c r="C135" i="14786"/>
  <c r="C149" i="14786"/>
  <c r="C169" i="14786"/>
  <c r="C37" i="14786"/>
  <c r="C74" i="14786"/>
  <c r="C79" i="14786"/>
  <c r="C84" i="14786"/>
  <c r="C113" i="14786"/>
  <c r="C118" i="14786"/>
  <c r="C128" i="14786"/>
  <c r="C136" i="14786"/>
  <c r="C150" i="14786"/>
  <c r="C178" i="14786"/>
  <c r="D67" i="14814"/>
  <c r="BP43" i="14809"/>
  <c r="BP54" i="14809"/>
  <c r="BP53" i="14809"/>
  <c r="BP52" i="14809"/>
  <c r="BP51" i="14809"/>
  <c r="BP50" i="14809"/>
  <c r="BP49" i="14809"/>
  <c r="BP48" i="14809"/>
  <c r="BP46" i="14809"/>
  <c r="BP45" i="14809"/>
  <c r="BP44" i="14809"/>
  <c r="BN39" i="14809"/>
  <c r="BP39" i="14809" s="1"/>
  <c r="BN47" i="14809"/>
  <c r="BP47" i="14809" s="1"/>
  <c r="BN42" i="14809"/>
  <c r="BP42" i="14809" s="1"/>
  <c r="BN41" i="14809"/>
  <c r="BP41" i="14809" s="1"/>
  <c r="BN40" i="14809"/>
  <c r="BP40" i="14809" s="1"/>
  <c r="BN38" i="14809"/>
  <c r="BP38" i="14809" s="1"/>
  <c r="BN37" i="14809"/>
  <c r="BP37" i="14809" s="1"/>
  <c r="BN36" i="14809"/>
  <c r="BP36" i="14809" s="1"/>
  <c r="BN35" i="14809"/>
  <c r="BP35" i="14809" s="1"/>
  <c r="BN34" i="14809"/>
  <c r="BP34" i="14809" s="1"/>
  <c r="BN33" i="14809"/>
  <c r="BP33" i="14809" s="1"/>
  <c r="BN32" i="14809"/>
  <c r="BP32" i="14809" s="1"/>
  <c r="BN31" i="14809"/>
  <c r="BP31" i="14809" s="1"/>
  <c r="BN30" i="14809"/>
  <c r="BP30" i="14809" s="1"/>
  <c r="BN29" i="14809"/>
  <c r="BP29" i="14809" s="1"/>
  <c r="BN28" i="14809"/>
  <c r="BP28" i="14809" s="1"/>
  <c r="BN27" i="14809"/>
  <c r="BP27" i="14809" s="1"/>
  <c r="BN26" i="14809"/>
  <c r="BP26" i="14809" s="1"/>
  <c r="BN25" i="14809"/>
  <c r="BP25" i="14809" s="1"/>
  <c r="BN24" i="14809"/>
  <c r="BP24" i="14809" s="1"/>
  <c r="BN23" i="14809"/>
  <c r="BP23" i="14809" s="1"/>
  <c r="BN22" i="14809"/>
  <c r="BP22" i="14809" s="1"/>
  <c r="BN21" i="14809"/>
  <c r="BP21" i="14809" s="1"/>
  <c r="BN20" i="14809"/>
  <c r="BP20" i="14809" s="1"/>
  <c r="BN19" i="14809"/>
  <c r="BP19" i="14809" s="1"/>
  <c r="BN18" i="14809"/>
  <c r="BP18" i="14809" s="1"/>
  <c r="BN17" i="14809"/>
  <c r="BP17" i="14809" s="1"/>
  <c r="BN16" i="14809"/>
  <c r="BP16" i="14809" s="1"/>
  <c r="BN15" i="14809"/>
  <c r="BP15" i="14809" s="1"/>
  <c r="BN14" i="14809"/>
  <c r="BP14" i="14809" s="1"/>
  <c r="BN13" i="14809"/>
  <c r="BP13" i="14809" s="1"/>
  <c r="BN12" i="14809"/>
  <c r="BP12" i="14809" s="1"/>
  <c r="BN11" i="14809"/>
  <c r="BP11" i="14809" s="1"/>
  <c r="BP10" i="14809"/>
  <c r="C173" i="14786" l="1"/>
  <c r="C80" i="14786"/>
  <c r="C54" i="14786"/>
  <c r="C69" i="14786"/>
  <c r="C166" i="14786"/>
  <c r="C56" i="14786"/>
  <c r="C134" i="14786"/>
  <c r="C53" i="14786"/>
  <c r="C29" i="14786"/>
  <c r="C51" i="14786"/>
  <c r="C26" i="14786"/>
  <c r="C50" i="14786"/>
  <c r="C181" i="14786"/>
  <c r="C179" i="14786"/>
  <c r="C12" i="14786"/>
  <c r="C72" i="14786"/>
  <c r="C130" i="14786"/>
  <c r="C165" i="14786"/>
  <c r="C132" i="14786"/>
  <c r="C58" i="14786"/>
  <c r="C164" i="14786"/>
  <c r="C162" i="14786"/>
  <c r="C114" i="14786"/>
  <c r="C83" i="14786"/>
  <c r="C49" i="14786"/>
  <c r="C177" i="14786"/>
  <c r="C110" i="14786"/>
  <c r="C31" i="14786"/>
  <c r="C180" i="14786"/>
  <c r="F7" i="14809"/>
  <c r="H7" i="14809"/>
  <c r="G7" i="14809" l="1"/>
  <c r="C16" i="14786"/>
  <c r="C11" i="14786"/>
  <c r="C24" i="14786"/>
  <c r="C17" i="14786"/>
  <c r="C125" i="14786"/>
  <c r="C25" i="14786"/>
  <c r="C85" i="14786"/>
  <c r="B50" i="14815"/>
  <c r="B40" i="14815"/>
  <c r="C9" i="14786"/>
  <c r="B49" i="14824"/>
  <c r="B47" i="14824"/>
  <c r="B46" i="14825"/>
  <c r="B43" i="14824"/>
  <c r="E7" i="14809"/>
  <c r="C10" i="14786"/>
  <c r="D7" i="14809"/>
  <c r="C8" i="14786"/>
  <c r="B41" i="14815"/>
  <c r="B45" i="14815"/>
  <c r="B48" i="14815"/>
  <c r="B42" i="14825"/>
  <c r="B44" i="14815"/>
  <c r="I7" i="14809"/>
  <c r="A50" i="14815"/>
  <c r="A49" i="14815"/>
  <c r="A48" i="14815"/>
  <c r="A47" i="14815"/>
  <c r="A46" i="14815"/>
  <c r="A45" i="14815"/>
  <c r="A44" i="14815"/>
  <c r="A43" i="14815"/>
  <c r="A42" i="14815"/>
  <c r="A41" i="14815"/>
  <c r="A40" i="14815"/>
  <c r="B39" i="14815"/>
  <c r="A39" i="14815"/>
  <c r="B38" i="14815"/>
  <c r="A38" i="14815"/>
  <c r="B37" i="14815"/>
  <c r="A37" i="14815"/>
  <c r="B36" i="14815"/>
  <c r="A36" i="14815"/>
  <c r="B35" i="14815"/>
  <c r="A35" i="14815"/>
  <c r="B34" i="14815"/>
  <c r="A34" i="14815"/>
  <c r="B33" i="14815"/>
  <c r="A33" i="14815"/>
  <c r="B32" i="14815"/>
  <c r="A32" i="14815"/>
  <c r="B31" i="14815"/>
  <c r="A31" i="14815"/>
  <c r="B30" i="14815"/>
  <c r="A30" i="14815"/>
  <c r="B29" i="14815"/>
  <c r="A29" i="14815"/>
  <c r="B28" i="14815"/>
  <c r="A28" i="14815"/>
  <c r="B27" i="14815"/>
  <c r="A27" i="14815"/>
  <c r="A26" i="14815"/>
  <c r="B25" i="14815"/>
  <c r="A25" i="14815"/>
  <c r="B24" i="14815"/>
  <c r="A24" i="14815"/>
  <c r="B23" i="14815"/>
  <c r="A23" i="14815"/>
  <c r="B22" i="14815"/>
  <c r="A22" i="14815"/>
  <c r="B21" i="14815"/>
  <c r="A21" i="14815"/>
  <c r="B20" i="14815"/>
  <c r="A20" i="14815"/>
  <c r="B19" i="14815"/>
  <c r="A19" i="14815"/>
  <c r="B18" i="14815"/>
  <c r="A18" i="14815"/>
  <c r="B17" i="14815"/>
  <c r="A17" i="14815"/>
  <c r="B16" i="14815"/>
  <c r="A16" i="14815"/>
  <c r="B15" i="14815"/>
  <c r="A15" i="14815"/>
  <c r="B14" i="14815"/>
  <c r="A14" i="14815"/>
  <c r="B13" i="14815"/>
  <c r="A13" i="14815"/>
  <c r="B12" i="14815"/>
  <c r="A12" i="14815"/>
  <c r="B11" i="14815"/>
  <c r="A11" i="14815"/>
  <c r="B10" i="14815"/>
  <c r="A10" i="14815"/>
  <c r="B9" i="14815"/>
  <c r="A9" i="14815"/>
  <c r="B8" i="14815"/>
  <c r="A8" i="14815"/>
  <c r="B7" i="14815"/>
  <c r="A7" i="14815"/>
  <c r="B6" i="14815"/>
  <c r="A6" i="14815"/>
  <c r="A50" i="14824"/>
  <c r="A49" i="14824"/>
  <c r="A48" i="14824"/>
  <c r="A47" i="14824"/>
  <c r="A46" i="14824"/>
  <c r="A45" i="14824"/>
  <c r="A44" i="14824"/>
  <c r="A43" i="14824"/>
  <c r="A42" i="14824"/>
  <c r="A41" i="14824"/>
  <c r="A40" i="14824"/>
  <c r="B39" i="14824"/>
  <c r="A39" i="14824"/>
  <c r="B38" i="14824"/>
  <c r="A38" i="14824"/>
  <c r="B37" i="14824"/>
  <c r="A37" i="14824"/>
  <c r="B36" i="14824"/>
  <c r="A36" i="14824"/>
  <c r="B35" i="14824"/>
  <c r="A35" i="14824"/>
  <c r="B34" i="14824"/>
  <c r="A34" i="14824"/>
  <c r="B33" i="14824"/>
  <c r="A33" i="14824"/>
  <c r="B32" i="14824"/>
  <c r="A32" i="14824"/>
  <c r="B31" i="14824"/>
  <c r="A31" i="14824"/>
  <c r="B30" i="14824"/>
  <c r="A30" i="14824"/>
  <c r="B29" i="14824"/>
  <c r="A29" i="14824"/>
  <c r="B28" i="14824"/>
  <c r="A28" i="14824"/>
  <c r="B27" i="14824"/>
  <c r="A27" i="14824"/>
  <c r="B26" i="14824"/>
  <c r="A26" i="14824"/>
  <c r="B25" i="14824"/>
  <c r="A25" i="14824"/>
  <c r="B24" i="14824"/>
  <c r="A24" i="14824"/>
  <c r="B23" i="14824"/>
  <c r="A23" i="14824"/>
  <c r="B22" i="14824"/>
  <c r="A22" i="14824"/>
  <c r="B21" i="14824"/>
  <c r="A21" i="14824"/>
  <c r="B20" i="14824"/>
  <c r="A20" i="14824"/>
  <c r="B19" i="14824"/>
  <c r="A19" i="14824"/>
  <c r="B18" i="14824"/>
  <c r="A18" i="14824"/>
  <c r="B17" i="14824"/>
  <c r="A17" i="14824"/>
  <c r="B16" i="14824"/>
  <c r="A16" i="14824"/>
  <c r="B15" i="14824"/>
  <c r="A15" i="14824"/>
  <c r="B14" i="14824"/>
  <c r="A14" i="14824"/>
  <c r="B13" i="14824"/>
  <c r="A13" i="14824"/>
  <c r="B12" i="14824"/>
  <c r="A12" i="14824"/>
  <c r="B11" i="14824"/>
  <c r="A11" i="14824"/>
  <c r="B10" i="14824"/>
  <c r="A10" i="14824"/>
  <c r="B9" i="14824"/>
  <c r="A9" i="14824"/>
  <c r="B8" i="14824"/>
  <c r="A8" i="14824"/>
  <c r="B7" i="14824"/>
  <c r="A7" i="14824"/>
  <c r="B6" i="14824"/>
  <c r="A6" i="14824"/>
  <c r="A50" i="14825"/>
  <c r="A49" i="14825"/>
  <c r="A48" i="14825"/>
  <c r="A47" i="14825"/>
  <c r="A46" i="14825"/>
  <c r="A45" i="14825"/>
  <c r="A44" i="14825"/>
  <c r="A43" i="14825"/>
  <c r="A42" i="14825"/>
  <c r="A41" i="14825"/>
  <c r="A40" i="14825"/>
  <c r="B39" i="14825"/>
  <c r="A39" i="14825"/>
  <c r="B38" i="14825"/>
  <c r="A38" i="14825"/>
  <c r="B37" i="14825"/>
  <c r="A37" i="14825"/>
  <c r="B36" i="14825"/>
  <c r="A36" i="14825"/>
  <c r="B35" i="14825"/>
  <c r="A35" i="14825"/>
  <c r="B34" i="14825"/>
  <c r="A34" i="14825"/>
  <c r="B33" i="14825"/>
  <c r="A33" i="14825"/>
  <c r="B32" i="14825"/>
  <c r="A32" i="14825"/>
  <c r="B31" i="14825"/>
  <c r="A31" i="14825"/>
  <c r="B30" i="14825"/>
  <c r="A30" i="14825"/>
  <c r="B29" i="14825"/>
  <c r="A29" i="14825"/>
  <c r="B28" i="14825"/>
  <c r="A28" i="14825"/>
  <c r="B27" i="14825"/>
  <c r="A27" i="14825"/>
  <c r="B26" i="14825"/>
  <c r="A26" i="14825"/>
  <c r="B25" i="14825"/>
  <c r="A25" i="14825"/>
  <c r="B24" i="14825"/>
  <c r="A24" i="14825"/>
  <c r="B23" i="14825"/>
  <c r="A23" i="14825"/>
  <c r="B22" i="14825"/>
  <c r="A22" i="14825"/>
  <c r="B21" i="14825"/>
  <c r="A21" i="14825"/>
  <c r="B20" i="14825"/>
  <c r="A20" i="14825"/>
  <c r="B19" i="14825"/>
  <c r="A19" i="14825"/>
  <c r="B18" i="14825"/>
  <c r="A18" i="14825"/>
  <c r="B17" i="14825"/>
  <c r="A17" i="14825"/>
  <c r="B16" i="14825"/>
  <c r="A16" i="14825"/>
  <c r="B15" i="14825"/>
  <c r="A15" i="14825"/>
  <c r="B14" i="14825"/>
  <c r="A14" i="14825"/>
  <c r="B13" i="14825"/>
  <c r="A13" i="14825"/>
  <c r="B12" i="14825"/>
  <c r="A12" i="14825"/>
  <c r="B11" i="14825"/>
  <c r="A11" i="14825"/>
  <c r="B10" i="14825"/>
  <c r="A10" i="14825"/>
  <c r="B9" i="14825"/>
  <c r="A9" i="14825"/>
  <c r="B8" i="14825"/>
  <c r="A8" i="14825"/>
  <c r="B7" i="14825"/>
  <c r="A7" i="14825"/>
  <c r="B6" i="14825"/>
  <c r="A6" i="14825"/>
  <c r="E68" i="14814"/>
  <c r="E69" i="14814"/>
  <c r="E70" i="14814"/>
  <c r="E71" i="14814"/>
  <c r="E72" i="14814"/>
  <c r="E73" i="14814"/>
  <c r="E74" i="14814"/>
  <c r="E75" i="14814"/>
  <c r="E76" i="14814"/>
  <c r="E77" i="14814"/>
  <c r="E78" i="14814"/>
  <c r="E79" i="14814"/>
  <c r="E80" i="14814"/>
  <c r="E81" i="14814"/>
  <c r="E82" i="14814"/>
  <c r="E83" i="14814"/>
  <c r="E84" i="14814"/>
  <c r="E85" i="14814"/>
  <c r="E86" i="14814"/>
  <c r="E87" i="14814"/>
  <c r="E88" i="14814"/>
  <c r="E89" i="14814"/>
  <c r="E90" i="14814"/>
  <c r="E67" i="14814"/>
  <c r="G94" i="14814"/>
  <c r="FT54" i="14809"/>
  <c r="FT53" i="14809"/>
  <c r="FT52" i="14809"/>
  <c r="FT51" i="14809"/>
  <c r="FT50" i="14809"/>
  <c r="FT49" i="14809"/>
  <c r="FT48" i="14809"/>
  <c r="FT47" i="14809"/>
  <c r="FT46" i="14809"/>
  <c r="FT45" i="14809"/>
  <c r="FT44" i="14809"/>
  <c r="FT43" i="14809"/>
  <c r="FT42" i="14809"/>
  <c r="FT41" i="14809"/>
  <c r="FT40" i="14809"/>
  <c r="FT39" i="14809"/>
  <c r="FT38" i="14809"/>
  <c r="FT37" i="14809"/>
  <c r="FT36" i="14809"/>
  <c r="FT35" i="14809"/>
  <c r="FT34" i="14809"/>
  <c r="FT33" i="14809"/>
  <c r="FT32" i="14809"/>
  <c r="FT31" i="14809"/>
  <c r="FT30" i="14809"/>
  <c r="FT29" i="14809"/>
  <c r="FT28" i="14809"/>
  <c r="FT27" i="14809"/>
  <c r="FT26" i="14809"/>
  <c r="FT25" i="14809"/>
  <c r="FT24" i="14809"/>
  <c r="FT23" i="14809"/>
  <c r="FT22" i="14809"/>
  <c r="FT21" i="14809"/>
  <c r="FT20" i="14809"/>
  <c r="FT19" i="14809"/>
  <c r="FT18" i="14809"/>
  <c r="FT17" i="14809"/>
  <c r="FT16" i="14809"/>
  <c r="FT15" i="14809"/>
  <c r="FT14" i="14809"/>
  <c r="FT13" i="14809"/>
  <c r="FT12" i="14809"/>
  <c r="FT11" i="14809"/>
  <c r="FT10" i="14809"/>
  <c r="M9" i="14830" l="1"/>
  <c r="M8" i="14830"/>
  <c r="M12" i="14830"/>
  <c r="M20" i="14830"/>
  <c r="M10" i="14830"/>
  <c r="M8" i="14786"/>
  <c r="M9" i="14786"/>
  <c r="M10" i="14786"/>
  <c r="M20" i="14786"/>
  <c r="B49" i="14815"/>
  <c r="B50" i="14825"/>
  <c r="B50" i="14824"/>
  <c r="B46" i="14824"/>
  <c r="B40" i="14824"/>
  <c r="B49" i="14825"/>
  <c r="B41" i="14824"/>
  <c r="B40" i="14825"/>
  <c r="B47" i="14825"/>
  <c r="B47" i="14815"/>
  <c r="B43" i="14815"/>
  <c r="B46" i="14815"/>
  <c r="B43" i="14825"/>
  <c r="B41" i="14825"/>
  <c r="B45" i="14825"/>
  <c r="B45" i="14824"/>
  <c r="B42" i="14824"/>
  <c r="B42" i="14815"/>
  <c r="B48" i="14825"/>
  <c r="B48" i="14824"/>
  <c r="B44" i="14824"/>
  <c r="B44" i="14825"/>
  <c r="J7" i="14809"/>
  <c r="M18" i="14830" s="1"/>
  <c r="N18" i="14830" l="1"/>
  <c r="O18" i="14830"/>
  <c r="M21" i="14830"/>
  <c r="M22" i="14830" s="1"/>
  <c r="M23" i="14830" s="1"/>
  <c r="M11" i="14830"/>
  <c r="M78" i="14830" s="1"/>
  <c r="M18" i="14786"/>
  <c r="K7" i="14809"/>
  <c r="L7" i="14809" l="1"/>
  <c r="N17" i="14830" s="1"/>
  <c r="S7" i="14826"/>
  <c r="AM51" i="14826"/>
  <c r="AM50" i="14826"/>
  <c r="AM49" i="14826"/>
  <c r="AM48" i="14826"/>
  <c r="AM47" i="14826"/>
  <c r="AM46" i="14826"/>
  <c r="AM45" i="14826"/>
  <c r="AM44" i="14826"/>
  <c r="AM43" i="14826"/>
  <c r="AM42" i="14826"/>
  <c r="AM41" i="14826"/>
  <c r="AM40" i="14826"/>
  <c r="AM39" i="14826"/>
  <c r="AM38" i="14826"/>
  <c r="AM37" i="14826"/>
  <c r="AM36" i="14826"/>
  <c r="AM35" i="14826"/>
  <c r="AM34" i="14826"/>
  <c r="AM33" i="14826"/>
  <c r="AM32" i="14826"/>
  <c r="AM31" i="14826"/>
  <c r="AM30" i="14826"/>
  <c r="AM29" i="14826"/>
  <c r="AM28" i="14826"/>
  <c r="AM27" i="14826"/>
  <c r="AM26" i="14826"/>
  <c r="AM25" i="14826"/>
  <c r="AM24" i="14826"/>
  <c r="AM23" i="14826"/>
  <c r="AM22" i="14826"/>
  <c r="AM21" i="14826"/>
  <c r="AM20" i="14826"/>
  <c r="AM19" i="14826"/>
  <c r="AM18" i="14826"/>
  <c r="AM17" i="14826"/>
  <c r="AM16" i="14826"/>
  <c r="AM15" i="14826"/>
  <c r="AM14" i="14826"/>
  <c r="AM13" i="14826"/>
  <c r="AM12" i="14826"/>
  <c r="AM11" i="14826"/>
  <c r="AM10" i="14826"/>
  <c r="AM9" i="14826"/>
  <c r="AM8" i="14826"/>
  <c r="AM7" i="14826"/>
  <c r="AG51" i="14826"/>
  <c r="AG50" i="14826"/>
  <c r="AG49" i="14826"/>
  <c r="AG48" i="14826"/>
  <c r="AG47" i="14826"/>
  <c r="AG46" i="14826"/>
  <c r="AG45" i="14826"/>
  <c r="AG44" i="14826"/>
  <c r="AG43" i="14826"/>
  <c r="AG42" i="14826"/>
  <c r="AG41" i="14826"/>
  <c r="AG40" i="14826"/>
  <c r="AG39" i="14826"/>
  <c r="AG38" i="14826"/>
  <c r="AG37" i="14826"/>
  <c r="AG36" i="14826"/>
  <c r="AG35" i="14826"/>
  <c r="AG34" i="14826"/>
  <c r="AG33" i="14826"/>
  <c r="AG32" i="14826"/>
  <c r="AG31" i="14826"/>
  <c r="AG30" i="14826"/>
  <c r="AG29" i="14826"/>
  <c r="AG28" i="14826"/>
  <c r="AG27" i="14826"/>
  <c r="AG26" i="14826"/>
  <c r="AG25" i="14826"/>
  <c r="AG24" i="14826"/>
  <c r="AG23" i="14826"/>
  <c r="AG22" i="14826"/>
  <c r="AG21" i="14826"/>
  <c r="AG20" i="14826"/>
  <c r="AG19" i="14826"/>
  <c r="AG18" i="14826"/>
  <c r="AG17" i="14826"/>
  <c r="AG16" i="14826"/>
  <c r="AG15" i="14826"/>
  <c r="AG14" i="14826"/>
  <c r="AG13" i="14826"/>
  <c r="AG12" i="14826"/>
  <c r="AG11" i="14826"/>
  <c r="AG10" i="14826"/>
  <c r="AG9" i="14826"/>
  <c r="AG8" i="14826"/>
  <c r="AG7" i="14826"/>
  <c r="AA51" i="14826"/>
  <c r="AA50" i="14826"/>
  <c r="AA49" i="14826"/>
  <c r="AA48" i="14826"/>
  <c r="AA47" i="14826"/>
  <c r="AA46" i="14826"/>
  <c r="AA45" i="14826"/>
  <c r="AA44" i="14826"/>
  <c r="AA43" i="14826"/>
  <c r="AA42" i="14826"/>
  <c r="AA41" i="14826"/>
  <c r="AA40" i="14826"/>
  <c r="AA39" i="14826"/>
  <c r="AA38" i="14826"/>
  <c r="AA37" i="14826"/>
  <c r="AA36" i="14826"/>
  <c r="AA35" i="14826"/>
  <c r="AA34" i="14826"/>
  <c r="AA33" i="14826"/>
  <c r="AA32" i="14826"/>
  <c r="AA31" i="14826"/>
  <c r="AA30" i="14826"/>
  <c r="AA29" i="14826"/>
  <c r="AA28" i="14826"/>
  <c r="AA27" i="14826"/>
  <c r="AA26" i="14826"/>
  <c r="AA25" i="14826"/>
  <c r="AA24" i="14826"/>
  <c r="AA23" i="14826"/>
  <c r="AA22" i="14826"/>
  <c r="AA21" i="14826"/>
  <c r="AA20" i="14826"/>
  <c r="AA19" i="14826"/>
  <c r="AA18" i="14826"/>
  <c r="AA17" i="14826"/>
  <c r="AA16" i="14826"/>
  <c r="AA15" i="14826"/>
  <c r="AA14" i="14826"/>
  <c r="AA13" i="14826"/>
  <c r="AA12" i="14826"/>
  <c r="AA11" i="14826"/>
  <c r="AA10" i="14826"/>
  <c r="AA9" i="14826"/>
  <c r="AA8" i="14826"/>
  <c r="AA7" i="14826"/>
  <c r="D7" i="14826"/>
  <c r="M17" i="14830" l="1"/>
  <c r="O17" i="14830"/>
  <c r="M17" i="14786"/>
  <c r="O7" i="14809"/>
  <c r="AJ51" i="14826"/>
  <c r="AI51" i="14826"/>
  <c r="AH51" i="14826"/>
  <c r="AF51" i="14826"/>
  <c r="AJ50" i="14826"/>
  <c r="AI50" i="14826"/>
  <c r="AH50" i="14826"/>
  <c r="AF50" i="14826"/>
  <c r="AJ49" i="14826"/>
  <c r="AI49" i="14826"/>
  <c r="AH49" i="14826"/>
  <c r="AF49" i="14826"/>
  <c r="AJ48" i="14826"/>
  <c r="AI48" i="14826"/>
  <c r="AH48" i="14826"/>
  <c r="AF48" i="14826"/>
  <c r="AJ47" i="14826"/>
  <c r="AI47" i="14826"/>
  <c r="AH47" i="14826"/>
  <c r="AF47" i="14826"/>
  <c r="AJ46" i="14826"/>
  <c r="AI46" i="14826"/>
  <c r="AH46" i="14826"/>
  <c r="AF46" i="14826"/>
  <c r="AJ45" i="14826"/>
  <c r="AI45" i="14826"/>
  <c r="AH45" i="14826"/>
  <c r="AF45" i="14826"/>
  <c r="AJ44" i="14826"/>
  <c r="AI44" i="14826"/>
  <c r="AH44" i="14826"/>
  <c r="AF44" i="14826"/>
  <c r="AJ43" i="14826"/>
  <c r="AI43" i="14826"/>
  <c r="AH43" i="14826"/>
  <c r="AF43" i="14826"/>
  <c r="AJ42" i="14826"/>
  <c r="AI42" i="14826"/>
  <c r="AH42" i="14826"/>
  <c r="AF42" i="14826"/>
  <c r="AJ41" i="14826"/>
  <c r="AI41" i="14826"/>
  <c r="AH41" i="14826"/>
  <c r="AF41" i="14826"/>
  <c r="AJ40" i="14826"/>
  <c r="AI40" i="14826"/>
  <c r="AH40" i="14826"/>
  <c r="AF40" i="14826"/>
  <c r="AJ39" i="14826"/>
  <c r="AI39" i="14826"/>
  <c r="AH39" i="14826"/>
  <c r="AF39" i="14826"/>
  <c r="AJ38" i="14826"/>
  <c r="AI38" i="14826"/>
  <c r="AH38" i="14826"/>
  <c r="AF38" i="14826"/>
  <c r="AJ37" i="14826"/>
  <c r="AI37" i="14826"/>
  <c r="AH37" i="14826"/>
  <c r="AF37" i="14826"/>
  <c r="AJ36" i="14826"/>
  <c r="AI36" i="14826"/>
  <c r="AH36" i="14826"/>
  <c r="AF36" i="14826"/>
  <c r="AJ35" i="14826"/>
  <c r="AI35" i="14826"/>
  <c r="AH35" i="14826"/>
  <c r="AF35" i="14826"/>
  <c r="AJ34" i="14826"/>
  <c r="AI34" i="14826"/>
  <c r="AH34" i="14826"/>
  <c r="AF34" i="14826"/>
  <c r="AJ33" i="14826"/>
  <c r="AI33" i="14826"/>
  <c r="AH33" i="14826"/>
  <c r="AF33" i="14826"/>
  <c r="AJ32" i="14826"/>
  <c r="AI32" i="14826"/>
  <c r="AH32" i="14826"/>
  <c r="AF32" i="14826"/>
  <c r="AJ31" i="14826"/>
  <c r="AI31" i="14826"/>
  <c r="AH31" i="14826"/>
  <c r="AF31" i="14826"/>
  <c r="AJ30" i="14826"/>
  <c r="AI30" i="14826"/>
  <c r="AH30" i="14826"/>
  <c r="AF30" i="14826"/>
  <c r="AJ29" i="14826"/>
  <c r="AI29" i="14826"/>
  <c r="AH29" i="14826"/>
  <c r="AF29" i="14826"/>
  <c r="AJ28" i="14826"/>
  <c r="AI28" i="14826"/>
  <c r="AH28" i="14826"/>
  <c r="AF28" i="14826"/>
  <c r="AJ27" i="14826"/>
  <c r="AI27" i="14826"/>
  <c r="AH27" i="14826"/>
  <c r="AF27" i="14826"/>
  <c r="AJ26" i="14826"/>
  <c r="AI26" i="14826"/>
  <c r="AH26" i="14826"/>
  <c r="AF26" i="14826"/>
  <c r="AJ25" i="14826"/>
  <c r="AI25" i="14826"/>
  <c r="AH25" i="14826"/>
  <c r="AF25" i="14826"/>
  <c r="AJ24" i="14826"/>
  <c r="AI24" i="14826"/>
  <c r="AH24" i="14826"/>
  <c r="AF24" i="14826"/>
  <c r="AJ23" i="14826"/>
  <c r="AI23" i="14826"/>
  <c r="AH23" i="14826"/>
  <c r="AF23" i="14826"/>
  <c r="AJ22" i="14826"/>
  <c r="AI22" i="14826"/>
  <c r="AH22" i="14826"/>
  <c r="AF22" i="14826"/>
  <c r="AJ21" i="14826"/>
  <c r="AI21" i="14826"/>
  <c r="AH21" i="14826"/>
  <c r="AF21" i="14826"/>
  <c r="AJ20" i="14826"/>
  <c r="AI20" i="14826"/>
  <c r="AH20" i="14826"/>
  <c r="AF20" i="14826"/>
  <c r="AJ19" i="14826"/>
  <c r="AI19" i="14826"/>
  <c r="AH19" i="14826"/>
  <c r="AF19" i="14826"/>
  <c r="AJ18" i="14826"/>
  <c r="AI18" i="14826"/>
  <c r="AH18" i="14826"/>
  <c r="AF18" i="14826"/>
  <c r="AJ17" i="14826"/>
  <c r="AI17" i="14826"/>
  <c r="AH17" i="14826"/>
  <c r="AF17" i="14826"/>
  <c r="AJ16" i="14826"/>
  <c r="AI16" i="14826"/>
  <c r="AH16" i="14826"/>
  <c r="AF16" i="14826"/>
  <c r="AJ15" i="14826"/>
  <c r="AI15" i="14826"/>
  <c r="AH15" i="14826"/>
  <c r="AF15" i="14826"/>
  <c r="AJ14" i="14826"/>
  <c r="AI14" i="14826"/>
  <c r="AH14" i="14826"/>
  <c r="AF14" i="14826"/>
  <c r="AJ13" i="14826"/>
  <c r="AI13" i="14826"/>
  <c r="AH13" i="14826"/>
  <c r="AF13" i="14826"/>
  <c r="AJ12" i="14826"/>
  <c r="AI12" i="14826"/>
  <c r="AH12" i="14826"/>
  <c r="AF12" i="14826"/>
  <c r="AJ11" i="14826"/>
  <c r="AI11" i="14826"/>
  <c r="AH11" i="14826"/>
  <c r="AF11" i="14826"/>
  <c r="AJ10" i="14826"/>
  <c r="AI10" i="14826"/>
  <c r="AH10" i="14826"/>
  <c r="AF10" i="14826"/>
  <c r="AJ9" i="14826"/>
  <c r="AI9" i="14826"/>
  <c r="AH9" i="14826"/>
  <c r="AF9" i="14826"/>
  <c r="AJ8" i="14826"/>
  <c r="AI8" i="14826"/>
  <c r="AH8" i="14826"/>
  <c r="AF8" i="14826"/>
  <c r="AJ7" i="14826"/>
  <c r="AI7" i="14826"/>
  <c r="AH7" i="14826"/>
  <c r="AF7" i="14826"/>
  <c r="AP51" i="14826"/>
  <c r="AO51" i="14826"/>
  <c r="AN51" i="14826"/>
  <c r="AL51" i="14826"/>
  <c r="AP50" i="14826"/>
  <c r="AO50" i="14826"/>
  <c r="AN50" i="14826"/>
  <c r="AL50" i="14826"/>
  <c r="AP49" i="14826"/>
  <c r="AO49" i="14826"/>
  <c r="AN49" i="14826"/>
  <c r="AL49" i="14826"/>
  <c r="AP48" i="14826"/>
  <c r="AO48" i="14826"/>
  <c r="AN48" i="14826"/>
  <c r="AL48" i="14826"/>
  <c r="AP47" i="14826"/>
  <c r="AO47" i="14826"/>
  <c r="AN47" i="14826"/>
  <c r="AL47" i="14826"/>
  <c r="AP46" i="14826"/>
  <c r="AO46" i="14826"/>
  <c r="AN46" i="14826"/>
  <c r="AL46" i="14826"/>
  <c r="AP45" i="14826"/>
  <c r="AO45" i="14826"/>
  <c r="AN45" i="14826"/>
  <c r="AL45" i="14826"/>
  <c r="AP44" i="14826"/>
  <c r="AO44" i="14826"/>
  <c r="AN44" i="14826"/>
  <c r="AL44" i="14826"/>
  <c r="AP43" i="14826"/>
  <c r="AO43" i="14826"/>
  <c r="AN43" i="14826"/>
  <c r="AL43" i="14826"/>
  <c r="AP42" i="14826"/>
  <c r="AO42" i="14826"/>
  <c r="AN42" i="14826"/>
  <c r="AL42" i="14826"/>
  <c r="AP41" i="14826"/>
  <c r="AO41" i="14826"/>
  <c r="AN41" i="14826"/>
  <c r="AL41" i="14826"/>
  <c r="AP40" i="14826"/>
  <c r="AO40" i="14826"/>
  <c r="AN40" i="14826"/>
  <c r="AL40" i="14826"/>
  <c r="AP39" i="14826"/>
  <c r="AO39" i="14826"/>
  <c r="AN39" i="14826"/>
  <c r="AL39" i="14826"/>
  <c r="AP38" i="14826"/>
  <c r="AO38" i="14826"/>
  <c r="AN38" i="14826"/>
  <c r="AL38" i="14826"/>
  <c r="AP37" i="14826"/>
  <c r="AO37" i="14826"/>
  <c r="AN37" i="14826"/>
  <c r="AL37" i="14826"/>
  <c r="AP36" i="14826"/>
  <c r="AO36" i="14826"/>
  <c r="AN36" i="14826"/>
  <c r="AL36" i="14826"/>
  <c r="AP35" i="14826"/>
  <c r="AO35" i="14826"/>
  <c r="AN35" i="14826"/>
  <c r="AL35" i="14826"/>
  <c r="AP34" i="14826"/>
  <c r="AO34" i="14826"/>
  <c r="AN34" i="14826"/>
  <c r="AL34" i="14826"/>
  <c r="AP33" i="14826"/>
  <c r="AO33" i="14826"/>
  <c r="AN33" i="14826"/>
  <c r="AL33" i="14826"/>
  <c r="AP32" i="14826"/>
  <c r="AO32" i="14826"/>
  <c r="AN32" i="14826"/>
  <c r="AL32" i="14826"/>
  <c r="AP31" i="14826"/>
  <c r="AO31" i="14826"/>
  <c r="AN31" i="14826"/>
  <c r="AL31" i="14826"/>
  <c r="AP30" i="14826"/>
  <c r="AO30" i="14826"/>
  <c r="AN30" i="14826"/>
  <c r="AL30" i="14826"/>
  <c r="AP29" i="14826"/>
  <c r="AO29" i="14826"/>
  <c r="AN29" i="14826"/>
  <c r="AL29" i="14826"/>
  <c r="AP28" i="14826"/>
  <c r="AO28" i="14826"/>
  <c r="AN28" i="14826"/>
  <c r="AL28" i="14826"/>
  <c r="AP27" i="14826"/>
  <c r="AO27" i="14826"/>
  <c r="AN27" i="14826"/>
  <c r="AL27" i="14826"/>
  <c r="AP26" i="14826"/>
  <c r="AO26" i="14826"/>
  <c r="AN26" i="14826"/>
  <c r="AL26" i="14826"/>
  <c r="AP25" i="14826"/>
  <c r="AO25" i="14826"/>
  <c r="AN25" i="14826"/>
  <c r="AL25" i="14826"/>
  <c r="AP24" i="14826"/>
  <c r="AO24" i="14826"/>
  <c r="AN24" i="14826"/>
  <c r="AL24" i="14826"/>
  <c r="AP23" i="14826"/>
  <c r="AO23" i="14826"/>
  <c r="AN23" i="14826"/>
  <c r="AL23" i="14826"/>
  <c r="AP22" i="14826"/>
  <c r="AO22" i="14826"/>
  <c r="AN22" i="14826"/>
  <c r="AL22" i="14826"/>
  <c r="AP21" i="14826"/>
  <c r="AO21" i="14826"/>
  <c r="AN21" i="14826"/>
  <c r="AL21" i="14826"/>
  <c r="AP20" i="14826"/>
  <c r="AO20" i="14826"/>
  <c r="AN20" i="14826"/>
  <c r="AL20" i="14826"/>
  <c r="AP19" i="14826"/>
  <c r="AO19" i="14826"/>
  <c r="AN19" i="14826"/>
  <c r="AL19" i="14826"/>
  <c r="AP18" i="14826"/>
  <c r="AO18" i="14826"/>
  <c r="AN18" i="14826"/>
  <c r="AL18" i="14826"/>
  <c r="AP17" i="14826"/>
  <c r="AO17" i="14826"/>
  <c r="AN17" i="14826"/>
  <c r="AL17" i="14826"/>
  <c r="AP16" i="14826"/>
  <c r="AO16" i="14826"/>
  <c r="AN16" i="14826"/>
  <c r="AL16" i="14826"/>
  <c r="AP15" i="14826"/>
  <c r="AO15" i="14826"/>
  <c r="AN15" i="14826"/>
  <c r="AL15" i="14826"/>
  <c r="AP14" i="14826"/>
  <c r="AO14" i="14826"/>
  <c r="AN14" i="14826"/>
  <c r="AL14" i="14826"/>
  <c r="AP13" i="14826"/>
  <c r="AO13" i="14826"/>
  <c r="AN13" i="14826"/>
  <c r="AL13" i="14826"/>
  <c r="AP12" i="14826"/>
  <c r="AO12" i="14826"/>
  <c r="AN12" i="14826"/>
  <c r="AL12" i="14826"/>
  <c r="AP11" i="14826"/>
  <c r="AO11" i="14826"/>
  <c r="AN11" i="14826"/>
  <c r="AL11" i="14826"/>
  <c r="AP10" i="14826"/>
  <c r="AO10" i="14826"/>
  <c r="AN10" i="14826"/>
  <c r="AL10" i="14826"/>
  <c r="AP9" i="14826"/>
  <c r="AO9" i="14826"/>
  <c r="AN9" i="14826"/>
  <c r="AL9" i="14826"/>
  <c r="AP8" i="14826"/>
  <c r="AO8" i="14826"/>
  <c r="AN8" i="14826"/>
  <c r="AL8" i="14826"/>
  <c r="AP7" i="14826"/>
  <c r="AO7" i="14826"/>
  <c r="AN7" i="14826"/>
  <c r="AL7" i="14826"/>
  <c r="Z8" i="14826"/>
  <c r="AB8" i="14826"/>
  <c r="AC8" i="14826"/>
  <c r="AD8" i="14826"/>
  <c r="Z9" i="14826"/>
  <c r="AB9" i="14826"/>
  <c r="AC9" i="14826"/>
  <c r="AD9" i="14826"/>
  <c r="Z10" i="14826"/>
  <c r="AB10" i="14826"/>
  <c r="AC10" i="14826"/>
  <c r="AD10" i="14826"/>
  <c r="Z11" i="14826"/>
  <c r="AB11" i="14826"/>
  <c r="AC11" i="14826"/>
  <c r="AD11" i="14826"/>
  <c r="Z12" i="14826"/>
  <c r="AB12" i="14826"/>
  <c r="AC12" i="14826"/>
  <c r="AD12" i="14826"/>
  <c r="Z13" i="14826"/>
  <c r="AB13" i="14826"/>
  <c r="AC13" i="14826"/>
  <c r="AD13" i="14826"/>
  <c r="Z14" i="14826"/>
  <c r="AB14" i="14826"/>
  <c r="AC14" i="14826"/>
  <c r="AD14" i="14826"/>
  <c r="Z15" i="14826"/>
  <c r="AB15" i="14826"/>
  <c r="AC15" i="14826"/>
  <c r="AD15" i="14826"/>
  <c r="Z16" i="14826"/>
  <c r="AB16" i="14826"/>
  <c r="AC16" i="14826"/>
  <c r="AD16" i="14826"/>
  <c r="Z17" i="14826"/>
  <c r="AB17" i="14826"/>
  <c r="AC17" i="14826"/>
  <c r="AD17" i="14826"/>
  <c r="Z18" i="14826"/>
  <c r="AB18" i="14826"/>
  <c r="AC18" i="14826"/>
  <c r="AD18" i="14826"/>
  <c r="Z19" i="14826"/>
  <c r="AB19" i="14826"/>
  <c r="AC19" i="14826"/>
  <c r="AD19" i="14826"/>
  <c r="Z20" i="14826"/>
  <c r="AB20" i="14826"/>
  <c r="AC20" i="14826"/>
  <c r="AD20" i="14826"/>
  <c r="Z21" i="14826"/>
  <c r="AB21" i="14826"/>
  <c r="AC21" i="14826"/>
  <c r="AD21" i="14826"/>
  <c r="Z22" i="14826"/>
  <c r="AB22" i="14826"/>
  <c r="AC22" i="14826"/>
  <c r="AD22" i="14826"/>
  <c r="Z23" i="14826"/>
  <c r="AB23" i="14826"/>
  <c r="AC23" i="14826"/>
  <c r="AD23" i="14826"/>
  <c r="Z24" i="14826"/>
  <c r="AB24" i="14826"/>
  <c r="AC24" i="14826"/>
  <c r="AD24" i="14826"/>
  <c r="Z25" i="14826"/>
  <c r="AB25" i="14826"/>
  <c r="AC25" i="14826"/>
  <c r="AD25" i="14826"/>
  <c r="Z26" i="14826"/>
  <c r="AB26" i="14826"/>
  <c r="AC26" i="14826"/>
  <c r="AD26" i="14826"/>
  <c r="Z27" i="14826"/>
  <c r="AB27" i="14826"/>
  <c r="AC27" i="14826"/>
  <c r="AD27" i="14826"/>
  <c r="Z28" i="14826"/>
  <c r="AB28" i="14826"/>
  <c r="AC28" i="14826"/>
  <c r="AD28" i="14826"/>
  <c r="Z29" i="14826"/>
  <c r="AB29" i="14826"/>
  <c r="AC29" i="14826"/>
  <c r="AD29" i="14826"/>
  <c r="Z30" i="14826"/>
  <c r="AB30" i="14826"/>
  <c r="AC30" i="14826"/>
  <c r="AD30" i="14826"/>
  <c r="Z31" i="14826"/>
  <c r="AB31" i="14826"/>
  <c r="AC31" i="14826"/>
  <c r="AD31" i="14826"/>
  <c r="Z32" i="14826"/>
  <c r="AB32" i="14826"/>
  <c r="AC32" i="14826"/>
  <c r="AD32" i="14826"/>
  <c r="Z33" i="14826"/>
  <c r="AB33" i="14826"/>
  <c r="AC33" i="14826"/>
  <c r="AD33" i="14826"/>
  <c r="Z34" i="14826"/>
  <c r="AB34" i="14826"/>
  <c r="AC34" i="14826"/>
  <c r="AD34" i="14826"/>
  <c r="Z35" i="14826"/>
  <c r="AB35" i="14826"/>
  <c r="AC35" i="14826"/>
  <c r="AD35" i="14826"/>
  <c r="Z36" i="14826"/>
  <c r="AB36" i="14826"/>
  <c r="AC36" i="14826"/>
  <c r="AD36" i="14826"/>
  <c r="Z37" i="14826"/>
  <c r="AB37" i="14826"/>
  <c r="AC37" i="14826"/>
  <c r="AD37" i="14826"/>
  <c r="Z38" i="14826"/>
  <c r="AB38" i="14826"/>
  <c r="AC38" i="14826"/>
  <c r="AD38" i="14826"/>
  <c r="Z39" i="14826"/>
  <c r="AB39" i="14826"/>
  <c r="AC39" i="14826"/>
  <c r="AD39" i="14826"/>
  <c r="Z40" i="14826"/>
  <c r="AB40" i="14826"/>
  <c r="AC40" i="14826"/>
  <c r="AD40" i="14826"/>
  <c r="Z41" i="14826"/>
  <c r="AB41" i="14826"/>
  <c r="AC41" i="14826"/>
  <c r="AD41" i="14826"/>
  <c r="Z42" i="14826"/>
  <c r="AB42" i="14826"/>
  <c r="AC42" i="14826"/>
  <c r="AD42" i="14826"/>
  <c r="Z43" i="14826"/>
  <c r="AB43" i="14826"/>
  <c r="AC43" i="14826"/>
  <c r="AD43" i="14826"/>
  <c r="Z44" i="14826"/>
  <c r="AB44" i="14826"/>
  <c r="AC44" i="14826"/>
  <c r="AD44" i="14826"/>
  <c r="Z45" i="14826"/>
  <c r="AB45" i="14826"/>
  <c r="AC45" i="14826"/>
  <c r="AD45" i="14826"/>
  <c r="Z46" i="14826"/>
  <c r="AB46" i="14826"/>
  <c r="AC46" i="14826"/>
  <c r="AD46" i="14826"/>
  <c r="Z47" i="14826"/>
  <c r="AB47" i="14826"/>
  <c r="AC47" i="14826"/>
  <c r="AD47" i="14826"/>
  <c r="Z48" i="14826"/>
  <c r="AB48" i="14826"/>
  <c r="AC48" i="14826"/>
  <c r="AD48" i="14826"/>
  <c r="Z49" i="14826"/>
  <c r="AB49" i="14826"/>
  <c r="AC49" i="14826"/>
  <c r="AD49" i="14826"/>
  <c r="Z50" i="14826"/>
  <c r="AB50" i="14826"/>
  <c r="AC50" i="14826"/>
  <c r="AD50" i="14826"/>
  <c r="Z51" i="14826"/>
  <c r="AB51" i="14826"/>
  <c r="AC51" i="14826"/>
  <c r="AD51" i="14826"/>
  <c r="AD7" i="14826"/>
  <c r="AC7" i="14826"/>
  <c r="AB7" i="14826"/>
  <c r="Z7" i="14826"/>
  <c r="V51" i="14826"/>
  <c r="U51" i="14826"/>
  <c r="T51" i="14826"/>
  <c r="S51" i="14826"/>
  <c r="R51" i="14826"/>
  <c r="Q51" i="14826"/>
  <c r="V50" i="14826"/>
  <c r="U50" i="14826"/>
  <c r="T50" i="14826"/>
  <c r="S50" i="14826"/>
  <c r="R50" i="14826"/>
  <c r="Q50" i="14826"/>
  <c r="V49" i="14826"/>
  <c r="U49" i="14826"/>
  <c r="T49" i="14826"/>
  <c r="S49" i="14826"/>
  <c r="R49" i="14826"/>
  <c r="Q49" i="14826"/>
  <c r="V48" i="14826"/>
  <c r="U48" i="14826"/>
  <c r="T48" i="14826"/>
  <c r="S48" i="14826"/>
  <c r="R48" i="14826"/>
  <c r="Q48" i="14826"/>
  <c r="V47" i="14826"/>
  <c r="U47" i="14826"/>
  <c r="T47" i="14826"/>
  <c r="S47" i="14826"/>
  <c r="R47" i="14826"/>
  <c r="Q47" i="14826"/>
  <c r="V46" i="14826"/>
  <c r="U46" i="14826"/>
  <c r="T46" i="14826"/>
  <c r="S46" i="14826"/>
  <c r="R46" i="14826"/>
  <c r="Q46" i="14826"/>
  <c r="V45" i="14826"/>
  <c r="U45" i="14826"/>
  <c r="T45" i="14826"/>
  <c r="S45" i="14826"/>
  <c r="R45" i="14826"/>
  <c r="Q45" i="14826"/>
  <c r="V44" i="14826"/>
  <c r="U44" i="14826"/>
  <c r="T44" i="14826"/>
  <c r="S44" i="14826"/>
  <c r="R44" i="14826"/>
  <c r="Q44" i="14826"/>
  <c r="V43" i="14826"/>
  <c r="U43" i="14826"/>
  <c r="T43" i="14826"/>
  <c r="S43" i="14826"/>
  <c r="R43" i="14826"/>
  <c r="Q43" i="14826"/>
  <c r="V42" i="14826"/>
  <c r="U42" i="14826"/>
  <c r="T42" i="14826"/>
  <c r="S42" i="14826"/>
  <c r="R42" i="14826"/>
  <c r="Q42" i="14826"/>
  <c r="V41" i="14826"/>
  <c r="U41" i="14826"/>
  <c r="T41" i="14826"/>
  <c r="S41" i="14826"/>
  <c r="R41" i="14826"/>
  <c r="Q41" i="14826"/>
  <c r="V40" i="14826"/>
  <c r="U40" i="14826"/>
  <c r="T40" i="14826"/>
  <c r="S40" i="14826"/>
  <c r="R40" i="14826"/>
  <c r="Q40" i="14826"/>
  <c r="V39" i="14826"/>
  <c r="U39" i="14826"/>
  <c r="T39" i="14826"/>
  <c r="S39" i="14826"/>
  <c r="R39" i="14826"/>
  <c r="Q39" i="14826"/>
  <c r="V38" i="14826"/>
  <c r="U38" i="14826"/>
  <c r="T38" i="14826"/>
  <c r="S38" i="14826"/>
  <c r="R38" i="14826"/>
  <c r="Q38" i="14826"/>
  <c r="V37" i="14826"/>
  <c r="U37" i="14826"/>
  <c r="T37" i="14826"/>
  <c r="S37" i="14826"/>
  <c r="R37" i="14826"/>
  <c r="Q37" i="14826"/>
  <c r="V36" i="14826"/>
  <c r="U36" i="14826"/>
  <c r="T36" i="14826"/>
  <c r="S36" i="14826"/>
  <c r="R36" i="14826"/>
  <c r="Q36" i="14826"/>
  <c r="V35" i="14826"/>
  <c r="U35" i="14826"/>
  <c r="T35" i="14826"/>
  <c r="S35" i="14826"/>
  <c r="R35" i="14826"/>
  <c r="Q35" i="14826"/>
  <c r="V34" i="14826"/>
  <c r="U34" i="14826"/>
  <c r="T34" i="14826"/>
  <c r="S34" i="14826"/>
  <c r="R34" i="14826"/>
  <c r="Q34" i="14826"/>
  <c r="V33" i="14826"/>
  <c r="U33" i="14826"/>
  <c r="T33" i="14826"/>
  <c r="S33" i="14826"/>
  <c r="R33" i="14826"/>
  <c r="Q33" i="14826"/>
  <c r="V32" i="14826"/>
  <c r="U32" i="14826"/>
  <c r="T32" i="14826"/>
  <c r="S32" i="14826"/>
  <c r="R32" i="14826"/>
  <c r="Q32" i="14826"/>
  <c r="V31" i="14826"/>
  <c r="U31" i="14826"/>
  <c r="T31" i="14826"/>
  <c r="S31" i="14826"/>
  <c r="R31" i="14826"/>
  <c r="Q31" i="14826"/>
  <c r="V30" i="14826"/>
  <c r="U30" i="14826"/>
  <c r="T30" i="14826"/>
  <c r="S30" i="14826"/>
  <c r="R30" i="14826"/>
  <c r="Q30" i="14826"/>
  <c r="V29" i="14826"/>
  <c r="U29" i="14826"/>
  <c r="T29" i="14826"/>
  <c r="S29" i="14826"/>
  <c r="R29" i="14826"/>
  <c r="Q29" i="14826"/>
  <c r="V28" i="14826"/>
  <c r="U28" i="14826"/>
  <c r="T28" i="14826"/>
  <c r="S28" i="14826"/>
  <c r="R28" i="14826"/>
  <c r="Q28" i="14826"/>
  <c r="V27" i="14826"/>
  <c r="U27" i="14826"/>
  <c r="T27" i="14826"/>
  <c r="S27" i="14826"/>
  <c r="R27" i="14826"/>
  <c r="Q27" i="14826"/>
  <c r="V26" i="14826"/>
  <c r="U26" i="14826"/>
  <c r="T26" i="14826"/>
  <c r="S26" i="14826"/>
  <c r="R26" i="14826"/>
  <c r="Q26" i="14826"/>
  <c r="V25" i="14826"/>
  <c r="U25" i="14826"/>
  <c r="T25" i="14826"/>
  <c r="S25" i="14826"/>
  <c r="R25" i="14826"/>
  <c r="Q25" i="14826"/>
  <c r="V24" i="14826"/>
  <c r="U24" i="14826"/>
  <c r="T24" i="14826"/>
  <c r="S24" i="14826"/>
  <c r="R24" i="14826"/>
  <c r="Q24" i="14826"/>
  <c r="V23" i="14826"/>
  <c r="U23" i="14826"/>
  <c r="T23" i="14826"/>
  <c r="S23" i="14826"/>
  <c r="R23" i="14826"/>
  <c r="Q23" i="14826"/>
  <c r="V22" i="14826"/>
  <c r="U22" i="14826"/>
  <c r="T22" i="14826"/>
  <c r="S22" i="14826"/>
  <c r="R22" i="14826"/>
  <c r="Q22" i="14826"/>
  <c r="V21" i="14826"/>
  <c r="U21" i="14826"/>
  <c r="T21" i="14826"/>
  <c r="S21" i="14826"/>
  <c r="R21" i="14826"/>
  <c r="Q21" i="14826"/>
  <c r="V20" i="14826"/>
  <c r="U20" i="14826"/>
  <c r="T20" i="14826"/>
  <c r="S20" i="14826"/>
  <c r="R20" i="14826"/>
  <c r="Q20" i="14826"/>
  <c r="V19" i="14826"/>
  <c r="U19" i="14826"/>
  <c r="T19" i="14826"/>
  <c r="S19" i="14826"/>
  <c r="R19" i="14826"/>
  <c r="Q19" i="14826"/>
  <c r="V18" i="14826"/>
  <c r="U18" i="14826"/>
  <c r="T18" i="14826"/>
  <c r="S18" i="14826"/>
  <c r="R18" i="14826"/>
  <c r="Q18" i="14826"/>
  <c r="V17" i="14826"/>
  <c r="U17" i="14826"/>
  <c r="T17" i="14826"/>
  <c r="S17" i="14826"/>
  <c r="R17" i="14826"/>
  <c r="Q17" i="14826"/>
  <c r="V16" i="14826"/>
  <c r="U16" i="14826"/>
  <c r="T16" i="14826"/>
  <c r="S16" i="14826"/>
  <c r="R16" i="14826"/>
  <c r="Q16" i="14826"/>
  <c r="V15" i="14826"/>
  <c r="U15" i="14826"/>
  <c r="T15" i="14826"/>
  <c r="S15" i="14826"/>
  <c r="R15" i="14826"/>
  <c r="Q15" i="14826"/>
  <c r="V14" i="14826"/>
  <c r="U14" i="14826"/>
  <c r="T14" i="14826"/>
  <c r="S14" i="14826"/>
  <c r="R14" i="14826"/>
  <c r="Q14" i="14826"/>
  <c r="V13" i="14826"/>
  <c r="U13" i="14826"/>
  <c r="T13" i="14826"/>
  <c r="S13" i="14826"/>
  <c r="R13" i="14826"/>
  <c r="Q13" i="14826"/>
  <c r="V12" i="14826"/>
  <c r="U12" i="14826"/>
  <c r="T12" i="14826"/>
  <c r="S12" i="14826"/>
  <c r="R12" i="14826"/>
  <c r="Q12" i="14826"/>
  <c r="V11" i="14826"/>
  <c r="U11" i="14826"/>
  <c r="T11" i="14826"/>
  <c r="S11" i="14826"/>
  <c r="R11" i="14826"/>
  <c r="Q11" i="14826"/>
  <c r="V10" i="14826"/>
  <c r="U10" i="14826"/>
  <c r="T10" i="14826"/>
  <c r="S10" i="14826"/>
  <c r="R10" i="14826"/>
  <c r="Q10" i="14826"/>
  <c r="V9" i="14826"/>
  <c r="U9" i="14826"/>
  <c r="T9" i="14826"/>
  <c r="S9" i="14826"/>
  <c r="R9" i="14826"/>
  <c r="Q9" i="14826"/>
  <c r="V8" i="14826"/>
  <c r="U8" i="14826"/>
  <c r="T8" i="14826"/>
  <c r="S8" i="14826"/>
  <c r="R8" i="14826"/>
  <c r="Q8" i="14826"/>
  <c r="V7" i="14826"/>
  <c r="U7" i="14826"/>
  <c r="T7" i="14826"/>
  <c r="R7" i="14826"/>
  <c r="Q7" i="14826"/>
  <c r="O51" i="14826"/>
  <c r="N51" i="14826"/>
  <c r="M51" i="14826"/>
  <c r="L51" i="14826"/>
  <c r="K51" i="14826"/>
  <c r="J51" i="14826"/>
  <c r="O50" i="14826"/>
  <c r="N50" i="14826"/>
  <c r="M50" i="14826"/>
  <c r="L50" i="14826"/>
  <c r="K50" i="14826"/>
  <c r="J50" i="14826"/>
  <c r="O49" i="14826"/>
  <c r="N49" i="14826"/>
  <c r="M49" i="14826"/>
  <c r="L49" i="14826"/>
  <c r="K49" i="14826"/>
  <c r="J49" i="14826"/>
  <c r="O48" i="14826"/>
  <c r="N48" i="14826"/>
  <c r="M48" i="14826"/>
  <c r="L48" i="14826"/>
  <c r="K48" i="14826"/>
  <c r="J48" i="14826"/>
  <c r="O47" i="14826"/>
  <c r="N47" i="14826"/>
  <c r="M47" i="14826"/>
  <c r="L47" i="14826"/>
  <c r="K47" i="14826"/>
  <c r="J47" i="14826"/>
  <c r="O46" i="14826"/>
  <c r="N46" i="14826"/>
  <c r="M46" i="14826"/>
  <c r="L46" i="14826"/>
  <c r="K46" i="14826"/>
  <c r="J46" i="14826"/>
  <c r="O45" i="14826"/>
  <c r="N45" i="14826"/>
  <c r="M45" i="14826"/>
  <c r="L45" i="14826"/>
  <c r="K45" i="14826"/>
  <c r="J45" i="14826"/>
  <c r="O44" i="14826"/>
  <c r="N44" i="14826"/>
  <c r="M44" i="14826"/>
  <c r="L44" i="14826"/>
  <c r="K44" i="14826"/>
  <c r="J44" i="14826"/>
  <c r="O43" i="14826"/>
  <c r="N43" i="14826"/>
  <c r="M43" i="14826"/>
  <c r="L43" i="14826"/>
  <c r="K43" i="14826"/>
  <c r="J43" i="14826"/>
  <c r="O42" i="14826"/>
  <c r="N42" i="14826"/>
  <c r="M42" i="14826"/>
  <c r="L42" i="14826"/>
  <c r="K42" i="14826"/>
  <c r="J42" i="14826"/>
  <c r="O41" i="14826"/>
  <c r="N41" i="14826"/>
  <c r="M41" i="14826"/>
  <c r="L41" i="14826"/>
  <c r="K41" i="14826"/>
  <c r="J41" i="14826"/>
  <c r="O40" i="14826"/>
  <c r="N40" i="14826"/>
  <c r="M40" i="14826"/>
  <c r="L40" i="14826"/>
  <c r="K40" i="14826"/>
  <c r="J40" i="14826"/>
  <c r="O39" i="14826"/>
  <c r="N39" i="14826"/>
  <c r="M39" i="14826"/>
  <c r="L39" i="14826"/>
  <c r="K39" i="14826"/>
  <c r="J39" i="14826"/>
  <c r="O38" i="14826"/>
  <c r="N38" i="14826"/>
  <c r="M38" i="14826"/>
  <c r="L38" i="14826"/>
  <c r="K38" i="14826"/>
  <c r="J38" i="14826"/>
  <c r="O37" i="14826"/>
  <c r="N37" i="14826"/>
  <c r="M37" i="14826"/>
  <c r="L37" i="14826"/>
  <c r="K37" i="14826"/>
  <c r="J37" i="14826"/>
  <c r="O36" i="14826"/>
  <c r="N36" i="14826"/>
  <c r="M36" i="14826"/>
  <c r="L36" i="14826"/>
  <c r="K36" i="14826"/>
  <c r="J36" i="14826"/>
  <c r="O35" i="14826"/>
  <c r="N35" i="14826"/>
  <c r="M35" i="14826"/>
  <c r="L35" i="14826"/>
  <c r="K35" i="14826"/>
  <c r="J35" i="14826"/>
  <c r="O34" i="14826"/>
  <c r="N34" i="14826"/>
  <c r="M34" i="14826"/>
  <c r="L34" i="14826"/>
  <c r="K34" i="14826"/>
  <c r="J34" i="14826"/>
  <c r="O33" i="14826"/>
  <c r="N33" i="14826"/>
  <c r="M33" i="14826"/>
  <c r="L33" i="14826"/>
  <c r="K33" i="14826"/>
  <c r="J33" i="14826"/>
  <c r="O32" i="14826"/>
  <c r="N32" i="14826"/>
  <c r="M32" i="14826"/>
  <c r="L32" i="14826"/>
  <c r="K32" i="14826"/>
  <c r="J32" i="14826"/>
  <c r="O31" i="14826"/>
  <c r="N31" i="14826"/>
  <c r="M31" i="14826"/>
  <c r="L31" i="14826"/>
  <c r="K31" i="14826"/>
  <c r="J31" i="14826"/>
  <c r="O30" i="14826"/>
  <c r="N30" i="14826"/>
  <c r="M30" i="14826"/>
  <c r="L30" i="14826"/>
  <c r="K30" i="14826"/>
  <c r="J30" i="14826"/>
  <c r="O29" i="14826"/>
  <c r="N29" i="14826"/>
  <c r="M29" i="14826"/>
  <c r="L29" i="14826"/>
  <c r="K29" i="14826"/>
  <c r="J29" i="14826"/>
  <c r="O28" i="14826"/>
  <c r="N28" i="14826"/>
  <c r="M28" i="14826"/>
  <c r="L28" i="14826"/>
  <c r="K28" i="14826"/>
  <c r="J28" i="14826"/>
  <c r="O27" i="14826"/>
  <c r="N27" i="14826"/>
  <c r="M27" i="14826"/>
  <c r="L27" i="14826"/>
  <c r="K27" i="14826"/>
  <c r="J27" i="14826"/>
  <c r="O26" i="14826"/>
  <c r="N26" i="14826"/>
  <c r="M26" i="14826"/>
  <c r="L26" i="14826"/>
  <c r="K26" i="14826"/>
  <c r="J26" i="14826"/>
  <c r="O25" i="14826"/>
  <c r="N25" i="14826"/>
  <c r="M25" i="14826"/>
  <c r="L25" i="14826"/>
  <c r="K25" i="14826"/>
  <c r="J25" i="14826"/>
  <c r="O24" i="14826"/>
  <c r="N24" i="14826"/>
  <c r="M24" i="14826"/>
  <c r="L24" i="14826"/>
  <c r="K24" i="14826"/>
  <c r="J24" i="14826"/>
  <c r="O23" i="14826"/>
  <c r="N23" i="14826"/>
  <c r="M23" i="14826"/>
  <c r="L23" i="14826"/>
  <c r="K23" i="14826"/>
  <c r="J23" i="14826"/>
  <c r="O22" i="14826"/>
  <c r="N22" i="14826"/>
  <c r="M22" i="14826"/>
  <c r="L22" i="14826"/>
  <c r="K22" i="14826"/>
  <c r="J22" i="14826"/>
  <c r="O21" i="14826"/>
  <c r="N21" i="14826"/>
  <c r="M21" i="14826"/>
  <c r="L21" i="14826"/>
  <c r="K21" i="14826"/>
  <c r="J21" i="14826"/>
  <c r="O20" i="14826"/>
  <c r="N20" i="14826"/>
  <c r="M20" i="14826"/>
  <c r="L20" i="14826"/>
  <c r="K20" i="14826"/>
  <c r="J20" i="14826"/>
  <c r="O19" i="14826"/>
  <c r="N19" i="14826"/>
  <c r="M19" i="14826"/>
  <c r="L19" i="14826"/>
  <c r="K19" i="14826"/>
  <c r="J19" i="14826"/>
  <c r="O18" i="14826"/>
  <c r="N18" i="14826"/>
  <c r="M18" i="14826"/>
  <c r="L18" i="14826"/>
  <c r="K18" i="14826"/>
  <c r="J18" i="14826"/>
  <c r="O17" i="14826"/>
  <c r="N17" i="14826"/>
  <c r="M17" i="14826"/>
  <c r="L17" i="14826"/>
  <c r="K17" i="14826"/>
  <c r="J17" i="14826"/>
  <c r="O16" i="14826"/>
  <c r="N16" i="14826"/>
  <c r="M16" i="14826"/>
  <c r="L16" i="14826"/>
  <c r="K16" i="14826"/>
  <c r="J16" i="14826"/>
  <c r="O15" i="14826"/>
  <c r="N15" i="14826"/>
  <c r="M15" i="14826"/>
  <c r="L15" i="14826"/>
  <c r="K15" i="14826"/>
  <c r="J15" i="14826"/>
  <c r="O14" i="14826"/>
  <c r="N14" i="14826"/>
  <c r="M14" i="14826"/>
  <c r="L14" i="14826"/>
  <c r="K14" i="14826"/>
  <c r="J14" i="14826"/>
  <c r="O13" i="14826"/>
  <c r="N13" i="14826"/>
  <c r="M13" i="14826"/>
  <c r="L13" i="14826"/>
  <c r="K13" i="14826"/>
  <c r="J13" i="14826"/>
  <c r="O12" i="14826"/>
  <c r="N12" i="14826"/>
  <c r="M12" i="14826"/>
  <c r="L12" i="14826"/>
  <c r="K12" i="14826"/>
  <c r="J12" i="14826"/>
  <c r="O11" i="14826"/>
  <c r="N11" i="14826"/>
  <c r="M11" i="14826"/>
  <c r="L11" i="14826"/>
  <c r="K11" i="14826"/>
  <c r="J11" i="14826"/>
  <c r="O10" i="14826"/>
  <c r="N10" i="14826"/>
  <c r="M10" i="14826"/>
  <c r="L10" i="14826"/>
  <c r="K10" i="14826"/>
  <c r="J10" i="14826"/>
  <c r="O9" i="14826"/>
  <c r="N9" i="14826"/>
  <c r="M9" i="14826"/>
  <c r="L9" i="14826"/>
  <c r="K9" i="14826"/>
  <c r="J9" i="14826"/>
  <c r="O8" i="14826"/>
  <c r="N8" i="14826"/>
  <c r="M8" i="14826"/>
  <c r="L8" i="14826"/>
  <c r="K8" i="14826"/>
  <c r="J8" i="14826"/>
  <c r="O7" i="14826"/>
  <c r="N7" i="14826"/>
  <c r="M7" i="14826"/>
  <c r="L7" i="14826"/>
  <c r="K7" i="14826"/>
  <c r="J7" i="14826"/>
  <c r="C8" i="14826"/>
  <c r="D8" i="14826"/>
  <c r="E8" i="14826"/>
  <c r="F8" i="14826"/>
  <c r="G8" i="14826"/>
  <c r="H8" i="14826"/>
  <c r="C9" i="14826"/>
  <c r="D9" i="14826"/>
  <c r="E9" i="14826"/>
  <c r="F9" i="14826"/>
  <c r="G9" i="14826"/>
  <c r="H9" i="14826"/>
  <c r="C10" i="14826"/>
  <c r="D10" i="14826"/>
  <c r="E10" i="14826"/>
  <c r="F10" i="14826"/>
  <c r="G10" i="14826"/>
  <c r="H10" i="14826"/>
  <c r="C11" i="14826"/>
  <c r="D11" i="14826"/>
  <c r="E11" i="14826"/>
  <c r="F11" i="14826"/>
  <c r="G11" i="14826"/>
  <c r="H11" i="14826"/>
  <c r="C12" i="14826"/>
  <c r="D12" i="14826"/>
  <c r="E12" i="14826"/>
  <c r="F12" i="14826"/>
  <c r="G12" i="14826"/>
  <c r="H12" i="14826"/>
  <c r="C13" i="14826"/>
  <c r="D13" i="14826"/>
  <c r="E13" i="14826"/>
  <c r="F13" i="14826"/>
  <c r="G13" i="14826"/>
  <c r="H13" i="14826"/>
  <c r="C14" i="14826"/>
  <c r="D14" i="14826"/>
  <c r="E14" i="14826"/>
  <c r="F14" i="14826"/>
  <c r="G14" i="14826"/>
  <c r="H14" i="14826"/>
  <c r="C15" i="14826"/>
  <c r="D15" i="14826"/>
  <c r="E15" i="14826"/>
  <c r="F15" i="14826"/>
  <c r="G15" i="14826"/>
  <c r="H15" i="14826"/>
  <c r="C16" i="14826"/>
  <c r="D16" i="14826"/>
  <c r="E16" i="14826"/>
  <c r="F16" i="14826"/>
  <c r="G16" i="14826"/>
  <c r="H16" i="14826"/>
  <c r="C17" i="14826"/>
  <c r="D17" i="14826"/>
  <c r="E17" i="14826"/>
  <c r="F17" i="14826"/>
  <c r="G17" i="14826"/>
  <c r="H17" i="14826"/>
  <c r="C18" i="14826"/>
  <c r="D18" i="14826"/>
  <c r="E18" i="14826"/>
  <c r="F18" i="14826"/>
  <c r="G18" i="14826"/>
  <c r="H18" i="14826"/>
  <c r="C19" i="14826"/>
  <c r="D19" i="14826"/>
  <c r="E19" i="14826"/>
  <c r="F19" i="14826"/>
  <c r="G19" i="14826"/>
  <c r="H19" i="14826"/>
  <c r="C20" i="14826"/>
  <c r="D20" i="14826"/>
  <c r="E20" i="14826"/>
  <c r="F20" i="14826"/>
  <c r="G20" i="14826"/>
  <c r="H20" i="14826"/>
  <c r="C21" i="14826"/>
  <c r="D21" i="14826"/>
  <c r="E21" i="14826"/>
  <c r="F21" i="14826"/>
  <c r="G21" i="14826"/>
  <c r="H21" i="14826"/>
  <c r="C22" i="14826"/>
  <c r="D22" i="14826"/>
  <c r="E22" i="14826"/>
  <c r="F22" i="14826"/>
  <c r="G22" i="14826"/>
  <c r="H22" i="14826"/>
  <c r="C23" i="14826"/>
  <c r="D23" i="14826"/>
  <c r="E23" i="14826"/>
  <c r="F23" i="14826"/>
  <c r="G23" i="14826"/>
  <c r="H23" i="14826"/>
  <c r="C24" i="14826"/>
  <c r="D24" i="14826"/>
  <c r="E24" i="14826"/>
  <c r="F24" i="14826"/>
  <c r="G24" i="14826"/>
  <c r="H24" i="14826"/>
  <c r="C25" i="14826"/>
  <c r="D25" i="14826"/>
  <c r="E25" i="14826"/>
  <c r="F25" i="14826"/>
  <c r="G25" i="14826"/>
  <c r="H25" i="14826"/>
  <c r="C26" i="14826"/>
  <c r="D26" i="14826"/>
  <c r="E26" i="14826"/>
  <c r="F26" i="14826"/>
  <c r="G26" i="14826"/>
  <c r="H26" i="14826"/>
  <c r="C27" i="14826"/>
  <c r="D27" i="14826"/>
  <c r="E27" i="14826"/>
  <c r="F27" i="14826"/>
  <c r="G27" i="14826"/>
  <c r="H27" i="14826"/>
  <c r="C28" i="14826"/>
  <c r="D28" i="14826"/>
  <c r="E28" i="14826"/>
  <c r="F28" i="14826"/>
  <c r="G28" i="14826"/>
  <c r="H28" i="14826"/>
  <c r="C29" i="14826"/>
  <c r="D29" i="14826"/>
  <c r="E29" i="14826"/>
  <c r="F29" i="14826"/>
  <c r="G29" i="14826"/>
  <c r="H29" i="14826"/>
  <c r="C30" i="14826"/>
  <c r="D30" i="14826"/>
  <c r="E30" i="14826"/>
  <c r="F30" i="14826"/>
  <c r="G30" i="14826"/>
  <c r="H30" i="14826"/>
  <c r="C31" i="14826"/>
  <c r="D31" i="14826"/>
  <c r="E31" i="14826"/>
  <c r="F31" i="14826"/>
  <c r="G31" i="14826"/>
  <c r="H31" i="14826"/>
  <c r="C32" i="14826"/>
  <c r="D32" i="14826"/>
  <c r="E32" i="14826"/>
  <c r="F32" i="14826"/>
  <c r="G32" i="14826"/>
  <c r="H32" i="14826"/>
  <c r="C33" i="14826"/>
  <c r="D33" i="14826"/>
  <c r="E33" i="14826"/>
  <c r="F33" i="14826"/>
  <c r="G33" i="14826"/>
  <c r="H33" i="14826"/>
  <c r="C34" i="14826"/>
  <c r="D34" i="14826"/>
  <c r="E34" i="14826"/>
  <c r="F34" i="14826"/>
  <c r="G34" i="14826"/>
  <c r="H34" i="14826"/>
  <c r="C35" i="14826"/>
  <c r="D35" i="14826"/>
  <c r="E35" i="14826"/>
  <c r="F35" i="14826"/>
  <c r="G35" i="14826"/>
  <c r="H35" i="14826"/>
  <c r="C36" i="14826"/>
  <c r="D36" i="14826"/>
  <c r="E36" i="14826"/>
  <c r="F36" i="14826"/>
  <c r="G36" i="14826"/>
  <c r="H36" i="14826"/>
  <c r="C37" i="14826"/>
  <c r="D37" i="14826"/>
  <c r="E37" i="14826"/>
  <c r="F37" i="14826"/>
  <c r="G37" i="14826"/>
  <c r="H37" i="14826"/>
  <c r="C38" i="14826"/>
  <c r="D38" i="14826"/>
  <c r="E38" i="14826"/>
  <c r="F38" i="14826"/>
  <c r="G38" i="14826"/>
  <c r="H38" i="14826"/>
  <c r="C39" i="14826"/>
  <c r="D39" i="14826"/>
  <c r="E39" i="14826"/>
  <c r="F39" i="14826"/>
  <c r="G39" i="14826"/>
  <c r="H39" i="14826"/>
  <c r="C40" i="14826"/>
  <c r="D40" i="14826"/>
  <c r="E40" i="14826"/>
  <c r="F40" i="14826"/>
  <c r="G40" i="14826"/>
  <c r="H40" i="14826"/>
  <c r="C41" i="14826"/>
  <c r="D41" i="14826"/>
  <c r="E41" i="14826"/>
  <c r="F41" i="14826"/>
  <c r="G41" i="14826"/>
  <c r="H41" i="14826"/>
  <c r="C42" i="14826"/>
  <c r="D42" i="14826"/>
  <c r="E42" i="14826"/>
  <c r="F42" i="14826"/>
  <c r="G42" i="14826"/>
  <c r="H42" i="14826"/>
  <c r="C43" i="14826"/>
  <c r="D43" i="14826"/>
  <c r="E43" i="14826"/>
  <c r="F43" i="14826"/>
  <c r="G43" i="14826"/>
  <c r="H43" i="14826"/>
  <c r="C44" i="14826"/>
  <c r="D44" i="14826"/>
  <c r="E44" i="14826"/>
  <c r="F44" i="14826"/>
  <c r="G44" i="14826"/>
  <c r="H44" i="14826"/>
  <c r="C45" i="14826"/>
  <c r="D45" i="14826"/>
  <c r="E45" i="14826"/>
  <c r="F45" i="14826"/>
  <c r="G45" i="14826"/>
  <c r="H45" i="14826"/>
  <c r="C46" i="14826"/>
  <c r="D46" i="14826"/>
  <c r="E46" i="14826"/>
  <c r="F46" i="14826"/>
  <c r="G46" i="14826"/>
  <c r="H46" i="14826"/>
  <c r="C47" i="14826"/>
  <c r="D47" i="14826"/>
  <c r="E47" i="14826"/>
  <c r="F47" i="14826"/>
  <c r="G47" i="14826"/>
  <c r="H47" i="14826"/>
  <c r="C48" i="14826"/>
  <c r="D48" i="14826"/>
  <c r="E48" i="14826"/>
  <c r="F48" i="14826"/>
  <c r="G48" i="14826"/>
  <c r="H48" i="14826"/>
  <c r="C49" i="14826"/>
  <c r="D49" i="14826"/>
  <c r="E49" i="14826"/>
  <c r="F49" i="14826"/>
  <c r="G49" i="14826"/>
  <c r="H49" i="14826"/>
  <c r="C50" i="14826"/>
  <c r="D50" i="14826"/>
  <c r="E50" i="14826"/>
  <c r="F50" i="14826"/>
  <c r="G50" i="14826"/>
  <c r="H50" i="14826"/>
  <c r="C51" i="14826"/>
  <c r="D51" i="14826"/>
  <c r="E51" i="14826"/>
  <c r="F51" i="14826"/>
  <c r="G51" i="14826"/>
  <c r="H51" i="14826"/>
  <c r="H7" i="14826"/>
  <c r="G7" i="14826"/>
  <c r="F7" i="14826"/>
  <c r="E7" i="14826"/>
  <c r="C7" i="14826"/>
  <c r="N16" i="14830" l="1"/>
  <c r="N162" i="14830" s="1"/>
  <c r="O16" i="14830"/>
  <c r="O162" i="14830" s="1"/>
  <c r="M16" i="14830"/>
  <c r="M162" i="14830" s="1"/>
  <c r="M16" i="14786"/>
  <c r="R7" i="14809"/>
  <c r="U7" i="14809" l="1"/>
  <c r="Y8" i="14828"/>
  <c r="X8" i="14828"/>
  <c r="W8" i="14828"/>
  <c r="AA8" i="14828" s="1"/>
  <c r="U8" i="14828"/>
  <c r="V8" i="14828" s="1"/>
  <c r="T8" i="14828"/>
  <c r="B8" i="14828"/>
  <c r="A8" i="14828"/>
  <c r="B8" i="14826"/>
  <c r="Y8" i="14826" s="1"/>
  <c r="A8" i="14826"/>
  <c r="X8" i="14826" s="1"/>
  <c r="H11" i="14813"/>
  <c r="G11" i="14813"/>
  <c r="F11" i="14813"/>
  <c r="C11" i="14813"/>
  <c r="B11" i="14813"/>
  <c r="A11" i="14813"/>
  <c r="B10" i="14821"/>
  <c r="A10" i="14821"/>
  <c r="GX11" i="14809"/>
  <c r="FS11" i="14809"/>
  <c r="FR11" i="14809"/>
  <c r="FP11" i="14809"/>
  <c r="FO11" i="14809"/>
  <c r="FN11" i="14809"/>
  <c r="FM11" i="14809"/>
  <c r="FL11" i="14809"/>
  <c r="FK11" i="14809"/>
  <c r="CW11" i="14809"/>
  <c r="CY11" i="14809" s="1"/>
  <c r="BI11" i="14809"/>
  <c r="BK11" i="14809" s="1"/>
  <c r="AZ11" i="14809"/>
  <c r="BA11" i="14809" s="1"/>
  <c r="AU11" i="14809"/>
  <c r="AT11" i="14809"/>
  <c r="AS11" i="14809"/>
  <c r="AA11" i="14809"/>
  <c r="K11" i="14809"/>
  <c r="G11" i="14809"/>
  <c r="M10" i="14821" s="1"/>
  <c r="X7" i="14809" l="1"/>
  <c r="FU11" i="14809"/>
  <c r="FQ11" i="14809"/>
  <c r="Z8" i="14828"/>
  <c r="U11" i="14813"/>
  <c r="V11" i="14813"/>
  <c r="W11" i="14813" s="1"/>
  <c r="L11" i="14813"/>
  <c r="I11" i="14813"/>
  <c r="CW42" i="14809"/>
  <c r="CY42" i="14809" s="1"/>
  <c r="CW41" i="14809"/>
  <c r="CY41" i="14809" s="1"/>
  <c r="CW40" i="14809"/>
  <c r="CY40" i="14809" s="1"/>
  <c r="CW39" i="14809"/>
  <c r="CY39" i="14809" s="1"/>
  <c r="CW38" i="14809"/>
  <c r="CY38" i="14809" s="1"/>
  <c r="CW37" i="14809"/>
  <c r="CY37" i="14809" s="1"/>
  <c r="CW36" i="14809"/>
  <c r="CY36" i="14809" s="1"/>
  <c r="CW33" i="14809"/>
  <c r="CY33" i="14809" s="1"/>
  <c r="CW32" i="14809"/>
  <c r="CY32" i="14809" s="1"/>
  <c r="CW31" i="14809"/>
  <c r="CY31" i="14809" s="1"/>
  <c r="CW30" i="14809"/>
  <c r="CY30" i="14809" s="1"/>
  <c r="CW27" i="14809"/>
  <c r="CY27" i="14809" s="1"/>
  <c r="CW26" i="14809"/>
  <c r="CY26" i="14809" s="1"/>
  <c r="CW25" i="14809"/>
  <c r="CY25" i="14809" s="1"/>
  <c r="CW24" i="14809"/>
  <c r="CY24" i="14809" s="1"/>
  <c r="CW23" i="14809"/>
  <c r="CY23" i="14809" s="1"/>
  <c r="CW22" i="14809"/>
  <c r="CY22" i="14809" s="1"/>
  <c r="CW21" i="14809"/>
  <c r="CY21" i="14809" s="1"/>
  <c r="CW18" i="14809"/>
  <c r="CY18" i="14809" s="1"/>
  <c r="CW15" i="14809"/>
  <c r="CY15" i="14809" s="1"/>
  <c r="CW14" i="14809"/>
  <c r="CY14" i="14809" s="1"/>
  <c r="CW12" i="14809"/>
  <c r="CY12" i="14809" s="1"/>
  <c r="CW10" i="14809"/>
  <c r="CY10" i="14809" s="1"/>
  <c r="Y7" i="14809" l="1"/>
  <c r="O11" i="14813"/>
  <c r="P11" i="14813" s="1"/>
  <c r="J11" i="14813"/>
  <c r="K11" i="14813" s="1"/>
  <c r="R11" i="14813"/>
  <c r="S11" i="14813" s="1"/>
  <c r="T11" i="14813" s="1"/>
  <c r="M11" i="14813"/>
  <c r="Z7" i="14809" l="1"/>
  <c r="Q11" i="14813"/>
  <c r="Y11" i="14813" s="1"/>
  <c r="X11" i="14813"/>
  <c r="H11" i="14809" s="1"/>
  <c r="N11" i="14813"/>
  <c r="FP18" i="14809"/>
  <c r="AA7" i="14809" l="1"/>
  <c r="HM11" i="14809"/>
  <c r="HN11" i="14809"/>
  <c r="Y12" i="14828"/>
  <c r="M99" i="14786"/>
  <c r="Y7" i="14828"/>
  <c r="AB7" i="14809" l="1"/>
  <c r="T25" i="14828" l="1"/>
  <c r="U31" i="14828"/>
  <c r="AZ10" i="14809"/>
  <c r="BA10" i="14809" s="1"/>
  <c r="X7" i="14828"/>
  <c r="W7" i="14828"/>
  <c r="AE7" i="14809" l="1"/>
  <c r="AD7" i="14809"/>
  <c r="AA7" i="14828"/>
  <c r="U51" i="14828"/>
  <c r="U50" i="14828"/>
  <c r="U49" i="14828"/>
  <c r="U48" i="14828"/>
  <c r="U47" i="14828"/>
  <c r="U46" i="14828"/>
  <c r="U45" i="14828"/>
  <c r="U44" i="14828"/>
  <c r="U43" i="14828"/>
  <c r="U42" i="14828"/>
  <c r="U41" i="14828"/>
  <c r="U40" i="14828"/>
  <c r="U39" i="14828"/>
  <c r="U38" i="14828"/>
  <c r="U37" i="14828"/>
  <c r="U36" i="14828"/>
  <c r="U35" i="14828"/>
  <c r="U34" i="14828"/>
  <c r="U33" i="14828"/>
  <c r="U32" i="14828"/>
  <c r="U30" i="14828"/>
  <c r="U29" i="14828"/>
  <c r="U28" i="14828"/>
  <c r="U27" i="14828"/>
  <c r="U26" i="14828"/>
  <c r="U25" i="14828"/>
  <c r="V25" i="14828" s="1"/>
  <c r="U24" i="14828"/>
  <c r="U23" i="14828"/>
  <c r="U22" i="14828"/>
  <c r="U21" i="14828"/>
  <c r="U20" i="14828"/>
  <c r="U19" i="14828"/>
  <c r="U18" i="14828"/>
  <c r="U17" i="14828"/>
  <c r="U16" i="14828"/>
  <c r="U15" i="14828"/>
  <c r="U14" i="14828"/>
  <c r="U13" i="14828"/>
  <c r="U12" i="14828"/>
  <c r="U11" i="14828"/>
  <c r="U10" i="14828"/>
  <c r="U9" i="14828"/>
  <c r="V9" i="14828" s="1"/>
  <c r="AZ13" i="14809"/>
  <c r="BA13" i="14809" s="1"/>
  <c r="FO13" i="14809"/>
  <c r="V39" i="14828" l="1"/>
  <c r="V38" i="14828"/>
  <c r="V37" i="14828"/>
  <c r="V36" i="14828"/>
  <c r="V34" i="14828"/>
  <c r="V33" i="14828"/>
  <c r="V28" i="14828"/>
  <c r="V27" i="14828"/>
  <c r="V26" i="14828"/>
  <c r="V24" i="14828"/>
  <c r="V22" i="14828"/>
  <c r="V21" i="14828"/>
  <c r="V20" i="14828"/>
  <c r="V17" i="14828"/>
  <c r="V14" i="14828"/>
  <c r="V12" i="14828"/>
  <c r="V10" i="14828"/>
  <c r="V51" i="14828"/>
  <c r="V50" i="14828"/>
  <c r="V49" i="14828"/>
  <c r="V48" i="14828"/>
  <c r="V47" i="14828"/>
  <c r="V44" i="14828"/>
  <c r="V42" i="14828"/>
  <c r="V41" i="14828"/>
  <c r="V40" i="14828"/>
  <c r="V29" i="14828"/>
  <c r="V23" i="14828"/>
  <c r="V18" i="14828"/>
  <c r="T11" i="14828"/>
  <c r="V7" i="14828"/>
  <c r="T9" i="14828"/>
  <c r="W9" i="14828"/>
  <c r="X9" i="14828"/>
  <c r="Y9" i="14828"/>
  <c r="T10" i="14828"/>
  <c r="W10" i="14828"/>
  <c r="X10" i="14828"/>
  <c r="Y10" i="14828"/>
  <c r="W11" i="14828"/>
  <c r="X11" i="14828"/>
  <c r="Y11" i="14828"/>
  <c r="T12" i="14828"/>
  <c r="W12" i="14828"/>
  <c r="X12" i="14828"/>
  <c r="T13" i="14828"/>
  <c r="W13" i="14828"/>
  <c r="X13" i="14828"/>
  <c r="Y13" i="14828"/>
  <c r="V13" i="14828" s="1"/>
  <c r="T14" i="14828"/>
  <c r="W14" i="14828"/>
  <c r="X14" i="14828"/>
  <c r="Y14" i="14828"/>
  <c r="T15" i="14828"/>
  <c r="W15" i="14828"/>
  <c r="X15" i="14828"/>
  <c r="Y15" i="14828"/>
  <c r="T16" i="14828"/>
  <c r="W16" i="14828"/>
  <c r="X16" i="14828"/>
  <c r="AA16" i="14828" s="1"/>
  <c r="Y16" i="14828"/>
  <c r="Z16" i="14828" s="1"/>
  <c r="T17" i="14828"/>
  <c r="W17" i="14828"/>
  <c r="X17" i="14828"/>
  <c r="Y17" i="14828"/>
  <c r="T18" i="14828"/>
  <c r="W18" i="14828"/>
  <c r="X18" i="14828"/>
  <c r="Y18" i="14828"/>
  <c r="T19" i="14828"/>
  <c r="W19" i="14828"/>
  <c r="X19" i="14828"/>
  <c r="Y19" i="14828"/>
  <c r="T20" i="14828"/>
  <c r="W20" i="14828"/>
  <c r="X20" i="14828"/>
  <c r="Y20" i="14828"/>
  <c r="T21" i="14828"/>
  <c r="W21" i="14828"/>
  <c r="X21" i="14828"/>
  <c r="Y21" i="14828"/>
  <c r="T22" i="14828"/>
  <c r="W22" i="14828"/>
  <c r="X22" i="14828"/>
  <c r="Y22" i="14828"/>
  <c r="T23" i="14828"/>
  <c r="W23" i="14828"/>
  <c r="X23" i="14828"/>
  <c r="Y23" i="14828"/>
  <c r="T24" i="14828"/>
  <c r="W24" i="14828"/>
  <c r="X24" i="14828"/>
  <c r="Y24" i="14828"/>
  <c r="W25" i="14828"/>
  <c r="X25" i="14828"/>
  <c r="Y25" i="14828"/>
  <c r="T26" i="14828"/>
  <c r="W26" i="14828"/>
  <c r="X26" i="14828"/>
  <c r="Y26" i="14828"/>
  <c r="T27" i="14828"/>
  <c r="W27" i="14828"/>
  <c r="X27" i="14828"/>
  <c r="Y27" i="14828"/>
  <c r="T28" i="14828"/>
  <c r="W28" i="14828"/>
  <c r="X28" i="14828"/>
  <c r="Y28" i="14828"/>
  <c r="T29" i="14828"/>
  <c r="W29" i="14828"/>
  <c r="X29" i="14828"/>
  <c r="Y29" i="14828"/>
  <c r="T30" i="14828"/>
  <c r="W30" i="14828"/>
  <c r="X30" i="14828"/>
  <c r="Y30" i="14828"/>
  <c r="V30" i="14828" s="1"/>
  <c r="T31" i="14828"/>
  <c r="W31" i="14828"/>
  <c r="X31" i="14828"/>
  <c r="Y31" i="14828"/>
  <c r="V31" i="14828" s="1"/>
  <c r="T32" i="14828"/>
  <c r="W32" i="14828"/>
  <c r="X32" i="14828"/>
  <c r="Y32" i="14828"/>
  <c r="T33" i="14828"/>
  <c r="W33" i="14828"/>
  <c r="X33" i="14828"/>
  <c r="Y33" i="14828"/>
  <c r="T34" i="14828"/>
  <c r="W34" i="14828"/>
  <c r="X34" i="14828"/>
  <c r="Y34" i="14828"/>
  <c r="T35" i="14828"/>
  <c r="W35" i="14828"/>
  <c r="X35" i="14828"/>
  <c r="Y35" i="14828"/>
  <c r="V35" i="14828" s="1"/>
  <c r="T36" i="14828"/>
  <c r="W36" i="14828"/>
  <c r="X36" i="14828"/>
  <c r="Y36" i="14828"/>
  <c r="T37" i="14828"/>
  <c r="W37" i="14828"/>
  <c r="X37" i="14828"/>
  <c r="Y37" i="14828"/>
  <c r="T38" i="14828"/>
  <c r="W38" i="14828"/>
  <c r="X38" i="14828"/>
  <c r="Y38" i="14828"/>
  <c r="T39" i="14828"/>
  <c r="W39" i="14828"/>
  <c r="X39" i="14828"/>
  <c r="Y39" i="14828"/>
  <c r="T40" i="14828"/>
  <c r="W40" i="14828"/>
  <c r="X40" i="14828"/>
  <c r="Y40" i="14828"/>
  <c r="T41" i="14828"/>
  <c r="W41" i="14828"/>
  <c r="X41" i="14828"/>
  <c r="Y41" i="14828"/>
  <c r="T42" i="14828"/>
  <c r="W42" i="14828"/>
  <c r="X42" i="14828"/>
  <c r="Y42" i="14828"/>
  <c r="T43" i="14828"/>
  <c r="W43" i="14828"/>
  <c r="X43" i="14828"/>
  <c r="Y43" i="14828"/>
  <c r="T44" i="14828"/>
  <c r="W44" i="14828"/>
  <c r="X44" i="14828"/>
  <c r="Y44" i="14828"/>
  <c r="T45" i="14828"/>
  <c r="W45" i="14828"/>
  <c r="X45" i="14828"/>
  <c r="Y45" i="14828"/>
  <c r="T46" i="14828"/>
  <c r="W46" i="14828"/>
  <c r="X46" i="14828"/>
  <c r="Y46" i="14828"/>
  <c r="T47" i="14828"/>
  <c r="W47" i="14828"/>
  <c r="X47" i="14828"/>
  <c r="Y47" i="14828"/>
  <c r="T48" i="14828"/>
  <c r="W48" i="14828"/>
  <c r="X48" i="14828"/>
  <c r="Y48" i="14828"/>
  <c r="T49" i="14828"/>
  <c r="W49" i="14828"/>
  <c r="X49" i="14828"/>
  <c r="Y49" i="14828"/>
  <c r="W50" i="14828"/>
  <c r="X50" i="14828"/>
  <c r="Y50" i="14828"/>
  <c r="T51" i="14828"/>
  <c r="W51" i="14828"/>
  <c r="X51" i="14828"/>
  <c r="Y51" i="14828"/>
  <c r="AA47" i="14828" l="1"/>
  <c r="AA36" i="14828"/>
  <c r="AA33" i="14828"/>
  <c r="Z22" i="14828"/>
  <c r="AA12" i="14828"/>
  <c r="AA23" i="14828"/>
  <c r="Z10" i="14828"/>
  <c r="AA48" i="14828"/>
  <c r="AA44" i="14828"/>
  <c r="Z43" i="14828"/>
  <c r="Z39" i="14828"/>
  <c r="AA35" i="14828"/>
  <c r="Z21" i="14828"/>
  <c r="AA20" i="14828"/>
  <c r="AA11" i="14828"/>
  <c r="AA9" i="14828"/>
  <c r="AA49" i="14828"/>
  <c r="Z45" i="14828"/>
  <c r="AA45" i="14828"/>
  <c r="AA40" i="14828"/>
  <c r="Z35" i="14828"/>
  <c r="Z29" i="14828"/>
  <c r="AA19" i="14828"/>
  <c r="AA17" i="14828"/>
  <c r="AA14" i="14828"/>
  <c r="Z12" i="14828"/>
  <c r="AA51" i="14828"/>
  <c r="Z50" i="14828"/>
  <c r="Z47" i="14828"/>
  <c r="Z46" i="14828"/>
  <c r="AA43" i="14828"/>
  <c r="Z42" i="14828"/>
  <c r="AA41" i="14828"/>
  <c r="AA39" i="14828"/>
  <c r="AA38" i="14828"/>
  <c r="AA37" i="14828"/>
  <c r="Z34" i="14828"/>
  <c r="Z33" i="14828"/>
  <c r="Z32" i="14828"/>
  <c r="AA32" i="14828"/>
  <c r="AA30" i="14828"/>
  <c r="AA29" i="14828"/>
  <c r="AA28" i="14828"/>
  <c r="Z26" i="14828"/>
  <c r="Z25" i="14828"/>
  <c r="AA25" i="14828"/>
  <c r="AA24" i="14828"/>
  <c r="AA21" i="14828"/>
  <c r="AA18" i="14828"/>
  <c r="AA15" i="14828"/>
  <c r="Z13" i="14828"/>
  <c r="AA10" i="14828"/>
  <c r="Z51" i="14828"/>
  <c r="AA50" i="14828"/>
  <c r="Z49" i="14828"/>
  <c r="Z48" i="14828"/>
  <c r="AA46" i="14828"/>
  <c r="Z44" i="14828"/>
  <c r="AA42" i="14828"/>
  <c r="Z41" i="14828"/>
  <c r="Z40" i="14828"/>
  <c r="Z38" i="14828"/>
  <c r="Z37" i="14828"/>
  <c r="Z36" i="14828"/>
  <c r="AA34" i="14828"/>
  <c r="V32" i="14828"/>
  <c r="Z31" i="14828"/>
  <c r="AA31" i="14828"/>
  <c r="Z30" i="14828"/>
  <c r="Z28" i="14828"/>
  <c r="Z27" i="14828"/>
  <c r="AA27" i="14828"/>
  <c r="AA26" i="14828"/>
  <c r="Z24" i="14828"/>
  <c r="Z23" i="14828"/>
  <c r="AA22" i="14828"/>
  <c r="Z19" i="14828"/>
  <c r="V19" i="14828"/>
  <c r="Z18" i="14828"/>
  <c r="Z17" i="14828"/>
  <c r="V16" i="14828"/>
  <c r="Z15" i="14828"/>
  <c r="V15" i="14828"/>
  <c r="Z14" i="14828"/>
  <c r="AA13" i="14828"/>
  <c r="Z11" i="14828"/>
  <c r="V11" i="14828"/>
  <c r="Z9" i="14828"/>
  <c r="Z7" i="14828"/>
  <c r="Z20" i="14828"/>
  <c r="B51" i="14828"/>
  <c r="A51" i="14828"/>
  <c r="B50" i="14828"/>
  <c r="A50" i="14828"/>
  <c r="B49" i="14828"/>
  <c r="A49" i="14828"/>
  <c r="B48" i="14828"/>
  <c r="A48" i="14828"/>
  <c r="B47" i="14828"/>
  <c r="A47" i="14828"/>
  <c r="B46" i="14828"/>
  <c r="A46" i="14828"/>
  <c r="B45" i="14828"/>
  <c r="A45" i="14828"/>
  <c r="B44" i="14828"/>
  <c r="A44" i="14828"/>
  <c r="B43" i="14828"/>
  <c r="A43" i="14828"/>
  <c r="B42" i="14828"/>
  <c r="A42" i="14828"/>
  <c r="B41" i="14828"/>
  <c r="A41" i="14828"/>
  <c r="B40" i="14828"/>
  <c r="A40" i="14828"/>
  <c r="B39" i="14828"/>
  <c r="A39" i="14828"/>
  <c r="B38" i="14828"/>
  <c r="A38" i="14828"/>
  <c r="B37" i="14828"/>
  <c r="A37" i="14828"/>
  <c r="B36" i="14828"/>
  <c r="A36" i="14828"/>
  <c r="B35" i="14828"/>
  <c r="A35" i="14828"/>
  <c r="B34" i="14828"/>
  <c r="A34" i="14828"/>
  <c r="B33" i="14828"/>
  <c r="A33" i="14828"/>
  <c r="B32" i="14828"/>
  <c r="A32" i="14828"/>
  <c r="B31" i="14828"/>
  <c r="A31" i="14828"/>
  <c r="B30" i="14828"/>
  <c r="A30" i="14828"/>
  <c r="B29" i="14828"/>
  <c r="A29" i="14828"/>
  <c r="B28" i="14828"/>
  <c r="A28" i="14828"/>
  <c r="B27" i="14828"/>
  <c r="A27" i="14828"/>
  <c r="B26" i="14828"/>
  <c r="A26" i="14828"/>
  <c r="B25" i="14828"/>
  <c r="A25" i="14828"/>
  <c r="B24" i="14828"/>
  <c r="A24" i="14828"/>
  <c r="B23" i="14828"/>
  <c r="A23" i="14828"/>
  <c r="B22" i="14828"/>
  <c r="A22" i="14828"/>
  <c r="B21" i="14828"/>
  <c r="A21" i="14828"/>
  <c r="B20" i="14828"/>
  <c r="A20" i="14828"/>
  <c r="B19" i="14828"/>
  <c r="A19" i="14828"/>
  <c r="B18" i="14828"/>
  <c r="A18" i="14828"/>
  <c r="B17" i="14828"/>
  <c r="A17" i="14828"/>
  <c r="B16" i="14828"/>
  <c r="A16" i="14828"/>
  <c r="B15" i="14828"/>
  <c r="A15" i="14828"/>
  <c r="B14" i="14828"/>
  <c r="A14" i="14828"/>
  <c r="B13" i="14828"/>
  <c r="A13" i="14828"/>
  <c r="B12" i="14828"/>
  <c r="A12" i="14828"/>
  <c r="B11" i="14828"/>
  <c r="A11" i="14828"/>
  <c r="B10" i="14828"/>
  <c r="A10" i="14828"/>
  <c r="B9" i="14828"/>
  <c r="A9" i="14828"/>
  <c r="B7" i="14828"/>
  <c r="A7" i="14828"/>
  <c r="AF7" i="14809" l="1"/>
  <c r="U90" i="14814"/>
  <c r="U89" i="14814"/>
  <c r="U72" i="14814"/>
  <c r="U70" i="14814"/>
  <c r="U69" i="14814"/>
  <c r="U68" i="14814"/>
  <c r="U67" i="14814"/>
  <c r="AI7" i="14809" l="1"/>
  <c r="AH7" i="14809"/>
  <c r="HM38" i="14809"/>
  <c r="HN38" i="14809"/>
  <c r="FO10" i="14809" l="1"/>
  <c r="FN10" i="14809"/>
  <c r="G54" i="14809" l="1"/>
  <c r="M53" i="14821" s="1"/>
  <c r="G53" i="14809"/>
  <c r="M52" i="14821" s="1"/>
  <c r="G52" i="14809"/>
  <c r="M51" i="14821" s="1"/>
  <c r="G51" i="14809"/>
  <c r="M50" i="14821" s="1"/>
  <c r="G50" i="14809"/>
  <c r="M49" i="14821" s="1"/>
  <c r="G49" i="14809"/>
  <c r="M48" i="14821" s="1"/>
  <c r="G48" i="14809"/>
  <c r="M47" i="14821" s="1"/>
  <c r="G47" i="14809"/>
  <c r="M46" i="14821" s="1"/>
  <c r="G46" i="14809"/>
  <c r="M45" i="14821" s="1"/>
  <c r="G45" i="14809"/>
  <c r="M44" i="14821" s="1"/>
  <c r="G44" i="14809"/>
  <c r="M43" i="14821" s="1"/>
  <c r="G43" i="14809"/>
  <c r="M42" i="14821" s="1"/>
  <c r="G42" i="14809"/>
  <c r="M41" i="14821" s="1"/>
  <c r="G41" i="14809"/>
  <c r="M40" i="14821" s="1"/>
  <c r="G40" i="14809"/>
  <c r="M39" i="14821" s="1"/>
  <c r="G39" i="14809"/>
  <c r="M38" i="14821" s="1"/>
  <c r="G38" i="14809"/>
  <c r="M37" i="14821" s="1"/>
  <c r="G37" i="14809"/>
  <c r="M36" i="14821" s="1"/>
  <c r="G36" i="14809"/>
  <c r="M35" i="14821" s="1"/>
  <c r="G35" i="14809"/>
  <c r="M34" i="14821" s="1"/>
  <c r="G34" i="14809"/>
  <c r="M33" i="14821" s="1"/>
  <c r="G33" i="14809"/>
  <c r="M32" i="14821" s="1"/>
  <c r="G32" i="14809"/>
  <c r="M31" i="14821" s="1"/>
  <c r="G31" i="14809"/>
  <c r="M30" i="14821" s="1"/>
  <c r="G30" i="14809"/>
  <c r="M29" i="14821" s="1"/>
  <c r="G29" i="14809"/>
  <c r="M28" i="14821" s="1"/>
  <c r="G28" i="14809"/>
  <c r="M27" i="14821" s="1"/>
  <c r="G27" i="14809"/>
  <c r="M26" i="14821" s="1"/>
  <c r="G26" i="14809"/>
  <c r="M25" i="14821" s="1"/>
  <c r="G25" i="14809"/>
  <c r="M24" i="14821" s="1"/>
  <c r="G24" i="14809"/>
  <c r="M23" i="14821" s="1"/>
  <c r="G23" i="14809"/>
  <c r="M22" i="14821" s="1"/>
  <c r="G22" i="14809"/>
  <c r="M21" i="14821" s="1"/>
  <c r="G21" i="14809"/>
  <c r="M20" i="14821" s="1"/>
  <c r="G20" i="14809"/>
  <c r="M19" i="14821" s="1"/>
  <c r="G19" i="14809"/>
  <c r="M18" i="14821" s="1"/>
  <c r="G18" i="14809"/>
  <c r="M17" i="14821" s="1"/>
  <c r="G17" i="14809"/>
  <c r="M16" i="14821" s="1"/>
  <c r="G16" i="14809"/>
  <c r="M15" i="14821" s="1"/>
  <c r="G15" i="14809"/>
  <c r="M14" i="14821" s="1"/>
  <c r="G14" i="14809"/>
  <c r="M13" i="14821" s="1"/>
  <c r="G13" i="14809"/>
  <c r="M12" i="14821" s="1"/>
  <c r="G12" i="14809"/>
  <c r="M11" i="14821" s="1"/>
  <c r="G10" i="14809"/>
  <c r="M9" i="14821" s="1"/>
  <c r="AJ7" i="14809" l="1"/>
  <c r="AK7" i="14809" l="1"/>
  <c r="AL7" i="14809" l="1"/>
  <c r="AM7" i="14809" l="1"/>
  <c r="AO7" i="14809" l="1"/>
  <c r="K13" i="14809"/>
  <c r="AP7" i="14809" l="1"/>
  <c r="AA54" i="14809"/>
  <c r="AA53" i="14809"/>
  <c r="AA52" i="14809"/>
  <c r="AA51" i="14809"/>
  <c r="AA50" i="14809"/>
  <c r="AA49" i="14809"/>
  <c r="AA48" i="14809"/>
  <c r="AA47" i="14809"/>
  <c r="AA46" i="14809"/>
  <c r="AA45" i="14809"/>
  <c r="AA44" i="14809"/>
  <c r="AA43" i="14809"/>
  <c r="AA42" i="14809"/>
  <c r="AA41" i="14809"/>
  <c r="AA40" i="14809"/>
  <c r="AA39" i="14809"/>
  <c r="AA38" i="14809"/>
  <c r="AA37" i="14809"/>
  <c r="AA36" i="14809"/>
  <c r="AA35" i="14809"/>
  <c r="AA34" i="14809"/>
  <c r="AA33" i="14809"/>
  <c r="AA32" i="14809"/>
  <c r="AA31" i="14809"/>
  <c r="AA30" i="14809"/>
  <c r="AA29" i="14809"/>
  <c r="AA28" i="14809"/>
  <c r="AA27" i="14809"/>
  <c r="AA26" i="14809"/>
  <c r="AA25" i="14809"/>
  <c r="AA24" i="14809"/>
  <c r="AA23" i="14809"/>
  <c r="AA22" i="14809"/>
  <c r="AA21" i="14809"/>
  <c r="AA20" i="14809"/>
  <c r="AA19" i="14809"/>
  <c r="AA18" i="14809"/>
  <c r="AA17" i="14809"/>
  <c r="AA16" i="14809"/>
  <c r="AA15" i="14809"/>
  <c r="AA14" i="14809"/>
  <c r="AA13" i="14809"/>
  <c r="AA12" i="14809"/>
  <c r="AA10" i="14809"/>
  <c r="AS7" i="14809" l="1"/>
  <c r="FS54" i="14809"/>
  <c r="FR54" i="14809"/>
  <c r="FP54" i="14809"/>
  <c r="FO54" i="14809"/>
  <c r="FN54" i="14809"/>
  <c r="FM54" i="14809"/>
  <c r="FL54" i="14809"/>
  <c r="FK54" i="14809"/>
  <c r="FS53" i="14809"/>
  <c r="FR53" i="14809"/>
  <c r="FP53" i="14809"/>
  <c r="FK53" i="14809"/>
  <c r="FS52" i="14809"/>
  <c r="FR52" i="14809"/>
  <c r="FP52" i="14809"/>
  <c r="FK52" i="14809"/>
  <c r="FS51" i="14809"/>
  <c r="FR51" i="14809"/>
  <c r="FP51" i="14809"/>
  <c r="FK51" i="14809"/>
  <c r="FS50" i="14809"/>
  <c r="FR50" i="14809"/>
  <c r="FP50" i="14809"/>
  <c r="FK50" i="14809"/>
  <c r="FS49" i="14809"/>
  <c r="FR49" i="14809"/>
  <c r="FP49" i="14809"/>
  <c r="FK49" i="14809"/>
  <c r="FS48" i="14809"/>
  <c r="FR48" i="14809"/>
  <c r="FP48" i="14809"/>
  <c r="FK48" i="14809"/>
  <c r="FS47" i="14809"/>
  <c r="FR47" i="14809"/>
  <c r="FP47" i="14809"/>
  <c r="FO47" i="14809"/>
  <c r="FN47" i="14809"/>
  <c r="FM47" i="14809"/>
  <c r="FL47" i="14809"/>
  <c r="FK47" i="14809"/>
  <c r="FS46" i="14809"/>
  <c r="FR46" i="14809"/>
  <c r="FP46" i="14809"/>
  <c r="FK46" i="14809"/>
  <c r="FS43" i="14809"/>
  <c r="FR43" i="14809"/>
  <c r="FP43" i="14809"/>
  <c r="FK43" i="14809"/>
  <c r="K54" i="14809"/>
  <c r="K53" i="14809"/>
  <c r="K52" i="14809"/>
  <c r="K51" i="14809"/>
  <c r="K50" i="14809"/>
  <c r="K49" i="14809"/>
  <c r="K48" i="14809"/>
  <c r="K47" i="14809"/>
  <c r="K46" i="14809"/>
  <c r="K45" i="14809"/>
  <c r="K44" i="14809"/>
  <c r="K43" i="14809"/>
  <c r="K42" i="14809"/>
  <c r="K41" i="14809"/>
  <c r="K40" i="14809"/>
  <c r="K39" i="14809"/>
  <c r="K38" i="14809"/>
  <c r="K37" i="14809"/>
  <c r="K36" i="14809"/>
  <c r="K35" i="14809"/>
  <c r="K34" i="14809"/>
  <c r="K33" i="14809"/>
  <c r="K32" i="14809"/>
  <c r="K31" i="14809"/>
  <c r="K30" i="14809"/>
  <c r="K29" i="14809"/>
  <c r="K28" i="14809"/>
  <c r="K27" i="14809"/>
  <c r="K26" i="14809"/>
  <c r="K25" i="14809"/>
  <c r="K24" i="14809"/>
  <c r="K23" i="14809"/>
  <c r="K22" i="14809"/>
  <c r="K21" i="14809"/>
  <c r="K20" i="14809"/>
  <c r="K19" i="14809"/>
  <c r="K18" i="14809"/>
  <c r="K17" i="14809"/>
  <c r="K16" i="14809"/>
  <c r="K15" i="14809"/>
  <c r="K14" i="14809"/>
  <c r="K12" i="14809"/>
  <c r="K10" i="14809"/>
  <c r="AV7" i="14809" l="1"/>
  <c r="FU53" i="14809"/>
  <c r="FU46" i="14809"/>
  <c r="FQ47" i="14809"/>
  <c r="FU49" i="14809"/>
  <c r="FU50" i="14809"/>
  <c r="FU43" i="14809"/>
  <c r="FU47" i="14809"/>
  <c r="FU52" i="14809"/>
  <c r="FU51" i="14809"/>
  <c r="FU54" i="14809"/>
  <c r="FQ54" i="14809"/>
  <c r="FU48" i="14809"/>
  <c r="AW7" i="14809" l="1"/>
  <c r="AU54" i="14809"/>
  <c r="AT54" i="14809"/>
  <c r="AS54" i="14809"/>
  <c r="AU52" i="14809"/>
  <c r="AT52" i="14809"/>
  <c r="AS52" i="14809"/>
  <c r="AU47" i="14809"/>
  <c r="AT47" i="14809"/>
  <c r="AS47" i="14809"/>
  <c r="AU42" i="14809"/>
  <c r="AT42" i="14809"/>
  <c r="AS42" i="14809"/>
  <c r="AU41" i="14809"/>
  <c r="AT41" i="14809"/>
  <c r="AS41" i="14809"/>
  <c r="AU38" i="14809"/>
  <c r="AT38" i="14809"/>
  <c r="AS38" i="14809"/>
  <c r="AU37" i="14809"/>
  <c r="AT37" i="14809"/>
  <c r="AS37" i="14809"/>
  <c r="AU36" i="14809"/>
  <c r="AT36" i="14809"/>
  <c r="AS36" i="14809"/>
  <c r="AU35" i="14809"/>
  <c r="AT35" i="14809"/>
  <c r="AS35" i="14809"/>
  <c r="AU34" i="14809"/>
  <c r="AT34" i="14809"/>
  <c r="AS34" i="14809"/>
  <c r="AU33" i="14809"/>
  <c r="AT33" i="14809"/>
  <c r="AS33" i="14809"/>
  <c r="AU32" i="14809"/>
  <c r="AT32" i="14809"/>
  <c r="AS32" i="14809"/>
  <c r="AU31" i="14809"/>
  <c r="AT31" i="14809"/>
  <c r="AS31" i="14809"/>
  <c r="AU30" i="14809"/>
  <c r="AT30" i="14809"/>
  <c r="AS30" i="14809"/>
  <c r="AU29" i="14809"/>
  <c r="AT29" i="14809"/>
  <c r="AS29" i="14809"/>
  <c r="AU28" i="14809"/>
  <c r="AT28" i="14809"/>
  <c r="AS28" i="14809"/>
  <c r="AU27" i="14809"/>
  <c r="AT27" i="14809"/>
  <c r="AS27" i="14809"/>
  <c r="AU26" i="14809"/>
  <c r="AT26" i="14809"/>
  <c r="AS26" i="14809"/>
  <c r="AU25" i="14809"/>
  <c r="AT25" i="14809"/>
  <c r="AS25" i="14809"/>
  <c r="AU24" i="14809"/>
  <c r="AT24" i="14809"/>
  <c r="AS24" i="14809"/>
  <c r="AU22" i="14809"/>
  <c r="AT22" i="14809"/>
  <c r="AS22" i="14809"/>
  <c r="AU21" i="14809"/>
  <c r="AT21" i="14809"/>
  <c r="AS21" i="14809"/>
  <c r="AU20" i="14809"/>
  <c r="AT20" i="14809"/>
  <c r="AS20" i="14809"/>
  <c r="AU19" i="14809"/>
  <c r="AT19" i="14809"/>
  <c r="AS19" i="14809"/>
  <c r="AU18" i="14809"/>
  <c r="AT18" i="14809"/>
  <c r="AS18" i="14809"/>
  <c r="AU17" i="14809"/>
  <c r="AT17" i="14809"/>
  <c r="AS17" i="14809"/>
  <c r="AU16" i="14809"/>
  <c r="AT16" i="14809"/>
  <c r="AS16" i="14809"/>
  <c r="AU15" i="14809"/>
  <c r="AT15" i="14809"/>
  <c r="AS15" i="14809"/>
  <c r="AU14" i="14809"/>
  <c r="AT14" i="14809"/>
  <c r="AS14" i="14809"/>
  <c r="AU13" i="14809"/>
  <c r="AT13" i="14809"/>
  <c r="AS13" i="14809"/>
  <c r="AU12" i="14809"/>
  <c r="AT12" i="14809"/>
  <c r="AS12" i="14809"/>
  <c r="AU10" i="14809"/>
  <c r="AT10" i="14809"/>
  <c r="AS10" i="14809"/>
  <c r="AX7" i="14809" l="1"/>
  <c r="H51" i="14809"/>
  <c r="C43" i="14813"/>
  <c r="C44" i="14813"/>
  <c r="C45" i="14813"/>
  <c r="A44" i="14813"/>
  <c r="A45" i="14813"/>
  <c r="F45" i="14813"/>
  <c r="G45" i="14813"/>
  <c r="H45" i="14813"/>
  <c r="AY7" i="14809" l="1"/>
  <c r="U45" i="14813"/>
  <c r="I45" i="14813"/>
  <c r="J45" i="14813" s="1"/>
  <c r="K45" i="14813" s="1"/>
  <c r="Y45" i="14813" s="1"/>
  <c r="V45" i="14813"/>
  <c r="W45" i="14813" s="1"/>
  <c r="L45" i="14813"/>
  <c r="AZ7" i="14809" l="1"/>
  <c r="HN45" i="14809"/>
  <c r="HM45" i="14809"/>
  <c r="X45" i="14813"/>
  <c r="H45" i="14809" s="1"/>
  <c r="R45" i="14813"/>
  <c r="S45" i="14813" s="1"/>
  <c r="T45" i="14813" s="1"/>
  <c r="M45" i="14813"/>
  <c r="N45" i="14813" s="1"/>
  <c r="O45" i="14813"/>
  <c r="P45" i="14813" s="1"/>
  <c r="Q45" i="14813" s="1"/>
  <c r="BA7" i="14809" l="1"/>
  <c r="N89" i="14786"/>
  <c r="N93" i="14786"/>
  <c r="N96" i="14786"/>
  <c r="N99" i="14786"/>
  <c r="N160" i="14786"/>
  <c r="BB7" i="14809" l="1"/>
  <c r="BC7" i="14809" l="1"/>
  <c r="B51" i="14826"/>
  <c r="Y51" i="14826" s="1"/>
  <c r="A51" i="14826"/>
  <c r="X51" i="14826" s="1"/>
  <c r="B50" i="14826"/>
  <c r="Y50" i="14826" s="1"/>
  <c r="A50" i="14826"/>
  <c r="X50" i="14826" s="1"/>
  <c r="B49" i="14826"/>
  <c r="Y49" i="14826" s="1"/>
  <c r="A49" i="14826"/>
  <c r="X49" i="14826" s="1"/>
  <c r="B48" i="14826"/>
  <c r="Y48" i="14826" s="1"/>
  <c r="A48" i="14826"/>
  <c r="X48" i="14826" s="1"/>
  <c r="B47" i="14826"/>
  <c r="Y47" i="14826" s="1"/>
  <c r="A47" i="14826"/>
  <c r="X47" i="14826" s="1"/>
  <c r="B46" i="14826"/>
  <c r="Y46" i="14826" s="1"/>
  <c r="A46" i="14826"/>
  <c r="X46" i="14826" s="1"/>
  <c r="B45" i="14826"/>
  <c r="Y45" i="14826" s="1"/>
  <c r="A45" i="14826"/>
  <c r="X45" i="14826" s="1"/>
  <c r="B44" i="14826"/>
  <c r="Y44" i="14826" s="1"/>
  <c r="A44" i="14826"/>
  <c r="X44" i="14826" s="1"/>
  <c r="B43" i="14826"/>
  <c r="Y43" i="14826" s="1"/>
  <c r="A43" i="14826"/>
  <c r="X43" i="14826" s="1"/>
  <c r="B42" i="14826"/>
  <c r="Y42" i="14826" s="1"/>
  <c r="A42" i="14826"/>
  <c r="X42" i="14826" s="1"/>
  <c r="B41" i="14826"/>
  <c r="Y41" i="14826" s="1"/>
  <c r="A41" i="14826"/>
  <c r="X41" i="14826" s="1"/>
  <c r="B40" i="14826"/>
  <c r="Y40" i="14826" s="1"/>
  <c r="A40" i="14826"/>
  <c r="X40" i="14826" s="1"/>
  <c r="B39" i="14826"/>
  <c r="Y39" i="14826" s="1"/>
  <c r="A39" i="14826"/>
  <c r="X39" i="14826" s="1"/>
  <c r="B38" i="14826"/>
  <c r="Y38" i="14826" s="1"/>
  <c r="A38" i="14826"/>
  <c r="X38" i="14826" s="1"/>
  <c r="B37" i="14826"/>
  <c r="Y37" i="14826" s="1"/>
  <c r="A37" i="14826"/>
  <c r="X37" i="14826" s="1"/>
  <c r="B36" i="14826"/>
  <c r="Y36" i="14826" s="1"/>
  <c r="A36" i="14826"/>
  <c r="X36" i="14826" s="1"/>
  <c r="B35" i="14826"/>
  <c r="Y35" i="14826" s="1"/>
  <c r="A35" i="14826"/>
  <c r="X35" i="14826" s="1"/>
  <c r="B34" i="14826"/>
  <c r="Y34" i="14826" s="1"/>
  <c r="A34" i="14826"/>
  <c r="X34" i="14826" s="1"/>
  <c r="B33" i="14826"/>
  <c r="Y33" i="14826" s="1"/>
  <c r="A33" i="14826"/>
  <c r="X33" i="14826" s="1"/>
  <c r="B32" i="14826"/>
  <c r="Y32" i="14826" s="1"/>
  <c r="A32" i="14826"/>
  <c r="X32" i="14826" s="1"/>
  <c r="B31" i="14826"/>
  <c r="Y31" i="14826" s="1"/>
  <c r="A31" i="14826"/>
  <c r="X31" i="14826" s="1"/>
  <c r="B30" i="14826"/>
  <c r="Y30" i="14826" s="1"/>
  <c r="A30" i="14826"/>
  <c r="X30" i="14826" s="1"/>
  <c r="B29" i="14826"/>
  <c r="Y29" i="14826" s="1"/>
  <c r="A29" i="14826"/>
  <c r="X29" i="14826" s="1"/>
  <c r="B28" i="14826"/>
  <c r="Y28" i="14826" s="1"/>
  <c r="A28" i="14826"/>
  <c r="X28" i="14826" s="1"/>
  <c r="B27" i="14826"/>
  <c r="Y27" i="14826" s="1"/>
  <c r="A27" i="14826"/>
  <c r="X27" i="14826" s="1"/>
  <c r="B26" i="14826"/>
  <c r="Y26" i="14826" s="1"/>
  <c r="A26" i="14826"/>
  <c r="X26" i="14826" s="1"/>
  <c r="B25" i="14826"/>
  <c r="Y25" i="14826" s="1"/>
  <c r="A25" i="14826"/>
  <c r="X25" i="14826" s="1"/>
  <c r="B24" i="14826"/>
  <c r="Y24" i="14826" s="1"/>
  <c r="A24" i="14826"/>
  <c r="X24" i="14826" s="1"/>
  <c r="B23" i="14826"/>
  <c r="Y23" i="14826" s="1"/>
  <c r="A23" i="14826"/>
  <c r="X23" i="14826" s="1"/>
  <c r="B22" i="14826"/>
  <c r="Y22" i="14826" s="1"/>
  <c r="A22" i="14826"/>
  <c r="X22" i="14826" s="1"/>
  <c r="B21" i="14826"/>
  <c r="Y21" i="14826" s="1"/>
  <c r="A21" i="14826"/>
  <c r="X21" i="14826" s="1"/>
  <c r="B20" i="14826"/>
  <c r="Y20" i="14826" s="1"/>
  <c r="A20" i="14826"/>
  <c r="X20" i="14826" s="1"/>
  <c r="B19" i="14826"/>
  <c r="Y19" i="14826" s="1"/>
  <c r="A19" i="14826"/>
  <c r="X19" i="14826" s="1"/>
  <c r="B18" i="14826"/>
  <c r="Y18" i="14826" s="1"/>
  <c r="A18" i="14826"/>
  <c r="X18" i="14826" s="1"/>
  <c r="B17" i="14826"/>
  <c r="Y17" i="14826" s="1"/>
  <c r="A17" i="14826"/>
  <c r="X17" i="14826" s="1"/>
  <c r="B16" i="14826"/>
  <c r="Y16" i="14826" s="1"/>
  <c r="A16" i="14826"/>
  <c r="X16" i="14826" s="1"/>
  <c r="B15" i="14826"/>
  <c r="Y15" i="14826" s="1"/>
  <c r="A15" i="14826"/>
  <c r="X15" i="14826" s="1"/>
  <c r="B14" i="14826"/>
  <c r="Y14" i="14826" s="1"/>
  <c r="A14" i="14826"/>
  <c r="X14" i="14826" s="1"/>
  <c r="B13" i="14826"/>
  <c r="Y13" i="14826" s="1"/>
  <c r="A13" i="14826"/>
  <c r="X13" i="14826" s="1"/>
  <c r="B12" i="14826"/>
  <c r="Y12" i="14826" s="1"/>
  <c r="A12" i="14826"/>
  <c r="X12" i="14826" s="1"/>
  <c r="B11" i="14826"/>
  <c r="Y11" i="14826" s="1"/>
  <c r="A11" i="14826"/>
  <c r="X11" i="14826" s="1"/>
  <c r="B10" i="14826"/>
  <c r="Y10" i="14826" s="1"/>
  <c r="A10" i="14826"/>
  <c r="X10" i="14826" s="1"/>
  <c r="B9" i="14826"/>
  <c r="Y9" i="14826" s="1"/>
  <c r="A9" i="14826"/>
  <c r="X9" i="14826" s="1"/>
  <c r="B7" i="14826"/>
  <c r="Y7" i="14826" s="1"/>
  <c r="A7" i="14826"/>
  <c r="X7" i="14826" s="1"/>
  <c r="H271" i="14814"/>
  <c r="D271" i="14814"/>
  <c r="M93" i="14786"/>
  <c r="M96" i="14786"/>
  <c r="O2" i="14786"/>
  <c r="C2" i="14786"/>
  <c r="BI54" i="14809"/>
  <c r="BK54" i="14809" s="1"/>
  <c r="BI53" i="14809"/>
  <c r="BK53" i="14809" s="1"/>
  <c r="BI52" i="14809"/>
  <c r="BK52" i="14809" s="1"/>
  <c r="BI51" i="14809"/>
  <c r="BK51" i="14809" s="1"/>
  <c r="BI50" i="14809"/>
  <c r="BK50" i="14809" s="1"/>
  <c r="BI49" i="14809"/>
  <c r="BK49" i="14809" s="1"/>
  <c r="BI48" i="14809"/>
  <c r="BK48" i="14809" s="1"/>
  <c r="BI47" i="14809"/>
  <c r="BK47" i="14809" s="1"/>
  <c r="BI46" i="14809"/>
  <c r="BK46" i="14809" s="1"/>
  <c r="BI45" i="14809"/>
  <c r="BK45" i="14809" s="1"/>
  <c r="BI44" i="14809"/>
  <c r="BK44" i="14809" s="1"/>
  <c r="BI43" i="14809"/>
  <c r="BK43" i="14809" s="1"/>
  <c r="BI42" i="14809"/>
  <c r="BK42" i="14809" s="1"/>
  <c r="BI41" i="14809"/>
  <c r="BK41" i="14809" s="1"/>
  <c r="BI40" i="14809"/>
  <c r="BK40" i="14809" s="1"/>
  <c r="BI39" i="14809"/>
  <c r="BK39" i="14809" s="1"/>
  <c r="BI38" i="14809"/>
  <c r="BK38" i="14809" s="1"/>
  <c r="BI37" i="14809"/>
  <c r="BK37" i="14809" s="1"/>
  <c r="BI36" i="14809"/>
  <c r="BK36" i="14809" s="1"/>
  <c r="BI35" i="14809"/>
  <c r="BK35" i="14809" s="1"/>
  <c r="BI34" i="14809"/>
  <c r="BK34" i="14809" s="1"/>
  <c r="BI33" i="14809"/>
  <c r="BK33" i="14809" s="1"/>
  <c r="BI32" i="14809"/>
  <c r="BK32" i="14809" s="1"/>
  <c r="BI31" i="14809"/>
  <c r="BK31" i="14809" s="1"/>
  <c r="BI30" i="14809"/>
  <c r="BK30" i="14809" s="1"/>
  <c r="BI29" i="14809"/>
  <c r="BK29" i="14809" s="1"/>
  <c r="BI28" i="14809"/>
  <c r="BK28" i="14809" s="1"/>
  <c r="BI27" i="14809"/>
  <c r="BK27" i="14809" s="1"/>
  <c r="BI26" i="14809"/>
  <c r="BK26" i="14809" s="1"/>
  <c r="BI25" i="14809"/>
  <c r="BK25" i="14809" s="1"/>
  <c r="BI24" i="14809"/>
  <c r="BK24" i="14809" s="1"/>
  <c r="BI23" i="14809"/>
  <c r="BK23" i="14809" s="1"/>
  <c r="BI22" i="14809"/>
  <c r="BK22" i="14809" s="1"/>
  <c r="BI21" i="14809"/>
  <c r="BK21" i="14809" s="1"/>
  <c r="BI20" i="14809"/>
  <c r="BK20" i="14809" s="1"/>
  <c r="BI19" i="14809"/>
  <c r="BK19" i="14809" s="1"/>
  <c r="BI18" i="14809"/>
  <c r="BK18" i="14809" s="1"/>
  <c r="BI17" i="14809"/>
  <c r="BK17" i="14809" s="1"/>
  <c r="BI16" i="14809"/>
  <c r="BK16" i="14809" s="1"/>
  <c r="BI15" i="14809"/>
  <c r="BK15" i="14809" s="1"/>
  <c r="BI14" i="14809"/>
  <c r="BK14" i="14809" s="1"/>
  <c r="BI13" i="14809"/>
  <c r="BK13" i="14809" s="1"/>
  <c r="BI12" i="14809"/>
  <c r="BK12" i="14809" s="1"/>
  <c r="BI10" i="14809"/>
  <c r="FS37" i="14809"/>
  <c r="FR37" i="14809"/>
  <c r="FR36" i="14809"/>
  <c r="F54" i="14813"/>
  <c r="H54" i="14813"/>
  <c r="F53" i="14813"/>
  <c r="H53" i="14813"/>
  <c r="F16" i="14813"/>
  <c r="H16" i="14813"/>
  <c r="G16" i="14813"/>
  <c r="F15" i="14813"/>
  <c r="H15" i="14813"/>
  <c r="G15" i="14813"/>
  <c r="F14" i="14813"/>
  <c r="H14" i="14813"/>
  <c r="G14" i="14813"/>
  <c r="F13" i="14813"/>
  <c r="H13" i="14813"/>
  <c r="G13" i="14813"/>
  <c r="F12" i="14813"/>
  <c r="H12" i="14813"/>
  <c r="G12" i="14813"/>
  <c r="F10" i="14813"/>
  <c r="H10" i="14813"/>
  <c r="G10" i="14813"/>
  <c r="FK10" i="14809"/>
  <c r="GX24" i="14809"/>
  <c r="FS24" i="14809"/>
  <c r="FR24" i="14809"/>
  <c r="FO24" i="14809"/>
  <c r="FN24" i="14809"/>
  <c r="FM24" i="14809"/>
  <c r="FL24" i="14809"/>
  <c r="FK24" i="14809"/>
  <c r="AZ24" i="14809"/>
  <c r="BA24" i="14809" s="1"/>
  <c r="GX23" i="14809"/>
  <c r="FS23" i="14809"/>
  <c r="FR23" i="14809"/>
  <c r="FO23" i="14809"/>
  <c r="FN23" i="14809"/>
  <c r="FM23" i="14809"/>
  <c r="FL23" i="14809"/>
  <c r="FK23" i="14809"/>
  <c r="AZ23" i="14809"/>
  <c r="BA23" i="14809" s="1"/>
  <c r="FP23" i="14809"/>
  <c r="FP24" i="14809"/>
  <c r="B43" i="14821"/>
  <c r="B44" i="14821"/>
  <c r="B45" i="14821"/>
  <c r="B46" i="14821"/>
  <c r="B47" i="14821"/>
  <c r="B48" i="14821"/>
  <c r="B49" i="14821"/>
  <c r="B50" i="14821"/>
  <c r="B51" i="14821"/>
  <c r="B52" i="14821"/>
  <c r="B53" i="14821"/>
  <c r="A43" i="14821"/>
  <c r="A44" i="14821"/>
  <c r="A45" i="14821"/>
  <c r="A46" i="14821"/>
  <c r="A47" i="14821"/>
  <c r="A48" i="14821"/>
  <c r="A49" i="14821"/>
  <c r="A50" i="14821"/>
  <c r="A51" i="14821"/>
  <c r="A52" i="14821"/>
  <c r="A53" i="14821"/>
  <c r="AZ44" i="14809"/>
  <c r="BA44" i="14809" s="1"/>
  <c r="AZ47" i="14809"/>
  <c r="BA47" i="14809" s="1"/>
  <c r="GL45" i="14809"/>
  <c r="GM45" i="14809"/>
  <c r="GN45" i="14809"/>
  <c r="GO45" i="14809"/>
  <c r="GP45" i="14809"/>
  <c r="GQ45" i="14809"/>
  <c r="GR45" i="14809"/>
  <c r="GS45" i="14809"/>
  <c r="GT45" i="14809"/>
  <c r="GU45" i="14809"/>
  <c r="GV45" i="14809"/>
  <c r="GW45" i="14809"/>
  <c r="FS45" i="14809"/>
  <c r="FK45" i="14809"/>
  <c r="FR45" i="14809"/>
  <c r="P101" i="14822"/>
  <c r="P132" i="14822" s="1"/>
  <c r="P194" i="14822"/>
  <c r="B194" i="14822"/>
  <c r="P170" i="14822"/>
  <c r="D167" i="14822"/>
  <c r="B163" i="14822"/>
  <c r="P139" i="14822"/>
  <c r="D136" i="14822"/>
  <c r="F38" i="14813"/>
  <c r="H38" i="14813"/>
  <c r="G38" i="14813"/>
  <c r="FP12" i="14809"/>
  <c r="FL10" i="14809"/>
  <c r="FM10" i="14809"/>
  <c r="FR10" i="14809"/>
  <c r="FS10" i="14809"/>
  <c r="FK12" i="14809"/>
  <c r="FL12" i="14809"/>
  <c r="FM12" i="14809"/>
  <c r="FN12" i="14809"/>
  <c r="FO12" i="14809"/>
  <c r="FR12" i="14809"/>
  <c r="FS12" i="14809"/>
  <c r="FK13" i="14809"/>
  <c r="FL13" i="14809"/>
  <c r="FM13" i="14809"/>
  <c r="FN13" i="14809"/>
  <c r="FR13" i="14809"/>
  <c r="FS13" i="14809"/>
  <c r="FK14" i="14809"/>
  <c r="FL14" i="14809"/>
  <c r="FM14" i="14809"/>
  <c r="FN14" i="14809"/>
  <c r="FO14" i="14809"/>
  <c r="FP14" i="14809"/>
  <c r="FR14" i="14809"/>
  <c r="FS14" i="14809"/>
  <c r="FK15" i="14809"/>
  <c r="FL15" i="14809"/>
  <c r="FM15" i="14809"/>
  <c r="FN15" i="14809"/>
  <c r="FO15" i="14809"/>
  <c r="FR15" i="14809"/>
  <c r="FS15" i="14809"/>
  <c r="FK16" i="14809"/>
  <c r="FL16" i="14809"/>
  <c r="FM16" i="14809"/>
  <c r="FN16" i="14809"/>
  <c r="FO16" i="14809"/>
  <c r="FR16" i="14809"/>
  <c r="FS16" i="14809"/>
  <c r="FK17" i="14809"/>
  <c r="FL17" i="14809"/>
  <c r="FM17" i="14809"/>
  <c r="FN17" i="14809"/>
  <c r="FO17" i="14809"/>
  <c r="FR17" i="14809"/>
  <c r="FS17" i="14809"/>
  <c r="FK18" i="14809"/>
  <c r="FL18" i="14809"/>
  <c r="FM18" i="14809"/>
  <c r="FN18" i="14809"/>
  <c r="FO18" i="14809"/>
  <c r="FR18" i="14809"/>
  <c r="FS18" i="14809"/>
  <c r="FK19" i="14809"/>
  <c r="FL19" i="14809"/>
  <c r="FM19" i="14809"/>
  <c r="FN19" i="14809"/>
  <c r="FO19" i="14809"/>
  <c r="FR19" i="14809"/>
  <c r="FS19" i="14809"/>
  <c r="FK20" i="14809"/>
  <c r="FL20" i="14809"/>
  <c r="FM20" i="14809"/>
  <c r="FN20" i="14809"/>
  <c r="FO20" i="14809"/>
  <c r="FP20" i="14809"/>
  <c r="FR20" i="14809"/>
  <c r="FS20" i="14809"/>
  <c r="FK21" i="14809"/>
  <c r="FL21" i="14809"/>
  <c r="FM21" i="14809"/>
  <c r="FN21" i="14809"/>
  <c r="FO21" i="14809"/>
  <c r="FR21" i="14809"/>
  <c r="FS21" i="14809"/>
  <c r="FK22" i="14809"/>
  <c r="FL22" i="14809"/>
  <c r="FM22" i="14809"/>
  <c r="FN22" i="14809"/>
  <c r="FO22" i="14809"/>
  <c r="FP22" i="14809"/>
  <c r="FR22" i="14809"/>
  <c r="FS22" i="14809"/>
  <c r="FK25" i="14809"/>
  <c r="FL25" i="14809"/>
  <c r="FM25" i="14809"/>
  <c r="FN25" i="14809"/>
  <c r="FO25" i="14809"/>
  <c r="FR25" i="14809"/>
  <c r="FS25" i="14809"/>
  <c r="FK26" i="14809"/>
  <c r="FL26" i="14809"/>
  <c r="FM26" i="14809"/>
  <c r="FN26" i="14809"/>
  <c r="FO26" i="14809"/>
  <c r="FR26" i="14809"/>
  <c r="FS26" i="14809"/>
  <c r="FK27" i="14809"/>
  <c r="FL27" i="14809"/>
  <c r="FM27" i="14809"/>
  <c r="FN27" i="14809"/>
  <c r="FO27" i="14809"/>
  <c r="FR27" i="14809"/>
  <c r="FS27" i="14809"/>
  <c r="FK28" i="14809"/>
  <c r="FL28" i="14809"/>
  <c r="FM28" i="14809"/>
  <c r="FN28" i="14809"/>
  <c r="FO28" i="14809"/>
  <c r="FR28" i="14809"/>
  <c r="FS28" i="14809"/>
  <c r="FK29" i="14809"/>
  <c r="FL29" i="14809"/>
  <c r="FM29" i="14809"/>
  <c r="FN29" i="14809"/>
  <c r="FO29" i="14809"/>
  <c r="FR29" i="14809"/>
  <c r="FS29" i="14809"/>
  <c r="FK30" i="14809"/>
  <c r="FL30" i="14809"/>
  <c r="FM30" i="14809"/>
  <c r="FN30" i="14809"/>
  <c r="FO30" i="14809"/>
  <c r="FR30" i="14809"/>
  <c r="FS30" i="14809"/>
  <c r="FK31" i="14809"/>
  <c r="FL31" i="14809"/>
  <c r="FM31" i="14809"/>
  <c r="FN31" i="14809"/>
  <c r="FO31" i="14809"/>
  <c r="FP31" i="14809"/>
  <c r="FR31" i="14809"/>
  <c r="FS31" i="14809"/>
  <c r="FK32" i="14809"/>
  <c r="FL32" i="14809"/>
  <c r="FM32" i="14809"/>
  <c r="FN32" i="14809"/>
  <c r="FO32" i="14809"/>
  <c r="FR32" i="14809"/>
  <c r="FS32" i="14809"/>
  <c r="FK33" i="14809"/>
  <c r="FL33" i="14809"/>
  <c r="FM33" i="14809"/>
  <c r="FN33" i="14809"/>
  <c r="FO33" i="14809"/>
  <c r="FP33" i="14809"/>
  <c r="FR33" i="14809"/>
  <c r="FS33" i="14809"/>
  <c r="FK34" i="14809"/>
  <c r="FL34" i="14809"/>
  <c r="FM34" i="14809"/>
  <c r="FN34" i="14809"/>
  <c r="FO34" i="14809"/>
  <c r="FR34" i="14809"/>
  <c r="FS34" i="14809"/>
  <c r="FK35" i="14809"/>
  <c r="FL35" i="14809"/>
  <c r="FM35" i="14809"/>
  <c r="FN35" i="14809"/>
  <c r="FO35" i="14809"/>
  <c r="FR35" i="14809"/>
  <c r="FS35" i="14809"/>
  <c r="FK36" i="14809"/>
  <c r="FL36" i="14809"/>
  <c r="FM36" i="14809"/>
  <c r="FN36" i="14809"/>
  <c r="FO36" i="14809"/>
  <c r="FS36" i="14809"/>
  <c r="FK37" i="14809"/>
  <c r="FL37" i="14809"/>
  <c r="FM37" i="14809"/>
  <c r="FN37" i="14809"/>
  <c r="FO37" i="14809"/>
  <c r="FP37" i="14809"/>
  <c r="FK38" i="14809"/>
  <c r="FL38" i="14809"/>
  <c r="FM38" i="14809"/>
  <c r="FN38" i="14809"/>
  <c r="FO38" i="14809"/>
  <c r="FR38" i="14809"/>
  <c r="FS38" i="14809"/>
  <c r="FK39" i="14809"/>
  <c r="FL39" i="14809"/>
  <c r="FM39" i="14809"/>
  <c r="FN39" i="14809"/>
  <c r="FO39" i="14809"/>
  <c r="FR39" i="14809"/>
  <c r="FS39" i="14809"/>
  <c r="FK40" i="14809"/>
  <c r="FL40" i="14809"/>
  <c r="FM40" i="14809"/>
  <c r="FN40" i="14809"/>
  <c r="FO40" i="14809"/>
  <c r="FR40" i="14809"/>
  <c r="FS40" i="14809"/>
  <c r="FK41" i="14809"/>
  <c r="FL41" i="14809"/>
  <c r="FM41" i="14809"/>
  <c r="FN41" i="14809"/>
  <c r="FO41" i="14809"/>
  <c r="FR41" i="14809"/>
  <c r="FS41" i="14809"/>
  <c r="FK42" i="14809"/>
  <c r="FL42" i="14809"/>
  <c r="FM42" i="14809"/>
  <c r="FN42" i="14809"/>
  <c r="FO42" i="14809"/>
  <c r="FR42" i="14809"/>
  <c r="FS42" i="14809"/>
  <c r="FK44" i="14809"/>
  <c r="FL44" i="14809"/>
  <c r="FM44" i="14809"/>
  <c r="FN44" i="14809"/>
  <c r="FO44" i="14809"/>
  <c r="FR44" i="14809"/>
  <c r="FS44" i="14809"/>
  <c r="GX38" i="14809"/>
  <c r="AZ38" i="14809"/>
  <c r="BA38" i="14809" s="1"/>
  <c r="D30" i="14822"/>
  <c r="J211" i="14822"/>
  <c r="K209" i="14822"/>
  <c r="J209" i="14822"/>
  <c r="G209" i="14822"/>
  <c r="F209" i="14822"/>
  <c r="E209" i="14822"/>
  <c r="D209" i="14822"/>
  <c r="B209" i="14822"/>
  <c r="K208" i="14822"/>
  <c r="J208" i="14822"/>
  <c r="G208" i="14822"/>
  <c r="F208" i="14822"/>
  <c r="E208" i="14822"/>
  <c r="D208" i="14822"/>
  <c r="B208" i="14822"/>
  <c r="J207" i="14822"/>
  <c r="G207" i="14822"/>
  <c r="F207" i="14822"/>
  <c r="E207" i="14822"/>
  <c r="D207" i="14822"/>
  <c r="B207" i="14822"/>
  <c r="K206" i="14822"/>
  <c r="G206" i="14822"/>
  <c r="F206" i="14822"/>
  <c r="E206" i="14822"/>
  <c r="D206" i="14822"/>
  <c r="B206" i="14822"/>
  <c r="B132" i="14822"/>
  <c r="P108" i="14822"/>
  <c r="D105" i="14822"/>
  <c r="B104" i="14822"/>
  <c r="D74" i="14822"/>
  <c r="E62" i="14822"/>
  <c r="E61" i="14822"/>
  <c r="A11" i="14821"/>
  <c r="B11" i="14821"/>
  <c r="A12" i="14821"/>
  <c r="B12" i="14821"/>
  <c r="A13" i="14821"/>
  <c r="B13" i="14821"/>
  <c r="A14" i="14821"/>
  <c r="B14" i="14821"/>
  <c r="A15" i="14821"/>
  <c r="B15" i="14821"/>
  <c r="A16" i="14821"/>
  <c r="B16" i="14821"/>
  <c r="A17" i="14821"/>
  <c r="B17" i="14821"/>
  <c r="A18" i="14821"/>
  <c r="B18" i="14821"/>
  <c r="A19" i="14821"/>
  <c r="B19" i="14821"/>
  <c r="A20" i="14821"/>
  <c r="B20" i="14821"/>
  <c r="A21" i="14821"/>
  <c r="B21" i="14821"/>
  <c r="A22" i="14821"/>
  <c r="B22" i="14821"/>
  <c r="A23" i="14821"/>
  <c r="B23" i="14821"/>
  <c r="A24" i="14821"/>
  <c r="B24" i="14821"/>
  <c r="A25" i="14821"/>
  <c r="B25" i="14821"/>
  <c r="A26" i="14821"/>
  <c r="B26" i="14821"/>
  <c r="A27" i="14821"/>
  <c r="B27" i="14821"/>
  <c r="A28" i="14821"/>
  <c r="B28" i="14821"/>
  <c r="A29" i="14821"/>
  <c r="B29" i="14821"/>
  <c r="A30" i="14821"/>
  <c r="B30" i="14821"/>
  <c r="A31" i="14821"/>
  <c r="B31" i="14821"/>
  <c r="A32" i="14821"/>
  <c r="B32" i="14821"/>
  <c r="A33" i="14821"/>
  <c r="B33" i="14821"/>
  <c r="A34" i="14821"/>
  <c r="B34" i="14821"/>
  <c r="A35" i="14821"/>
  <c r="B35" i="14821"/>
  <c r="A36" i="14821"/>
  <c r="B36" i="14821"/>
  <c r="A38" i="14821"/>
  <c r="B38" i="14821"/>
  <c r="A39" i="14821"/>
  <c r="B39" i="14821"/>
  <c r="A40" i="14821"/>
  <c r="B40" i="14821"/>
  <c r="A41" i="14821"/>
  <c r="B41" i="14821"/>
  <c r="A42" i="14821"/>
  <c r="B42" i="14821"/>
  <c r="B9" i="14821"/>
  <c r="A9" i="14821"/>
  <c r="F44" i="14813"/>
  <c r="G44" i="14813"/>
  <c r="H44" i="14813"/>
  <c r="P68" i="14814"/>
  <c r="P69" i="14814"/>
  <c r="P70" i="14814"/>
  <c r="P71" i="14814"/>
  <c r="P72" i="14814"/>
  <c r="P73" i="14814"/>
  <c r="P74" i="14814"/>
  <c r="P75" i="14814"/>
  <c r="P76" i="14814"/>
  <c r="P77" i="14814"/>
  <c r="P78" i="14814"/>
  <c r="P79" i="14814"/>
  <c r="P80" i="14814"/>
  <c r="P81" i="14814"/>
  <c r="P82" i="14814"/>
  <c r="P83" i="14814"/>
  <c r="P84" i="14814"/>
  <c r="P85" i="14814"/>
  <c r="P86" i="14814"/>
  <c r="P87" i="14814"/>
  <c r="P88" i="14814"/>
  <c r="P89" i="14814"/>
  <c r="P90" i="14814"/>
  <c r="P67" i="14814"/>
  <c r="GW44" i="14809"/>
  <c r="GV44" i="14809"/>
  <c r="GU44" i="14809"/>
  <c r="GT44" i="14809"/>
  <c r="GS44" i="14809"/>
  <c r="GR44" i="14809"/>
  <c r="GQ44" i="14809"/>
  <c r="GP44" i="14809"/>
  <c r="GO44" i="14809"/>
  <c r="GN44" i="14809"/>
  <c r="GM44" i="14809"/>
  <c r="GL44" i="14809"/>
  <c r="B327" i="14814"/>
  <c r="B334" i="14814"/>
  <c r="B341" i="14814"/>
  <c r="B348" i="14814"/>
  <c r="B355" i="14814"/>
  <c r="B362" i="14814"/>
  <c r="B369" i="14814"/>
  <c r="B376" i="14814"/>
  <c r="B383" i="14814"/>
  <c r="B390" i="14814"/>
  <c r="B397" i="14814"/>
  <c r="B404" i="14814"/>
  <c r="B411" i="14814"/>
  <c r="B418" i="14814"/>
  <c r="B425" i="14814"/>
  <c r="B432" i="14814"/>
  <c r="B439" i="14814"/>
  <c r="B446" i="14814"/>
  <c r="B453" i="14814"/>
  <c r="B460" i="14814"/>
  <c r="B467" i="14814"/>
  <c r="B474" i="14814"/>
  <c r="B481" i="14814"/>
  <c r="B488" i="14814"/>
  <c r="B495" i="14814"/>
  <c r="B502" i="14814"/>
  <c r="B509" i="14814"/>
  <c r="B516" i="14814"/>
  <c r="B523" i="14814"/>
  <c r="B530" i="14814"/>
  <c r="B537" i="14814"/>
  <c r="B544" i="14814"/>
  <c r="B551" i="14814"/>
  <c r="B558" i="14814"/>
  <c r="B565" i="14814"/>
  <c r="B572" i="14814"/>
  <c r="B579" i="14814"/>
  <c r="B586" i="14814"/>
  <c r="B593" i="14814"/>
  <c r="B600" i="14814"/>
  <c r="B607" i="14814"/>
  <c r="B614" i="14814"/>
  <c r="B621" i="14814"/>
  <c r="B628" i="14814"/>
  <c r="B635" i="14814"/>
  <c r="B642" i="14814"/>
  <c r="B649" i="14814"/>
  <c r="B656" i="14814"/>
  <c r="B306" i="14814"/>
  <c r="B313" i="14814"/>
  <c r="B320" i="14814"/>
  <c r="B299" i="14814"/>
  <c r="B292" i="14814"/>
  <c r="F272" i="14814"/>
  <c r="B293" i="14814" s="1"/>
  <c r="B524" i="14814"/>
  <c r="B356" i="14814"/>
  <c r="A68" i="14814"/>
  <c r="D68" i="14814" s="1"/>
  <c r="R72" i="14814"/>
  <c r="S72" i="14814"/>
  <c r="R73" i="14814"/>
  <c r="S73" i="14814" s="1"/>
  <c r="R74" i="14814"/>
  <c r="S74" i="14814"/>
  <c r="R75" i="14814"/>
  <c r="S75" i="14814"/>
  <c r="R76" i="14814"/>
  <c r="S76" i="14814"/>
  <c r="R77" i="14814"/>
  <c r="S77" i="14814" s="1"/>
  <c r="R78" i="14814"/>
  <c r="S78" i="14814"/>
  <c r="R79" i="14814"/>
  <c r="S79" i="14814"/>
  <c r="R80" i="14814"/>
  <c r="S80" i="14814"/>
  <c r="R81" i="14814"/>
  <c r="S81" i="14814" s="1"/>
  <c r="R82" i="14814"/>
  <c r="S82" i="14814"/>
  <c r="R83" i="14814"/>
  <c r="S83" i="14814"/>
  <c r="R84" i="14814"/>
  <c r="S84" i="14814"/>
  <c r="R85" i="14814"/>
  <c r="S85" i="14814" s="1"/>
  <c r="R86" i="14814"/>
  <c r="S86" i="14814"/>
  <c r="C94" i="14814"/>
  <c r="C627" i="14814"/>
  <c r="C628" i="14814" s="1"/>
  <c r="C629" i="14814" s="1"/>
  <c r="C630" i="14814" s="1"/>
  <c r="C631" i="14814" s="1"/>
  <c r="C632" i="14814" s="1"/>
  <c r="C633" i="14814" s="1"/>
  <c r="C634" i="14814" s="1"/>
  <c r="C635" i="14814" s="1"/>
  <c r="C636" i="14814" s="1"/>
  <c r="C637" i="14814" s="1"/>
  <c r="C638" i="14814" s="1"/>
  <c r="C639" i="14814" s="1"/>
  <c r="C640" i="14814" s="1"/>
  <c r="C641" i="14814" s="1"/>
  <c r="C642" i="14814" s="1"/>
  <c r="C643" i="14814" s="1"/>
  <c r="C644" i="14814" s="1"/>
  <c r="C645" i="14814" s="1"/>
  <c r="C646" i="14814" s="1"/>
  <c r="C647" i="14814" s="1"/>
  <c r="C648" i="14814" s="1"/>
  <c r="C649" i="14814" s="1"/>
  <c r="C650" i="14814" s="1"/>
  <c r="C651" i="14814" s="1"/>
  <c r="C652" i="14814" s="1"/>
  <c r="C653" i="14814" s="1"/>
  <c r="C654" i="14814" s="1"/>
  <c r="C655" i="14814" s="1"/>
  <c r="C656" i="14814" s="1"/>
  <c r="A627" i="14814"/>
  <c r="C597" i="14814"/>
  <c r="C598" i="14814" s="1"/>
  <c r="C599" i="14814" s="1"/>
  <c r="C600" i="14814" s="1"/>
  <c r="C601" i="14814" s="1"/>
  <c r="C602" i="14814" s="1"/>
  <c r="C603" i="14814" s="1"/>
  <c r="C604" i="14814" s="1"/>
  <c r="C605" i="14814" s="1"/>
  <c r="C606" i="14814" s="1"/>
  <c r="C607" i="14814" s="1"/>
  <c r="C608" i="14814" s="1"/>
  <c r="C609" i="14814" s="1"/>
  <c r="C610" i="14814" s="1"/>
  <c r="C611" i="14814" s="1"/>
  <c r="C612" i="14814" s="1"/>
  <c r="C613" i="14814" s="1"/>
  <c r="C614" i="14814" s="1"/>
  <c r="C615" i="14814" s="1"/>
  <c r="C616" i="14814" s="1"/>
  <c r="C617" i="14814" s="1"/>
  <c r="C618" i="14814" s="1"/>
  <c r="C619" i="14814" s="1"/>
  <c r="C620" i="14814" s="1"/>
  <c r="C621" i="14814" s="1"/>
  <c r="C622" i="14814" s="1"/>
  <c r="C623" i="14814" s="1"/>
  <c r="C624" i="14814" s="1"/>
  <c r="C625" i="14814" s="1"/>
  <c r="A597" i="14814"/>
  <c r="A598" i="14814" s="1"/>
  <c r="A599" i="14814" s="1"/>
  <c r="A600" i="14814" s="1"/>
  <c r="A601" i="14814" s="1"/>
  <c r="A602" i="14814" s="1"/>
  <c r="A603" i="14814" s="1"/>
  <c r="A604" i="14814" s="1"/>
  <c r="A605" i="14814" s="1"/>
  <c r="A606" i="14814" s="1"/>
  <c r="A607" i="14814" s="1"/>
  <c r="A608" i="14814" s="1"/>
  <c r="A609" i="14814" s="1"/>
  <c r="A610" i="14814" s="1"/>
  <c r="A611" i="14814" s="1"/>
  <c r="A612" i="14814" s="1"/>
  <c r="A613" i="14814" s="1"/>
  <c r="A614" i="14814" s="1"/>
  <c r="A615" i="14814" s="1"/>
  <c r="A616" i="14814" s="1"/>
  <c r="A617" i="14814" s="1"/>
  <c r="A618" i="14814" s="1"/>
  <c r="A619" i="14814" s="1"/>
  <c r="A620" i="14814" s="1"/>
  <c r="A621" i="14814" s="1"/>
  <c r="A622" i="14814" s="1"/>
  <c r="A623" i="14814" s="1"/>
  <c r="A624" i="14814" s="1"/>
  <c r="A625" i="14814" s="1"/>
  <c r="C566" i="14814"/>
  <c r="C567" i="14814" s="1"/>
  <c r="C568" i="14814" s="1"/>
  <c r="C569" i="14814" s="1"/>
  <c r="C570" i="14814" s="1"/>
  <c r="C571" i="14814" s="1"/>
  <c r="C572" i="14814" s="1"/>
  <c r="C573" i="14814" s="1"/>
  <c r="C574" i="14814" s="1"/>
  <c r="C575" i="14814" s="1"/>
  <c r="C576" i="14814" s="1"/>
  <c r="C577" i="14814" s="1"/>
  <c r="C578" i="14814" s="1"/>
  <c r="C579" i="14814" s="1"/>
  <c r="C580" i="14814" s="1"/>
  <c r="C581" i="14814" s="1"/>
  <c r="C582" i="14814" s="1"/>
  <c r="C583" i="14814" s="1"/>
  <c r="C584" i="14814" s="1"/>
  <c r="C585" i="14814" s="1"/>
  <c r="C586" i="14814" s="1"/>
  <c r="C587" i="14814" s="1"/>
  <c r="C588" i="14814" s="1"/>
  <c r="C589" i="14814" s="1"/>
  <c r="C590" i="14814" s="1"/>
  <c r="C591" i="14814" s="1"/>
  <c r="C592" i="14814" s="1"/>
  <c r="C593" i="14814" s="1"/>
  <c r="C594" i="14814" s="1"/>
  <c r="C595" i="14814" s="1"/>
  <c r="A566" i="14814"/>
  <c r="A567" i="14814"/>
  <c r="A568" i="14814" s="1"/>
  <c r="C536" i="14814"/>
  <c r="C537" i="14814" s="1"/>
  <c r="C538" i="14814"/>
  <c r="C539" i="14814" s="1"/>
  <c r="C540" i="14814" s="1"/>
  <c r="C541" i="14814" s="1"/>
  <c r="C542" i="14814" s="1"/>
  <c r="C543" i="14814" s="1"/>
  <c r="C544" i="14814" s="1"/>
  <c r="C545" i="14814" s="1"/>
  <c r="C546" i="14814" s="1"/>
  <c r="C547" i="14814" s="1"/>
  <c r="C548" i="14814" s="1"/>
  <c r="C549" i="14814" s="1"/>
  <c r="C550" i="14814" s="1"/>
  <c r="C551" i="14814" s="1"/>
  <c r="C552" i="14814" s="1"/>
  <c r="C553" i="14814" s="1"/>
  <c r="C554" i="14814" s="1"/>
  <c r="C555" i="14814" s="1"/>
  <c r="C556" i="14814" s="1"/>
  <c r="C557" i="14814" s="1"/>
  <c r="C558" i="14814" s="1"/>
  <c r="C559" i="14814" s="1"/>
  <c r="C560" i="14814" s="1"/>
  <c r="C561" i="14814" s="1"/>
  <c r="C562" i="14814" s="1"/>
  <c r="C563" i="14814" s="1"/>
  <c r="C564" i="14814" s="1"/>
  <c r="A536" i="14814"/>
  <c r="A537" i="14814"/>
  <c r="A538" i="14814" s="1"/>
  <c r="A539" i="14814" s="1"/>
  <c r="A540" i="14814" s="1"/>
  <c r="A541" i="14814" s="1"/>
  <c r="A542" i="14814" s="1"/>
  <c r="A543" i="14814" s="1"/>
  <c r="A544" i="14814" s="1"/>
  <c r="A545" i="14814" s="1"/>
  <c r="A546" i="14814" s="1"/>
  <c r="A547" i="14814" s="1"/>
  <c r="A548" i="14814" s="1"/>
  <c r="A549" i="14814" s="1"/>
  <c r="A550" i="14814" s="1"/>
  <c r="A551" i="14814" s="1"/>
  <c r="A552" i="14814" s="1"/>
  <c r="A553" i="14814" s="1"/>
  <c r="A554" i="14814" s="1"/>
  <c r="A555" i="14814" s="1"/>
  <c r="A556" i="14814" s="1"/>
  <c r="A557" i="14814" s="1"/>
  <c r="A558" i="14814" s="1"/>
  <c r="A559" i="14814" s="1"/>
  <c r="A560" i="14814" s="1"/>
  <c r="A561" i="14814" s="1"/>
  <c r="A562" i="14814" s="1"/>
  <c r="A563" i="14814" s="1"/>
  <c r="A564" i="14814" s="1"/>
  <c r="C505" i="14814"/>
  <c r="C506" i="14814" s="1"/>
  <c r="C507" i="14814" s="1"/>
  <c r="C508" i="14814" s="1"/>
  <c r="C509" i="14814" s="1"/>
  <c r="C510" i="14814" s="1"/>
  <c r="C511" i="14814" s="1"/>
  <c r="C512" i="14814" s="1"/>
  <c r="C513" i="14814" s="1"/>
  <c r="C514" i="14814" s="1"/>
  <c r="C515" i="14814" s="1"/>
  <c r="C516" i="14814" s="1"/>
  <c r="C517" i="14814" s="1"/>
  <c r="C518" i="14814" s="1"/>
  <c r="C519" i="14814" s="1"/>
  <c r="C520" i="14814" s="1"/>
  <c r="C521" i="14814" s="1"/>
  <c r="C522" i="14814" s="1"/>
  <c r="C523" i="14814" s="1"/>
  <c r="C524" i="14814" s="1"/>
  <c r="C525" i="14814" s="1"/>
  <c r="C526" i="14814" s="1"/>
  <c r="C527" i="14814" s="1"/>
  <c r="C528" i="14814" s="1"/>
  <c r="C529" i="14814" s="1"/>
  <c r="C530" i="14814" s="1"/>
  <c r="C531" i="14814" s="1"/>
  <c r="C532" i="14814" s="1"/>
  <c r="C533" i="14814" s="1"/>
  <c r="C534" i="14814" s="1"/>
  <c r="A505" i="14814"/>
  <c r="A506" i="14814" s="1"/>
  <c r="C474" i="14814"/>
  <c r="C475" i="14814" s="1"/>
  <c r="C476" i="14814" s="1"/>
  <c r="C477" i="14814" s="1"/>
  <c r="C478" i="14814" s="1"/>
  <c r="C479" i="14814" s="1"/>
  <c r="C480" i="14814" s="1"/>
  <c r="C481" i="14814" s="1"/>
  <c r="C482" i="14814" s="1"/>
  <c r="C483" i="14814" s="1"/>
  <c r="C484" i="14814" s="1"/>
  <c r="C485" i="14814" s="1"/>
  <c r="C486" i="14814" s="1"/>
  <c r="C487" i="14814" s="1"/>
  <c r="C488" i="14814" s="1"/>
  <c r="C489" i="14814" s="1"/>
  <c r="C490" i="14814" s="1"/>
  <c r="C491" i="14814" s="1"/>
  <c r="C492" i="14814" s="1"/>
  <c r="C493" i="14814" s="1"/>
  <c r="C494" i="14814" s="1"/>
  <c r="C495" i="14814" s="1"/>
  <c r="C496" i="14814" s="1"/>
  <c r="C497" i="14814" s="1"/>
  <c r="C498" i="14814" s="1"/>
  <c r="C499" i="14814" s="1"/>
  <c r="C500" i="14814" s="1"/>
  <c r="C501" i="14814" s="1"/>
  <c r="C502" i="14814" s="1"/>
  <c r="C503" i="14814" s="1"/>
  <c r="A474" i="14814"/>
  <c r="A475" i="14814" s="1"/>
  <c r="A476" i="14814" s="1"/>
  <c r="A477" i="14814" s="1"/>
  <c r="A478" i="14814" s="1"/>
  <c r="A479" i="14814" s="1"/>
  <c r="A480" i="14814" s="1"/>
  <c r="A481" i="14814" s="1"/>
  <c r="C444" i="14814"/>
  <c r="C445" i="14814" s="1"/>
  <c r="C446" i="14814" s="1"/>
  <c r="C447" i="14814" s="1"/>
  <c r="C448" i="14814" s="1"/>
  <c r="C449" i="14814" s="1"/>
  <c r="C450" i="14814" s="1"/>
  <c r="C451" i="14814" s="1"/>
  <c r="C452" i="14814" s="1"/>
  <c r="C453" i="14814" s="1"/>
  <c r="C454" i="14814" s="1"/>
  <c r="C455" i="14814" s="1"/>
  <c r="C456" i="14814" s="1"/>
  <c r="C457" i="14814" s="1"/>
  <c r="C458" i="14814" s="1"/>
  <c r="C459" i="14814" s="1"/>
  <c r="C460" i="14814" s="1"/>
  <c r="C461" i="14814" s="1"/>
  <c r="C462" i="14814" s="1"/>
  <c r="C463" i="14814" s="1"/>
  <c r="C464" i="14814" s="1"/>
  <c r="C465" i="14814" s="1"/>
  <c r="C466" i="14814" s="1"/>
  <c r="C467" i="14814" s="1"/>
  <c r="C468" i="14814" s="1"/>
  <c r="C469" i="14814" s="1"/>
  <c r="C470" i="14814" s="1"/>
  <c r="C471" i="14814" s="1"/>
  <c r="C472" i="14814" s="1"/>
  <c r="A444" i="14814"/>
  <c r="A445" i="14814"/>
  <c r="C413" i="14814"/>
  <c r="C414" i="14814"/>
  <c r="C415" i="14814" s="1"/>
  <c r="C416" i="14814"/>
  <c r="C417" i="14814" s="1"/>
  <c r="C418" i="14814" s="1"/>
  <c r="C419" i="14814" s="1"/>
  <c r="C420" i="14814" s="1"/>
  <c r="C421" i="14814" s="1"/>
  <c r="C422" i="14814" s="1"/>
  <c r="C423" i="14814" s="1"/>
  <c r="C424" i="14814" s="1"/>
  <c r="C425" i="14814" s="1"/>
  <c r="C426" i="14814" s="1"/>
  <c r="C427" i="14814" s="1"/>
  <c r="C428" i="14814" s="1"/>
  <c r="C429" i="14814" s="1"/>
  <c r="C430" i="14814" s="1"/>
  <c r="C431" i="14814" s="1"/>
  <c r="C432" i="14814" s="1"/>
  <c r="C433" i="14814" s="1"/>
  <c r="C434" i="14814" s="1"/>
  <c r="C435" i="14814" s="1"/>
  <c r="C436" i="14814" s="1"/>
  <c r="C437" i="14814" s="1"/>
  <c r="C438" i="14814" s="1"/>
  <c r="C439" i="14814" s="1"/>
  <c r="C440" i="14814" s="1"/>
  <c r="C441" i="14814" s="1"/>
  <c r="C442" i="14814" s="1"/>
  <c r="A413" i="14814"/>
  <c r="A414" i="14814"/>
  <c r="C383" i="14814"/>
  <c r="C384" i="14814" s="1"/>
  <c r="C385" i="14814" s="1"/>
  <c r="C386" i="14814" s="1"/>
  <c r="C387" i="14814" s="1"/>
  <c r="C388" i="14814" s="1"/>
  <c r="C389" i="14814" s="1"/>
  <c r="C390" i="14814" s="1"/>
  <c r="C391" i="14814" s="1"/>
  <c r="C392" i="14814" s="1"/>
  <c r="C393" i="14814" s="1"/>
  <c r="C394" i="14814" s="1"/>
  <c r="C395" i="14814" s="1"/>
  <c r="C396" i="14814" s="1"/>
  <c r="C397" i="14814" s="1"/>
  <c r="C398" i="14814" s="1"/>
  <c r="C399" i="14814" s="1"/>
  <c r="C400" i="14814" s="1"/>
  <c r="C401" i="14814" s="1"/>
  <c r="C402" i="14814" s="1"/>
  <c r="C403" i="14814" s="1"/>
  <c r="C404" i="14814" s="1"/>
  <c r="C405" i="14814" s="1"/>
  <c r="C406" i="14814" s="1"/>
  <c r="C407" i="14814" s="1"/>
  <c r="C408" i="14814" s="1"/>
  <c r="C409" i="14814" s="1"/>
  <c r="C410" i="14814" s="1"/>
  <c r="C411" i="14814" s="1"/>
  <c r="A383" i="14814"/>
  <c r="A384" i="14814" s="1"/>
  <c r="A385" i="14814" s="1"/>
  <c r="A386" i="14814" s="1"/>
  <c r="A387" i="14814" s="1"/>
  <c r="A388" i="14814" s="1"/>
  <c r="A389" i="14814" s="1"/>
  <c r="A390" i="14814" s="1"/>
  <c r="A391" i="14814" s="1"/>
  <c r="A392" i="14814" s="1"/>
  <c r="A393" i="14814" s="1"/>
  <c r="A394" i="14814" s="1"/>
  <c r="A395" i="14814" s="1"/>
  <c r="A396" i="14814" s="1"/>
  <c r="A397" i="14814" s="1"/>
  <c r="A398" i="14814" s="1"/>
  <c r="A399" i="14814" s="1"/>
  <c r="A400" i="14814" s="1"/>
  <c r="A401" i="14814" s="1"/>
  <c r="A402" i="14814" s="1"/>
  <c r="A403" i="14814" s="1"/>
  <c r="A404" i="14814" s="1"/>
  <c r="A405" i="14814" s="1"/>
  <c r="A406" i="14814" s="1"/>
  <c r="A407" i="14814" s="1"/>
  <c r="A408" i="14814" s="1"/>
  <c r="A409" i="14814" s="1"/>
  <c r="A410" i="14814" s="1"/>
  <c r="A411" i="14814" s="1"/>
  <c r="C352" i="14814"/>
  <c r="C353" i="14814"/>
  <c r="C354" i="14814" s="1"/>
  <c r="C355" i="14814" s="1"/>
  <c r="C356" i="14814" s="1"/>
  <c r="C357" i="14814" s="1"/>
  <c r="C358" i="14814" s="1"/>
  <c r="C359" i="14814" s="1"/>
  <c r="C360" i="14814"/>
  <c r="C361" i="14814" s="1"/>
  <c r="C362" i="14814" s="1"/>
  <c r="C363" i="14814" s="1"/>
  <c r="C364" i="14814" s="1"/>
  <c r="C365" i="14814" s="1"/>
  <c r="C366" i="14814" s="1"/>
  <c r="C367" i="14814" s="1"/>
  <c r="C368" i="14814" s="1"/>
  <c r="C369" i="14814" s="1"/>
  <c r="C370" i="14814" s="1"/>
  <c r="C371" i="14814" s="1"/>
  <c r="C372" i="14814" s="1"/>
  <c r="C373" i="14814" s="1"/>
  <c r="C374" i="14814" s="1"/>
  <c r="C375" i="14814" s="1"/>
  <c r="C376" i="14814" s="1"/>
  <c r="C377" i="14814" s="1"/>
  <c r="C378" i="14814" s="1"/>
  <c r="C379" i="14814" s="1"/>
  <c r="C380" i="14814" s="1"/>
  <c r="C381" i="14814" s="1"/>
  <c r="A352" i="14814"/>
  <c r="A353" i="14814" s="1"/>
  <c r="C324" i="14814"/>
  <c r="C325" i="14814"/>
  <c r="C326" i="14814" s="1"/>
  <c r="C327" i="14814" s="1"/>
  <c r="C328" i="14814" s="1"/>
  <c r="C329" i="14814" s="1"/>
  <c r="C330" i="14814" s="1"/>
  <c r="C331" i="14814" s="1"/>
  <c r="C332" i="14814"/>
  <c r="C333" i="14814" s="1"/>
  <c r="C334" i="14814" s="1"/>
  <c r="C335" i="14814" s="1"/>
  <c r="C336" i="14814" s="1"/>
  <c r="C337" i="14814" s="1"/>
  <c r="C338" i="14814" s="1"/>
  <c r="C339" i="14814" s="1"/>
  <c r="C340" i="14814" s="1"/>
  <c r="C341" i="14814" s="1"/>
  <c r="C342" i="14814" s="1"/>
  <c r="C343" i="14814" s="1"/>
  <c r="C344" i="14814" s="1"/>
  <c r="C345" i="14814" s="1"/>
  <c r="C346" i="14814" s="1"/>
  <c r="C347" i="14814" s="1"/>
  <c r="C348" i="14814" s="1"/>
  <c r="C349" i="14814" s="1"/>
  <c r="C350" i="14814" s="1"/>
  <c r="A324" i="14814"/>
  <c r="A325" i="14814" s="1"/>
  <c r="A326" i="14814" s="1"/>
  <c r="A327" i="14814" s="1"/>
  <c r="A328" i="14814" s="1"/>
  <c r="A329" i="14814" s="1"/>
  <c r="A330" i="14814" s="1"/>
  <c r="A331" i="14814" s="1"/>
  <c r="A332" i="14814" s="1"/>
  <c r="A333" i="14814" s="1"/>
  <c r="A334" i="14814" s="1"/>
  <c r="A335" i="14814" s="1"/>
  <c r="A336" i="14814" s="1"/>
  <c r="A337" i="14814" s="1"/>
  <c r="A338" i="14814" s="1"/>
  <c r="A339" i="14814" s="1"/>
  <c r="A340" i="14814" s="1"/>
  <c r="A341" i="14814" s="1"/>
  <c r="A342" i="14814" s="1"/>
  <c r="A343" i="14814" s="1"/>
  <c r="A344" i="14814" s="1"/>
  <c r="A345" i="14814" s="1"/>
  <c r="A346" i="14814" s="1"/>
  <c r="A347" i="14814" s="1"/>
  <c r="A348" i="14814" s="1"/>
  <c r="A349" i="14814" s="1"/>
  <c r="A350" i="14814" s="1"/>
  <c r="D293" i="14814"/>
  <c r="C293" i="14814"/>
  <c r="C294" i="14814" s="1"/>
  <c r="C295" i="14814" s="1"/>
  <c r="C296" i="14814" s="1"/>
  <c r="C297" i="14814" s="1"/>
  <c r="C298" i="14814" s="1"/>
  <c r="C299" i="14814" s="1"/>
  <c r="C300" i="14814" s="1"/>
  <c r="C301" i="14814" s="1"/>
  <c r="C302" i="14814" s="1"/>
  <c r="C303" i="14814" s="1"/>
  <c r="C304" i="14814" s="1"/>
  <c r="C305" i="14814" s="1"/>
  <c r="C306" i="14814" s="1"/>
  <c r="C307" i="14814" s="1"/>
  <c r="C308" i="14814" s="1"/>
  <c r="C309" i="14814" s="1"/>
  <c r="C310" i="14814" s="1"/>
  <c r="C311" i="14814" s="1"/>
  <c r="C312" i="14814" s="1"/>
  <c r="C313" i="14814" s="1"/>
  <c r="C314" i="14814" s="1"/>
  <c r="C315" i="14814" s="1"/>
  <c r="C316" i="14814" s="1"/>
  <c r="C317" i="14814" s="1"/>
  <c r="C318" i="14814" s="1"/>
  <c r="C319" i="14814" s="1"/>
  <c r="C320" i="14814" s="1"/>
  <c r="C321" i="14814" s="1"/>
  <c r="C322" i="14814" s="1"/>
  <c r="A293" i="14814"/>
  <c r="A294" i="14814" s="1"/>
  <c r="A295" i="14814" s="1"/>
  <c r="A296" i="14814" s="1"/>
  <c r="A297" i="14814" s="1"/>
  <c r="A298" i="14814" s="1"/>
  <c r="A299" i="14814" s="1"/>
  <c r="A300" i="14814" s="1"/>
  <c r="A301" i="14814" s="1"/>
  <c r="A302" i="14814" s="1"/>
  <c r="A303" i="14814" s="1"/>
  <c r="A304" i="14814" s="1"/>
  <c r="A305" i="14814" s="1"/>
  <c r="A272" i="14814"/>
  <c r="A240" i="14814"/>
  <c r="A239" i="14814"/>
  <c r="A238" i="14814"/>
  <c r="A237" i="14814"/>
  <c r="A236" i="14814"/>
  <c r="A235" i="14814"/>
  <c r="A234" i="14814"/>
  <c r="A233" i="14814"/>
  <c r="A232" i="14814"/>
  <c r="A231" i="14814"/>
  <c r="A230" i="14814"/>
  <c r="A229" i="14814"/>
  <c r="A228" i="14814"/>
  <c r="A227" i="14814"/>
  <c r="A226" i="14814"/>
  <c r="A225" i="14814"/>
  <c r="A224" i="14814"/>
  <c r="A223" i="14814"/>
  <c r="A222" i="14814"/>
  <c r="A221" i="14814"/>
  <c r="A220" i="14814"/>
  <c r="A219" i="14814"/>
  <c r="A218" i="14814"/>
  <c r="A217" i="14814"/>
  <c r="A216" i="14814"/>
  <c r="A215" i="14814"/>
  <c r="A214" i="14814"/>
  <c r="A213" i="14814"/>
  <c r="A212" i="14814"/>
  <c r="A211" i="14814"/>
  <c r="A210" i="14814"/>
  <c r="A209" i="14814"/>
  <c r="A208" i="14814"/>
  <c r="A207" i="14814"/>
  <c r="A206" i="14814"/>
  <c r="A205" i="14814"/>
  <c r="A204" i="14814"/>
  <c r="A203" i="14814"/>
  <c r="A202" i="14814"/>
  <c r="A201" i="14814"/>
  <c r="A200" i="14814"/>
  <c r="A199" i="14814"/>
  <c r="A198" i="14814"/>
  <c r="A197" i="14814"/>
  <c r="A196" i="14814"/>
  <c r="A195" i="14814"/>
  <c r="A194" i="14814"/>
  <c r="A193" i="14814"/>
  <c r="A192" i="14814"/>
  <c r="A191" i="14814"/>
  <c r="A190" i="14814"/>
  <c r="A189" i="14814"/>
  <c r="A188" i="14814"/>
  <c r="A187" i="14814"/>
  <c r="A186" i="14814"/>
  <c r="A185" i="14814"/>
  <c r="A184" i="14814"/>
  <c r="A183" i="14814"/>
  <c r="A182" i="14814"/>
  <c r="A181" i="14814"/>
  <c r="A180" i="14814"/>
  <c r="A179" i="14814"/>
  <c r="A178" i="14814"/>
  <c r="A177" i="14814"/>
  <c r="A176" i="14814"/>
  <c r="A175" i="14814"/>
  <c r="A174" i="14814"/>
  <c r="A173" i="14814"/>
  <c r="A172" i="14814"/>
  <c r="A171" i="14814"/>
  <c r="A170" i="14814"/>
  <c r="A169" i="14814"/>
  <c r="A168" i="14814"/>
  <c r="A167" i="14814"/>
  <c r="A166" i="14814"/>
  <c r="A165" i="14814"/>
  <c r="A164" i="14814"/>
  <c r="A163" i="14814"/>
  <c r="A162" i="14814"/>
  <c r="A161" i="14814"/>
  <c r="A160" i="14814"/>
  <c r="A159" i="14814"/>
  <c r="A158" i="14814"/>
  <c r="A157" i="14814"/>
  <c r="A156" i="14814"/>
  <c r="A155" i="14814"/>
  <c r="A154" i="14814"/>
  <c r="A153" i="14814"/>
  <c r="A152" i="14814"/>
  <c r="A151" i="14814"/>
  <c r="A150" i="14814"/>
  <c r="A149" i="14814"/>
  <c r="A148" i="14814"/>
  <c r="A147" i="14814"/>
  <c r="A146" i="14814"/>
  <c r="A145" i="14814"/>
  <c r="A144" i="14814"/>
  <c r="A143" i="14814"/>
  <c r="A142" i="14814"/>
  <c r="A141" i="14814"/>
  <c r="A140" i="14814"/>
  <c r="A139" i="14814"/>
  <c r="A138" i="14814"/>
  <c r="A137" i="14814"/>
  <c r="A136" i="14814"/>
  <c r="A135" i="14814"/>
  <c r="A134" i="14814"/>
  <c r="A133" i="14814"/>
  <c r="A132" i="14814"/>
  <c r="A131" i="14814"/>
  <c r="A130" i="14814"/>
  <c r="A129" i="14814"/>
  <c r="A128" i="14814"/>
  <c r="A127" i="14814"/>
  <c r="A126" i="14814"/>
  <c r="A125" i="14814"/>
  <c r="A124" i="14814"/>
  <c r="A123" i="14814"/>
  <c r="A122" i="14814"/>
  <c r="A121" i="14814"/>
  <c r="A120" i="14814"/>
  <c r="A119" i="14814"/>
  <c r="A118" i="14814"/>
  <c r="A117" i="14814"/>
  <c r="A116" i="14814"/>
  <c r="A115" i="14814"/>
  <c r="A114" i="14814"/>
  <c r="A113" i="14814"/>
  <c r="A112" i="14814"/>
  <c r="A111" i="14814"/>
  <c r="A110" i="14814"/>
  <c r="A109" i="14814"/>
  <c r="A108" i="14814"/>
  <c r="A107" i="14814"/>
  <c r="A106" i="14814"/>
  <c r="A105" i="14814"/>
  <c r="A104" i="14814"/>
  <c r="A103" i="14814"/>
  <c r="A102" i="14814"/>
  <c r="A101" i="14814"/>
  <c r="A100" i="14814"/>
  <c r="A99" i="14814"/>
  <c r="C98" i="14814"/>
  <c r="C99" i="14814" s="1"/>
  <c r="C100" i="14814" s="1"/>
  <c r="C101" i="14814" s="1"/>
  <c r="C102" i="14814" s="1"/>
  <c r="C103" i="14814" s="1"/>
  <c r="C104" i="14814" s="1"/>
  <c r="C105" i="14814" s="1"/>
  <c r="C106" i="14814" s="1"/>
  <c r="C107" i="14814" s="1"/>
  <c r="C108" i="14814" s="1"/>
  <c r="C109" i="14814" s="1"/>
  <c r="C110" i="14814" s="1"/>
  <c r="C111" i="14814" s="1"/>
  <c r="C112" i="14814" s="1"/>
  <c r="C113" i="14814" s="1"/>
  <c r="C114" i="14814" s="1"/>
  <c r="C115" i="14814" s="1"/>
  <c r="C116" i="14814" s="1"/>
  <c r="C117" i="14814" s="1"/>
  <c r="C118" i="14814" s="1"/>
  <c r="C119" i="14814" s="1"/>
  <c r="C120" i="14814" s="1"/>
  <c r="C121" i="14814" s="1"/>
  <c r="C122" i="14814" s="1"/>
  <c r="C123" i="14814" s="1"/>
  <c r="C124" i="14814" s="1"/>
  <c r="C125" i="14814" s="1"/>
  <c r="C126" i="14814" s="1"/>
  <c r="C127" i="14814" s="1"/>
  <c r="C128" i="14814" s="1"/>
  <c r="C129" i="14814" s="1"/>
  <c r="C130" i="14814" s="1"/>
  <c r="C131" i="14814" s="1"/>
  <c r="C132" i="14814" s="1"/>
  <c r="C133" i="14814" s="1"/>
  <c r="C134" i="14814" s="1"/>
  <c r="C135" i="14814" s="1"/>
  <c r="C136" i="14814" s="1"/>
  <c r="C137" i="14814" s="1"/>
  <c r="C138" i="14814" s="1"/>
  <c r="C139" i="14814" s="1"/>
  <c r="C140" i="14814" s="1"/>
  <c r="C141" i="14814" s="1"/>
  <c r="C142" i="14814" s="1"/>
  <c r="C143" i="14814" s="1"/>
  <c r="C144" i="14814" s="1"/>
  <c r="C145" i="14814" s="1"/>
  <c r="C146" i="14814" s="1"/>
  <c r="C147" i="14814" s="1"/>
  <c r="C148" i="14814" s="1"/>
  <c r="C149" i="14814" s="1"/>
  <c r="C150" i="14814" s="1"/>
  <c r="C151" i="14814" s="1"/>
  <c r="C152" i="14814" s="1"/>
  <c r="C153" i="14814" s="1"/>
  <c r="C154" i="14814" s="1"/>
  <c r="C155" i="14814" s="1"/>
  <c r="C156" i="14814" s="1"/>
  <c r="C157" i="14814" s="1"/>
  <c r="C158" i="14814" s="1"/>
  <c r="C159" i="14814" s="1"/>
  <c r="C160" i="14814" s="1"/>
  <c r="C161" i="14814" s="1"/>
  <c r="C162" i="14814" s="1"/>
  <c r="C163" i="14814" s="1"/>
  <c r="C164" i="14814" s="1"/>
  <c r="C165" i="14814" s="1"/>
  <c r="C166" i="14814" s="1"/>
  <c r="C167" i="14814" s="1"/>
  <c r="C168" i="14814" s="1"/>
  <c r="C169" i="14814" s="1"/>
  <c r="C170" i="14814" s="1"/>
  <c r="C171" i="14814" s="1"/>
  <c r="C172" i="14814" s="1"/>
  <c r="C173" i="14814" s="1"/>
  <c r="C174" i="14814" s="1"/>
  <c r="C175" i="14814" s="1"/>
  <c r="C176" i="14814" s="1"/>
  <c r="C177" i="14814" s="1"/>
  <c r="C178" i="14814" s="1"/>
  <c r="C179" i="14814" s="1"/>
  <c r="C180" i="14814" s="1"/>
  <c r="C181" i="14814" s="1"/>
  <c r="C182" i="14814" s="1"/>
  <c r="C183" i="14814" s="1"/>
  <c r="C184" i="14814" s="1"/>
  <c r="C185" i="14814" s="1"/>
  <c r="C186" i="14814" s="1"/>
  <c r="C187" i="14814" s="1"/>
  <c r="C188" i="14814" s="1"/>
  <c r="C189" i="14814" s="1"/>
  <c r="C190" i="14814" s="1"/>
  <c r="C191" i="14814" s="1"/>
  <c r="C192" i="14814" s="1"/>
  <c r="C193" i="14814" s="1"/>
  <c r="C194" i="14814" s="1"/>
  <c r="C195" i="14814" s="1"/>
  <c r="C196" i="14814" s="1"/>
  <c r="C197" i="14814" s="1"/>
  <c r="C198" i="14814" s="1"/>
  <c r="C199" i="14814" s="1"/>
  <c r="C200" i="14814" s="1"/>
  <c r="C201" i="14814" s="1"/>
  <c r="C202" i="14814" s="1"/>
  <c r="C203" i="14814" s="1"/>
  <c r="C204" i="14814" s="1"/>
  <c r="C205" i="14814" s="1"/>
  <c r="C206" i="14814" s="1"/>
  <c r="C207" i="14814" s="1"/>
  <c r="C208" i="14814" s="1"/>
  <c r="C209" i="14814" s="1"/>
  <c r="C210" i="14814" s="1"/>
  <c r="C211" i="14814" s="1"/>
  <c r="C212" i="14814" s="1"/>
  <c r="C213" i="14814" s="1"/>
  <c r="C214" i="14814" s="1"/>
  <c r="C215" i="14814" s="1"/>
  <c r="C216" i="14814" s="1"/>
  <c r="C217" i="14814" s="1"/>
  <c r="C218" i="14814" s="1"/>
  <c r="C219" i="14814" s="1"/>
  <c r="C220" i="14814" s="1"/>
  <c r="C221" i="14814" s="1"/>
  <c r="C222" i="14814" s="1"/>
  <c r="C223" i="14814" s="1"/>
  <c r="C224" i="14814" s="1"/>
  <c r="C225" i="14814" s="1"/>
  <c r="C226" i="14814" s="1"/>
  <c r="C227" i="14814" s="1"/>
  <c r="C228" i="14814" s="1"/>
  <c r="C229" i="14814" s="1"/>
  <c r="C230" i="14814" s="1"/>
  <c r="C231" i="14814" s="1"/>
  <c r="C232" i="14814" s="1"/>
  <c r="C233" i="14814" s="1"/>
  <c r="C234" i="14814" s="1"/>
  <c r="C235" i="14814" s="1"/>
  <c r="C236" i="14814" s="1"/>
  <c r="C237" i="14814" s="1"/>
  <c r="C238" i="14814" s="1"/>
  <c r="C239" i="14814" s="1"/>
  <c r="C240" i="14814" s="1"/>
  <c r="C241" i="14814" s="1"/>
  <c r="C242" i="14814" s="1"/>
  <c r="C243" i="14814" s="1"/>
  <c r="C244" i="14814" s="1"/>
  <c r="C245" i="14814" s="1"/>
  <c r="C246" i="14814" s="1"/>
  <c r="C247" i="14814" s="1"/>
  <c r="C248" i="14814" s="1"/>
  <c r="C249" i="14814" s="1"/>
  <c r="C250" i="14814" s="1"/>
  <c r="C251" i="14814" s="1"/>
  <c r="C252" i="14814" s="1"/>
  <c r="C253" i="14814" s="1"/>
  <c r="C254" i="14814" s="1"/>
  <c r="C255" i="14814" s="1"/>
  <c r="C256" i="14814" s="1"/>
  <c r="C257" i="14814" s="1"/>
  <c r="C258" i="14814" s="1"/>
  <c r="C259" i="14814" s="1"/>
  <c r="C260" i="14814" s="1"/>
  <c r="C261" i="14814" s="1"/>
  <c r="C262" i="14814" s="1"/>
  <c r="C263" i="14814" s="1"/>
  <c r="C264" i="14814" s="1"/>
  <c r="A98" i="14814"/>
  <c r="A97" i="14814"/>
  <c r="D294" i="14814"/>
  <c r="D295" i="14814" s="1"/>
  <c r="D296" i="14814" s="1"/>
  <c r="D297" i="14814" s="1"/>
  <c r="D298" i="14814" s="1"/>
  <c r="D299" i="14814" s="1"/>
  <c r="D300" i="14814" s="1"/>
  <c r="D301" i="14814" s="1"/>
  <c r="D302" i="14814" s="1"/>
  <c r="D303" i="14814" s="1"/>
  <c r="D304" i="14814" s="1"/>
  <c r="D305" i="14814" s="1"/>
  <c r="D306" i="14814" s="1"/>
  <c r="D307" i="14814" s="1"/>
  <c r="D308" i="14814" s="1"/>
  <c r="D309" i="14814" s="1"/>
  <c r="D310" i="14814" s="1"/>
  <c r="D311" i="14814" s="1"/>
  <c r="D312" i="14814" s="1"/>
  <c r="D313" i="14814" s="1"/>
  <c r="D314" i="14814" s="1"/>
  <c r="D315" i="14814" s="1"/>
  <c r="D316" i="14814" s="1"/>
  <c r="D317" i="14814" s="1"/>
  <c r="D318" i="14814" s="1"/>
  <c r="D319" i="14814" s="1"/>
  <c r="D320" i="14814" s="1"/>
  <c r="D321" i="14814" s="1"/>
  <c r="D322" i="14814" s="1"/>
  <c r="D323" i="14814" s="1"/>
  <c r="D324" i="14814" s="1"/>
  <c r="D325" i="14814" s="1"/>
  <c r="D326" i="14814" s="1"/>
  <c r="D327" i="14814" s="1"/>
  <c r="D328" i="14814" s="1"/>
  <c r="D329" i="14814" s="1"/>
  <c r="D330" i="14814" s="1"/>
  <c r="D331" i="14814" s="1"/>
  <c r="D332" i="14814" s="1"/>
  <c r="D333" i="14814" s="1"/>
  <c r="D334" i="14814" s="1"/>
  <c r="D335" i="14814" s="1"/>
  <c r="D336" i="14814" s="1"/>
  <c r="D337" i="14814" s="1"/>
  <c r="D338" i="14814" s="1"/>
  <c r="D339" i="14814" s="1"/>
  <c r="D340" i="14814" s="1"/>
  <c r="D341" i="14814" s="1"/>
  <c r="D342" i="14814" s="1"/>
  <c r="D343" i="14814" s="1"/>
  <c r="D344" i="14814" s="1"/>
  <c r="D345" i="14814" s="1"/>
  <c r="D346" i="14814" s="1"/>
  <c r="D347" i="14814" s="1"/>
  <c r="D348" i="14814" s="1"/>
  <c r="D349" i="14814" s="1"/>
  <c r="D350" i="14814" s="1"/>
  <c r="D351" i="14814" s="1"/>
  <c r="D352" i="14814" s="1"/>
  <c r="D353" i="14814" s="1"/>
  <c r="D354" i="14814" s="1"/>
  <c r="D355" i="14814" s="1"/>
  <c r="D356" i="14814" s="1"/>
  <c r="D357" i="14814" s="1"/>
  <c r="D358" i="14814" s="1"/>
  <c r="D359" i="14814" s="1"/>
  <c r="D360" i="14814" s="1"/>
  <c r="D361" i="14814" s="1"/>
  <c r="D362" i="14814" s="1"/>
  <c r="D363" i="14814" s="1"/>
  <c r="D364" i="14814" s="1"/>
  <c r="D365" i="14814" s="1"/>
  <c r="D366" i="14814" s="1"/>
  <c r="D367" i="14814" s="1"/>
  <c r="D368" i="14814" s="1"/>
  <c r="D369" i="14814" s="1"/>
  <c r="D370" i="14814" s="1"/>
  <c r="D371" i="14814" s="1"/>
  <c r="D372" i="14814" s="1"/>
  <c r="D373" i="14814" s="1"/>
  <c r="D374" i="14814" s="1"/>
  <c r="D375" i="14814" s="1"/>
  <c r="D376" i="14814" s="1"/>
  <c r="D377" i="14814" s="1"/>
  <c r="D378" i="14814" s="1"/>
  <c r="D379" i="14814" s="1"/>
  <c r="D380" i="14814" s="1"/>
  <c r="D381" i="14814" s="1"/>
  <c r="D382" i="14814" s="1"/>
  <c r="D383" i="14814" s="1"/>
  <c r="D384" i="14814" s="1"/>
  <c r="D385" i="14814" s="1"/>
  <c r="D386" i="14814" s="1"/>
  <c r="D387" i="14814" s="1"/>
  <c r="D388" i="14814" s="1"/>
  <c r="D389" i="14814" s="1"/>
  <c r="D390" i="14814" s="1"/>
  <c r="D391" i="14814" s="1"/>
  <c r="D392" i="14814" s="1"/>
  <c r="D393" i="14814" s="1"/>
  <c r="D394" i="14814" s="1"/>
  <c r="D395" i="14814" s="1"/>
  <c r="D396" i="14814" s="1"/>
  <c r="D397" i="14814" s="1"/>
  <c r="D398" i="14814" s="1"/>
  <c r="D399" i="14814" s="1"/>
  <c r="D400" i="14814" s="1"/>
  <c r="D401" i="14814" s="1"/>
  <c r="D402" i="14814" s="1"/>
  <c r="D403" i="14814" s="1"/>
  <c r="D404" i="14814" s="1"/>
  <c r="D405" i="14814" s="1"/>
  <c r="D406" i="14814" s="1"/>
  <c r="D407" i="14814" s="1"/>
  <c r="D408" i="14814" s="1"/>
  <c r="D409" i="14814" s="1"/>
  <c r="D410" i="14814" s="1"/>
  <c r="D411" i="14814" s="1"/>
  <c r="D412" i="14814" s="1"/>
  <c r="D413" i="14814" s="1"/>
  <c r="D414" i="14814" s="1"/>
  <c r="D415" i="14814" s="1"/>
  <c r="D416" i="14814" s="1"/>
  <c r="D417" i="14814" s="1"/>
  <c r="D418" i="14814" s="1"/>
  <c r="D419" i="14814" s="1"/>
  <c r="D420" i="14814" s="1"/>
  <c r="D421" i="14814" s="1"/>
  <c r="D422" i="14814" s="1"/>
  <c r="D423" i="14814" s="1"/>
  <c r="D424" i="14814" s="1"/>
  <c r="D425" i="14814" s="1"/>
  <c r="D426" i="14814" s="1"/>
  <c r="D427" i="14814" s="1"/>
  <c r="D428" i="14814" s="1"/>
  <c r="D429" i="14814" s="1"/>
  <c r="D430" i="14814" s="1"/>
  <c r="D431" i="14814" s="1"/>
  <c r="D432" i="14814" s="1"/>
  <c r="D433" i="14814" s="1"/>
  <c r="D434" i="14814" s="1"/>
  <c r="D435" i="14814" s="1"/>
  <c r="D436" i="14814" s="1"/>
  <c r="D437" i="14814" s="1"/>
  <c r="D438" i="14814" s="1"/>
  <c r="D439" i="14814" s="1"/>
  <c r="D440" i="14814" s="1"/>
  <c r="D441" i="14814" s="1"/>
  <c r="D442" i="14814" s="1"/>
  <c r="D443" i="14814" s="1"/>
  <c r="D444" i="14814" s="1"/>
  <c r="D445" i="14814" s="1"/>
  <c r="D446" i="14814" s="1"/>
  <c r="D447" i="14814" s="1"/>
  <c r="D448" i="14814" s="1"/>
  <c r="D449" i="14814" s="1"/>
  <c r="D450" i="14814" s="1"/>
  <c r="D451" i="14814" s="1"/>
  <c r="D452" i="14814" s="1"/>
  <c r="D453" i="14814" s="1"/>
  <c r="D454" i="14814" s="1"/>
  <c r="D455" i="14814" s="1"/>
  <c r="D456" i="14814" s="1"/>
  <c r="D457" i="14814" s="1"/>
  <c r="D458" i="14814" s="1"/>
  <c r="D459" i="14814" s="1"/>
  <c r="D460" i="14814" s="1"/>
  <c r="D461" i="14814" s="1"/>
  <c r="D462" i="14814" s="1"/>
  <c r="D463" i="14814" s="1"/>
  <c r="D464" i="14814" s="1"/>
  <c r="D465" i="14814" s="1"/>
  <c r="D466" i="14814" s="1"/>
  <c r="D467" i="14814" s="1"/>
  <c r="D468" i="14814" s="1"/>
  <c r="D469" i="14814" s="1"/>
  <c r="D470" i="14814" s="1"/>
  <c r="D471" i="14814" s="1"/>
  <c r="D472" i="14814" s="1"/>
  <c r="D473" i="14814" s="1"/>
  <c r="D474" i="14814" s="1"/>
  <c r="D475" i="14814" s="1"/>
  <c r="D476" i="14814" s="1"/>
  <c r="D477" i="14814" s="1"/>
  <c r="D478" i="14814" s="1"/>
  <c r="D479" i="14814" s="1"/>
  <c r="D480" i="14814" s="1"/>
  <c r="D481" i="14814" s="1"/>
  <c r="D482" i="14814" s="1"/>
  <c r="D483" i="14814" s="1"/>
  <c r="D484" i="14814" s="1"/>
  <c r="D485" i="14814" s="1"/>
  <c r="D486" i="14814" s="1"/>
  <c r="D487" i="14814" s="1"/>
  <c r="D488" i="14814" s="1"/>
  <c r="D489" i="14814" s="1"/>
  <c r="D490" i="14814" s="1"/>
  <c r="D491" i="14814" s="1"/>
  <c r="D492" i="14814" s="1"/>
  <c r="D493" i="14814" s="1"/>
  <c r="D494" i="14814" s="1"/>
  <c r="D495" i="14814" s="1"/>
  <c r="D496" i="14814" s="1"/>
  <c r="D497" i="14814" s="1"/>
  <c r="D498" i="14814" s="1"/>
  <c r="D499" i="14814" s="1"/>
  <c r="D500" i="14814" s="1"/>
  <c r="D501" i="14814" s="1"/>
  <c r="D502" i="14814" s="1"/>
  <c r="D503" i="14814" s="1"/>
  <c r="D504" i="14814" s="1"/>
  <c r="D505" i="14814" s="1"/>
  <c r="D506" i="14814" s="1"/>
  <c r="D507" i="14814" s="1"/>
  <c r="D508" i="14814" s="1"/>
  <c r="D509" i="14814" s="1"/>
  <c r="D510" i="14814" s="1"/>
  <c r="D511" i="14814" s="1"/>
  <c r="D512" i="14814" s="1"/>
  <c r="D513" i="14814" s="1"/>
  <c r="D514" i="14814" s="1"/>
  <c r="D515" i="14814" s="1"/>
  <c r="D516" i="14814" s="1"/>
  <c r="D517" i="14814" s="1"/>
  <c r="D518" i="14814" s="1"/>
  <c r="D519" i="14814" s="1"/>
  <c r="D520" i="14814" s="1"/>
  <c r="D521" i="14814" s="1"/>
  <c r="D522" i="14814" s="1"/>
  <c r="D523" i="14814" s="1"/>
  <c r="D524" i="14814" s="1"/>
  <c r="D525" i="14814" s="1"/>
  <c r="D526" i="14814" s="1"/>
  <c r="D527" i="14814" s="1"/>
  <c r="D528" i="14814" s="1"/>
  <c r="D529" i="14814" s="1"/>
  <c r="D530" i="14814" s="1"/>
  <c r="D531" i="14814" s="1"/>
  <c r="D532" i="14814" s="1"/>
  <c r="D533" i="14814" s="1"/>
  <c r="D534" i="14814" s="1"/>
  <c r="D535" i="14814" s="1"/>
  <c r="D536" i="14814" s="1"/>
  <c r="D537" i="14814" s="1"/>
  <c r="D538" i="14814" s="1"/>
  <c r="D539" i="14814" s="1"/>
  <c r="D540" i="14814" s="1"/>
  <c r="D541" i="14814" s="1"/>
  <c r="D542" i="14814" s="1"/>
  <c r="D543" i="14814" s="1"/>
  <c r="D544" i="14814" s="1"/>
  <c r="D545" i="14814" s="1"/>
  <c r="D546" i="14814" s="1"/>
  <c r="D547" i="14814" s="1"/>
  <c r="D548" i="14814" s="1"/>
  <c r="D549" i="14814" s="1"/>
  <c r="D550" i="14814" s="1"/>
  <c r="D551" i="14814" s="1"/>
  <c r="D552" i="14814" s="1"/>
  <c r="D553" i="14814" s="1"/>
  <c r="D554" i="14814" s="1"/>
  <c r="D555" i="14814" s="1"/>
  <c r="D556" i="14814" s="1"/>
  <c r="D557" i="14814" s="1"/>
  <c r="D558" i="14814" s="1"/>
  <c r="D559" i="14814" s="1"/>
  <c r="D560" i="14814" s="1"/>
  <c r="D561" i="14814" s="1"/>
  <c r="D562" i="14814" s="1"/>
  <c r="D563" i="14814" s="1"/>
  <c r="D564" i="14814" s="1"/>
  <c r="D565" i="14814" s="1"/>
  <c r="D566" i="14814" s="1"/>
  <c r="D567" i="14814" s="1"/>
  <c r="D568" i="14814" s="1"/>
  <c r="D569" i="14814" s="1"/>
  <c r="D570" i="14814" s="1"/>
  <c r="D571" i="14814" s="1"/>
  <c r="D572" i="14814" s="1"/>
  <c r="D573" i="14814" s="1"/>
  <c r="D574" i="14814" s="1"/>
  <c r="D575" i="14814" s="1"/>
  <c r="D576" i="14814" s="1"/>
  <c r="D577" i="14814" s="1"/>
  <c r="D578" i="14814" s="1"/>
  <c r="D579" i="14814" s="1"/>
  <c r="D580" i="14814" s="1"/>
  <c r="D581" i="14814" s="1"/>
  <c r="D582" i="14814" s="1"/>
  <c r="D583" i="14814" s="1"/>
  <c r="D584" i="14814" s="1"/>
  <c r="D585" i="14814" s="1"/>
  <c r="D586" i="14814" s="1"/>
  <c r="D587" i="14814" s="1"/>
  <c r="D588" i="14814" s="1"/>
  <c r="D589" i="14814" s="1"/>
  <c r="D590" i="14814" s="1"/>
  <c r="D591" i="14814" s="1"/>
  <c r="D592" i="14814" s="1"/>
  <c r="D593" i="14814" s="1"/>
  <c r="D594" i="14814" s="1"/>
  <c r="D595" i="14814" s="1"/>
  <c r="D596" i="14814" s="1"/>
  <c r="D597" i="14814" s="1"/>
  <c r="D598" i="14814" s="1"/>
  <c r="D599" i="14814" s="1"/>
  <c r="D600" i="14814" s="1"/>
  <c r="D601" i="14814" s="1"/>
  <c r="D602" i="14814" s="1"/>
  <c r="D603" i="14814" s="1"/>
  <c r="D604" i="14814" s="1"/>
  <c r="D605" i="14814" s="1"/>
  <c r="D606" i="14814" s="1"/>
  <c r="D607" i="14814" s="1"/>
  <c r="D608" i="14814" s="1"/>
  <c r="D609" i="14814" s="1"/>
  <c r="D610" i="14814" s="1"/>
  <c r="D611" i="14814" s="1"/>
  <c r="D612" i="14814" s="1"/>
  <c r="D613" i="14814" s="1"/>
  <c r="D614" i="14814" s="1"/>
  <c r="D615" i="14814" s="1"/>
  <c r="D616" i="14814" s="1"/>
  <c r="D617" i="14814" s="1"/>
  <c r="D618" i="14814" s="1"/>
  <c r="D619" i="14814" s="1"/>
  <c r="D620" i="14814" s="1"/>
  <c r="D621" i="14814" s="1"/>
  <c r="D622" i="14814" s="1"/>
  <c r="D623" i="14814" s="1"/>
  <c r="D624" i="14814" s="1"/>
  <c r="D625" i="14814" s="1"/>
  <c r="D626" i="14814" s="1"/>
  <c r="D627" i="14814" s="1"/>
  <c r="D628" i="14814" s="1"/>
  <c r="D629" i="14814" s="1"/>
  <c r="D630" i="14814" s="1"/>
  <c r="D631" i="14814" s="1"/>
  <c r="D632" i="14814" s="1"/>
  <c r="D633" i="14814" s="1"/>
  <c r="D634" i="14814" s="1"/>
  <c r="D635" i="14814" s="1"/>
  <c r="D636" i="14814" s="1"/>
  <c r="D637" i="14814" s="1"/>
  <c r="D638" i="14814" s="1"/>
  <c r="D639" i="14814" s="1"/>
  <c r="D640" i="14814" s="1"/>
  <c r="D641" i="14814" s="1"/>
  <c r="D642" i="14814" s="1"/>
  <c r="D643" i="14814" s="1"/>
  <c r="D644" i="14814" s="1"/>
  <c r="D645" i="14814" s="1"/>
  <c r="D646" i="14814" s="1"/>
  <c r="D647" i="14814" s="1"/>
  <c r="D648" i="14814" s="1"/>
  <c r="D649" i="14814" s="1"/>
  <c r="D650" i="14814" s="1"/>
  <c r="D651" i="14814" s="1"/>
  <c r="D652" i="14814" s="1"/>
  <c r="D653" i="14814" s="1"/>
  <c r="D654" i="14814" s="1"/>
  <c r="D655" i="14814" s="1"/>
  <c r="D656" i="14814" s="1"/>
  <c r="A446" i="14814"/>
  <c r="A447" i="14814" s="1"/>
  <c r="A448" i="14814" s="1"/>
  <c r="A449" i="14814" s="1"/>
  <c r="A450" i="14814" s="1"/>
  <c r="A451" i="14814" s="1"/>
  <c r="A452" i="14814" s="1"/>
  <c r="A453" i="14814" s="1"/>
  <c r="A454" i="14814" s="1"/>
  <c r="A455" i="14814" s="1"/>
  <c r="A456" i="14814" s="1"/>
  <c r="A457" i="14814" s="1"/>
  <c r="A458" i="14814" s="1"/>
  <c r="A459" i="14814" s="1"/>
  <c r="A460" i="14814" s="1"/>
  <c r="A461" i="14814" s="1"/>
  <c r="A462" i="14814" s="1"/>
  <c r="A463" i="14814" s="1"/>
  <c r="A464" i="14814" s="1"/>
  <c r="A465" i="14814" s="1"/>
  <c r="A466" i="14814" s="1"/>
  <c r="A467" i="14814" s="1"/>
  <c r="A468" i="14814" s="1"/>
  <c r="A469" i="14814" s="1"/>
  <c r="A470" i="14814" s="1"/>
  <c r="A471" i="14814" s="1"/>
  <c r="A472" i="14814" s="1"/>
  <c r="A273" i="14814"/>
  <c r="A274" i="14814" s="1"/>
  <c r="A354" i="14814"/>
  <c r="A355" i="14814" s="1"/>
  <c r="A356" i="14814" s="1"/>
  <c r="A357" i="14814" s="1"/>
  <c r="A358" i="14814" s="1"/>
  <c r="A359" i="14814" s="1"/>
  <c r="A360" i="14814" s="1"/>
  <c r="A361" i="14814" s="1"/>
  <c r="A362" i="14814" s="1"/>
  <c r="A363" i="14814" s="1"/>
  <c r="A364" i="14814" s="1"/>
  <c r="A365" i="14814" s="1"/>
  <c r="A366" i="14814" s="1"/>
  <c r="A367" i="14814" s="1"/>
  <c r="A368" i="14814" s="1"/>
  <c r="A369" i="14814" s="1"/>
  <c r="A370" i="14814" s="1"/>
  <c r="A371" i="14814" s="1"/>
  <c r="A372" i="14814" s="1"/>
  <c r="A373" i="14814" s="1"/>
  <c r="A374" i="14814" s="1"/>
  <c r="A375" i="14814" s="1"/>
  <c r="A376" i="14814" s="1"/>
  <c r="A377" i="14814" s="1"/>
  <c r="A378" i="14814" s="1"/>
  <c r="A379" i="14814" s="1"/>
  <c r="A380" i="14814" s="1"/>
  <c r="A381" i="14814" s="1"/>
  <c r="A415" i="14814"/>
  <c r="A507" i="14814"/>
  <c r="A569" i="14814"/>
  <c r="A570" i="14814" s="1"/>
  <c r="A571" i="14814" s="1"/>
  <c r="A572" i="14814" s="1"/>
  <c r="A573" i="14814" s="1"/>
  <c r="A574" i="14814" s="1"/>
  <c r="A575" i="14814" s="1"/>
  <c r="A576" i="14814" s="1"/>
  <c r="A577" i="14814" s="1"/>
  <c r="A578" i="14814" s="1"/>
  <c r="A579" i="14814" s="1"/>
  <c r="A580" i="14814" s="1"/>
  <c r="A581" i="14814" s="1"/>
  <c r="A582" i="14814" s="1"/>
  <c r="A583" i="14814" s="1"/>
  <c r="A584" i="14814" s="1"/>
  <c r="A585" i="14814" s="1"/>
  <c r="A586" i="14814" s="1"/>
  <c r="A587" i="14814" s="1"/>
  <c r="A588" i="14814" s="1"/>
  <c r="A589" i="14814" s="1"/>
  <c r="A590" i="14814" s="1"/>
  <c r="A591" i="14814" s="1"/>
  <c r="A592" i="14814" s="1"/>
  <c r="A593" i="14814" s="1"/>
  <c r="A594" i="14814" s="1"/>
  <c r="A595" i="14814" s="1"/>
  <c r="A628" i="14814"/>
  <c r="A416" i="14814"/>
  <c r="A629" i="14814"/>
  <c r="A630" i="14814" s="1"/>
  <c r="A631" i="14814" s="1"/>
  <c r="A632" i="14814" s="1"/>
  <c r="A633" i="14814" s="1"/>
  <c r="A634" i="14814" s="1"/>
  <c r="A635" i="14814" s="1"/>
  <c r="A636" i="14814" s="1"/>
  <c r="A637" i="14814" s="1"/>
  <c r="A638" i="14814" s="1"/>
  <c r="A639" i="14814" s="1"/>
  <c r="A640" i="14814" s="1"/>
  <c r="A641" i="14814" s="1"/>
  <c r="A642" i="14814" s="1"/>
  <c r="A643" i="14814" s="1"/>
  <c r="A644" i="14814" s="1"/>
  <c r="A645" i="14814" s="1"/>
  <c r="A646" i="14814" s="1"/>
  <c r="A647" i="14814" s="1"/>
  <c r="A648" i="14814" s="1"/>
  <c r="A649" i="14814" s="1"/>
  <c r="A650" i="14814" s="1"/>
  <c r="A651" i="14814" s="1"/>
  <c r="A652" i="14814" s="1"/>
  <c r="A653" i="14814" s="1"/>
  <c r="A654" i="14814" s="1"/>
  <c r="A655" i="14814" s="1"/>
  <c r="A656" i="14814" s="1"/>
  <c r="A508" i="14814"/>
  <c r="A509" i="14814"/>
  <c r="A510" i="14814" s="1"/>
  <c r="A511" i="14814" s="1"/>
  <c r="A512" i="14814" s="1"/>
  <c r="A513" i="14814" s="1"/>
  <c r="A514" i="14814" s="1"/>
  <c r="A515" i="14814" s="1"/>
  <c r="A516" i="14814" s="1"/>
  <c r="A517" i="14814" s="1"/>
  <c r="A518" i="14814" s="1"/>
  <c r="A519" i="14814" s="1"/>
  <c r="A520" i="14814" s="1"/>
  <c r="A521" i="14814" s="1"/>
  <c r="A522" i="14814" s="1"/>
  <c r="A523" i="14814" s="1"/>
  <c r="A524" i="14814" s="1"/>
  <c r="A525" i="14814" s="1"/>
  <c r="A526" i="14814" s="1"/>
  <c r="A527" i="14814" s="1"/>
  <c r="A528" i="14814" s="1"/>
  <c r="A529" i="14814" s="1"/>
  <c r="A530" i="14814" s="1"/>
  <c r="A531" i="14814" s="1"/>
  <c r="A532" i="14814" s="1"/>
  <c r="A533" i="14814" s="1"/>
  <c r="A534" i="14814" s="1"/>
  <c r="A417" i="14814"/>
  <c r="A418" i="14814"/>
  <c r="A419" i="14814" s="1"/>
  <c r="A420" i="14814" s="1"/>
  <c r="A421" i="14814" s="1"/>
  <c r="A422" i="14814" s="1"/>
  <c r="A423" i="14814" s="1"/>
  <c r="A424" i="14814" s="1"/>
  <c r="A425" i="14814" s="1"/>
  <c r="A426" i="14814" s="1"/>
  <c r="A427" i="14814" s="1"/>
  <c r="A428" i="14814" s="1"/>
  <c r="A429" i="14814" s="1"/>
  <c r="A430" i="14814" s="1"/>
  <c r="A431" i="14814" s="1"/>
  <c r="A432" i="14814" s="1"/>
  <c r="A433" i="14814" s="1"/>
  <c r="A434" i="14814" s="1"/>
  <c r="A435" i="14814" s="1"/>
  <c r="A436" i="14814" s="1"/>
  <c r="A437" i="14814" s="1"/>
  <c r="A438" i="14814" s="1"/>
  <c r="A439" i="14814" s="1"/>
  <c r="A440" i="14814" s="1"/>
  <c r="A441" i="14814" s="1"/>
  <c r="A442" i="14814" s="1"/>
  <c r="A482" i="14814"/>
  <c r="A483" i="14814" s="1"/>
  <c r="A484" i="14814" s="1"/>
  <c r="A485" i="14814" s="1"/>
  <c r="A486" i="14814" s="1"/>
  <c r="A487" i="14814" s="1"/>
  <c r="A488" i="14814" s="1"/>
  <c r="A489" i="14814" s="1"/>
  <c r="GW54" i="14809"/>
  <c r="GV54" i="14809"/>
  <c r="GU54" i="14809"/>
  <c r="GT54" i="14809"/>
  <c r="GS54" i="14809"/>
  <c r="GR54" i="14809"/>
  <c r="GQ54" i="14809"/>
  <c r="GP54" i="14809"/>
  <c r="GO54" i="14809"/>
  <c r="GN54" i="14809"/>
  <c r="GM54" i="14809"/>
  <c r="GW53" i="14809"/>
  <c r="GV53" i="14809"/>
  <c r="GU53" i="14809"/>
  <c r="GT53" i="14809"/>
  <c r="GS53" i="14809"/>
  <c r="GR53" i="14809"/>
  <c r="GQ53" i="14809"/>
  <c r="GP53" i="14809"/>
  <c r="GO53" i="14809"/>
  <c r="GN53" i="14809"/>
  <c r="GM53" i="14809"/>
  <c r="C272" i="14814" s="1"/>
  <c r="GW52" i="14809"/>
  <c r="GV52" i="14809"/>
  <c r="GU52" i="14809"/>
  <c r="GT52" i="14809"/>
  <c r="GS52" i="14809"/>
  <c r="GR52" i="14809"/>
  <c r="GQ52" i="14809"/>
  <c r="GP52" i="14809"/>
  <c r="GO52" i="14809"/>
  <c r="GN52" i="14809"/>
  <c r="GM52" i="14809"/>
  <c r="GW51" i="14809"/>
  <c r="GV51" i="14809"/>
  <c r="GU51" i="14809"/>
  <c r="GT51" i="14809"/>
  <c r="GS51" i="14809"/>
  <c r="GR51" i="14809"/>
  <c r="GQ51" i="14809"/>
  <c r="GP51" i="14809"/>
  <c r="GO51" i="14809"/>
  <c r="GN51" i="14809"/>
  <c r="GM51" i="14809"/>
  <c r="GW50" i="14809"/>
  <c r="GV50" i="14809"/>
  <c r="GU50" i="14809"/>
  <c r="GT50" i="14809"/>
  <c r="GS50" i="14809"/>
  <c r="GR50" i="14809"/>
  <c r="GQ50" i="14809"/>
  <c r="GP50" i="14809"/>
  <c r="GO50" i="14809"/>
  <c r="GN50" i="14809"/>
  <c r="GM50" i="14809"/>
  <c r="GW49" i="14809"/>
  <c r="GV49" i="14809"/>
  <c r="GU49" i="14809"/>
  <c r="GT49" i="14809"/>
  <c r="GS49" i="14809"/>
  <c r="GR49" i="14809"/>
  <c r="GQ49" i="14809"/>
  <c r="GP49" i="14809"/>
  <c r="GO49" i="14809"/>
  <c r="GN49" i="14809"/>
  <c r="GM49" i="14809"/>
  <c r="GW48" i="14809"/>
  <c r="GV48" i="14809"/>
  <c r="GU48" i="14809"/>
  <c r="GT48" i="14809"/>
  <c r="GS48" i="14809"/>
  <c r="GR48" i="14809"/>
  <c r="GQ48" i="14809"/>
  <c r="GP48" i="14809"/>
  <c r="GO48" i="14809"/>
  <c r="GN48" i="14809"/>
  <c r="GM48" i="14809"/>
  <c r="GW47" i="14809"/>
  <c r="GV47" i="14809"/>
  <c r="GU47" i="14809"/>
  <c r="GT47" i="14809"/>
  <c r="GS47" i="14809"/>
  <c r="GR47" i="14809"/>
  <c r="GQ47" i="14809"/>
  <c r="GP47" i="14809"/>
  <c r="GO47" i="14809"/>
  <c r="GN47" i="14809"/>
  <c r="GM47" i="14809"/>
  <c r="GW46" i="14809"/>
  <c r="GV46" i="14809"/>
  <c r="GU46" i="14809"/>
  <c r="GT46" i="14809"/>
  <c r="GS46" i="14809"/>
  <c r="GR46" i="14809"/>
  <c r="GQ46" i="14809"/>
  <c r="GP46" i="14809"/>
  <c r="GO46" i="14809"/>
  <c r="GN46" i="14809"/>
  <c r="GM46" i="14809"/>
  <c r="GL46" i="14809"/>
  <c r="GL47" i="14809"/>
  <c r="GL48" i="14809"/>
  <c r="GL49" i="14809"/>
  <c r="GL50" i="14809"/>
  <c r="GL51" i="14809"/>
  <c r="GL52" i="14809"/>
  <c r="GL53" i="14809"/>
  <c r="C271" i="14814" s="1"/>
  <c r="GL54" i="14809"/>
  <c r="GX34" i="14809"/>
  <c r="GX35" i="14809"/>
  <c r="G54" i="14813"/>
  <c r="G53" i="14813"/>
  <c r="H52" i="14813"/>
  <c r="G52" i="14813"/>
  <c r="F52" i="14813"/>
  <c r="H51" i="14813"/>
  <c r="G51" i="14813"/>
  <c r="F51" i="14813"/>
  <c r="H50" i="14813"/>
  <c r="G50" i="14813"/>
  <c r="F50" i="14813"/>
  <c r="H49" i="14813"/>
  <c r="G49" i="14813"/>
  <c r="F49" i="14813"/>
  <c r="H48" i="14813"/>
  <c r="G48" i="14813"/>
  <c r="F48" i="14813"/>
  <c r="H47" i="14813"/>
  <c r="G47" i="14813"/>
  <c r="F47" i="14813"/>
  <c r="H46" i="14813"/>
  <c r="G46" i="14813"/>
  <c r="F46" i="14813"/>
  <c r="H43" i="14813"/>
  <c r="G43" i="14813"/>
  <c r="F43" i="14813"/>
  <c r="H42" i="14813"/>
  <c r="G42" i="14813"/>
  <c r="F42" i="14813"/>
  <c r="H41" i="14813"/>
  <c r="G41" i="14813"/>
  <c r="F41" i="14813"/>
  <c r="H40" i="14813"/>
  <c r="G40" i="14813"/>
  <c r="F40" i="14813"/>
  <c r="H39" i="14813"/>
  <c r="G39" i="14813"/>
  <c r="F39" i="14813"/>
  <c r="H37" i="14813"/>
  <c r="G37" i="14813"/>
  <c r="F37" i="14813"/>
  <c r="H36" i="14813"/>
  <c r="G36" i="14813"/>
  <c r="F36" i="14813"/>
  <c r="H35" i="14813"/>
  <c r="G35" i="14813"/>
  <c r="F35" i="14813"/>
  <c r="H34" i="14813"/>
  <c r="G34" i="14813"/>
  <c r="F34" i="14813"/>
  <c r="H33" i="14813"/>
  <c r="G33" i="14813"/>
  <c r="F33" i="14813"/>
  <c r="H32" i="14813"/>
  <c r="G32" i="14813"/>
  <c r="F32" i="14813"/>
  <c r="H31" i="14813"/>
  <c r="G31" i="14813"/>
  <c r="F31" i="14813"/>
  <c r="H30" i="14813"/>
  <c r="G30" i="14813"/>
  <c r="F30" i="14813"/>
  <c r="H29" i="14813"/>
  <c r="G29" i="14813"/>
  <c r="F29" i="14813"/>
  <c r="H28" i="14813"/>
  <c r="G28" i="14813"/>
  <c r="F28" i="14813"/>
  <c r="H27" i="14813"/>
  <c r="G27" i="14813"/>
  <c r="F27" i="14813"/>
  <c r="H26" i="14813"/>
  <c r="G26" i="14813"/>
  <c r="F26" i="14813"/>
  <c r="H25" i="14813"/>
  <c r="G25" i="14813"/>
  <c r="F25" i="14813"/>
  <c r="H24" i="14813"/>
  <c r="G24" i="14813"/>
  <c r="F24" i="14813"/>
  <c r="H23" i="14813"/>
  <c r="G23" i="14813"/>
  <c r="F23" i="14813"/>
  <c r="H22" i="14813"/>
  <c r="G22" i="14813"/>
  <c r="F22" i="14813"/>
  <c r="H21" i="14813"/>
  <c r="G21" i="14813"/>
  <c r="F21" i="14813"/>
  <c r="H20" i="14813"/>
  <c r="G20" i="14813"/>
  <c r="F20" i="14813"/>
  <c r="H19" i="14813"/>
  <c r="G19" i="14813"/>
  <c r="F19" i="14813"/>
  <c r="H18" i="14813"/>
  <c r="G18" i="14813"/>
  <c r="F18" i="14813"/>
  <c r="H17" i="14813"/>
  <c r="G17" i="14813"/>
  <c r="F17" i="14813"/>
  <c r="C54" i="14813"/>
  <c r="B54" i="14813"/>
  <c r="A54" i="14813"/>
  <c r="C53" i="14813"/>
  <c r="B53" i="14813"/>
  <c r="A53" i="14813"/>
  <c r="C52" i="14813"/>
  <c r="B52" i="14813"/>
  <c r="A52" i="14813"/>
  <c r="C51" i="14813"/>
  <c r="B51" i="14813"/>
  <c r="A51" i="14813"/>
  <c r="C50" i="14813"/>
  <c r="B50" i="14813"/>
  <c r="A50" i="14813"/>
  <c r="C49" i="14813"/>
  <c r="B49" i="14813"/>
  <c r="A49" i="14813"/>
  <c r="C48" i="14813"/>
  <c r="B48" i="14813"/>
  <c r="A48" i="14813"/>
  <c r="C47" i="14813"/>
  <c r="B47" i="14813"/>
  <c r="A47" i="14813"/>
  <c r="C46" i="14813"/>
  <c r="B46" i="14813"/>
  <c r="A46" i="14813"/>
  <c r="B43" i="14813"/>
  <c r="A43" i="14813"/>
  <c r="C42" i="14813"/>
  <c r="B42" i="14813"/>
  <c r="A42" i="14813"/>
  <c r="C41" i="14813"/>
  <c r="B41" i="14813"/>
  <c r="A41" i="14813"/>
  <c r="C40" i="14813"/>
  <c r="B40" i="14813"/>
  <c r="A40" i="14813"/>
  <c r="C39" i="14813"/>
  <c r="B39" i="14813"/>
  <c r="A39" i="14813"/>
  <c r="C37" i="14813"/>
  <c r="B37" i="14813"/>
  <c r="A37" i="14813"/>
  <c r="C36" i="14813"/>
  <c r="B36" i="14813"/>
  <c r="A36" i="14813"/>
  <c r="C35" i="14813"/>
  <c r="B35" i="14813"/>
  <c r="A35" i="14813"/>
  <c r="C34" i="14813"/>
  <c r="B34" i="14813"/>
  <c r="A34" i="14813"/>
  <c r="C33" i="14813"/>
  <c r="B33" i="14813"/>
  <c r="A33" i="14813"/>
  <c r="C32" i="14813"/>
  <c r="B32" i="14813"/>
  <c r="A32" i="14813"/>
  <c r="C31" i="14813"/>
  <c r="B31" i="14813"/>
  <c r="A31" i="14813"/>
  <c r="C30" i="14813"/>
  <c r="B30" i="14813"/>
  <c r="A30" i="14813"/>
  <c r="C29" i="14813"/>
  <c r="B29" i="14813"/>
  <c r="A29" i="14813"/>
  <c r="C28" i="14813"/>
  <c r="B28" i="14813"/>
  <c r="A28" i="14813"/>
  <c r="C27" i="14813"/>
  <c r="B27" i="14813"/>
  <c r="A27" i="14813"/>
  <c r="C26" i="14813"/>
  <c r="B26" i="14813"/>
  <c r="A26" i="14813"/>
  <c r="C25" i="14813"/>
  <c r="B25" i="14813"/>
  <c r="A25" i="14813"/>
  <c r="C24" i="14813"/>
  <c r="B24" i="14813"/>
  <c r="A24" i="14813"/>
  <c r="C23" i="14813"/>
  <c r="B23" i="14813"/>
  <c r="A23" i="14813"/>
  <c r="C22" i="14813"/>
  <c r="B22" i="14813"/>
  <c r="A22" i="14813"/>
  <c r="C21" i="14813"/>
  <c r="B21" i="14813"/>
  <c r="A21" i="14813"/>
  <c r="C20" i="14813"/>
  <c r="B20" i="14813"/>
  <c r="A20" i="14813"/>
  <c r="C19" i="14813"/>
  <c r="B19" i="14813"/>
  <c r="A19" i="14813"/>
  <c r="C18" i="14813"/>
  <c r="B18" i="14813"/>
  <c r="A18" i="14813"/>
  <c r="C17" i="14813"/>
  <c r="B17" i="14813"/>
  <c r="A17" i="14813"/>
  <c r="C16" i="14813"/>
  <c r="B16" i="14813"/>
  <c r="A16" i="14813"/>
  <c r="C15" i="14813"/>
  <c r="B15" i="14813"/>
  <c r="A15" i="14813"/>
  <c r="C14" i="14813"/>
  <c r="B14" i="14813"/>
  <c r="A14" i="14813"/>
  <c r="C13" i="14813"/>
  <c r="B13" i="14813"/>
  <c r="A13" i="14813"/>
  <c r="C12" i="14813"/>
  <c r="B12" i="14813"/>
  <c r="A12" i="14813"/>
  <c r="B10" i="14813"/>
  <c r="C10" i="14813"/>
  <c r="A10" i="14813"/>
  <c r="GX43" i="14809"/>
  <c r="O160" i="14786"/>
  <c r="M160" i="14786"/>
  <c r="O93" i="14786"/>
  <c r="AZ20" i="14809"/>
  <c r="BA20" i="14809" s="1"/>
  <c r="AZ15" i="14809"/>
  <c r="BA15" i="14809" s="1"/>
  <c r="AZ14" i="14809"/>
  <c r="BA14" i="14809" s="1"/>
  <c r="M89" i="14786"/>
  <c r="O89" i="14786"/>
  <c r="O96" i="14786"/>
  <c r="O99" i="14786"/>
  <c r="GX42" i="14809"/>
  <c r="GX41" i="14809"/>
  <c r="GX40" i="14809"/>
  <c r="GX39" i="14809"/>
  <c r="GX37" i="14809"/>
  <c r="GX36" i="14809"/>
  <c r="GX33" i="14809"/>
  <c r="GX32" i="14809"/>
  <c r="GX31" i="14809"/>
  <c r="GX30" i="14809"/>
  <c r="GX29" i="14809"/>
  <c r="GX28" i="14809"/>
  <c r="GX27" i="14809"/>
  <c r="GX26" i="14809"/>
  <c r="GX25" i="14809"/>
  <c r="GX22" i="14809"/>
  <c r="GX21" i="14809"/>
  <c r="GX20" i="14809"/>
  <c r="GX19" i="14809"/>
  <c r="GX18" i="14809"/>
  <c r="GX17" i="14809"/>
  <c r="GX16" i="14809"/>
  <c r="GX15" i="14809"/>
  <c r="GX14" i="14809"/>
  <c r="GX13" i="14809"/>
  <c r="GX12" i="14809"/>
  <c r="GX10" i="14809"/>
  <c r="AZ40" i="14809"/>
  <c r="BA40" i="14809" s="1"/>
  <c r="AZ42" i="14809"/>
  <c r="BA42" i="14809" s="1"/>
  <c r="AZ41" i="14809"/>
  <c r="BA41" i="14809" s="1"/>
  <c r="AZ39" i="14809"/>
  <c r="BA39" i="14809" s="1"/>
  <c r="AZ37" i="14809"/>
  <c r="BA37" i="14809" s="1"/>
  <c r="AZ36" i="14809"/>
  <c r="BA36" i="14809" s="1"/>
  <c r="AZ35" i="14809"/>
  <c r="BA35" i="14809" s="1"/>
  <c r="AZ34" i="14809"/>
  <c r="BA34" i="14809" s="1"/>
  <c r="AZ33" i="14809"/>
  <c r="BA33" i="14809" s="1"/>
  <c r="AZ32" i="14809"/>
  <c r="BA32" i="14809" s="1"/>
  <c r="AZ31" i="14809"/>
  <c r="BA31" i="14809" s="1"/>
  <c r="AZ30" i="14809"/>
  <c r="BA30" i="14809" s="1"/>
  <c r="AZ29" i="14809"/>
  <c r="BA29" i="14809" s="1"/>
  <c r="AZ28" i="14809"/>
  <c r="BA28" i="14809" s="1"/>
  <c r="AZ27" i="14809"/>
  <c r="BA27" i="14809" s="1"/>
  <c r="AZ26" i="14809"/>
  <c r="BA26" i="14809" s="1"/>
  <c r="AZ25" i="14809"/>
  <c r="BA25" i="14809" s="1"/>
  <c r="AZ22" i="14809"/>
  <c r="BA22" i="14809" s="1"/>
  <c r="AZ21" i="14809"/>
  <c r="BA21" i="14809" s="1"/>
  <c r="AZ19" i="14809"/>
  <c r="BA19" i="14809" s="1"/>
  <c r="AZ18" i="14809"/>
  <c r="BA18" i="14809" s="1"/>
  <c r="AZ17" i="14809"/>
  <c r="BA17" i="14809" s="1"/>
  <c r="AZ16" i="14809"/>
  <c r="BA16" i="14809" s="1"/>
  <c r="AZ12" i="14809"/>
  <c r="BA12" i="14809" s="1"/>
  <c r="A306" i="14814"/>
  <c r="A307" i="14814" s="1"/>
  <c r="A308" i="14814" s="1"/>
  <c r="A309" i="14814" s="1"/>
  <c r="A310" i="14814" s="1"/>
  <c r="A311" i="14814" s="1"/>
  <c r="A312" i="14814" s="1"/>
  <c r="A313" i="14814" s="1"/>
  <c r="A314" i="14814" s="1"/>
  <c r="A315" i="14814" s="1"/>
  <c r="A316" i="14814" s="1"/>
  <c r="A317" i="14814" s="1"/>
  <c r="A318" i="14814" s="1"/>
  <c r="A319" i="14814" s="1"/>
  <c r="A320" i="14814" s="1"/>
  <c r="A321" i="14814" s="1"/>
  <c r="A322" i="14814" s="1"/>
  <c r="A490" i="14814"/>
  <c r="A491" i="14814" s="1"/>
  <c r="A492" i="14814" s="1"/>
  <c r="A493" i="14814" s="1"/>
  <c r="A494" i="14814" s="1"/>
  <c r="A495" i="14814" s="1"/>
  <c r="A496" i="14814" s="1"/>
  <c r="A497" i="14814" s="1"/>
  <c r="A498" i="14814" s="1"/>
  <c r="A499" i="14814" s="1"/>
  <c r="A500" i="14814" s="1"/>
  <c r="A501" i="14814" s="1"/>
  <c r="A502" i="14814" s="1"/>
  <c r="A503" i="14814" s="1"/>
  <c r="P163" i="14822"/>
  <c r="FP39" i="14809"/>
  <c r="FP34" i="14809"/>
  <c r="FP29" i="14809"/>
  <c r="FP27" i="14809"/>
  <c r="FP19" i="14809"/>
  <c r="FP17" i="14809"/>
  <c r="FP36" i="14809"/>
  <c r="FP45" i="14809"/>
  <c r="FP42" i="14809"/>
  <c r="FP44" i="14809"/>
  <c r="FP40" i="14809"/>
  <c r="FP38" i="14809"/>
  <c r="FP35" i="14809"/>
  <c r="FP32" i="14809"/>
  <c r="FP30" i="14809"/>
  <c r="FP28" i="14809"/>
  <c r="FP26" i="14809"/>
  <c r="FP25" i="14809"/>
  <c r="FP21" i="14809"/>
  <c r="FP16" i="14809"/>
  <c r="FP15" i="14809"/>
  <c r="FP13" i="14809"/>
  <c r="FP41" i="14809"/>
  <c r="FP10" i="14809"/>
  <c r="B447" i="14814" l="1"/>
  <c r="B531" i="14814"/>
  <c r="B559" i="14814"/>
  <c r="B475" i="14814"/>
  <c r="B412" i="14814"/>
  <c r="B468" i="14814"/>
  <c r="B300" i="14814"/>
  <c r="B580" i="14814"/>
  <c r="B68" i="14814"/>
  <c r="C68" i="14814" s="1"/>
  <c r="B335" i="14814"/>
  <c r="B636" i="14814"/>
  <c r="F331" i="14814"/>
  <c r="D274" i="14814"/>
  <c r="G391" i="14814" s="1"/>
  <c r="H274" i="14814"/>
  <c r="A275" i="14814"/>
  <c r="D272" i="14814"/>
  <c r="G349" i="14814" s="1"/>
  <c r="H272" i="14814"/>
  <c r="E531" i="14814" s="1"/>
  <c r="D273" i="14814"/>
  <c r="G359" i="14814" s="1"/>
  <c r="H273" i="14814"/>
  <c r="B370" i="14814"/>
  <c r="B426" i="14814"/>
  <c r="B482" i="14814"/>
  <c r="B538" i="14814"/>
  <c r="B594" i="14814"/>
  <c r="B650" i="14814"/>
  <c r="B321" i="14814"/>
  <c r="B377" i="14814"/>
  <c r="B433" i="14814"/>
  <c r="B489" i="14814"/>
  <c r="B545" i="14814"/>
  <c r="B601" i="14814"/>
  <c r="B503" i="14814"/>
  <c r="B307" i="14814"/>
  <c r="B342" i="14814"/>
  <c r="B398" i="14814"/>
  <c r="B454" i="14814"/>
  <c r="B510" i="14814"/>
  <c r="B566" i="14814"/>
  <c r="B622" i="14814"/>
  <c r="B419" i="14814"/>
  <c r="B587" i="14814"/>
  <c r="B328" i="14814"/>
  <c r="B384" i="14814"/>
  <c r="B440" i="14814"/>
  <c r="B496" i="14814"/>
  <c r="B552" i="14814"/>
  <c r="B608" i="14814"/>
  <c r="B314" i="14814"/>
  <c r="B349" i="14814"/>
  <c r="B405" i="14814"/>
  <c r="B461" i="14814"/>
  <c r="B517" i="14814"/>
  <c r="B573" i="14814"/>
  <c r="B629" i="14814"/>
  <c r="F273" i="14814"/>
  <c r="G293" i="14814"/>
  <c r="B391" i="14814"/>
  <c r="B615" i="14814"/>
  <c r="B643" i="14814"/>
  <c r="B363" i="14814"/>
  <c r="E635" i="14814"/>
  <c r="A69" i="14814"/>
  <c r="BE7" i="14809"/>
  <c r="BK10" i="14809"/>
  <c r="C274" i="14814"/>
  <c r="F409" i="14814" s="1"/>
  <c r="F97" i="14814"/>
  <c r="F301" i="14814"/>
  <c r="F292" i="14814"/>
  <c r="FU10" i="14809"/>
  <c r="FQ10" i="14809"/>
  <c r="B67" i="14814"/>
  <c r="FU14" i="14809"/>
  <c r="C273" i="14814"/>
  <c r="F363" i="14814" s="1"/>
  <c r="FU12" i="14809"/>
  <c r="FU25" i="14809"/>
  <c r="I13" i="14813"/>
  <c r="J13" i="14813" s="1"/>
  <c r="K13" i="14813" s="1"/>
  <c r="GX51" i="14809"/>
  <c r="FL50" i="14809"/>
  <c r="FO50" i="14809"/>
  <c r="FM50" i="14809"/>
  <c r="FQ50" i="14809" s="1"/>
  <c r="FN46" i="14809"/>
  <c r="FO43" i="14809"/>
  <c r="FL43" i="14809"/>
  <c r="FM43" i="14809"/>
  <c r="FQ43" i="14809" s="1"/>
  <c r="FU21" i="14809"/>
  <c r="FU18" i="14809"/>
  <c r="FO48" i="14809"/>
  <c r="FM48" i="14809"/>
  <c r="FQ48" i="14809" s="1"/>
  <c r="FL48" i="14809"/>
  <c r="FO52" i="14809"/>
  <c r="FM52" i="14809"/>
  <c r="FQ52" i="14809" s="1"/>
  <c r="FL52" i="14809"/>
  <c r="FN50" i="14809"/>
  <c r="FN49" i="14809"/>
  <c r="I22" i="14813"/>
  <c r="J22" i="14813" s="1"/>
  <c r="K22" i="14813" s="1"/>
  <c r="I26" i="14813"/>
  <c r="J26" i="14813" s="1"/>
  <c r="K26" i="14813" s="1"/>
  <c r="I41" i="14813"/>
  <c r="J41" i="14813" s="1"/>
  <c r="K41" i="14813" s="1"/>
  <c r="I47" i="14813"/>
  <c r="J47" i="14813" s="1"/>
  <c r="K47" i="14813" s="1"/>
  <c r="Y47" i="14813" s="1"/>
  <c r="I51" i="14813"/>
  <c r="J51" i="14813" s="1"/>
  <c r="K51" i="14813" s="1"/>
  <c r="Y51" i="14813" s="1"/>
  <c r="FM49" i="14809"/>
  <c r="FQ49" i="14809" s="1"/>
  <c r="FL49" i="14809"/>
  <c r="FO49" i="14809"/>
  <c r="FM53" i="14809"/>
  <c r="FQ53" i="14809" s="1"/>
  <c r="FO53" i="14809"/>
  <c r="FL53" i="14809"/>
  <c r="FN48" i="14809"/>
  <c r="FN52" i="14809"/>
  <c r="FN53" i="14809"/>
  <c r="FM46" i="14809"/>
  <c r="FQ46" i="14809" s="1"/>
  <c r="FO46" i="14809"/>
  <c r="FL46" i="14809"/>
  <c r="FO51" i="14809"/>
  <c r="FM51" i="14809"/>
  <c r="FQ51" i="14809" s="1"/>
  <c r="FL51" i="14809"/>
  <c r="FN51" i="14809"/>
  <c r="FN43" i="14809"/>
  <c r="FQ20" i="14809"/>
  <c r="FQ17" i="14809"/>
  <c r="FQ16" i="14809"/>
  <c r="I14" i="14813"/>
  <c r="J14" i="14813" s="1"/>
  <c r="K14" i="14813" s="1"/>
  <c r="FQ35" i="14809"/>
  <c r="FQ36" i="14809"/>
  <c r="FQ38" i="14809"/>
  <c r="FQ25" i="14809"/>
  <c r="FQ24" i="14809"/>
  <c r="FU24" i="14809"/>
  <c r="AZ46" i="14809"/>
  <c r="BA46" i="14809" s="1"/>
  <c r="GX44" i="14809"/>
  <c r="FQ39" i="14809"/>
  <c r="FU38" i="14809"/>
  <c r="FU35" i="14809"/>
  <c r="FU34" i="14809"/>
  <c r="FQ30" i="14809"/>
  <c r="FU36" i="14809"/>
  <c r="FU44" i="14809"/>
  <c r="FQ42" i="14809"/>
  <c r="FU41" i="14809"/>
  <c r="FU32" i="14809"/>
  <c r="FQ32" i="14809"/>
  <c r="GX45" i="14809"/>
  <c r="FO45" i="14809"/>
  <c r="FU39" i="14809"/>
  <c r="FQ34" i="14809"/>
  <c r="FQ18" i="14809"/>
  <c r="AZ49" i="14809"/>
  <c r="BA49" i="14809" s="1"/>
  <c r="GX47" i="14809"/>
  <c r="GX46" i="14809"/>
  <c r="GX48" i="14809"/>
  <c r="GX49" i="14809"/>
  <c r="GX52" i="14809"/>
  <c r="FQ12" i="14809"/>
  <c r="L44" i="14813"/>
  <c r="R44" i="14813" s="1"/>
  <c r="S44" i="14813" s="1"/>
  <c r="T44" i="14813" s="1"/>
  <c r="U54" i="14813"/>
  <c r="V19" i="14813"/>
  <c r="W19" i="14813" s="1"/>
  <c r="I23" i="14813"/>
  <c r="J23" i="14813" s="1"/>
  <c r="K23" i="14813" s="1"/>
  <c r="V33" i="14813"/>
  <c r="W33" i="14813" s="1"/>
  <c r="AZ48" i="14809"/>
  <c r="BA48" i="14809" s="1"/>
  <c r="GX53" i="14809"/>
  <c r="FQ14" i="14809"/>
  <c r="FU42" i="14809"/>
  <c r="FQ41" i="14809"/>
  <c r="FQ22" i="14809"/>
  <c r="FU17" i="14809"/>
  <c r="FU15" i="14809"/>
  <c r="FQ15" i="14809"/>
  <c r="I44" i="14813"/>
  <c r="FQ44" i="14809"/>
  <c r="FQ31" i="14809"/>
  <c r="FQ29" i="14809"/>
  <c r="FQ21" i="14809"/>
  <c r="FU20" i="14809"/>
  <c r="FU23" i="14809"/>
  <c r="AZ52" i="14809"/>
  <c r="BA52" i="14809" s="1"/>
  <c r="AZ43" i="14809"/>
  <c r="BA43" i="14809" s="1"/>
  <c r="FQ40" i="14809"/>
  <c r="FU31" i="14809"/>
  <c r="FU16" i="14809"/>
  <c r="FU13" i="14809"/>
  <c r="FQ13" i="14809"/>
  <c r="FU28" i="14809"/>
  <c r="AZ50" i="14809"/>
  <c r="BA50" i="14809" s="1"/>
  <c r="FU45" i="14809"/>
  <c r="FM45" i="14809"/>
  <c r="FQ45" i="14809" s="1"/>
  <c r="FQ23" i="14809"/>
  <c r="FQ37" i="14809"/>
  <c r="FQ26" i="14809"/>
  <c r="FU26" i="14809"/>
  <c r="FU19" i="14809"/>
  <c r="FQ19" i="14809"/>
  <c r="FU30" i="14809"/>
  <c r="FU29" i="14809"/>
  <c r="FU22" i="14809"/>
  <c r="GX54" i="14809"/>
  <c r="GX50" i="14809"/>
  <c r="FU27" i="14809"/>
  <c r="FQ27" i="14809"/>
  <c r="FQ28" i="14809"/>
  <c r="AZ51" i="14809"/>
  <c r="BA51" i="14809" s="1"/>
  <c r="FU33" i="14809"/>
  <c r="FQ33" i="14809"/>
  <c r="FN45" i="14809"/>
  <c r="FU37" i="14809"/>
  <c r="FU40" i="14809"/>
  <c r="V28" i="14813"/>
  <c r="W28" i="14813" s="1"/>
  <c r="AZ45" i="14809"/>
  <c r="BA45" i="14809" s="1"/>
  <c r="I28" i="14813"/>
  <c r="J28" i="14813" s="1"/>
  <c r="K28" i="14813" s="1"/>
  <c r="I12" i="14813"/>
  <c r="J12" i="14813" s="1"/>
  <c r="K12" i="14813" s="1"/>
  <c r="L15" i="14813"/>
  <c r="M15" i="14813" s="1"/>
  <c r="N15" i="14813" s="1"/>
  <c r="I54" i="14813"/>
  <c r="J54" i="14813" s="1"/>
  <c r="K54" i="14813" s="1"/>
  <c r="Y54" i="14813" s="1"/>
  <c r="FL45" i="14809"/>
  <c r="U13" i="14813"/>
  <c r="I15" i="14813"/>
  <c r="V20" i="14813"/>
  <c r="W20" i="14813" s="1"/>
  <c r="U24" i="14813"/>
  <c r="U32" i="14813"/>
  <c r="V47" i="14813"/>
  <c r="W47" i="14813" s="1"/>
  <c r="L52" i="14813"/>
  <c r="R52" i="14813" s="1"/>
  <c r="S52" i="14813" s="1"/>
  <c r="T52" i="14813" s="1"/>
  <c r="I38" i="14813"/>
  <c r="J38" i="14813" s="1"/>
  <c r="K38" i="14813" s="1"/>
  <c r="V24" i="14813"/>
  <c r="W24" i="14813" s="1"/>
  <c r="L17" i="14813"/>
  <c r="M17" i="14813" s="1"/>
  <c r="I19" i="14813"/>
  <c r="J19" i="14813" s="1"/>
  <c r="K19" i="14813" s="1"/>
  <c r="L23" i="14813"/>
  <c r="R23" i="14813" s="1"/>
  <c r="S23" i="14813" s="1"/>
  <c r="X23" i="14813" s="1"/>
  <c r="H23" i="14809" s="1"/>
  <c r="V27" i="14813"/>
  <c r="W27" i="14813" s="1"/>
  <c r="I29" i="14813"/>
  <c r="J29" i="14813" s="1"/>
  <c r="K29" i="14813" s="1"/>
  <c r="I31" i="14813"/>
  <c r="J31" i="14813" s="1"/>
  <c r="K31" i="14813" s="1"/>
  <c r="L33" i="14813"/>
  <c r="L34" i="14813"/>
  <c r="R34" i="14813" s="1"/>
  <c r="S34" i="14813" s="1"/>
  <c r="T34" i="14813" s="1"/>
  <c r="I35" i="14813"/>
  <c r="J35" i="14813" s="1"/>
  <c r="K35" i="14813" s="1"/>
  <c r="I37" i="14813"/>
  <c r="J37" i="14813" s="1"/>
  <c r="K37" i="14813" s="1"/>
  <c r="V40" i="14813"/>
  <c r="W40" i="14813" s="1"/>
  <c r="V42" i="14813"/>
  <c r="W42" i="14813" s="1"/>
  <c r="U46" i="14813"/>
  <c r="I48" i="14813"/>
  <c r="J48" i="14813" s="1"/>
  <c r="K48" i="14813" s="1"/>
  <c r="Y48" i="14813" s="1"/>
  <c r="U52" i="14813"/>
  <c r="L51" i="14813"/>
  <c r="R51" i="14813" s="1"/>
  <c r="S51" i="14813" s="1"/>
  <c r="T51" i="14813" s="1"/>
  <c r="I24" i="14813"/>
  <c r="J24" i="14813" s="1"/>
  <c r="K24" i="14813" s="1"/>
  <c r="I52" i="14813"/>
  <c r="J52" i="14813" s="1"/>
  <c r="X52" i="14813" s="1"/>
  <c r="H52" i="14809" s="1"/>
  <c r="L20" i="14813"/>
  <c r="V32" i="14813"/>
  <c r="W32" i="14813" s="1"/>
  <c r="I10" i="14813"/>
  <c r="J10" i="14813" s="1"/>
  <c r="K10" i="14813" s="1"/>
  <c r="V10" i="14813"/>
  <c r="W10" i="14813" s="1"/>
  <c r="V14" i="14813"/>
  <c r="W14" i="14813" s="1"/>
  <c r="I42" i="14813"/>
  <c r="J42" i="14813" s="1"/>
  <c r="K42" i="14813" s="1"/>
  <c r="I40" i="14813"/>
  <c r="J40" i="14813" s="1"/>
  <c r="K40" i="14813" s="1"/>
  <c r="V17" i="14813"/>
  <c r="W17" i="14813" s="1"/>
  <c r="I18" i="14813"/>
  <c r="J18" i="14813" s="1"/>
  <c r="K18" i="14813" s="1"/>
  <c r="I20" i="14813"/>
  <c r="L24" i="14813"/>
  <c r="I39" i="14813"/>
  <c r="J39" i="14813" s="1"/>
  <c r="K39" i="14813" s="1"/>
  <c r="V41" i="14813"/>
  <c r="W41" i="14813" s="1"/>
  <c r="U47" i="14813"/>
  <c r="V51" i="14813"/>
  <c r="W51" i="14813" s="1"/>
  <c r="I27" i="14813"/>
  <c r="J27" i="14813" s="1"/>
  <c r="K27" i="14813" s="1"/>
  <c r="U42" i="14813"/>
  <c r="V44" i="14813"/>
  <c r="W44" i="14813" s="1"/>
  <c r="U44" i="14813"/>
  <c r="V35" i="14813"/>
  <c r="W35" i="14813" s="1"/>
  <c r="L35" i="14813"/>
  <c r="M35" i="14813" s="1"/>
  <c r="V23" i="14813"/>
  <c r="W23" i="14813" s="1"/>
  <c r="L30" i="14813"/>
  <c r="V29" i="14813"/>
  <c r="W29" i="14813" s="1"/>
  <c r="U29" i="14813"/>
  <c r="I46" i="14813"/>
  <c r="L46" i="14813"/>
  <c r="U50" i="14813"/>
  <c r="I50" i="14813"/>
  <c r="J50" i="14813" s="1"/>
  <c r="V46" i="14813"/>
  <c r="W46" i="14813" s="1"/>
  <c r="I33" i="14813"/>
  <c r="L29" i="14813"/>
  <c r="U33" i="14813"/>
  <c r="L37" i="14813"/>
  <c r="L42" i="14813"/>
  <c r="L43" i="14813"/>
  <c r="U49" i="14813"/>
  <c r="U20" i="14813"/>
  <c r="U51" i="14813"/>
  <c r="V52" i="14813"/>
  <c r="W52" i="14813" s="1"/>
  <c r="L13" i="14813"/>
  <c r="L28" i="14813"/>
  <c r="I32" i="14813"/>
  <c r="J32" i="14813" s="1"/>
  <c r="K32" i="14813" s="1"/>
  <c r="U35" i="14813"/>
  <c r="U17" i="14813"/>
  <c r="I17" i="14813"/>
  <c r="L18" i="14813"/>
  <c r="U18" i="14813"/>
  <c r="V18" i="14813"/>
  <c r="W18" i="14813" s="1"/>
  <c r="I21" i="14813"/>
  <c r="V21" i="14813"/>
  <c r="W21" i="14813" s="1"/>
  <c r="U21" i="14813"/>
  <c r="U22" i="14813"/>
  <c r="V22" i="14813"/>
  <c r="W22" i="14813" s="1"/>
  <c r="U25" i="14813"/>
  <c r="L25" i="14813"/>
  <c r="I25" i="14813"/>
  <c r="V26" i="14813"/>
  <c r="W26" i="14813" s="1"/>
  <c r="L26" i="14813"/>
  <c r="L10" i="14813"/>
  <c r="U10" i="14813"/>
  <c r="I53" i="14813"/>
  <c r="L53" i="14813"/>
  <c r="U53" i="14813"/>
  <c r="V36" i="14813"/>
  <c r="W36" i="14813" s="1"/>
  <c r="U36" i="14813"/>
  <c r="I36" i="14813"/>
  <c r="L41" i="14813"/>
  <c r="U41" i="14813"/>
  <c r="L48" i="14813"/>
  <c r="U48" i="14813"/>
  <c r="V48" i="14813"/>
  <c r="W48" i="14813" s="1"/>
  <c r="L14" i="14813"/>
  <c r="U14" i="14813"/>
  <c r="V37" i="14813"/>
  <c r="W37" i="14813" s="1"/>
  <c r="U37" i="14813"/>
  <c r="V50" i="14813"/>
  <c r="W50" i="14813" s="1"/>
  <c r="U39" i="14813"/>
  <c r="V53" i="14813"/>
  <c r="W53" i="14813" s="1"/>
  <c r="L36" i="14813"/>
  <c r="V25" i="14813"/>
  <c r="W25" i="14813" s="1"/>
  <c r="L21" i="14813"/>
  <c r="V13" i="14813"/>
  <c r="W13" i="14813" s="1"/>
  <c r="L22" i="14813"/>
  <c r="L47" i="14813"/>
  <c r="U26" i="14813"/>
  <c r="U19" i="14813"/>
  <c r="U27" i="14813"/>
  <c r="L27" i="14813"/>
  <c r="I30" i="14813"/>
  <c r="U30" i="14813"/>
  <c r="V30" i="14813"/>
  <c r="W30" i="14813" s="1"/>
  <c r="L31" i="14813"/>
  <c r="U31" i="14813"/>
  <c r="V31" i="14813"/>
  <c r="W31" i="14813" s="1"/>
  <c r="V34" i="14813"/>
  <c r="W34" i="14813" s="1"/>
  <c r="U34" i="14813"/>
  <c r="I34" i="14813"/>
  <c r="L12" i="14813"/>
  <c r="V12" i="14813"/>
  <c r="W12" i="14813" s="1"/>
  <c r="U12" i="14813"/>
  <c r="V39" i="14813"/>
  <c r="W39" i="14813" s="1"/>
  <c r="L39" i="14813"/>
  <c r="L40" i="14813"/>
  <c r="U40" i="14813"/>
  <c r="L50" i="14813"/>
  <c r="L54" i="14813"/>
  <c r="V54" i="14813"/>
  <c r="W54" i="14813" s="1"/>
  <c r="L19" i="14813"/>
  <c r="U23" i="14813"/>
  <c r="U28" i="14813"/>
  <c r="L32" i="14813"/>
  <c r="V43" i="14813"/>
  <c r="W43" i="14813" s="1"/>
  <c r="I43" i="14813"/>
  <c r="J43" i="14813" s="1"/>
  <c r="U43" i="14813"/>
  <c r="V49" i="14813"/>
  <c r="W49" i="14813" s="1"/>
  <c r="L49" i="14813"/>
  <c r="I49" i="14813"/>
  <c r="L38" i="14813"/>
  <c r="U15" i="14813"/>
  <c r="V15" i="14813"/>
  <c r="W15" i="14813" s="1"/>
  <c r="I16" i="14813"/>
  <c r="L16" i="14813"/>
  <c r="V16" i="14813"/>
  <c r="W16" i="14813" s="1"/>
  <c r="U16" i="14813"/>
  <c r="G300" i="14814"/>
  <c r="G315" i="14814"/>
  <c r="G307" i="14814"/>
  <c r="G294" i="14814"/>
  <c r="G319" i="14814"/>
  <c r="G409" i="14814"/>
  <c r="G317" i="14814"/>
  <c r="G314" i="14814"/>
  <c r="G310" i="14814"/>
  <c r="G306" i="14814"/>
  <c r="G303" i="14814"/>
  <c r="G299" i="14814"/>
  <c r="G296" i="14814"/>
  <c r="G322" i="14814"/>
  <c r="G312" i="14814"/>
  <c r="G309" i="14814"/>
  <c r="G305" i="14814"/>
  <c r="G298" i="14814"/>
  <c r="G321" i="14814"/>
  <c r="G316" i="14814"/>
  <c r="G308" i="14814"/>
  <c r="G301" i="14814"/>
  <c r="G292" i="14814"/>
  <c r="F324" i="14814"/>
  <c r="F330" i="14814"/>
  <c r="G393" i="14814"/>
  <c r="G401" i="14814"/>
  <c r="G407" i="14814"/>
  <c r="G399" i="14814"/>
  <c r="G388" i="14814"/>
  <c r="G405" i="14814"/>
  <c r="G396" i="14814"/>
  <c r="G403" i="14814"/>
  <c r="G384" i="14814"/>
  <c r="G375" i="14814"/>
  <c r="D194" i="14814"/>
  <c r="E194" i="14814" s="1"/>
  <c r="F298" i="14814"/>
  <c r="F308" i="14814"/>
  <c r="F312" i="14814"/>
  <c r="B1" i="14814"/>
  <c r="B2" i="14814"/>
  <c r="C122" i="14786"/>
  <c r="G376" i="14814"/>
  <c r="G372" i="14814"/>
  <c r="G363" i="14814"/>
  <c r="F341" i="14814"/>
  <c r="F350" i="14814"/>
  <c r="F335" i="14814"/>
  <c r="F346" i="14814"/>
  <c r="F326" i="14814"/>
  <c r="F217" i="14814"/>
  <c r="G348" i="14814"/>
  <c r="G340" i="14814"/>
  <c r="E66" i="14814"/>
  <c r="E334" i="14814"/>
  <c r="E362" i="14814"/>
  <c r="E292" i="14814"/>
  <c r="E355" i="14814"/>
  <c r="E383" i="14814"/>
  <c r="E432" i="14814"/>
  <c r="E446" i="14814"/>
  <c r="E481" i="14814"/>
  <c r="E495" i="14814"/>
  <c r="E509" i="14814"/>
  <c r="E537" i="14814"/>
  <c r="E544" i="14814"/>
  <c r="E313" i="14814"/>
  <c r="E530" i="14814"/>
  <c r="E565" i="14814"/>
  <c r="E642" i="14814"/>
  <c r="E649" i="14814"/>
  <c r="E656" i="14814"/>
  <c r="E341" i="14814"/>
  <c r="E404" i="14814"/>
  <c r="E474" i="14814"/>
  <c r="E488" i="14814"/>
  <c r="E502" i="14814"/>
  <c r="E523" i="14814"/>
  <c r="E551" i="14814"/>
  <c r="E558" i="14814"/>
  <c r="E572" i="14814"/>
  <c r="E586" i="14814"/>
  <c r="E607" i="14814"/>
  <c r="E621" i="14814"/>
  <c r="E320" i="14814"/>
  <c r="E516" i="14814"/>
  <c r="E425" i="14814"/>
  <c r="E453" i="14814"/>
  <c r="E600" i="14814"/>
  <c r="E614" i="14814"/>
  <c r="E628" i="14814"/>
  <c r="D98" i="14814"/>
  <c r="E98" i="14814" s="1"/>
  <c r="F121" i="14814"/>
  <c r="F170" i="14814"/>
  <c r="E593" i="14814"/>
  <c r="E411" i="14814"/>
  <c r="E579" i="14814"/>
  <c r="E307" i="14814"/>
  <c r="E419" i="14814"/>
  <c r="E636" i="14814"/>
  <c r="D218" i="14814"/>
  <c r="E218" i="14814" s="1"/>
  <c r="F120" i="14814"/>
  <c r="F193" i="14814"/>
  <c r="F144" i="14814"/>
  <c r="F146" i="14814"/>
  <c r="F169" i="14814"/>
  <c r="F218" i="14814"/>
  <c r="F307" i="14814"/>
  <c r="F305" i="14814"/>
  <c r="F319" i="14814"/>
  <c r="F311" i="14814"/>
  <c r="F316" i="14814"/>
  <c r="F310" i="14814"/>
  <c r="F302" i="14814"/>
  <c r="G411" i="14814"/>
  <c r="G352" i="14814"/>
  <c r="G355" i="14814"/>
  <c r="G351" i="14814"/>
  <c r="G367" i="14814"/>
  <c r="G371" i="14814"/>
  <c r="G380" i="14814"/>
  <c r="G382" i="14814"/>
  <c r="G383" i="14814"/>
  <c r="G385" i="14814"/>
  <c r="G395" i="14814"/>
  <c r="G400" i="14814"/>
  <c r="G387" i="14814"/>
  <c r="G389" i="14814"/>
  <c r="G392" i="14814"/>
  <c r="G397" i="14814"/>
  <c r="G404" i="14814"/>
  <c r="G406" i="14814"/>
  <c r="G408" i="14814"/>
  <c r="G410" i="14814"/>
  <c r="G343" i="14814"/>
  <c r="G341" i="14814"/>
  <c r="G320" i="14814"/>
  <c r="G318" i="14814"/>
  <c r="G313" i="14814"/>
  <c r="G311" i="14814"/>
  <c r="G304" i="14814"/>
  <c r="G302" i="14814"/>
  <c r="G297" i="14814"/>
  <c r="G295" i="14814"/>
  <c r="J239" i="14786"/>
  <c r="J237" i="14786"/>
  <c r="O122" i="14786"/>
  <c r="A2" i="14814"/>
  <c r="F349" i="14814"/>
  <c r="F345" i="14814"/>
  <c r="F336" i="14814"/>
  <c r="F339" i="14814"/>
  <c r="F338" i="14814"/>
  <c r="F347" i="14814"/>
  <c r="F340" i="14814"/>
  <c r="F344" i="14814"/>
  <c r="F343" i="14814"/>
  <c r="F334" i="14814"/>
  <c r="F332" i="14814"/>
  <c r="F329" i="14814"/>
  <c r="F328" i="14814"/>
  <c r="F337" i="14814"/>
  <c r="F325" i="14814"/>
  <c r="F342" i="14814"/>
  <c r="F348" i="14814"/>
  <c r="F333" i="14814"/>
  <c r="F327" i="14814"/>
  <c r="F323" i="14814"/>
  <c r="F241" i="14814"/>
  <c r="F242" i="14814"/>
  <c r="F194" i="14814"/>
  <c r="F145" i="14814"/>
  <c r="F98" i="14814"/>
  <c r="F321" i="14814"/>
  <c r="F317" i="14814"/>
  <c r="F314" i="14814"/>
  <c r="F318" i="14814"/>
  <c r="F309" i="14814"/>
  <c r="F315" i="14814"/>
  <c r="F306" i="14814"/>
  <c r="F322" i="14814"/>
  <c r="F303" i="14814"/>
  <c r="F304" i="14814"/>
  <c r="F300" i="14814"/>
  <c r="F320" i="14814"/>
  <c r="F294" i="14814"/>
  <c r="F299" i="14814"/>
  <c r="F313" i="14814"/>
  <c r="F293" i="14814"/>
  <c r="F297" i="14814"/>
  <c r="F296" i="14814"/>
  <c r="F295" i="14814"/>
  <c r="G379" i="14814"/>
  <c r="G368" i="14814"/>
  <c r="G364" i="14814"/>
  <c r="G360" i="14814"/>
  <c r="G356" i="14814"/>
  <c r="E299" i="14814"/>
  <c r="E348" i="14814"/>
  <c r="E369" i="14814"/>
  <c r="E390" i="14814"/>
  <c r="E439" i="14814"/>
  <c r="E460" i="14814"/>
  <c r="E306" i="14814"/>
  <c r="E327" i="14814"/>
  <c r="E376" i="14814"/>
  <c r="E397" i="14814"/>
  <c r="E418" i="14814"/>
  <c r="E467" i="14814"/>
  <c r="G354" i="14814"/>
  <c r="G358" i="14814"/>
  <c r="G362" i="14814"/>
  <c r="G366" i="14814"/>
  <c r="G370" i="14814"/>
  <c r="G374" i="14814"/>
  <c r="G378" i="14814"/>
  <c r="G353" i="14814"/>
  <c r="G357" i="14814"/>
  <c r="G361" i="14814"/>
  <c r="G365" i="14814"/>
  <c r="G369" i="14814"/>
  <c r="G373" i="14814"/>
  <c r="G377" i="14814"/>
  <c r="G381" i="14814"/>
  <c r="G402" i="14814"/>
  <c r="G398" i="14814"/>
  <c r="G394" i="14814"/>
  <c r="G390" i="14814"/>
  <c r="G386" i="14814"/>
  <c r="E314" i="14814" l="1"/>
  <c r="D146" i="14814"/>
  <c r="E146" i="14814" s="1"/>
  <c r="E559" i="14814"/>
  <c r="E321" i="14814"/>
  <c r="G334" i="14814"/>
  <c r="T68" i="14814"/>
  <c r="H146" i="14814" s="1"/>
  <c r="E384" i="14814"/>
  <c r="E496" i="14814"/>
  <c r="D242" i="14814"/>
  <c r="E242" i="14814" s="1"/>
  <c r="E356" i="14814"/>
  <c r="D170" i="14814"/>
  <c r="E170" i="14814" s="1"/>
  <c r="E363" i="14814"/>
  <c r="E573" i="14814"/>
  <c r="E517" i="14814"/>
  <c r="D122" i="14814"/>
  <c r="E122" i="14814" s="1"/>
  <c r="G350" i="14814"/>
  <c r="G344" i="14814"/>
  <c r="G345" i="14814"/>
  <c r="G331" i="14814"/>
  <c r="G347" i="14814"/>
  <c r="G346" i="14814"/>
  <c r="G329" i="14814"/>
  <c r="G333" i="14814"/>
  <c r="G342" i="14814"/>
  <c r="G325" i="14814"/>
  <c r="G326" i="14814"/>
  <c r="G335" i="14814"/>
  <c r="G338" i="14814"/>
  <c r="G336" i="14814"/>
  <c r="G337" i="14814"/>
  <c r="G330" i="14814"/>
  <c r="G332" i="14814"/>
  <c r="G339" i="14814"/>
  <c r="G327" i="14814"/>
  <c r="G328" i="14814"/>
  <c r="G323" i="14814"/>
  <c r="G324" i="14814"/>
  <c r="E461" i="14814"/>
  <c r="E468" i="14814"/>
  <c r="E524" i="14814"/>
  <c r="E377" i="14814"/>
  <c r="E293" i="14814"/>
  <c r="E433" i="14814"/>
  <c r="E538" i="14814"/>
  <c r="E370" i="14814"/>
  <c r="E349" i="14814"/>
  <c r="E503" i="14814"/>
  <c r="E300" i="14814"/>
  <c r="E447" i="14814"/>
  <c r="E650" i="14814"/>
  <c r="E594" i="14814"/>
  <c r="E622" i="14814"/>
  <c r="E489" i="14814"/>
  <c r="E405" i="14814"/>
  <c r="E615" i="14814"/>
  <c r="E580" i="14814"/>
  <c r="E608" i="14814"/>
  <c r="E475" i="14814"/>
  <c r="E398" i="14814"/>
  <c r="E545" i="14814"/>
  <c r="E629" i="14814"/>
  <c r="E552" i="14814"/>
  <c r="E482" i="14814"/>
  <c r="E328" i="14814"/>
  <c r="E601" i="14814"/>
  <c r="E566" i="14814"/>
  <c r="E440" i="14814"/>
  <c r="E454" i="14814"/>
  <c r="E391" i="14814"/>
  <c r="E643" i="14814"/>
  <c r="E335" i="14814"/>
  <c r="E587" i="14814"/>
  <c r="E510" i="14814"/>
  <c r="E412" i="14814"/>
  <c r="E426" i="14814"/>
  <c r="E342" i="14814"/>
  <c r="D69" i="14814"/>
  <c r="A70" i="14814"/>
  <c r="B69" i="14814"/>
  <c r="D99" i="14814" s="1"/>
  <c r="E99" i="14814" s="1"/>
  <c r="D275" i="14814"/>
  <c r="H275" i="14814"/>
  <c r="A276" i="14814"/>
  <c r="O15" i="14813"/>
  <c r="P15" i="14813" s="1"/>
  <c r="X15" i="14813" s="1"/>
  <c r="H15" i="14809" s="1"/>
  <c r="C275" i="14814"/>
  <c r="B525" i="14814"/>
  <c r="E525" i="14814" s="1"/>
  <c r="B357" i="14814"/>
  <c r="E357" i="14814" s="1"/>
  <c r="B553" i="14814"/>
  <c r="E553" i="14814" s="1"/>
  <c r="B329" i="14814"/>
  <c r="E329" i="14814" s="1"/>
  <c r="B539" i="14814"/>
  <c r="E539" i="14814" s="1"/>
  <c r="B518" i="14814"/>
  <c r="E518" i="14814" s="1"/>
  <c r="B294" i="14814"/>
  <c r="E294" i="14814" s="1"/>
  <c r="B623" i="14814"/>
  <c r="E623" i="14814" s="1"/>
  <c r="B399" i="14814"/>
  <c r="E399" i="14814" s="1"/>
  <c r="B602" i="14814"/>
  <c r="E602" i="14814" s="1"/>
  <c r="B378" i="14814"/>
  <c r="E378" i="14814" s="1"/>
  <c r="B469" i="14814"/>
  <c r="E469" i="14814" s="1"/>
  <c r="B301" i="14814"/>
  <c r="E301" i="14814" s="1"/>
  <c r="B609" i="14814"/>
  <c r="E609" i="14814" s="1"/>
  <c r="B385" i="14814"/>
  <c r="E385" i="14814" s="1"/>
  <c r="B308" i="14814"/>
  <c r="E308" i="14814" s="1"/>
  <c r="B483" i="14814"/>
  <c r="E483" i="14814" s="1"/>
  <c r="B462" i="14814"/>
  <c r="E462" i="14814" s="1"/>
  <c r="B637" i="14814"/>
  <c r="E637" i="14814" s="1"/>
  <c r="B581" i="14814"/>
  <c r="E581" i="14814" s="1"/>
  <c r="B441" i="14814"/>
  <c r="E441" i="14814" s="1"/>
  <c r="B651" i="14814"/>
  <c r="E651" i="14814" s="1"/>
  <c r="B427" i="14814"/>
  <c r="E427" i="14814" s="1"/>
  <c r="B630" i="14814"/>
  <c r="E630" i="14814" s="1"/>
  <c r="B406" i="14814"/>
  <c r="E406" i="14814" s="1"/>
  <c r="F274" i="14814"/>
  <c r="B511" i="14814"/>
  <c r="E511" i="14814" s="1"/>
  <c r="B490" i="14814"/>
  <c r="E490" i="14814" s="1"/>
  <c r="B350" i="14814"/>
  <c r="E350" i="14814" s="1"/>
  <c r="B413" i="14814"/>
  <c r="E413" i="14814" s="1"/>
  <c r="B616" i="14814"/>
  <c r="E616" i="14814" s="1"/>
  <c r="B560" i="14814"/>
  <c r="E560" i="14814" s="1"/>
  <c r="B504" i="14814"/>
  <c r="E504" i="14814" s="1"/>
  <c r="B448" i="14814"/>
  <c r="E448" i="14814" s="1"/>
  <c r="B392" i="14814"/>
  <c r="E392" i="14814" s="1"/>
  <c r="B336" i="14814"/>
  <c r="E336" i="14814" s="1"/>
  <c r="B497" i="14814"/>
  <c r="E497" i="14814" s="1"/>
  <c r="B595" i="14814"/>
  <c r="E595" i="14814" s="1"/>
  <c r="B371" i="14814"/>
  <c r="E371" i="14814" s="1"/>
  <c r="B574" i="14814"/>
  <c r="E574" i="14814" s="1"/>
  <c r="B322" i="14814"/>
  <c r="E322" i="14814" s="1"/>
  <c r="B476" i="14814"/>
  <c r="E476" i="14814" s="1"/>
  <c r="B455" i="14814"/>
  <c r="E455" i="14814" s="1"/>
  <c r="B434" i="14814"/>
  <c r="E434" i="14814" s="1"/>
  <c r="B315" i="14814"/>
  <c r="E315" i="14814" s="1"/>
  <c r="B644" i="14814"/>
  <c r="E644" i="14814" s="1"/>
  <c r="B420" i="14814"/>
  <c r="E420" i="14814" s="1"/>
  <c r="B567" i="14814"/>
  <c r="E567" i="14814" s="1"/>
  <c r="B546" i="14814"/>
  <c r="E546" i="14814" s="1"/>
  <c r="B588" i="14814"/>
  <c r="E588" i="14814" s="1"/>
  <c r="B364" i="14814"/>
  <c r="E364" i="14814" s="1"/>
  <c r="B343" i="14814"/>
  <c r="E343" i="14814" s="1"/>
  <c r="B532" i="14814"/>
  <c r="E532" i="14814" s="1"/>
  <c r="F392" i="14814"/>
  <c r="F389" i="14814"/>
  <c r="F399" i="14814"/>
  <c r="F411" i="14814"/>
  <c r="F397" i="14814"/>
  <c r="F404" i="14814"/>
  <c r="F398" i="14814"/>
  <c r="F384" i="14814"/>
  <c r="F405" i="14814"/>
  <c r="F407" i="14814"/>
  <c r="F382" i="14814"/>
  <c r="F388" i="14814"/>
  <c r="F408" i="14814"/>
  <c r="F393" i="14814"/>
  <c r="F395" i="14814"/>
  <c r="F383" i="14814"/>
  <c r="F387" i="14814"/>
  <c r="F402" i="14814"/>
  <c r="F410" i="14814"/>
  <c r="F396" i="14814"/>
  <c r="F390" i="14814"/>
  <c r="F385" i="14814"/>
  <c r="F386" i="14814"/>
  <c r="F394" i="14814"/>
  <c r="F400" i="14814"/>
  <c r="F406" i="14814"/>
  <c r="F391" i="14814"/>
  <c r="F403" i="14814"/>
  <c r="F401" i="14814"/>
  <c r="BG7" i="14809"/>
  <c r="HN51" i="14809"/>
  <c r="HM51" i="14809"/>
  <c r="HN48" i="14809"/>
  <c r="HM48" i="14809"/>
  <c r="HN54" i="14809"/>
  <c r="HM54" i="14809"/>
  <c r="HN47" i="14809"/>
  <c r="HM47" i="14809"/>
  <c r="C67" i="14814"/>
  <c r="T67" i="14814"/>
  <c r="H169" i="14814" s="1"/>
  <c r="D243" i="14814"/>
  <c r="E243" i="14814" s="1"/>
  <c r="D217" i="14814"/>
  <c r="E217" i="14814" s="1"/>
  <c r="F359" i="14814"/>
  <c r="F361" i="14814"/>
  <c r="F352" i="14814"/>
  <c r="F374" i="14814"/>
  <c r="D97" i="14814"/>
  <c r="E97" i="14814" s="1"/>
  <c r="F371" i="14814"/>
  <c r="F367" i="14814"/>
  <c r="F373" i="14814"/>
  <c r="F369" i="14814"/>
  <c r="F378" i="14814"/>
  <c r="F366" i="14814"/>
  <c r="F379" i="14814"/>
  <c r="F357" i="14814"/>
  <c r="D241" i="14814"/>
  <c r="E241" i="14814" s="1"/>
  <c r="F354" i="14814"/>
  <c r="F377" i="14814"/>
  <c r="F360" i="14814"/>
  <c r="F380" i="14814"/>
  <c r="F376" i="14814"/>
  <c r="D193" i="14814"/>
  <c r="E193" i="14814" s="1"/>
  <c r="F356" i="14814"/>
  <c r="D169" i="14814"/>
  <c r="E169" i="14814" s="1"/>
  <c r="F358" i="14814"/>
  <c r="F353" i="14814"/>
  <c r="F362" i="14814"/>
  <c r="F375" i="14814"/>
  <c r="F355" i="14814"/>
  <c r="D145" i="14814"/>
  <c r="E145" i="14814" s="1"/>
  <c r="D121" i="14814"/>
  <c r="E121" i="14814" s="1"/>
  <c r="F365" i="14814"/>
  <c r="F351" i="14814"/>
  <c r="F372" i="14814"/>
  <c r="F370" i="14814"/>
  <c r="F368" i="14814"/>
  <c r="F381" i="14814"/>
  <c r="F364" i="14814"/>
  <c r="M44" i="14813"/>
  <c r="N44" i="14813" s="1"/>
  <c r="X47" i="14813"/>
  <c r="H47" i="14809" s="1"/>
  <c r="O13" i="14813"/>
  <c r="P13" i="14813" s="1"/>
  <c r="Q13" i="14813" s="1"/>
  <c r="O44" i="14813"/>
  <c r="P44" i="14813" s="1"/>
  <c r="Q44" i="14813" s="1"/>
  <c r="X48" i="14813"/>
  <c r="H48" i="14809" s="1"/>
  <c r="J44" i="14813"/>
  <c r="K44" i="14813" s="1"/>
  <c r="Y44" i="14813" s="1"/>
  <c r="R17" i="14813"/>
  <c r="S17" i="14813" s="1"/>
  <c r="T17" i="14813" s="1"/>
  <c r="X54" i="14813"/>
  <c r="H54" i="14809" s="1"/>
  <c r="M51" i="14813"/>
  <c r="N51" i="14813" s="1"/>
  <c r="O42" i="14813"/>
  <c r="P42" i="14813" s="1"/>
  <c r="X42" i="14813" s="1"/>
  <c r="H42" i="14809" s="1"/>
  <c r="Q15" i="14813"/>
  <c r="Y15" i="14813" s="1"/>
  <c r="O24" i="14813"/>
  <c r="P24" i="14813" s="1"/>
  <c r="Q24" i="14813" s="1"/>
  <c r="R15" i="14813"/>
  <c r="S15" i="14813" s="1"/>
  <c r="T15" i="14813" s="1"/>
  <c r="J15" i="14813"/>
  <c r="K15" i="14813" s="1"/>
  <c r="T23" i="14813"/>
  <c r="Y23" i="14813" s="1"/>
  <c r="M52" i="14813"/>
  <c r="N52" i="14813" s="1"/>
  <c r="O51" i="14813"/>
  <c r="P51" i="14813" s="1"/>
  <c r="Q51" i="14813" s="1"/>
  <c r="K52" i="14813"/>
  <c r="Y52" i="14813" s="1"/>
  <c r="O23" i="14813"/>
  <c r="P23" i="14813" s="1"/>
  <c r="Q23" i="14813" s="1"/>
  <c r="O52" i="14813"/>
  <c r="P52" i="14813" s="1"/>
  <c r="Q52" i="14813" s="1"/>
  <c r="O37" i="14813"/>
  <c r="P37" i="14813" s="1"/>
  <c r="Q37" i="14813" s="1"/>
  <c r="Y37" i="14813" s="1"/>
  <c r="O10" i="14813"/>
  <c r="P10" i="14813" s="1"/>
  <c r="Q10" i="14813" s="1"/>
  <c r="M34" i="14813"/>
  <c r="N34" i="14813" s="1"/>
  <c r="M33" i="14813"/>
  <c r="R33" i="14813"/>
  <c r="S33" i="14813" s="1"/>
  <c r="T33" i="14813" s="1"/>
  <c r="O35" i="14813"/>
  <c r="P35" i="14813" s="1"/>
  <c r="Q35" i="14813" s="1"/>
  <c r="M20" i="14813"/>
  <c r="N20" i="14813" s="1"/>
  <c r="R20" i="14813"/>
  <c r="S20" i="14813" s="1"/>
  <c r="T20" i="14813" s="1"/>
  <c r="M23" i="14813"/>
  <c r="N23" i="14813" s="1"/>
  <c r="M24" i="14813"/>
  <c r="N24" i="14813" s="1"/>
  <c r="R24" i="14813"/>
  <c r="S24" i="14813" s="1"/>
  <c r="K43" i="14813"/>
  <c r="X43" i="14813"/>
  <c r="J20" i="14813"/>
  <c r="K20" i="14813" s="1"/>
  <c r="O20" i="14813"/>
  <c r="P20" i="14813" s="1"/>
  <c r="M43" i="14813"/>
  <c r="N43" i="14813" s="1"/>
  <c r="R43" i="14813"/>
  <c r="S43" i="14813" s="1"/>
  <c r="T43" i="14813" s="1"/>
  <c r="R29" i="14813"/>
  <c r="S29" i="14813" s="1"/>
  <c r="T29" i="14813" s="1"/>
  <c r="M29" i="14813"/>
  <c r="N29" i="14813" s="1"/>
  <c r="O29" i="14813"/>
  <c r="P29" i="14813" s="1"/>
  <c r="K50" i="14813"/>
  <c r="Y50" i="14813" s="1"/>
  <c r="X50" i="14813"/>
  <c r="H50" i="14809" s="1"/>
  <c r="M30" i="14813"/>
  <c r="N30" i="14813" s="1"/>
  <c r="R30" i="14813"/>
  <c r="S30" i="14813" s="1"/>
  <c r="T30" i="14813" s="1"/>
  <c r="R28" i="14813"/>
  <c r="S28" i="14813" s="1"/>
  <c r="T28" i="14813" s="1"/>
  <c r="M28" i="14813"/>
  <c r="N28" i="14813" s="1"/>
  <c r="O28" i="14813"/>
  <c r="P28" i="14813" s="1"/>
  <c r="R42" i="14813"/>
  <c r="S42" i="14813" s="1"/>
  <c r="T42" i="14813" s="1"/>
  <c r="M42" i="14813"/>
  <c r="N42" i="14813" s="1"/>
  <c r="R35" i="14813"/>
  <c r="S35" i="14813" s="1"/>
  <c r="T35" i="14813" s="1"/>
  <c r="M13" i="14813"/>
  <c r="R13" i="14813"/>
  <c r="S13" i="14813" s="1"/>
  <c r="T13" i="14813" s="1"/>
  <c r="R37" i="14813"/>
  <c r="S37" i="14813" s="1"/>
  <c r="T37" i="14813" s="1"/>
  <c r="M37" i="14813"/>
  <c r="N37" i="14813" s="1"/>
  <c r="O33" i="14813"/>
  <c r="P33" i="14813" s="1"/>
  <c r="Q33" i="14813" s="1"/>
  <c r="J33" i="14813"/>
  <c r="K33" i="14813" s="1"/>
  <c r="M46" i="14813"/>
  <c r="N46" i="14813" s="1"/>
  <c r="R46" i="14813"/>
  <c r="S46" i="14813" s="1"/>
  <c r="T46" i="14813" s="1"/>
  <c r="J46" i="14813"/>
  <c r="O46" i="14813"/>
  <c r="P46" i="14813" s="1"/>
  <c r="Q46" i="14813" s="1"/>
  <c r="X35" i="14813"/>
  <c r="H35" i="14809" s="1"/>
  <c r="N35" i="14813"/>
  <c r="Y35" i="14813" s="1"/>
  <c r="N17" i="14813"/>
  <c r="Y17" i="14813" s="1"/>
  <c r="X17" i="14813"/>
  <c r="H17" i="14809" s="1"/>
  <c r="R38" i="14813"/>
  <c r="S38" i="14813" s="1"/>
  <c r="O38" i="14813"/>
  <c r="P38" i="14813" s="1"/>
  <c r="M38" i="14813"/>
  <c r="N38" i="14813" s="1"/>
  <c r="M39" i="14813"/>
  <c r="N39" i="14813" s="1"/>
  <c r="R39" i="14813"/>
  <c r="S39" i="14813" s="1"/>
  <c r="T39" i="14813" s="1"/>
  <c r="M12" i="14813"/>
  <c r="R12" i="14813"/>
  <c r="S12" i="14813" s="1"/>
  <c r="T12" i="14813" s="1"/>
  <c r="O12" i="14813"/>
  <c r="P12" i="14813" s="1"/>
  <c r="Q12" i="14813" s="1"/>
  <c r="M26" i="14813"/>
  <c r="N26" i="14813" s="1"/>
  <c r="O26" i="14813"/>
  <c r="P26" i="14813" s="1"/>
  <c r="Q26" i="14813" s="1"/>
  <c r="R26" i="14813"/>
  <c r="S26" i="14813" s="1"/>
  <c r="R18" i="14813"/>
  <c r="S18" i="14813" s="1"/>
  <c r="T18" i="14813" s="1"/>
  <c r="M18" i="14813"/>
  <c r="N18" i="14813" s="1"/>
  <c r="O18" i="14813"/>
  <c r="P18" i="14813" s="1"/>
  <c r="J16" i="14813"/>
  <c r="K16" i="14813" s="1"/>
  <c r="O16" i="14813"/>
  <c r="P16" i="14813" s="1"/>
  <c r="Q16" i="14813" s="1"/>
  <c r="O43" i="14813"/>
  <c r="P43" i="14813" s="1"/>
  <c r="Q43" i="14813" s="1"/>
  <c r="J34" i="14813"/>
  <c r="O34" i="14813"/>
  <c r="P34" i="14813" s="1"/>
  <c r="Q34" i="14813" s="1"/>
  <c r="O30" i="14813"/>
  <c r="P30" i="14813" s="1"/>
  <c r="J30" i="14813"/>
  <c r="K30" i="14813" s="1"/>
  <c r="M36" i="14813"/>
  <c r="N36" i="14813" s="1"/>
  <c r="R36" i="14813"/>
  <c r="S36" i="14813" s="1"/>
  <c r="T36" i="14813" s="1"/>
  <c r="O41" i="14813"/>
  <c r="P41" i="14813" s="1"/>
  <c r="R41" i="14813"/>
  <c r="S41" i="14813" s="1"/>
  <c r="T41" i="14813" s="1"/>
  <c r="M41" i="14813"/>
  <c r="N41" i="14813" s="1"/>
  <c r="O21" i="14813"/>
  <c r="P21" i="14813" s="1"/>
  <c r="J21" i="14813"/>
  <c r="K21" i="14813" s="1"/>
  <c r="O39" i="14813"/>
  <c r="P39" i="14813" s="1"/>
  <c r="M49" i="14813"/>
  <c r="N49" i="14813" s="1"/>
  <c r="R49" i="14813"/>
  <c r="S49" i="14813" s="1"/>
  <c r="T49" i="14813" s="1"/>
  <c r="R19" i="14813"/>
  <c r="S19" i="14813" s="1"/>
  <c r="T19" i="14813" s="1"/>
  <c r="M19" i="14813"/>
  <c r="N19" i="14813" s="1"/>
  <c r="O19" i="14813"/>
  <c r="P19" i="14813" s="1"/>
  <c r="M31" i="14813"/>
  <c r="N31" i="14813" s="1"/>
  <c r="O31" i="14813"/>
  <c r="P31" i="14813" s="1"/>
  <c r="R31" i="14813"/>
  <c r="S31" i="14813" s="1"/>
  <c r="T31" i="14813" s="1"/>
  <c r="M27" i="14813"/>
  <c r="N27" i="14813" s="1"/>
  <c r="R27" i="14813"/>
  <c r="S27" i="14813" s="1"/>
  <c r="O27" i="14813"/>
  <c r="P27" i="14813" s="1"/>
  <c r="Q27" i="14813" s="1"/>
  <c r="R47" i="14813"/>
  <c r="S47" i="14813" s="1"/>
  <c r="T47" i="14813" s="1"/>
  <c r="O47" i="14813"/>
  <c r="P47" i="14813" s="1"/>
  <c r="Q47" i="14813" s="1"/>
  <c r="M47" i="14813"/>
  <c r="N47" i="14813" s="1"/>
  <c r="J36" i="14813"/>
  <c r="K36" i="14813" s="1"/>
  <c r="O36" i="14813"/>
  <c r="P36" i="14813" s="1"/>
  <c r="M53" i="14813"/>
  <c r="N53" i="14813" s="1"/>
  <c r="R53" i="14813"/>
  <c r="S53" i="14813" s="1"/>
  <c r="T53" i="14813" s="1"/>
  <c r="J25" i="14813"/>
  <c r="K25" i="14813" s="1"/>
  <c r="O25" i="14813"/>
  <c r="P25" i="14813" s="1"/>
  <c r="Q25" i="14813" s="1"/>
  <c r="M16" i="14813"/>
  <c r="R16" i="14813"/>
  <c r="S16" i="14813" s="1"/>
  <c r="T16" i="14813" s="1"/>
  <c r="R54" i="14813"/>
  <c r="S54" i="14813" s="1"/>
  <c r="T54" i="14813" s="1"/>
  <c r="M54" i="14813"/>
  <c r="N54" i="14813" s="1"/>
  <c r="O54" i="14813"/>
  <c r="P54" i="14813" s="1"/>
  <c r="Q54" i="14813" s="1"/>
  <c r="M14" i="14813"/>
  <c r="R14" i="14813"/>
  <c r="S14" i="14813" s="1"/>
  <c r="T14" i="14813" s="1"/>
  <c r="O14" i="14813"/>
  <c r="P14" i="14813" s="1"/>
  <c r="Q14" i="14813" s="1"/>
  <c r="J49" i="14813"/>
  <c r="O49" i="14813"/>
  <c r="P49" i="14813" s="1"/>
  <c r="Q49" i="14813" s="1"/>
  <c r="R50" i="14813"/>
  <c r="S50" i="14813" s="1"/>
  <c r="T50" i="14813" s="1"/>
  <c r="M50" i="14813"/>
  <c r="N50" i="14813" s="1"/>
  <c r="O50" i="14813"/>
  <c r="P50" i="14813" s="1"/>
  <c r="Q50" i="14813" s="1"/>
  <c r="M10" i="14813"/>
  <c r="N10" i="14813" s="1"/>
  <c r="Y10" i="14813" s="1"/>
  <c r="R10" i="14813"/>
  <c r="S10" i="14813" s="1"/>
  <c r="T10" i="14813" s="1"/>
  <c r="J17" i="14813"/>
  <c r="K17" i="14813" s="1"/>
  <c r="O17" i="14813"/>
  <c r="P17" i="14813" s="1"/>
  <c r="Q17" i="14813" s="1"/>
  <c r="M32" i="14813"/>
  <c r="N32" i="14813" s="1"/>
  <c r="O32" i="14813"/>
  <c r="P32" i="14813" s="1"/>
  <c r="R32" i="14813"/>
  <c r="S32" i="14813" s="1"/>
  <c r="T32" i="14813" s="1"/>
  <c r="R40" i="14813"/>
  <c r="S40" i="14813" s="1"/>
  <c r="T40" i="14813" s="1"/>
  <c r="O40" i="14813"/>
  <c r="P40" i="14813" s="1"/>
  <c r="M40" i="14813"/>
  <c r="N40" i="14813" s="1"/>
  <c r="M22" i="14813"/>
  <c r="N22" i="14813" s="1"/>
  <c r="O22" i="14813"/>
  <c r="P22" i="14813" s="1"/>
  <c r="R22" i="14813"/>
  <c r="S22" i="14813" s="1"/>
  <c r="T22" i="14813" s="1"/>
  <c r="R21" i="14813"/>
  <c r="S21" i="14813" s="1"/>
  <c r="T21" i="14813" s="1"/>
  <c r="M21" i="14813"/>
  <c r="N21" i="14813" s="1"/>
  <c r="M48" i="14813"/>
  <c r="N48" i="14813" s="1"/>
  <c r="R48" i="14813"/>
  <c r="S48" i="14813" s="1"/>
  <c r="T48" i="14813" s="1"/>
  <c r="O48" i="14813"/>
  <c r="P48" i="14813" s="1"/>
  <c r="Q48" i="14813" s="1"/>
  <c r="J53" i="14813"/>
  <c r="O53" i="14813"/>
  <c r="P53" i="14813" s="1"/>
  <c r="Q53" i="14813" s="1"/>
  <c r="M25" i="14813"/>
  <c r="N25" i="14813" s="1"/>
  <c r="R25" i="14813"/>
  <c r="S25" i="14813" s="1"/>
  <c r="H242" i="14814"/>
  <c r="H218" i="14814"/>
  <c r="H122" i="14814"/>
  <c r="H194" i="14814"/>
  <c r="H98" i="14814"/>
  <c r="H170" i="14814"/>
  <c r="J238" i="14786"/>
  <c r="G68" i="14814" l="1"/>
  <c r="H68" i="14814" s="1"/>
  <c r="I68" i="14814"/>
  <c r="J68" i="14814" s="1"/>
  <c r="D171" i="14814"/>
  <c r="E171" i="14814" s="1"/>
  <c r="F68" i="14814"/>
  <c r="C69" i="14814"/>
  <c r="D123" i="14814"/>
  <c r="E123" i="14814" s="1"/>
  <c r="T69" i="14814"/>
  <c r="H243" i="14814" s="1"/>
  <c r="D219" i="14814"/>
  <c r="E219" i="14814" s="1"/>
  <c r="D147" i="14814"/>
  <c r="E147" i="14814" s="1"/>
  <c r="D195" i="14814"/>
  <c r="E195" i="14814" s="1"/>
  <c r="D276" i="14814"/>
  <c r="A277" i="14814"/>
  <c r="H276" i="14814"/>
  <c r="C276" i="14814"/>
  <c r="B309" i="14814"/>
  <c r="E309" i="14814" s="1"/>
  <c r="B484" i="14814"/>
  <c r="E484" i="14814" s="1"/>
  <c r="B316" i="14814"/>
  <c r="E316" i="14814" s="1"/>
  <c r="B491" i="14814"/>
  <c r="E491" i="14814" s="1"/>
  <c r="B470" i="14814"/>
  <c r="E470" i="14814" s="1"/>
  <c r="B330" i="14814"/>
  <c r="E330" i="14814" s="1"/>
  <c r="B512" i="14814"/>
  <c r="E512" i="14814" s="1"/>
  <c r="B505" i="14814"/>
  <c r="E505" i="14814" s="1"/>
  <c r="B344" i="14814"/>
  <c r="E344" i="14814" s="1"/>
  <c r="B477" i="14814"/>
  <c r="E477" i="14814" s="1"/>
  <c r="B575" i="14814"/>
  <c r="E575" i="14814" s="1"/>
  <c r="B351" i="14814"/>
  <c r="E351" i="14814" s="1"/>
  <c r="B554" i="14814"/>
  <c r="E554" i="14814" s="1"/>
  <c r="B540" i="14814"/>
  <c r="E540" i="14814" s="1"/>
  <c r="B435" i="14814"/>
  <c r="E435" i="14814" s="1"/>
  <c r="B638" i="14814"/>
  <c r="E638" i="14814" s="1"/>
  <c r="B414" i="14814"/>
  <c r="E414" i="14814" s="1"/>
  <c r="B337" i="14814"/>
  <c r="E337" i="14814" s="1"/>
  <c r="B617" i="14814"/>
  <c r="E617" i="14814" s="1"/>
  <c r="B456" i="14814"/>
  <c r="E456" i="14814" s="1"/>
  <c r="B295" i="14814"/>
  <c r="E295" i="14814" s="1"/>
  <c r="B302" i="14814"/>
  <c r="E302" i="14814" s="1"/>
  <c r="B596" i="14814"/>
  <c r="E596" i="14814" s="1"/>
  <c r="B372" i="14814"/>
  <c r="E372" i="14814" s="1"/>
  <c r="B323" i="14814"/>
  <c r="E323" i="14814" s="1"/>
  <c r="B603" i="14814"/>
  <c r="E603" i="14814" s="1"/>
  <c r="B379" i="14814"/>
  <c r="E379" i="14814" s="1"/>
  <c r="B582" i="14814"/>
  <c r="E582" i="14814" s="1"/>
  <c r="B358" i="14814"/>
  <c r="E358" i="14814" s="1"/>
  <c r="B449" i="14814"/>
  <c r="E449" i="14814" s="1"/>
  <c r="B568" i="14814"/>
  <c r="E568" i="14814" s="1"/>
  <c r="B589" i="14814"/>
  <c r="E589" i="14814" s="1"/>
  <c r="B365" i="14814"/>
  <c r="E365" i="14814" s="1"/>
  <c r="B463" i="14814"/>
  <c r="E463" i="14814" s="1"/>
  <c r="B442" i="14814"/>
  <c r="E442" i="14814" s="1"/>
  <c r="F275" i="14814"/>
  <c r="B624" i="14814"/>
  <c r="E624" i="14814" s="1"/>
  <c r="B652" i="14814"/>
  <c r="E652" i="14814" s="1"/>
  <c r="B428" i="14814"/>
  <c r="E428" i="14814" s="1"/>
  <c r="B547" i="14814"/>
  <c r="E547" i="14814" s="1"/>
  <c r="B526" i="14814"/>
  <c r="E526" i="14814" s="1"/>
  <c r="B645" i="14814"/>
  <c r="E645" i="14814" s="1"/>
  <c r="B631" i="14814"/>
  <c r="E631" i="14814" s="1"/>
  <c r="B610" i="14814"/>
  <c r="E610" i="14814" s="1"/>
  <c r="B393" i="14814"/>
  <c r="E393" i="14814" s="1"/>
  <c r="B407" i="14814"/>
  <c r="E407" i="14814" s="1"/>
  <c r="B386" i="14814"/>
  <c r="E386" i="14814" s="1"/>
  <c r="B533" i="14814"/>
  <c r="E533" i="14814" s="1"/>
  <c r="B561" i="14814"/>
  <c r="E561" i="14814" s="1"/>
  <c r="B519" i="14814"/>
  <c r="E519" i="14814" s="1"/>
  <c r="B498" i="14814"/>
  <c r="E498" i="14814" s="1"/>
  <c r="B400" i="14814"/>
  <c r="E400" i="14814" s="1"/>
  <c r="B421" i="14814"/>
  <c r="E421" i="14814" s="1"/>
  <c r="G434" i="14814"/>
  <c r="G441" i="14814"/>
  <c r="G414" i="14814"/>
  <c r="G422" i="14814"/>
  <c r="G426" i="14814"/>
  <c r="G438" i="14814"/>
  <c r="G430" i="14814"/>
  <c r="G418" i="14814"/>
  <c r="G416" i="14814"/>
  <c r="G419" i="14814"/>
  <c r="G442" i="14814"/>
  <c r="G421" i="14814"/>
  <c r="G424" i="14814"/>
  <c r="G427" i="14814"/>
  <c r="G425" i="14814"/>
  <c r="G428" i="14814"/>
  <c r="G431" i="14814"/>
  <c r="G433" i="14814"/>
  <c r="G415" i="14814"/>
  <c r="G429" i="14814"/>
  <c r="G436" i="14814"/>
  <c r="G432" i="14814"/>
  <c r="G435" i="14814"/>
  <c r="G437" i="14814"/>
  <c r="G423" i="14814"/>
  <c r="G439" i="14814"/>
  <c r="G440" i="14814"/>
  <c r="G413" i="14814"/>
  <c r="G412" i="14814"/>
  <c r="G420" i="14814"/>
  <c r="G417" i="14814"/>
  <c r="F440" i="14814"/>
  <c r="F426" i="14814"/>
  <c r="F438" i="14814"/>
  <c r="F425" i="14814"/>
  <c r="F418" i="14814"/>
  <c r="F415" i="14814"/>
  <c r="F433" i="14814"/>
  <c r="F442" i="14814"/>
  <c r="F441" i="14814"/>
  <c r="F424" i="14814"/>
  <c r="F431" i="14814"/>
  <c r="F412" i="14814"/>
  <c r="F414" i="14814"/>
  <c r="F434" i="14814"/>
  <c r="F435" i="14814"/>
  <c r="F421" i="14814"/>
  <c r="F417" i="14814"/>
  <c r="F429" i="14814"/>
  <c r="F413" i="14814"/>
  <c r="F422" i="14814"/>
  <c r="F432" i="14814"/>
  <c r="F437" i="14814"/>
  <c r="F419" i="14814"/>
  <c r="F430" i="14814"/>
  <c r="F439" i="14814"/>
  <c r="F420" i="14814"/>
  <c r="F436" i="14814"/>
  <c r="F427" i="14814"/>
  <c r="F416" i="14814"/>
  <c r="F423" i="14814"/>
  <c r="F428" i="14814"/>
  <c r="D70" i="14814"/>
  <c r="B70" i="14814"/>
  <c r="I69" i="14814" s="1"/>
  <c r="J69" i="14814" s="1"/>
  <c r="A71" i="14814"/>
  <c r="F99" i="14814"/>
  <c r="F122" i="14814"/>
  <c r="F171" i="14814"/>
  <c r="F195" i="14814"/>
  <c r="F147" i="14814"/>
  <c r="F219" i="14814"/>
  <c r="F243" i="14814"/>
  <c r="M49" i="14830"/>
  <c r="BI7" i="14809"/>
  <c r="HN50" i="14809"/>
  <c r="HM50" i="14809"/>
  <c r="HN23" i="14809"/>
  <c r="HM23" i="14809"/>
  <c r="HN15" i="14809"/>
  <c r="HM15" i="14809"/>
  <c r="HN10" i="14809"/>
  <c r="HM10" i="14809"/>
  <c r="HN17" i="14809"/>
  <c r="HM17" i="14809"/>
  <c r="HM52" i="14809"/>
  <c r="HN52" i="14809"/>
  <c r="HN44" i="14809"/>
  <c r="HM44" i="14809"/>
  <c r="HN35" i="14809"/>
  <c r="HM35" i="14809"/>
  <c r="HN37" i="14809"/>
  <c r="HM37" i="14809"/>
  <c r="H99" i="14814"/>
  <c r="H171" i="14814"/>
  <c r="H195" i="14814"/>
  <c r="H123" i="14814"/>
  <c r="H219" i="14814"/>
  <c r="H147" i="14814"/>
  <c r="H121" i="14814"/>
  <c r="H217" i="14814"/>
  <c r="H145" i="14814"/>
  <c r="H193" i="14814"/>
  <c r="H97" i="14814"/>
  <c r="H241" i="14814"/>
  <c r="X44" i="14813"/>
  <c r="H44" i="14809" s="1"/>
  <c r="X37" i="14813"/>
  <c r="H37" i="14809" s="1"/>
  <c r="Q42" i="14813"/>
  <c r="Y42" i="14813" s="1"/>
  <c r="X33" i="14813"/>
  <c r="H33" i="14809" s="1"/>
  <c r="N33" i="14813"/>
  <c r="Y33" i="14813" s="1"/>
  <c r="X20" i="14813"/>
  <c r="H20" i="14809" s="1"/>
  <c r="Q20" i="14813"/>
  <c r="Y20" i="14813" s="1"/>
  <c r="T24" i="14813"/>
  <c r="Y24" i="14813" s="1"/>
  <c r="X24" i="14813"/>
  <c r="H24" i="14809" s="1"/>
  <c r="X46" i="14813"/>
  <c r="H46" i="14809" s="1"/>
  <c r="K46" i="14813"/>
  <c r="Y46" i="14813" s="1"/>
  <c r="Q28" i="14813"/>
  <c r="Y28" i="14813" s="1"/>
  <c r="X28" i="14813"/>
  <c r="H28" i="14809" s="1"/>
  <c r="X13" i="14813"/>
  <c r="H13" i="14809" s="1"/>
  <c r="N13" i="14813"/>
  <c r="Y13" i="14813" s="1"/>
  <c r="X29" i="14813"/>
  <c r="H29" i="14809" s="1"/>
  <c r="Q29" i="14813"/>
  <c r="Y29" i="14813" s="1"/>
  <c r="X10" i="14813"/>
  <c r="X14" i="14813"/>
  <c r="H14" i="14809" s="1"/>
  <c r="N14" i="14813"/>
  <c r="Y14" i="14813" s="1"/>
  <c r="X27" i="14813"/>
  <c r="H27" i="14809" s="1"/>
  <c r="T27" i="14813"/>
  <c r="Y27" i="14813" s="1"/>
  <c r="X21" i="14813"/>
  <c r="H21" i="14809" s="1"/>
  <c r="Q21" i="14813"/>
  <c r="Y21" i="14813" s="1"/>
  <c r="K49" i="14813"/>
  <c r="Y49" i="14813" s="1"/>
  <c r="X49" i="14813"/>
  <c r="H49" i="14809" s="1"/>
  <c r="X16" i="14813"/>
  <c r="H16" i="14809" s="1"/>
  <c r="N16" i="14813"/>
  <c r="Y16" i="14813" s="1"/>
  <c r="X53" i="14813"/>
  <c r="H53" i="14809" s="1"/>
  <c r="K53" i="14813"/>
  <c r="Y53" i="14813" s="1"/>
  <c r="X36" i="14813"/>
  <c r="H36" i="14809" s="1"/>
  <c r="Q36" i="14813"/>
  <c r="Y36" i="14813" s="1"/>
  <c r="Q39" i="14813"/>
  <c r="Y39" i="14813" s="1"/>
  <c r="X39" i="14813"/>
  <c r="H39" i="14809" s="1"/>
  <c r="X18" i="14813"/>
  <c r="H18" i="14809" s="1"/>
  <c r="Q18" i="14813"/>
  <c r="Y18" i="14813" s="1"/>
  <c r="X12" i="14813"/>
  <c r="H12" i="14809" s="1"/>
  <c r="N12" i="14813"/>
  <c r="Y12" i="14813" s="1"/>
  <c r="X38" i="14813"/>
  <c r="H38" i="14809" s="1"/>
  <c r="Q38" i="14813"/>
  <c r="X40" i="14813"/>
  <c r="H40" i="14809" s="1"/>
  <c r="Q40" i="14813"/>
  <c r="Y40" i="14813" s="1"/>
  <c r="X22" i="14813"/>
  <c r="H22" i="14809" s="1"/>
  <c r="Q22" i="14813"/>
  <c r="Y22" i="14813" s="1"/>
  <c r="Q19" i="14813"/>
  <c r="Y19" i="14813" s="1"/>
  <c r="X19" i="14813"/>
  <c r="H19" i="14809" s="1"/>
  <c r="X34" i="14813"/>
  <c r="H34" i="14809" s="1"/>
  <c r="K34" i="14813"/>
  <c r="Y34" i="14813" s="1"/>
  <c r="T26" i="14813"/>
  <c r="Y26" i="14813" s="1"/>
  <c r="X26" i="14813"/>
  <c r="H26" i="14809" s="1"/>
  <c r="X25" i="14813"/>
  <c r="H25" i="14809" s="1"/>
  <c r="T25" i="14813"/>
  <c r="Y25" i="14813" s="1"/>
  <c r="Q32" i="14813"/>
  <c r="Y32" i="14813" s="1"/>
  <c r="X32" i="14813"/>
  <c r="H32" i="14809" s="1"/>
  <c r="X31" i="14813"/>
  <c r="H31" i="14809" s="1"/>
  <c r="Q31" i="14813"/>
  <c r="Y31" i="14813" s="1"/>
  <c r="X41" i="14813"/>
  <c r="H41" i="14809" s="1"/>
  <c r="Q41" i="14813"/>
  <c r="Y41" i="14813" s="1"/>
  <c r="Q30" i="14813"/>
  <c r="Y30" i="14813" s="1"/>
  <c r="X30" i="14813"/>
  <c r="H30" i="14809" s="1"/>
  <c r="H43" i="14809"/>
  <c r="Y43" i="14813"/>
  <c r="H277" i="14814" l="1"/>
  <c r="D277" i="14814"/>
  <c r="A278" i="14814"/>
  <c r="C277" i="14814"/>
  <c r="G447" i="14814"/>
  <c r="G458" i="14814"/>
  <c r="G463" i="14814"/>
  <c r="G455" i="14814"/>
  <c r="G444" i="14814"/>
  <c r="G456" i="14814"/>
  <c r="G466" i="14814"/>
  <c r="G446" i="14814"/>
  <c r="G453" i="14814"/>
  <c r="G472" i="14814"/>
  <c r="G445" i="14814"/>
  <c r="G461" i="14814"/>
  <c r="G451" i="14814"/>
  <c r="G443" i="14814"/>
  <c r="G457" i="14814"/>
  <c r="G449" i="14814"/>
  <c r="G469" i="14814"/>
  <c r="G448" i="14814"/>
  <c r="G454" i="14814"/>
  <c r="G450" i="14814"/>
  <c r="G471" i="14814"/>
  <c r="G459" i="14814"/>
  <c r="G462" i="14814"/>
  <c r="G465" i="14814"/>
  <c r="G460" i="14814"/>
  <c r="G467" i="14814"/>
  <c r="G452" i="14814"/>
  <c r="G470" i="14814"/>
  <c r="G468" i="14814"/>
  <c r="G464" i="14814"/>
  <c r="B310" i="14814"/>
  <c r="E310" i="14814" s="1"/>
  <c r="B520" i="14814"/>
  <c r="E520" i="14814" s="1"/>
  <c r="B583" i="14814"/>
  <c r="E583" i="14814" s="1"/>
  <c r="B359" i="14814"/>
  <c r="E359" i="14814" s="1"/>
  <c r="B562" i="14814"/>
  <c r="E562" i="14814" s="1"/>
  <c r="B653" i="14814"/>
  <c r="E653" i="14814" s="1"/>
  <c r="B597" i="14814"/>
  <c r="E597" i="14814" s="1"/>
  <c r="B541" i="14814"/>
  <c r="E541" i="14814" s="1"/>
  <c r="B485" i="14814"/>
  <c r="E485" i="14814" s="1"/>
  <c r="B429" i="14814"/>
  <c r="E429" i="14814" s="1"/>
  <c r="B373" i="14814"/>
  <c r="E373" i="14814" s="1"/>
  <c r="B548" i="14814"/>
  <c r="E548" i="14814" s="1"/>
  <c r="B443" i="14814"/>
  <c r="E443" i="14814" s="1"/>
  <c r="B646" i="14814"/>
  <c r="E646" i="14814" s="1"/>
  <c r="B422" i="14814"/>
  <c r="E422" i="14814" s="1"/>
  <c r="B303" i="14814"/>
  <c r="E303" i="14814" s="1"/>
  <c r="B352" i="14814"/>
  <c r="E352" i="14814" s="1"/>
  <c r="B632" i="14814"/>
  <c r="E632" i="14814" s="1"/>
  <c r="B625" i="14814"/>
  <c r="E625" i="14814" s="1"/>
  <c r="B569" i="14814"/>
  <c r="E569" i="14814" s="1"/>
  <c r="B513" i="14814"/>
  <c r="E513" i="14814" s="1"/>
  <c r="B457" i="14814"/>
  <c r="E457" i="14814" s="1"/>
  <c r="B401" i="14814"/>
  <c r="E401" i="14814" s="1"/>
  <c r="B345" i="14814"/>
  <c r="E345" i="14814" s="1"/>
  <c r="B527" i="14814"/>
  <c r="E527" i="14814" s="1"/>
  <c r="B506" i="14814"/>
  <c r="E506" i="14814" s="1"/>
  <c r="B464" i="14814"/>
  <c r="E464" i="14814" s="1"/>
  <c r="B471" i="14814"/>
  <c r="E471" i="14814" s="1"/>
  <c r="B450" i="14814"/>
  <c r="E450" i="14814" s="1"/>
  <c r="B317" i="14814"/>
  <c r="E317" i="14814" s="1"/>
  <c r="B436" i="14814"/>
  <c r="E436" i="14814" s="1"/>
  <c r="B296" i="14814"/>
  <c r="E296" i="14814" s="1"/>
  <c r="B555" i="14814"/>
  <c r="E555" i="14814" s="1"/>
  <c r="B331" i="14814"/>
  <c r="E331" i="14814" s="1"/>
  <c r="B534" i="14814"/>
  <c r="E534" i="14814" s="1"/>
  <c r="B576" i="14814"/>
  <c r="E576" i="14814" s="1"/>
  <c r="B408" i="14814"/>
  <c r="E408" i="14814" s="1"/>
  <c r="B639" i="14814"/>
  <c r="E639" i="14814" s="1"/>
  <c r="B415" i="14814"/>
  <c r="E415" i="14814" s="1"/>
  <c r="B618" i="14814"/>
  <c r="E618" i="14814" s="1"/>
  <c r="B394" i="14814"/>
  <c r="E394" i="14814" s="1"/>
  <c r="B380" i="14814"/>
  <c r="E380" i="14814" s="1"/>
  <c r="B604" i="14814"/>
  <c r="E604" i="14814" s="1"/>
  <c r="B611" i="14814"/>
  <c r="E611" i="14814" s="1"/>
  <c r="B590" i="14814"/>
  <c r="E590" i="14814" s="1"/>
  <c r="F276" i="14814"/>
  <c r="B387" i="14814"/>
  <c r="E387" i="14814" s="1"/>
  <c r="B366" i="14814"/>
  <c r="E366" i="14814" s="1"/>
  <c r="B492" i="14814"/>
  <c r="E492" i="14814" s="1"/>
  <c r="B338" i="14814"/>
  <c r="E338" i="14814" s="1"/>
  <c r="B324" i="14814"/>
  <c r="E324" i="14814" s="1"/>
  <c r="B499" i="14814"/>
  <c r="E499" i="14814" s="1"/>
  <c r="B478" i="14814"/>
  <c r="E478" i="14814" s="1"/>
  <c r="D71" i="14814"/>
  <c r="A72" i="14814"/>
  <c r="B71" i="14814"/>
  <c r="I70" i="14814" s="1"/>
  <c r="T70" i="14814"/>
  <c r="D124" i="14814"/>
  <c r="E124" i="14814" s="1"/>
  <c r="D244" i="14814"/>
  <c r="E244" i="14814" s="1"/>
  <c r="D196" i="14814"/>
  <c r="E196" i="14814" s="1"/>
  <c r="C70" i="14814"/>
  <c r="D148" i="14814"/>
  <c r="E148" i="14814" s="1"/>
  <c r="D100" i="14814"/>
  <c r="E100" i="14814" s="1"/>
  <c r="D220" i="14814"/>
  <c r="E220" i="14814" s="1"/>
  <c r="D172" i="14814"/>
  <c r="E172" i="14814" s="1"/>
  <c r="F69" i="14814"/>
  <c r="G69" i="14814"/>
  <c r="H69" i="14814" s="1"/>
  <c r="G70" i="14814"/>
  <c r="H70" i="14814" s="1"/>
  <c r="F465" i="14814"/>
  <c r="F456" i="14814"/>
  <c r="F448" i="14814"/>
  <c r="F449" i="14814"/>
  <c r="F471" i="14814"/>
  <c r="F454" i="14814"/>
  <c r="F445" i="14814"/>
  <c r="F457" i="14814"/>
  <c r="F466" i="14814"/>
  <c r="F469" i="14814"/>
  <c r="F447" i="14814"/>
  <c r="F444" i="14814"/>
  <c r="F464" i="14814"/>
  <c r="F461" i="14814"/>
  <c r="F453" i="14814"/>
  <c r="F470" i="14814"/>
  <c r="F446" i="14814"/>
  <c r="F455" i="14814"/>
  <c r="F463" i="14814"/>
  <c r="F458" i="14814"/>
  <c r="F452" i="14814"/>
  <c r="F460" i="14814"/>
  <c r="F443" i="14814"/>
  <c r="F468" i="14814"/>
  <c r="F472" i="14814"/>
  <c r="F459" i="14814"/>
  <c r="F450" i="14814"/>
  <c r="F467" i="14814"/>
  <c r="F462" i="14814"/>
  <c r="F451" i="14814"/>
  <c r="F220" i="14814"/>
  <c r="F244" i="14814"/>
  <c r="F172" i="14814"/>
  <c r="F148" i="14814"/>
  <c r="F123" i="14814"/>
  <c r="F196" i="14814"/>
  <c r="F100" i="14814"/>
  <c r="M48" i="14830"/>
  <c r="BJ7" i="14809"/>
  <c r="HN31" i="14809"/>
  <c r="HM31" i="14809"/>
  <c r="HN25" i="14809"/>
  <c r="HM25" i="14809"/>
  <c r="HN34" i="14809"/>
  <c r="HM34" i="14809"/>
  <c r="HN22" i="14809"/>
  <c r="HM22" i="14809"/>
  <c r="HN18" i="14809"/>
  <c r="HM18" i="14809"/>
  <c r="HN36" i="14809"/>
  <c r="HM36" i="14809"/>
  <c r="HN16" i="14809"/>
  <c r="HM16" i="14809"/>
  <c r="HN21" i="14809"/>
  <c r="HM21" i="14809"/>
  <c r="HN14" i="14809"/>
  <c r="HM14" i="14809"/>
  <c r="HN28" i="14809"/>
  <c r="HM28" i="14809"/>
  <c r="HN33" i="14809"/>
  <c r="HM33" i="14809"/>
  <c r="HN30" i="14809"/>
  <c r="HM30" i="14809"/>
  <c r="HN13" i="14809"/>
  <c r="HM13" i="14809"/>
  <c r="HN46" i="14809"/>
  <c r="HM46" i="14809"/>
  <c r="HN24" i="14809"/>
  <c r="HM24" i="14809"/>
  <c r="HN43" i="14809"/>
  <c r="HM43" i="14809"/>
  <c r="HN41" i="14809"/>
  <c r="HM41" i="14809"/>
  <c r="HN40" i="14809"/>
  <c r="HM40" i="14809"/>
  <c r="HN12" i="14809"/>
  <c r="HM12" i="14809"/>
  <c r="HN53" i="14809"/>
  <c r="HM53" i="14809"/>
  <c r="HN27" i="14809"/>
  <c r="HM27" i="14809"/>
  <c r="HN20" i="14809"/>
  <c r="HM20" i="14809"/>
  <c r="HN42" i="14809"/>
  <c r="HM42" i="14809"/>
  <c r="HN32" i="14809"/>
  <c r="HM32" i="14809"/>
  <c r="HN26" i="14809"/>
  <c r="HM26" i="14809"/>
  <c r="HN19" i="14809"/>
  <c r="HM19" i="14809"/>
  <c r="HN39" i="14809"/>
  <c r="HM39" i="14809"/>
  <c r="HN49" i="14809"/>
  <c r="HM49" i="14809"/>
  <c r="HN29" i="14809"/>
  <c r="HM29" i="14809"/>
  <c r="H10" i="14809"/>
  <c r="M12" i="14786" s="1"/>
  <c r="F70" i="14814" l="1"/>
  <c r="A73" i="14814"/>
  <c r="D72" i="14814"/>
  <c r="B72" i="14814"/>
  <c r="F277" i="14814"/>
  <c r="B605" i="14814"/>
  <c r="E605" i="14814" s="1"/>
  <c r="B549" i="14814"/>
  <c r="E549" i="14814" s="1"/>
  <c r="B493" i="14814"/>
  <c r="E493" i="14814" s="1"/>
  <c r="B437" i="14814"/>
  <c r="E437" i="14814" s="1"/>
  <c r="B381" i="14814"/>
  <c r="E381" i="14814" s="1"/>
  <c r="B640" i="14814"/>
  <c r="E640" i="14814" s="1"/>
  <c r="B584" i="14814"/>
  <c r="E584" i="14814" s="1"/>
  <c r="B528" i="14814"/>
  <c r="E528" i="14814" s="1"/>
  <c r="B472" i="14814"/>
  <c r="E472" i="14814" s="1"/>
  <c r="B416" i="14814"/>
  <c r="E416" i="14814" s="1"/>
  <c r="B360" i="14814"/>
  <c r="E360" i="14814" s="1"/>
  <c r="B451" i="14814"/>
  <c r="E451" i="14814" s="1"/>
  <c r="B654" i="14814"/>
  <c r="E654" i="14814" s="1"/>
  <c r="B430" i="14814"/>
  <c r="E430" i="14814" s="1"/>
  <c r="B633" i="14814"/>
  <c r="E633" i="14814" s="1"/>
  <c r="B577" i="14814"/>
  <c r="E577" i="14814" s="1"/>
  <c r="B521" i="14814"/>
  <c r="E521" i="14814" s="1"/>
  <c r="B465" i="14814"/>
  <c r="E465" i="14814" s="1"/>
  <c r="B409" i="14814"/>
  <c r="E409" i="14814" s="1"/>
  <c r="B353" i="14814"/>
  <c r="E353" i="14814" s="1"/>
  <c r="B535" i="14814"/>
  <c r="E535" i="14814" s="1"/>
  <c r="B514" i="14814"/>
  <c r="E514" i="14814" s="1"/>
  <c r="B619" i="14814"/>
  <c r="E619" i="14814" s="1"/>
  <c r="B395" i="14814"/>
  <c r="E395" i="14814" s="1"/>
  <c r="B598" i="14814"/>
  <c r="E598" i="14814" s="1"/>
  <c r="B374" i="14814"/>
  <c r="E374" i="14814" s="1"/>
  <c r="B297" i="14814"/>
  <c r="E297" i="14814" s="1"/>
  <c r="B563" i="14814"/>
  <c r="E563" i="14814" s="1"/>
  <c r="B339" i="14814"/>
  <c r="E339" i="14814" s="1"/>
  <c r="B542" i="14814"/>
  <c r="E542" i="14814" s="1"/>
  <c r="B318" i="14814"/>
  <c r="E318" i="14814" s="1"/>
  <c r="B647" i="14814"/>
  <c r="E647" i="14814" s="1"/>
  <c r="B423" i="14814"/>
  <c r="E423" i="14814" s="1"/>
  <c r="B626" i="14814"/>
  <c r="E626" i="14814" s="1"/>
  <c r="B402" i="14814"/>
  <c r="E402" i="14814" s="1"/>
  <c r="B304" i="14814"/>
  <c r="E304" i="14814" s="1"/>
  <c r="B507" i="14814"/>
  <c r="E507" i="14814" s="1"/>
  <c r="B486" i="14814"/>
  <c r="E486" i="14814" s="1"/>
  <c r="B346" i="14814"/>
  <c r="E346" i="14814" s="1"/>
  <c r="B325" i="14814"/>
  <c r="E325" i="14814" s="1"/>
  <c r="B479" i="14814"/>
  <c r="E479" i="14814" s="1"/>
  <c r="B458" i="14814"/>
  <c r="E458" i="14814" s="1"/>
  <c r="B500" i="14814"/>
  <c r="E500" i="14814" s="1"/>
  <c r="B444" i="14814"/>
  <c r="E444" i="14814" s="1"/>
  <c r="B591" i="14814"/>
  <c r="E591" i="14814" s="1"/>
  <c r="B570" i="14814"/>
  <c r="E570" i="14814" s="1"/>
  <c r="B612" i="14814"/>
  <c r="E612" i="14814" s="1"/>
  <c r="B388" i="14814"/>
  <c r="E388" i="14814" s="1"/>
  <c r="B367" i="14814"/>
  <c r="E367" i="14814" s="1"/>
  <c r="B332" i="14814"/>
  <c r="E332" i="14814" s="1"/>
  <c r="B311" i="14814"/>
  <c r="E311" i="14814" s="1"/>
  <c r="B556" i="14814"/>
  <c r="E556" i="14814" s="1"/>
  <c r="H172" i="14814"/>
  <c r="H148" i="14814"/>
  <c r="H124" i="14814"/>
  <c r="H220" i="14814"/>
  <c r="H100" i="14814"/>
  <c r="H196" i="14814"/>
  <c r="H244" i="14814"/>
  <c r="F197" i="14814"/>
  <c r="F101" i="14814"/>
  <c r="F173" i="14814"/>
  <c r="F124" i="14814"/>
  <c r="F149" i="14814"/>
  <c r="F221" i="14814"/>
  <c r="F245" i="14814"/>
  <c r="J70" i="14814"/>
  <c r="F493" i="14814"/>
  <c r="F500" i="14814"/>
  <c r="F475" i="14814"/>
  <c r="F489" i="14814"/>
  <c r="F474" i="14814"/>
  <c r="F496" i="14814"/>
  <c r="F488" i="14814"/>
  <c r="F501" i="14814"/>
  <c r="F503" i="14814"/>
  <c r="F482" i="14814"/>
  <c r="F502" i="14814"/>
  <c r="F492" i="14814"/>
  <c r="F477" i="14814"/>
  <c r="F491" i="14814"/>
  <c r="F480" i="14814"/>
  <c r="F478" i="14814"/>
  <c r="F497" i="14814"/>
  <c r="F498" i="14814"/>
  <c r="F473" i="14814"/>
  <c r="F485" i="14814"/>
  <c r="F483" i="14814"/>
  <c r="F484" i="14814"/>
  <c r="F476" i="14814"/>
  <c r="F495" i="14814"/>
  <c r="F481" i="14814"/>
  <c r="F479" i="14814"/>
  <c r="F490" i="14814"/>
  <c r="F499" i="14814"/>
  <c r="F486" i="14814"/>
  <c r="F487" i="14814"/>
  <c r="F494" i="14814"/>
  <c r="D278" i="14814"/>
  <c r="A279" i="14814"/>
  <c r="C278" i="14814"/>
  <c r="D149" i="14814"/>
  <c r="E149" i="14814" s="1"/>
  <c r="I71" i="14814"/>
  <c r="J71" i="14814" s="1"/>
  <c r="D173" i="14814"/>
  <c r="E173" i="14814" s="1"/>
  <c r="D221" i="14814"/>
  <c r="E221" i="14814" s="1"/>
  <c r="D245" i="14814"/>
  <c r="E245" i="14814" s="1"/>
  <c r="D125" i="14814"/>
  <c r="E125" i="14814" s="1"/>
  <c r="C71" i="14814"/>
  <c r="D197" i="14814"/>
  <c r="E197" i="14814" s="1"/>
  <c r="T71" i="14814"/>
  <c r="G71" i="14814"/>
  <c r="H71" i="14814" s="1"/>
  <c r="D101" i="14814"/>
  <c r="E101" i="14814" s="1"/>
  <c r="F71" i="14814"/>
  <c r="G494" i="14814"/>
  <c r="G499" i="14814"/>
  <c r="G495" i="14814"/>
  <c r="G484" i="14814"/>
  <c r="G476" i="14814"/>
  <c r="G503" i="14814"/>
  <c r="G501" i="14814"/>
  <c r="G486" i="14814"/>
  <c r="G479" i="14814"/>
  <c r="G481" i="14814"/>
  <c r="G488" i="14814"/>
  <c r="G490" i="14814"/>
  <c r="G485" i="14814"/>
  <c r="G491" i="14814"/>
  <c r="G493" i="14814"/>
  <c r="G489" i="14814"/>
  <c r="G478" i="14814"/>
  <c r="G473" i="14814"/>
  <c r="G496" i="14814"/>
  <c r="G480" i="14814"/>
  <c r="G497" i="14814"/>
  <c r="G487" i="14814"/>
  <c r="G475" i="14814"/>
  <c r="G477" i="14814"/>
  <c r="G500" i="14814"/>
  <c r="G482" i="14814"/>
  <c r="G492" i="14814"/>
  <c r="G483" i="14814"/>
  <c r="G502" i="14814"/>
  <c r="G498" i="14814"/>
  <c r="G474" i="14814"/>
  <c r="BK7" i="14809"/>
  <c r="G522" i="14814" l="1"/>
  <c r="G507" i="14814"/>
  <c r="G508" i="14814"/>
  <c r="G509" i="14814"/>
  <c r="G518" i="14814"/>
  <c r="G512" i="14814"/>
  <c r="G515" i="14814"/>
  <c r="G516" i="14814"/>
  <c r="G517" i="14814"/>
  <c r="G534" i="14814"/>
  <c r="G513" i="14814"/>
  <c r="G519" i="14814"/>
  <c r="G520" i="14814"/>
  <c r="G521" i="14814"/>
  <c r="G514" i="14814"/>
  <c r="G527" i="14814"/>
  <c r="G506" i="14814"/>
  <c r="G526" i="14814"/>
  <c r="G523" i="14814"/>
  <c r="G524" i="14814"/>
  <c r="G525" i="14814"/>
  <c r="G530" i="14814"/>
  <c r="G528" i="14814"/>
  <c r="G510" i="14814"/>
  <c r="G511" i="14814"/>
  <c r="G529" i="14814"/>
  <c r="G531" i="14814"/>
  <c r="G532" i="14814"/>
  <c r="G533" i="14814"/>
  <c r="G504" i="14814"/>
  <c r="G505" i="14814"/>
  <c r="D73" i="14814"/>
  <c r="A74" i="14814"/>
  <c r="B73" i="14814"/>
  <c r="H245" i="14814"/>
  <c r="H125" i="14814"/>
  <c r="H221" i="14814"/>
  <c r="H173" i="14814"/>
  <c r="H197" i="14814"/>
  <c r="H101" i="14814"/>
  <c r="H149" i="14814"/>
  <c r="B389" i="14814"/>
  <c r="E389" i="14814" s="1"/>
  <c r="B641" i="14814"/>
  <c r="E641" i="14814" s="1"/>
  <c r="B417" i="14814"/>
  <c r="E417" i="14814" s="1"/>
  <c r="B627" i="14814"/>
  <c r="E627" i="14814" s="1"/>
  <c r="B403" i="14814"/>
  <c r="E403" i="14814" s="1"/>
  <c r="B606" i="14814"/>
  <c r="E606" i="14814" s="1"/>
  <c r="B382" i="14814"/>
  <c r="E382" i="14814" s="1"/>
  <c r="B354" i="14814"/>
  <c r="E354" i="14814" s="1"/>
  <c r="B298" i="14814"/>
  <c r="E298" i="14814" s="1"/>
  <c r="B312" i="14814"/>
  <c r="E312" i="14814" s="1"/>
  <c r="B487" i="14814"/>
  <c r="E487" i="14814" s="1"/>
  <c r="B466" i="14814"/>
  <c r="E466" i="14814" s="1"/>
  <c r="B501" i="14814"/>
  <c r="E501" i="14814" s="1"/>
  <c r="B333" i="14814"/>
  <c r="E333" i="14814" s="1"/>
  <c r="B648" i="14814"/>
  <c r="E648" i="14814" s="1"/>
  <c r="B592" i="14814"/>
  <c r="E592" i="14814" s="1"/>
  <c r="B536" i="14814"/>
  <c r="E536" i="14814" s="1"/>
  <c r="B480" i="14814"/>
  <c r="E480" i="14814" s="1"/>
  <c r="B424" i="14814"/>
  <c r="E424" i="14814" s="1"/>
  <c r="B368" i="14814"/>
  <c r="E368" i="14814" s="1"/>
  <c r="B473" i="14814"/>
  <c r="E473" i="14814" s="1"/>
  <c r="B305" i="14814"/>
  <c r="E305" i="14814" s="1"/>
  <c r="B571" i="14814"/>
  <c r="E571" i="14814" s="1"/>
  <c r="B347" i="14814"/>
  <c r="E347" i="14814" s="1"/>
  <c r="B550" i="14814"/>
  <c r="E550" i="14814" s="1"/>
  <c r="B613" i="14814"/>
  <c r="E613" i="14814" s="1"/>
  <c r="B445" i="14814"/>
  <c r="E445" i="14814" s="1"/>
  <c r="B529" i="14814"/>
  <c r="E529" i="14814" s="1"/>
  <c r="B515" i="14814"/>
  <c r="E515" i="14814" s="1"/>
  <c r="B494" i="14814"/>
  <c r="E494" i="14814" s="1"/>
  <c r="B326" i="14814"/>
  <c r="E326" i="14814" s="1"/>
  <c r="B599" i="14814"/>
  <c r="E599" i="14814" s="1"/>
  <c r="B375" i="14814"/>
  <c r="E375" i="14814" s="1"/>
  <c r="B578" i="14814"/>
  <c r="E578" i="14814" s="1"/>
  <c r="B557" i="14814"/>
  <c r="E557" i="14814" s="1"/>
  <c r="B585" i="14814"/>
  <c r="E585" i="14814" s="1"/>
  <c r="B361" i="14814"/>
  <c r="E361" i="14814" s="1"/>
  <c r="B459" i="14814"/>
  <c r="E459" i="14814" s="1"/>
  <c r="B319" i="14814"/>
  <c r="E319" i="14814" s="1"/>
  <c r="B438" i="14814"/>
  <c r="E438" i="14814" s="1"/>
  <c r="B508" i="14814"/>
  <c r="E508" i="14814" s="1"/>
  <c r="B655" i="14814"/>
  <c r="E655" i="14814" s="1"/>
  <c r="B634" i="14814"/>
  <c r="E634" i="14814" s="1"/>
  <c r="B452" i="14814"/>
  <c r="E452" i="14814" s="1"/>
  <c r="B431" i="14814"/>
  <c r="E431" i="14814" s="1"/>
  <c r="B410" i="14814"/>
  <c r="E410" i="14814" s="1"/>
  <c r="B620" i="14814"/>
  <c r="E620" i="14814" s="1"/>
  <c r="B396" i="14814"/>
  <c r="E396" i="14814" s="1"/>
  <c r="B543" i="14814"/>
  <c r="E543" i="14814" s="1"/>
  <c r="B522" i="14814"/>
  <c r="E522" i="14814" s="1"/>
  <c r="B564" i="14814"/>
  <c r="E564" i="14814" s="1"/>
  <c r="B340" i="14814"/>
  <c r="E340" i="14814" s="1"/>
  <c r="F515" i="14814"/>
  <c r="F529" i="14814"/>
  <c r="F518" i="14814"/>
  <c r="F523" i="14814"/>
  <c r="F512" i="14814"/>
  <c r="F507" i="14814"/>
  <c r="F526" i="14814"/>
  <c r="F522" i="14814"/>
  <c r="F530" i="14814"/>
  <c r="F534" i="14814"/>
  <c r="F520" i="14814"/>
  <c r="F517" i="14814"/>
  <c r="F525" i="14814"/>
  <c r="F513" i="14814"/>
  <c r="F519" i="14814"/>
  <c r="F532" i="14814"/>
  <c r="F528" i="14814"/>
  <c r="F510" i="14814"/>
  <c r="F533" i="14814"/>
  <c r="F504" i="14814"/>
  <c r="F524" i="14814"/>
  <c r="F505" i="14814"/>
  <c r="F531" i="14814"/>
  <c r="F511" i="14814"/>
  <c r="F521" i="14814"/>
  <c r="F506" i="14814"/>
  <c r="F527" i="14814"/>
  <c r="F509" i="14814"/>
  <c r="F516" i="14814"/>
  <c r="F514" i="14814"/>
  <c r="F508" i="14814"/>
  <c r="G72" i="14814"/>
  <c r="H72" i="14814" s="1"/>
  <c r="D222" i="14814"/>
  <c r="E222" i="14814" s="1"/>
  <c r="D198" i="14814"/>
  <c r="E198" i="14814" s="1"/>
  <c r="D246" i="14814"/>
  <c r="E246" i="14814" s="1"/>
  <c r="I72" i="14814"/>
  <c r="J72" i="14814" s="1"/>
  <c r="C72" i="14814"/>
  <c r="D174" i="14814"/>
  <c r="E174" i="14814" s="1"/>
  <c r="D102" i="14814"/>
  <c r="E102" i="14814" s="1"/>
  <c r="T72" i="14814"/>
  <c r="D126" i="14814"/>
  <c r="E126" i="14814" s="1"/>
  <c r="F72" i="14814"/>
  <c r="D150" i="14814"/>
  <c r="E150" i="14814" s="1"/>
  <c r="D279" i="14814"/>
  <c r="A280" i="14814"/>
  <c r="C279" i="14814"/>
  <c r="F174" i="14814"/>
  <c r="F102" i="14814"/>
  <c r="F222" i="14814"/>
  <c r="F125" i="14814"/>
  <c r="F246" i="14814"/>
  <c r="F198" i="14814"/>
  <c r="F150" i="14814"/>
  <c r="BL7" i="14809"/>
  <c r="G537" i="14814" l="1"/>
  <c r="G555" i="14814"/>
  <c r="G551" i="14814"/>
  <c r="G535" i="14814"/>
  <c r="G548" i="14814"/>
  <c r="G542" i="14814"/>
  <c r="G564" i="14814"/>
  <c r="G544" i="14814"/>
  <c r="G562" i="14814"/>
  <c r="G558" i="14814"/>
  <c r="G559" i="14814"/>
  <c r="G540" i="14814"/>
  <c r="G546" i="14814"/>
  <c r="G563" i="14814"/>
  <c r="G536" i="14814"/>
  <c r="G539" i="14814"/>
  <c r="G538" i="14814"/>
  <c r="G550" i="14814"/>
  <c r="G560" i="14814"/>
  <c r="G547" i="14814"/>
  <c r="G556" i="14814"/>
  <c r="G553" i="14814"/>
  <c r="G554" i="14814"/>
  <c r="G545" i="14814"/>
  <c r="G541" i="14814"/>
  <c r="G543" i="14814"/>
  <c r="G557" i="14814"/>
  <c r="G549" i="14814"/>
  <c r="G552" i="14814"/>
  <c r="G561" i="14814"/>
  <c r="H222" i="14814"/>
  <c r="H126" i="14814"/>
  <c r="H150" i="14814"/>
  <c r="H174" i="14814"/>
  <c r="H102" i="14814"/>
  <c r="H246" i="14814"/>
  <c r="H198" i="14814"/>
  <c r="D199" i="14814"/>
  <c r="E199" i="14814" s="1"/>
  <c r="C73" i="14814"/>
  <c r="D247" i="14814"/>
  <c r="E247" i="14814" s="1"/>
  <c r="D103" i="14814"/>
  <c r="E103" i="14814" s="1"/>
  <c r="D127" i="14814"/>
  <c r="E127" i="14814" s="1"/>
  <c r="D151" i="14814"/>
  <c r="E151" i="14814" s="1"/>
  <c r="D175" i="14814"/>
  <c r="E175" i="14814" s="1"/>
  <c r="I73" i="14814"/>
  <c r="J73" i="14814" s="1"/>
  <c r="D223" i="14814"/>
  <c r="E223" i="14814" s="1"/>
  <c r="T73" i="14814"/>
  <c r="F552" i="14814"/>
  <c r="F554" i="14814"/>
  <c r="F536" i="14814"/>
  <c r="F542" i="14814"/>
  <c r="F559" i="14814"/>
  <c r="F538" i="14814"/>
  <c r="F544" i="14814"/>
  <c r="F557" i="14814"/>
  <c r="F537" i="14814"/>
  <c r="F535" i="14814"/>
  <c r="F543" i="14814"/>
  <c r="F545" i="14814"/>
  <c r="F540" i="14814"/>
  <c r="F564" i="14814"/>
  <c r="F541" i="14814"/>
  <c r="F547" i="14814"/>
  <c r="F563" i="14814"/>
  <c r="F555" i="14814"/>
  <c r="F551" i="14814"/>
  <c r="F549" i="14814"/>
  <c r="F539" i="14814"/>
  <c r="F546" i="14814"/>
  <c r="F558" i="14814"/>
  <c r="F550" i="14814"/>
  <c r="F548" i="14814"/>
  <c r="F556" i="14814"/>
  <c r="F560" i="14814"/>
  <c r="F561" i="14814"/>
  <c r="F553" i="14814"/>
  <c r="F562" i="14814"/>
  <c r="D74" i="14814"/>
  <c r="B74" i="14814"/>
  <c r="G73" i="14814" s="1"/>
  <c r="H73" i="14814" s="1"/>
  <c r="A75" i="14814"/>
  <c r="D280" i="14814"/>
  <c r="A281" i="14814"/>
  <c r="C280" i="14814"/>
  <c r="F151" i="14814"/>
  <c r="F199" i="14814"/>
  <c r="F175" i="14814"/>
  <c r="F126" i="14814"/>
  <c r="F223" i="14814"/>
  <c r="F103" i="14814"/>
  <c r="F247" i="14814"/>
  <c r="BM7" i="14809"/>
  <c r="F570" i="14814" l="1"/>
  <c r="F577" i="14814"/>
  <c r="F594" i="14814"/>
  <c r="F571" i="14814"/>
  <c r="F576" i="14814"/>
  <c r="F595" i="14814"/>
  <c r="F569" i="14814"/>
  <c r="F575" i="14814"/>
  <c r="F567" i="14814"/>
  <c r="F579" i="14814"/>
  <c r="F573" i="14814"/>
  <c r="F591" i="14814"/>
  <c r="F589" i="14814"/>
  <c r="F578" i="14814"/>
  <c r="F566" i="14814"/>
  <c r="F565" i="14814"/>
  <c r="F581" i="14814"/>
  <c r="F590" i="14814"/>
  <c r="F587" i="14814"/>
  <c r="F592" i="14814"/>
  <c r="F588" i="14814"/>
  <c r="F585" i="14814"/>
  <c r="F574" i="14814"/>
  <c r="F583" i="14814"/>
  <c r="F586" i="14814"/>
  <c r="F593" i="14814"/>
  <c r="F584" i="14814"/>
  <c r="F568" i="14814"/>
  <c r="F572" i="14814"/>
  <c r="F582" i="14814"/>
  <c r="F580" i="14814"/>
  <c r="D281" i="14814"/>
  <c r="A282" i="14814"/>
  <c r="C281" i="14814"/>
  <c r="H247" i="14814"/>
  <c r="H127" i="14814"/>
  <c r="H103" i="14814"/>
  <c r="H151" i="14814"/>
  <c r="H175" i="14814"/>
  <c r="H199" i="14814"/>
  <c r="H223" i="14814"/>
  <c r="G577" i="14814"/>
  <c r="G569" i="14814"/>
  <c r="G593" i="14814"/>
  <c r="G572" i="14814"/>
  <c r="G588" i="14814"/>
  <c r="G573" i="14814"/>
  <c r="G565" i="14814"/>
  <c r="G574" i="14814"/>
  <c r="G590" i="14814"/>
  <c r="G579" i="14814"/>
  <c r="G571" i="14814"/>
  <c r="G576" i="14814"/>
  <c r="G592" i="14814"/>
  <c r="G585" i="14814"/>
  <c r="G575" i="14814"/>
  <c r="G581" i="14814"/>
  <c r="G578" i="14814"/>
  <c r="G594" i="14814"/>
  <c r="G589" i="14814"/>
  <c r="G591" i="14814"/>
  <c r="G580" i="14814"/>
  <c r="G567" i="14814"/>
  <c r="G595" i="14814"/>
  <c r="G583" i="14814"/>
  <c r="G568" i="14814"/>
  <c r="G584" i="14814"/>
  <c r="G566" i="14814"/>
  <c r="G570" i="14814"/>
  <c r="G582" i="14814"/>
  <c r="G586" i="14814"/>
  <c r="G587" i="14814"/>
  <c r="D75" i="14814"/>
  <c r="A76" i="14814"/>
  <c r="B75" i="14814"/>
  <c r="F73" i="14814"/>
  <c r="T74" i="14814"/>
  <c r="D224" i="14814"/>
  <c r="E224" i="14814" s="1"/>
  <c r="C74" i="14814"/>
  <c r="D248" i="14814"/>
  <c r="E248" i="14814" s="1"/>
  <c r="D128" i="14814"/>
  <c r="E128" i="14814" s="1"/>
  <c r="D176" i="14814"/>
  <c r="E176" i="14814" s="1"/>
  <c r="D200" i="14814"/>
  <c r="E200" i="14814" s="1"/>
  <c r="D104" i="14814"/>
  <c r="E104" i="14814" s="1"/>
  <c r="D152" i="14814"/>
  <c r="E152" i="14814" s="1"/>
  <c r="G74" i="14814"/>
  <c r="H74" i="14814" s="1"/>
  <c r="I74" i="14814"/>
  <c r="F74" i="14814"/>
  <c r="F176" i="14814"/>
  <c r="F248" i="14814"/>
  <c r="F200" i="14814"/>
  <c r="F127" i="14814"/>
  <c r="F104" i="14814"/>
  <c r="F224" i="14814"/>
  <c r="F152" i="14814"/>
  <c r="BN7" i="14809"/>
  <c r="F249" i="14814" l="1"/>
  <c r="F201" i="14814"/>
  <c r="F225" i="14814"/>
  <c r="F177" i="14814"/>
  <c r="F105" i="14814"/>
  <c r="F153" i="14814"/>
  <c r="F128" i="14814"/>
  <c r="F607" i="14814"/>
  <c r="F616" i="14814"/>
  <c r="F613" i="14814"/>
  <c r="F600" i="14814"/>
  <c r="F620" i="14814"/>
  <c r="F623" i="14814"/>
  <c r="F598" i="14814"/>
  <c r="F622" i="14814"/>
  <c r="F618" i="14814"/>
  <c r="F596" i="14814"/>
  <c r="F614" i="14814"/>
  <c r="F621" i="14814"/>
  <c r="F608" i="14814"/>
  <c r="F602" i="14814"/>
  <c r="F605" i="14814"/>
  <c r="F604" i="14814"/>
  <c r="F601" i="14814"/>
  <c r="F625" i="14814"/>
  <c r="F610" i="14814"/>
  <c r="F615" i="14814"/>
  <c r="F599" i="14814"/>
  <c r="F597" i="14814"/>
  <c r="F611" i="14814"/>
  <c r="F603" i="14814"/>
  <c r="F624" i="14814"/>
  <c r="F609" i="14814"/>
  <c r="F606" i="14814"/>
  <c r="F612" i="14814"/>
  <c r="F617" i="14814"/>
  <c r="F619" i="14814"/>
  <c r="D282" i="14814"/>
  <c r="C282" i="14814"/>
  <c r="G601" i="14814"/>
  <c r="G596" i="14814"/>
  <c r="G625" i="14814"/>
  <c r="G602" i="14814"/>
  <c r="G610" i="14814"/>
  <c r="G620" i="14814"/>
  <c r="G609" i="14814"/>
  <c r="G604" i="14814"/>
  <c r="G617" i="14814"/>
  <c r="G618" i="14814"/>
  <c r="G615" i="14814"/>
  <c r="G600" i="14814"/>
  <c r="G623" i="14814"/>
  <c r="G608" i="14814"/>
  <c r="G598" i="14814"/>
  <c r="G621" i="14814"/>
  <c r="G619" i="14814"/>
  <c r="G612" i="14814"/>
  <c r="G613" i="14814"/>
  <c r="G603" i="14814"/>
  <c r="G597" i="14814"/>
  <c r="G605" i="14814"/>
  <c r="G599" i="14814"/>
  <c r="G606" i="14814"/>
  <c r="G616" i="14814"/>
  <c r="G614" i="14814"/>
  <c r="G611" i="14814"/>
  <c r="G607" i="14814"/>
  <c r="G622" i="14814"/>
  <c r="G624" i="14814"/>
  <c r="J74" i="14814"/>
  <c r="H224" i="14814"/>
  <c r="H152" i="14814"/>
  <c r="H104" i="14814"/>
  <c r="H200" i="14814"/>
  <c r="H176" i="14814"/>
  <c r="H248" i="14814"/>
  <c r="H128" i="14814"/>
  <c r="T75" i="14814"/>
  <c r="D129" i="14814"/>
  <c r="E129" i="14814" s="1"/>
  <c r="D249" i="14814"/>
  <c r="E249" i="14814" s="1"/>
  <c r="D105" i="14814"/>
  <c r="E105" i="14814" s="1"/>
  <c r="C75" i="14814"/>
  <c r="D201" i="14814"/>
  <c r="E201" i="14814" s="1"/>
  <c r="D225" i="14814"/>
  <c r="E225" i="14814" s="1"/>
  <c r="D153" i="14814"/>
  <c r="E153" i="14814" s="1"/>
  <c r="D177" i="14814"/>
  <c r="E177" i="14814" s="1"/>
  <c r="D76" i="14814"/>
  <c r="A77" i="14814"/>
  <c r="B76" i="14814"/>
  <c r="BO7" i="14809"/>
  <c r="H201" i="14814" l="1"/>
  <c r="H249" i="14814"/>
  <c r="H129" i="14814"/>
  <c r="H225" i="14814"/>
  <c r="H153" i="14814"/>
  <c r="H177" i="14814"/>
  <c r="H105" i="14814"/>
  <c r="D77" i="14814"/>
  <c r="A78" i="14814"/>
  <c r="B77" i="14814"/>
  <c r="F75" i="14814"/>
  <c r="F154" i="14814"/>
  <c r="F250" i="14814"/>
  <c r="F129" i="14814"/>
  <c r="F106" i="14814"/>
  <c r="F202" i="14814"/>
  <c r="F178" i="14814"/>
  <c r="F226" i="14814"/>
  <c r="F652" i="14814"/>
  <c r="F626" i="14814"/>
  <c r="F639" i="14814"/>
  <c r="F630" i="14814"/>
  <c r="F640" i="14814"/>
  <c r="F644" i="14814"/>
  <c r="F627" i="14814"/>
  <c r="F636" i="14814"/>
  <c r="F646" i="14814"/>
  <c r="F648" i="14814"/>
  <c r="F629" i="14814"/>
  <c r="F638" i="14814"/>
  <c r="F643" i="14814"/>
  <c r="F628" i="14814"/>
  <c r="F633" i="14814"/>
  <c r="F642" i="14814"/>
  <c r="F653" i="14814"/>
  <c r="F654" i="14814"/>
  <c r="F647" i="14814"/>
  <c r="F635" i="14814"/>
  <c r="F631" i="14814"/>
  <c r="F634" i="14814"/>
  <c r="F632" i="14814"/>
  <c r="F645" i="14814"/>
  <c r="F637" i="14814"/>
  <c r="F649" i="14814"/>
  <c r="F641" i="14814"/>
  <c r="F650" i="14814"/>
  <c r="F656" i="14814"/>
  <c r="F655" i="14814"/>
  <c r="F651" i="14814"/>
  <c r="C270" i="14814"/>
  <c r="X5" i="14814" s="1"/>
  <c r="G642" i="14814"/>
  <c r="G634" i="14814"/>
  <c r="G656" i="14814"/>
  <c r="G655" i="14814"/>
  <c r="G635" i="14814"/>
  <c r="G650" i="14814"/>
  <c r="G631" i="14814"/>
  <c r="G632" i="14814"/>
  <c r="G633" i="14814"/>
  <c r="G651" i="14814"/>
  <c r="G629" i="14814"/>
  <c r="G636" i="14814"/>
  <c r="G638" i="14814"/>
  <c r="G627" i="14814"/>
  <c r="G643" i="14814"/>
  <c r="G647" i="14814"/>
  <c r="G644" i="14814"/>
  <c r="G640" i="14814"/>
  <c r="G641" i="14814"/>
  <c r="G645" i="14814"/>
  <c r="G652" i="14814"/>
  <c r="G646" i="14814"/>
  <c r="G637" i="14814"/>
  <c r="G653" i="14814"/>
  <c r="G626" i="14814"/>
  <c r="G648" i="14814"/>
  <c r="G649" i="14814"/>
  <c r="G639" i="14814"/>
  <c r="G628" i="14814"/>
  <c r="G654" i="14814"/>
  <c r="G630" i="14814"/>
  <c r="D270" i="14814"/>
  <c r="R5" i="14814" s="1"/>
  <c r="G75" i="14814"/>
  <c r="H75" i="14814" s="1"/>
  <c r="D106" i="14814"/>
  <c r="E106" i="14814" s="1"/>
  <c r="D202" i="14814"/>
  <c r="E202" i="14814" s="1"/>
  <c r="I76" i="14814"/>
  <c r="J76" i="14814" s="1"/>
  <c r="F76" i="14814"/>
  <c r="D226" i="14814"/>
  <c r="E226" i="14814" s="1"/>
  <c r="D178" i="14814"/>
  <c r="E178" i="14814" s="1"/>
  <c r="D250" i="14814"/>
  <c r="E250" i="14814" s="1"/>
  <c r="G76" i="14814"/>
  <c r="H76" i="14814" s="1"/>
  <c r="D130" i="14814"/>
  <c r="E130" i="14814" s="1"/>
  <c r="C76" i="14814"/>
  <c r="D154" i="14814"/>
  <c r="E154" i="14814" s="1"/>
  <c r="T76" i="14814"/>
  <c r="I75" i="14814"/>
  <c r="BP7" i="14809"/>
  <c r="D78" i="14814" l="1"/>
  <c r="B78" i="14814"/>
  <c r="A79" i="14814"/>
  <c r="F179" i="14814"/>
  <c r="F107" i="14814"/>
  <c r="F130" i="14814"/>
  <c r="F251" i="14814"/>
  <c r="F227" i="14814"/>
  <c r="F203" i="14814"/>
  <c r="F155" i="14814"/>
  <c r="H226" i="14814"/>
  <c r="H250" i="14814"/>
  <c r="H130" i="14814"/>
  <c r="H106" i="14814"/>
  <c r="H154" i="14814"/>
  <c r="H178" i="14814"/>
  <c r="H202" i="14814"/>
  <c r="J75" i="14814"/>
  <c r="D203" i="14814"/>
  <c r="E203" i="14814" s="1"/>
  <c r="D107" i="14814"/>
  <c r="E107" i="14814" s="1"/>
  <c r="T77" i="14814"/>
  <c r="D227" i="14814"/>
  <c r="E227" i="14814" s="1"/>
  <c r="D131" i="14814"/>
  <c r="E131" i="14814" s="1"/>
  <c r="D251" i="14814"/>
  <c r="E251" i="14814" s="1"/>
  <c r="F77" i="14814"/>
  <c r="G77" i="14814"/>
  <c r="H77" i="14814" s="1"/>
  <c r="D155" i="14814"/>
  <c r="E155" i="14814" s="1"/>
  <c r="I77" i="14814"/>
  <c r="J77" i="14814" s="1"/>
  <c r="C77" i="14814"/>
  <c r="D179" i="14814"/>
  <c r="E179" i="14814" s="1"/>
  <c r="BQ7" i="14809"/>
  <c r="D79" i="14814" l="1"/>
  <c r="A80" i="14814"/>
  <c r="B79" i="14814"/>
  <c r="I78" i="14814" s="1"/>
  <c r="J78" i="14814" s="1"/>
  <c r="H203" i="14814"/>
  <c r="H251" i="14814"/>
  <c r="H155" i="14814"/>
  <c r="H107" i="14814"/>
  <c r="H227" i="14814"/>
  <c r="H179" i="14814"/>
  <c r="H131" i="14814"/>
  <c r="T78" i="14814"/>
  <c r="D228" i="14814"/>
  <c r="E228" i="14814" s="1"/>
  <c r="D132" i="14814"/>
  <c r="E132" i="14814" s="1"/>
  <c r="D108" i="14814"/>
  <c r="E108" i="14814" s="1"/>
  <c r="D252" i="14814"/>
  <c r="E252" i="14814" s="1"/>
  <c r="D180" i="14814"/>
  <c r="E180" i="14814" s="1"/>
  <c r="C78" i="14814"/>
  <c r="D204" i="14814"/>
  <c r="E204" i="14814" s="1"/>
  <c r="D156" i="14814"/>
  <c r="E156" i="14814" s="1"/>
  <c r="F228" i="14814"/>
  <c r="F156" i="14814"/>
  <c r="F180" i="14814"/>
  <c r="F108" i="14814"/>
  <c r="F131" i="14814"/>
  <c r="F204" i="14814"/>
  <c r="F252" i="14814"/>
  <c r="BR7" i="14809"/>
  <c r="G78" i="14814" l="1"/>
  <c r="H78" i="14814" s="1"/>
  <c r="H132" i="14814"/>
  <c r="H204" i="14814"/>
  <c r="H180" i="14814"/>
  <c r="H108" i="14814"/>
  <c r="H228" i="14814"/>
  <c r="H156" i="14814"/>
  <c r="H252" i="14814"/>
  <c r="T79" i="14814"/>
  <c r="D133" i="14814"/>
  <c r="E133" i="14814" s="1"/>
  <c r="D229" i="14814"/>
  <c r="E229" i="14814" s="1"/>
  <c r="D253" i="14814"/>
  <c r="E253" i="14814" s="1"/>
  <c r="D181" i="14814"/>
  <c r="E181" i="14814" s="1"/>
  <c r="D205" i="14814"/>
  <c r="E205" i="14814" s="1"/>
  <c r="C79" i="14814"/>
  <c r="D157" i="14814"/>
  <c r="E157" i="14814" s="1"/>
  <c r="D109" i="14814"/>
  <c r="E109" i="14814" s="1"/>
  <c r="I79" i="14814"/>
  <c r="J79" i="14814" s="1"/>
  <c r="D80" i="14814"/>
  <c r="A81" i="14814"/>
  <c r="B80" i="14814"/>
  <c r="F79" i="14814" s="1"/>
  <c r="F253" i="14814"/>
  <c r="F132" i="14814"/>
  <c r="F205" i="14814"/>
  <c r="F109" i="14814"/>
  <c r="F229" i="14814"/>
  <c r="F157" i="14814"/>
  <c r="F181" i="14814"/>
  <c r="F78" i="14814"/>
  <c r="BT7" i="14809"/>
  <c r="G79" i="14814" l="1"/>
  <c r="H79" i="14814" s="1"/>
  <c r="D110" i="14814"/>
  <c r="E110" i="14814" s="1"/>
  <c r="D182" i="14814"/>
  <c r="E182" i="14814" s="1"/>
  <c r="D206" i="14814"/>
  <c r="E206" i="14814" s="1"/>
  <c r="I80" i="14814"/>
  <c r="J80" i="14814" s="1"/>
  <c r="D230" i="14814"/>
  <c r="E230" i="14814" s="1"/>
  <c r="C80" i="14814"/>
  <c r="T80" i="14814"/>
  <c r="D254" i="14814"/>
  <c r="E254" i="14814" s="1"/>
  <c r="D158" i="14814"/>
  <c r="E158" i="14814" s="1"/>
  <c r="D134" i="14814"/>
  <c r="E134" i="14814" s="1"/>
  <c r="D81" i="14814"/>
  <c r="A82" i="14814"/>
  <c r="B81" i="14814"/>
  <c r="F182" i="14814"/>
  <c r="F230" i="14814"/>
  <c r="F206" i="14814"/>
  <c r="F110" i="14814"/>
  <c r="F158" i="14814"/>
  <c r="F133" i="14814"/>
  <c r="F254" i="14814"/>
  <c r="H181" i="14814"/>
  <c r="H253" i="14814"/>
  <c r="H109" i="14814"/>
  <c r="H133" i="14814"/>
  <c r="H229" i="14814"/>
  <c r="H205" i="14814"/>
  <c r="H157" i="14814"/>
  <c r="BW7" i="14809"/>
  <c r="H182" i="14814" l="1"/>
  <c r="H158" i="14814"/>
  <c r="H230" i="14814"/>
  <c r="H254" i="14814"/>
  <c r="H134" i="14814"/>
  <c r="H110" i="14814"/>
  <c r="H206" i="14814"/>
  <c r="D159" i="14814"/>
  <c r="E159" i="14814" s="1"/>
  <c r="D231" i="14814"/>
  <c r="E231" i="14814" s="1"/>
  <c r="D111" i="14814"/>
  <c r="E111" i="14814" s="1"/>
  <c r="C81" i="14814"/>
  <c r="D135" i="14814"/>
  <c r="E135" i="14814" s="1"/>
  <c r="T81" i="14814"/>
  <c r="D183" i="14814"/>
  <c r="E183" i="14814" s="1"/>
  <c r="D255" i="14814"/>
  <c r="E255" i="14814" s="1"/>
  <c r="D207" i="14814"/>
  <c r="E207" i="14814" s="1"/>
  <c r="D82" i="14814"/>
  <c r="B82" i="14814"/>
  <c r="G81" i="14814" s="1"/>
  <c r="H81" i="14814" s="1"/>
  <c r="A83" i="14814"/>
  <c r="F207" i="14814"/>
  <c r="F111" i="14814"/>
  <c r="F183" i="14814"/>
  <c r="F134" i="14814"/>
  <c r="F159" i="14814"/>
  <c r="F255" i="14814"/>
  <c r="F231" i="14814"/>
  <c r="G80" i="14814"/>
  <c r="H80" i="14814" s="1"/>
  <c r="F80" i="14814"/>
  <c r="O129" i="14786"/>
  <c r="N130" i="14786"/>
  <c r="BZ7" i="14809"/>
  <c r="I81" i="14814" l="1"/>
  <c r="J81" i="14814" s="1"/>
  <c r="F81" i="14814"/>
  <c r="F160" i="14814"/>
  <c r="F208" i="14814"/>
  <c r="F135" i="14814"/>
  <c r="F184" i="14814"/>
  <c r="F112" i="14814"/>
  <c r="F232" i="14814"/>
  <c r="F256" i="14814"/>
  <c r="H159" i="14814"/>
  <c r="H135" i="14814"/>
  <c r="H111" i="14814"/>
  <c r="H207" i="14814"/>
  <c r="H183" i="14814"/>
  <c r="H255" i="14814"/>
  <c r="H231" i="14814"/>
  <c r="D83" i="14814"/>
  <c r="A84" i="14814"/>
  <c r="B83" i="14814"/>
  <c r="F82" i="14814" s="1"/>
  <c r="T82" i="14814"/>
  <c r="D160" i="14814"/>
  <c r="E160" i="14814" s="1"/>
  <c r="D112" i="14814"/>
  <c r="E112" i="14814" s="1"/>
  <c r="C82" i="14814"/>
  <c r="D232" i="14814"/>
  <c r="E232" i="14814" s="1"/>
  <c r="D184" i="14814"/>
  <c r="E184" i="14814" s="1"/>
  <c r="D136" i="14814"/>
  <c r="E136" i="14814" s="1"/>
  <c r="D208" i="14814"/>
  <c r="E208" i="14814" s="1"/>
  <c r="D256" i="14814"/>
  <c r="E256" i="14814" s="1"/>
  <c r="I82" i="14814"/>
  <c r="J82" i="14814" s="1"/>
  <c r="N131" i="14786"/>
  <c r="CC7" i="14809"/>
  <c r="G82" i="14814" l="1"/>
  <c r="H82" i="14814" s="1"/>
  <c r="H208" i="14814"/>
  <c r="H136" i="14814"/>
  <c r="H232" i="14814"/>
  <c r="H112" i="14814"/>
  <c r="H160" i="14814"/>
  <c r="H184" i="14814"/>
  <c r="H256" i="14814"/>
  <c r="D233" i="14814"/>
  <c r="E233" i="14814" s="1"/>
  <c r="D185" i="14814"/>
  <c r="E185" i="14814" s="1"/>
  <c r="D257" i="14814"/>
  <c r="E257" i="14814" s="1"/>
  <c r="D137" i="14814"/>
  <c r="E137" i="14814" s="1"/>
  <c r="C83" i="14814"/>
  <c r="D113" i="14814"/>
  <c r="E113" i="14814" s="1"/>
  <c r="T83" i="14814"/>
  <c r="D161" i="14814"/>
  <c r="E161" i="14814" s="1"/>
  <c r="D209" i="14814"/>
  <c r="E209" i="14814" s="1"/>
  <c r="D84" i="14814"/>
  <c r="A85" i="14814"/>
  <c r="B84" i="14814"/>
  <c r="F83" i="14814" s="1"/>
  <c r="F233" i="14814"/>
  <c r="F209" i="14814"/>
  <c r="F113" i="14814"/>
  <c r="F257" i="14814"/>
  <c r="F185" i="14814"/>
  <c r="F161" i="14814"/>
  <c r="F136" i="14814"/>
  <c r="CD7" i="14809"/>
  <c r="N134" i="14786" s="1"/>
  <c r="I83" i="14814" l="1"/>
  <c r="J83" i="14814" s="1"/>
  <c r="D234" i="14814"/>
  <c r="E234" i="14814" s="1"/>
  <c r="D186" i="14814"/>
  <c r="E186" i="14814" s="1"/>
  <c r="C84" i="14814"/>
  <c r="T84" i="14814"/>
  <c r="D258" i="14814"/>
  <c r="E258" i="14814" s="1"/>
  <c r="D138" i="14814"/>
  <c r="E138" i="14814" s="1"/>
  <c r="D210" i="14814"/>
  <c r="E210" i="14814" s="1"/>
  <c r="D114" i="14814"/>
  <c r="E114" i="14814" s="1"/>
  <c r="D162" i="14814"/>
  <c r="E162" i="14814" s="1"/>
  <c r="I84" i="14814"/>
  <c r="J84" i="14814" s="1"/>
  <c r="G83" i="14814"/>
  <c r="H83" i="14814" s="1"/>
  <c r="H233" i="14814"/>
  <c r="H113" i="14814"/>
  <c r="H209" i="14814"/>
  <c r="H257" i="14814"/>
  <c r="H161" i="14814"/>
  <c r="H185" i="14814"/>
  <c r="H137" i="14814"/>
  <c r="D85" i="14814"/>
  <c r="A86" i="14814"/>
  <c r="B85" i="14814"/>
  <c r="G84" i="14814" s="1"/>
  <c r="H84" i="14814" s="1"/>
  <c r="F210" i="14814"/>
  <c r="F234" i="14814"/>
  <c r="F137" i="14814"/>
  <c r="F162" i="14814"/>
  <c r="F258" i="14814"/>
  <c r="F114" i="14814"/>
  <c r="F186" i="14814"/>
  <c r="CM7" i="14809"/>
  <c r="T85" i="14814" l="1"/>
  <c r="D235" i="14814"/>
  <c r="E235" i="14814" s="1"/>
  <c r="D139" i="14814"/>
  <c r="E139" i="14814" s="1"/>
  <c r="D163" i="14814"/>
  <c r="E163" i="14814" s="1"/>
  <c r="D115" i="14814"/>
  <c r="E115" i="14814" s="1"/>
  <c r="D211" i="14814"/>
  <c r="E211" i="14814" s="1"/>
  <c r="I85" i="14814"/>
  <c r="J85" i="14814" s="1"/>
  <c r="C85" i="14814"/>
  <c r="D259" i="14814"/>
  <c r="E259" i="14814" s="1"/>
  <c r="D187" i="14814"/>
  <c r="E187" i="14814" s="1"/>
  <c r="F84" i="14814"/>
  <c r="F259" i="14814"/>
  <c r="F211" i="14814"/>
  <c r="F163" i="14814"/>
  <c r="F187" i="14814"/>
  <c r="F115" i="14814"/>
  <c r="F138" i="14814"/>
  <c r="F235" i="14814"/>
  <c r="H186" i="14814"/>
  <c r="H114" i="14814"/>
  <c r="H210" i="14814"/>
  <c r="H234" i="14814"/>
  <c r="H258" i="14814"/>
  <c r="H162" i="14814"/>
  <c r="H138" i="14814"/>
  <c r="B86" i="14814"/>
  <c r="D86" i="14814"/>
  <c r="A87" i="14814"/>
  <c r="CP7" i="14809"/>
  <c r="D87" i="14814" l="1"/>
  <c r="A88" i="14814"/>
  <c r="B87" i="14814"/>
  <c r="F86" i="14814" s="1"/>
  <c r="F116" i="14814"/>
  <c r="F236" i="14814"/>
  <c r="F212" i="14814"/>
  <c r="F164" i="14814"/>
  <c r="F139" i="14814"/>
  <c r="F260" i="14814"/>
  <c r="F188" i="14814"/>
  <c r="T86" i="14814"/>
  <c r="D116" i="14814"/>
  <c r="E116" i="14814" s="1"/>
  <c r="D236" i="14814"/>
  <c r="E236" i="14814" s="1"/>
  <c r="C86" i="14814"/>
  <c r="D188" i="14814"/>
  <c r="E188" i="14814" s="1"/>
  <c r="D140" i="14814"/>
  <c r="E140" i="14814" s="1"/>
  <c r="D212" i="14814"/>
  <c r="E212" i="14814" s="1"/>
  <c r="D260" i="14814"/>
  <c r="E260" i="14814" s="1"/>
  <c r="D164" i="14814"/>
  <c r="E164" i="14814" s="1"/>
  <c r="I86" i="14814"/>
  <c r="J86" i="14814" s="1"/>
  <c r="G86" i="14814"/>
  <c r="H86" i="14814" s="1"/>
  <c r="F85" i="14814"/>
  <c r="G85" i="14814"/>
  <c r="H85" i="14814" s="1"/>
  <c r="H259" i="14814"/>
  <c r="H211" i="14814"/>
  <c r="H115" i="14814"/>
  <c r="H235" i="14814"/>
  <c r="H139" i="14814"/>
  <c r="H163" i="14814"/>
  <c r="H187" i="14814"/>
  <c r="CT7" i="14809"/>
  <c r="H260" i="14814" l="1"/>
  <c r="H236" i="14814"/>
  <c r="H140" i="14814"/>
  <c r="H116" i="14814"/>
  <c r="H188" i="14814"/>
  <c r="H212" i="14814"/>
  <c r="H164" i="14814"/>
  <c r="C87" i="14814"/>
  <c r="D117" i="14814"/>
  <c r="E117" i="14814" s="1"/>
  <c r="T87" i="14814"/>
  <c r="D261" i="14814"/>
  <c r="E261" i="14814" s="1"/>
  <c r="D165" i="14814"/>
  <c r="E165" i="14814" s="1"/>
  <c r="D237" i="14814"/>
  <c r="E237" i="14814" s="1"/>
  <c r="D189" i="14814"/>
  <c r="E189" i="14814" s="1"/>
  <c r="I87" i="14814"/>
  <c r="J87" i="14814" s="1"/>
  <c r="D213" i="14814"/>
  <c r="E213" i="14814" s="1"/>
  <c r="D141" i="14814"/>
  <c r="E141" i="14814" s="1"/>
  <c r="D88" i="14814"/>
  <c r="A89" i="14814"/>
  <c r="B88" i="14814"/>
  <c r="F87" i="14814" s="1"/>
  <c r="F117" i="14814"/>
  <c r="F165" i="14814"/>
  <c r="F213" i="14814"/>
  <c r="F140" i="14814"/>
  <c r="F261" i="14814"/>
  <c r="F237" i="14814"/>
  <c r="F189" i="14814"/>
  <c r="CU7" i="14809"/>
  <c r="G87" i="14814" l="1"/>
  <c r="H87" i="14814" s="1"/>
  <c r="H165" i="14814"/>
  <c r="H117" i="14814"/>
  <c r="H141" i="14814"/>
  <c r="H189" i="14814"/>
  <c r="H237" i="14814"/>
  <c r="H261" i="14814"/>
  <c r="H213" i="14814"/>
  <c r="D238" i="14814"/>
  <c r="E238" i="14814" s="1"/>
  <c r="C88" i="14814"/>
  <c r="I88" i="14814"/>
  <c r="J88" i="14814" s="1"/>
  <c r="T88" i="14814"/>
  <c r="D166" i="14814"/>
  <c r="E166" i="14814" s="1"/>
  <c r="D190" i="14814"/>
  <c r="E190" i="14814" s="1"/>
  <c r="D214" i="14814"/>
  <c r="E214" i="14814" s="1"/>
  <c r="D262" i="14814"/>
  <c r="E262" i="14814" s="1"/>
  <c r="D142" i="14814"/>
  <c r="E142" i="14814" s="1"/>
  <c r="D118" i="14814"/>
  <c r="E118" i="14814" s="1"/>
  <c r="D89" i="14814"/>
  <c r="A90" i="14814"/>
  <c r="B89" i="14814"/>
  <c r="F88" i="14814" s="1"/>
  <c r="F214" i="14814"/>
  <c r="F238" i="14814"/>
  <c r="F166" i="14814"/>
  <c r="F262" i="14814"/>
  <c r="F190" i="14814"/>
  <c r="F118" i="14814"/>
  <c r="F141" i="14814"/>
  <c r="CV7" i="14809"/>
  <c r="M176" i="14786"/>
  <c r="G88" i="14814" l="1"/>
  <c r="H88" i="14814" s="1"/>
  <c r="D167" i="14814"/>
  <c r="E167" i="14814" s="1"/>
  <c r="D239" i="14814"/>
  <c r="E239" i="14814" s="1"/>
  <c r="D215" i="14814"/>
  <c r="E215" i="14814" s="1"/>
  <c r="D143" i="14814"/>
  <c r="E143" i="14814" s="1"/>
  <c r="I89" i="14814"/>
  <c r="J89" i="14814" s="1"/>
  <c r="D119" i="14814"/>
  <c r="E119" i="14814" s="1"/>
  <c r="T89" i="14814"/>
  <c r="C89" i="14814"/>
  <c r="D263" i="14814"/>
  <c r="E263" i="14814" s="1"/>
  <c r="D191" i="14814"/>
  <c r="E191" i="14814" s="1"/>
  <c r="D90" i="14814"/>
  <c r="B90" i="14814"/>
  <c r="I67" i="14814" s="1"/>
  <c r="J67" i="14814" s="1"/>
  <c r="F167" i="14814"/>
  <c r="F215" i="14814"/>
  <c r="F191" i="14814"/>
  <c r="F142" i="14814"/>
  <c r="F263" i="14814"/>
  <c r="F119" i="14814"/>
  <c r="F239" i="14814"/>
  <c r="H238" i="14814"/>
  <c r="H118" i="14814"/>
  <c r="H214" i="14814"/>
  <c r="H190" i="14814"/>
  <c r="H166" i="14814"/>
  <c r="H142" i="14814"/>
  <c r="H262" i="14814"/>
  <c r="CW7" i="14809"/>
  <c r="H167" i="14814" l="1"/>
  <c r="H119" i="14814"/>
  <c r="H263" i="14814"/>
  <c r="H239" i="14814"/>
  <c r="H215" i="14814"/>
  <c r="H143" i="14814"/>
  <c r="H191" i="14814"/>
  <c r="D144" i="14814"/>
  <c r="E144" i="14814" s="1"/>
  <c r="C90" i="14814"/>
  <c r="C66" i="14814" s="1"/>
  <c r="M48" i="14786" s="1"/>
  <c r="D216" i="14814"/>
  <c r="E216" i="14814" s="1"/>
  <c r="T90" i="14814"/>
  <c r="D240" i="14814"/>
  <c r="E240" i="14814" s="1"/>
  <c r="D192" i="14814"/>
  <c r="E192" i="14814" s="1"/>
  <c r="D168" i="14814"/>
  <c r="E168" i="14814" s="1"/>
  <c r="D264" i="14814"/>
  <c r="E264" i="14814" s="1"/>
  <c r="D120" i="14814"/>
  <c r="E120" i="14814" s="1"/>
  <c r="G67" i="14814"/>
  <c r="F90" i="14814"/>
  <c r="F67" i="14814"/>
  <c r="I90" i="14814"/>
  <c r="G90" i="14814"/>
  <c r="H90" i="14814" s="1"/>
  <c r="J372" i="14814"/>
  <c r="J496" i="14814"/>
  <c r="J395" i="14814"/>
  <c r="J503" i="14814"/>
  <c r="J652" i="14814"/>
  <c r="J415" i="14814"/>
  <c r="J631" i="14814"/>
  <c r="J554" i="14814"/>
  <c r="J302" i="14814"/>
  <c r="J582" i="14814"/>
  <c r="J481" i="14814"/>
  <c r="J301" i="14814"/>
  <c r="J610" i="14814"/>
  <c r="J651" i="14814"/>
  <c r="J649" i="14814"/>
  <c r="J357" i="14814"/>
  <c r="J330" i="14814"/>
  <c r="J573" i="14814"/>
  <c r="J498" i="14814"/>
  <c r="J463" i="14814"/>
  <c r="J317" i="14814"/>
  <c r="J456" i="14814"/>
  <c r="J295" i="14814"/>
  <c r="J590" i="14814"/>
  <c r="J490" i="14814"/>
  <c r="J307" i="14814"/>
  <c r="J393" i="14814"/>
  <c r="J354" i="14814"/>
  <c r="J428" i="14814"/>
  <c r="J442" i="14814"/>
  <c r="J292" i="14814"/>
  <c r="J355" i="14814"/>
  <c r="J400" i="14814"/>
  <c r="J484" i="14814"/>
  <c r="J324" i="14814"/>
  <c r="J595" i="14814"/>
  <c r="J460" i="14814"/>
  <c r="J633" i="14814"/>
  <c r="J351" i="14814"/>
  <c r="J344" i="14814"/>
  <c r="J526" i="14814"/>
  <c r="J588" i="14814"/>
  <c r="J293" i="14814"/>
  <c r="J379" i="14814"/>
  <c r="J609" i="14814"/>
  <c r="J611" i="14814"/>
  <c r="J392" i="14814"/>
  <c r="J477" i="14814"/>
  <c r="J646" i="14814"/>
  <c r="J567" i="14814"/>
  <c r="J418" i="14814"/>
  <c r="J419" i="14814"/>
  <c r="J397" i="14814"/>
  <c r="J371" i="14814"/>
  <c r="J413" i="14814"/>
  <c r="J449" i="14814"/>
  <c r="J455" i="14814"/>
  <c r="J624" i="14814"/>
  <c r="J617" i="14814"/>
  <c r="J509" i="14814"/>
  <c r="J491" i="14814"/>
  <c r="J422" i="14814"/>
  <c r="J387" i="14814"/>
  <c r="J524" i="14814"/>
  <c r="J358" i="14814"/>
  <c r="J540" i="14814"/>
  <c r="J421" i="14814"/>
  <c r="J365" i="14814"/>
  <c r="J370" i="14814"/>
  <c r="J532" i="14814"/>
  <c r="J470" i="14814"/>
  <c r="J527" i="14814"/>
  <c r="J407" i="14814"/>
  <c r="J367" i="14814"/>
  <c r="J336" i="14814"/>
  <c r="J377" i="14814"/>
  <c r="J366" i="14814"/>
  <c r="J501" i="14814"/>
  <c r="J450" i="14814"/>
  <c r="J499" i="14814"/>
  <c r="J319" i="14814"/>
  <c r="J647" i="14814"/>
  <c r="J541" i="14814"/>
  <c r="J506" i="14814"/>
  <c r="J476" i="14814"/>
  <c r="J562" i="14814"/>
  <c r="J376" i="14814"/>
  <c r="J368" i="14814"/>
  <c r="J438" i="14814"/>
  <c r="J632" i="14814"/>
  <c r="J464" i="14814"/>
  <c r="J423" i="14814"/>
  <c r="J305" i="14814"/>
  <c r="J479" i="14814"/>
  <c r="J548" i="14814"/>
  <c r="J326" i="14814"/>
  <c r="J401" i="14814"/>
  <c r="J394" i="14814"/>
  <c r="J436" i="14814"/>
  <c r="J615" i="14814"/>
  <c r="J420" i="14814"/>
  <c r="J516" i="14814"/>
  <c r="J551" i="14814"/>
  <c r="J565" i="14814"/>
  <c r="J363" i="14814"/>
  <c r="J642" i="14814"/>
  <c r="J359" i="14814"/>
  <c r="J441" i="14814"/>
  <c r="J369" i="14814"/>
  <c r="J586" i="14814"/>
  <c r="J488" i="14814"/>
  <c r="J483" i="14814"/>
  <c r="J492" i="14814"/>
  <c r="J630" i="14814"/>
  <c r="J453" i="14814"/>
  <c r="J525" i="14814"/>
  <c r="J364" i="14814"/>
  <c r="J564" i="14814"/>
  <c r="J325" i="14814"/>
  <c r="J547" i="14814"/>
  <c r="J362" i="14814"/>
  <c r="J478" i="14814"/>
  <c r="J448" i="14814"/>
  <c r="J399" i="14814"/>
  <c r="J472" i="14814"/>
  <c r="J579" i="14814"/>
  <c r="J471" i="14814"/>
  <c r="J427" i="14814"/>
  <c r="J404" i="14814"/>
  <c r="J426" i="14814"/>
  <c r="J561" i="14814"/>
  <c r="J299" i="14814"/>
  <c r="J398" i="14814"/>
  <c r="J467" i="14814"/>
  <c r="J391" i="14814"/>
  <c r="J604" i="14814"/>
  <c r="J519" i="14814"/>
  <c r="J597" i="14814"/>
  <c r="J495" i="14814"/>
  <c r="J350" i="14814"/>
  <c r="J378" i="14814"/>
  <c r="J374" i="14814"/>
  <c r="J313" i="14814"/>
  <c r="J383" i="14814"/>
  <c r="J335" i="14814"/>
  <c r="J322" i="14814"/>
  <c r="J385" i="14814"/>
  <c r="J505" i="14814"/>
  <c r="J575" i="14814"/>
  <c r="J572" i="14814"/>
  <c r="J485" i="14814"/>
  <c r="J511" i="14814"/>
  <c r="J576" i="14814"/>
  <c r="J531" i="14814"/>
  <c r="J314" i="14814"/>
  <c r="J497" i="14814"/>
  <c r="J577" i="14814"/>
  <c r="J638" i="14814"/>
  <c r="J384" i="14814"/>
  <c r="J405" i="14814"/>
  <c r="J466" i="14814"/>
  <c r="B66" i="14814"/>
  <c r="J629" i="14814"/>
  <c r="J348" i="14814"/>
  <c r="J429" i="14814"/>
  <c r="J559" i="14814"/>
  <c r="J309" i="14814"/>
  <c r="J386" i="14814"/>
  <c r="J650" i="14814"/>
  <c r="J306" i="14814"/>
  <c r="J434" i="14814"/>
  <c r="J406" i="14814"/>
  <c r="J468" i="14814"/>
  <c r="J530" i="14814"/>
  <c r="J435" i="14814"/>
  <c r="J544" i="14814"/>
  <c r="J512" i="14814"/>
  <c r="J446" i="14814"/>
  <c r="J605" i="14814"/>
  <c r="J345" i="14814"/>
  <c r="J607" i="14814"/>
  <c r="J433" i="14814"/>
  <c r="J316" i="14814"/>
  <c r="J517" i="14814"/>
  <c r="J349" i="14814"/>
  <c r="J411" i="14814"/>
  <c r="J553" i="14814"/>
  <c r="J537" i="14814"/>
  <c r="J380" i="14814"/>
  <c r="J447" i="14814"/>
  <c r="J639" i="14814"/>
  <c r="J352" i="14814"/>
  <c r="J566" i="14814"/>
  <c r="J533" i="14814"/>
  <c r="J602" i="14814"/>
  <c r="J300" i="14814"/>
  <c r="J558" i="14814"/>
  <c r="J462" i="14814"/>
  <c r="J521" i="14814"/>
  <c r="J580" i="14814"/>
  <c r="J323" i="14814"/>
  <c r="J410" i="14814"/>
  <c r="J296" i="14814"/>
  <c r="J643" i="14814"/>
  <c r="J644" i="14814"/>
  <c r="J614" i="14814"/>
  <c r="J520" i="14814"/>
  <c r="J568" i="14814"/>
  <c r="J645" i="14814"/>
  <c r="J534" i="14814"/>
  <c r="J583" i="14814"/>
  <c r="J338" i="14814"/>
  <c r="J556" i="14814"/>
  <c r="J454" i="14814"/>
  <c r="J653" i="14814"/>
  <c r="J618" i="14814"/>
  <c r="J603" i="14814"/>
  <c r="J504" i="14814"/>
  <c r="J412" i="14814"/>
  <c r="J452" i="14814"/>
  <c r="J320" i="14814"/>
  <c r="J443" i="14814"/>
  <c r="J353" i="14814"/>
  <c r="J621" i="14814"/>
  <c r="J414" i="14814"/>
  <c r="J589" i="14814"/>
  <c r="J334" i="14814"/>
  <c r="J425" i="14814"/>
  <c r="J592" i="14814"/>
  <c r="J408" i="14814"/>
  <c r="J539" i="14814"/>
  <c r="J308" i="14814"/>
  <c r="J445" i="14814"/>
  <c r="J545" i="14814"/>
  <c r="J328" i="14814"/>
  <c r="J654" i="14814"/>
  <c r="J390" i="14814"/>
  <c r="J303" i="14814"/>
  <c r="J373" i="14814"/>
  <c r="J356" i="14814"/>
  <c r="J461" i="14814"/>
  <c r="J469" i="14814"/>
  <c r="J596" i="14814"/>
  <c r="J457" i="14814"/>
  <c r="J546" i="14814"/>
  <c r="J581" i="14814"/>
  <c r="J440" i="14814"/>
  <c r="J343" i="14814"/>
  <c r="J608" i="14814"/>
  <c r="J321" i="14814"/>
  <c r="J637" i="14814"/>
  <c r="J329" i="14814"/>
  <c r="J552" i="14814"/>
  <c r="J574" i="14814"/>
  <c r="J341" i="14814"/>
  <c r="J432" i="14814"/>
  <c r="J382" i="14814"/>
  <c r="J523" i="14814"/>
  <c r="J294" i="14814"/>
  <c r="J636" i="14814"/>
  <c r="J594" i="14814"/>
  <c r="J375" i="14814"/>
  <c r="J635" i="14814"/>
  <c r="J439" i="14814"/>
  <c r="J337" i="14814"/>
  <c r="J331" i="14814"/>
  <c r="J560" i="14814"/>
  <c r="J510" i="14814"/>
  <c r="J538" i="14814"/>
  <c r="J593" i="14814"/>
  <c r="J513" i="14814"/>
  <c r="J315" i="14814"/>
  <c r="J388" i="14814"/>
  <c r="J555" i="14814"/>
  <c r="J342" i="14814"/>
  <c r="J518" i="14814"/>
  <c r="J628" i="14814"/>
  <c r="J310" i="14814"/>
  <c r="J569" i="14814"/>
  <c r="J489" i="14814"/>
  <c r="J327" i="14814"/>
  <c r="J312" i="14814"/>
  <c r="J656" i="14814"/>
  <c r="J587" i="14814"/>
  <c r="J616" i="14814"/>
  <c r="J619" i="14814"/>
  <c r="J340" i="14814"/>
  <c r="J444" i="14814"/>
  <c r="J430" i="14814"/>
  <c r="J550" i="14814"/>
  <c r="J508" i="14814"/>
  <c r="J536" i="14814"/>
  <c r="J389" i="14814"/>
  <c r="J515" i="14814"/>
  <c r="J640" i="14814"/>
  <c r="J332" i="14814"/>
  <c r="J333" i="14814"/>
  <c r="J402" i="14814"/>
  <c r="J542" i="14814"/>
  <c r="J514" i="14814"/>
  <c r="J459" i="14814"/>
  <c r="J431" i="14814"/>
  <c r="J482" i="14814"/>
  <c r="J304" i="14814"/>
  <c r="J502" i="14814"/>
  <c r="J474" i="14814"/>
  <c r="J648" i="14814"/>
  <c r="J403" i="14814"/>
  <c r="J627" i="14814"/>
  <c r="J417" i="14814"/>
  <c r="J528" i="14814"/>
  <c r="J641" i="14814"/>
  <c r="J416" i="14814"/>
  <c r="J458" i="14814"/>
  <c r="J591" i="14814"/>
  <c r="J475" i="14814"/>
  <c r="J507" i="14814"/>
  <c r="J480" i="14814"/>
  <c r="J585" i="14814"/>
  <c r="J571" i="14814"/>
  <c r="J298" i="14814"/>
  <c r="J487" i="14814"/>
  <c r="J347" i="14814"/>
  <c r="J297" i="14814"/>
  <c r="J563" i="14814"/>
  <c r="J361" i="14814"/>
  <c r="J494" i="14814"/>
  <c r="J557" i="14814"/>
  <c r="J396" i="14814"/>
  <c r="J634" i="14814"/>
  <c r="J500" i="14814"/>
  <c r="J381" i="14814"/>
  <c r="J465" i="14814"/>
  <c r="J584" i="14814"/>
  <c r="J409" i="14814"/>
  <c r="J437" i="14814"/>
  <c r="J620" i="14814"/>
  <c r="J339" i="14814"/>
  <c r="J529" i="14814"/>
  <c r="J655" i="14814"/>
  <c r="J318" i="14814"/>
  <c r="J311" i="14814"/>
  <c r="J612" i="14814"/>
  <c r="J543" i="14814"/>
  <c r="J522" i="14814"/>
  <c r="J493" i="14814"/>
  <c r="J535" i="14814"/>
  <c r="J626" i="14814"/>
  <c r="J451" i="14814"/>
  <c r="J606" i="14814"/>
  <c r="J346" i="14814"/>
  <c r="J424" i="14814"/>
  <c r="J486" i="14814"/>
  <c r="J473" i="14814"/>
  <c r="J360" i="14814"/>
  <c r="J578" i="14814"/>
  <c r="J549" i="14814"/>
  <c r="J570" i="14814"/>
  <c r="J613" i="14814"/>
  <c r="J601" i="14814"/>
  <c r="J625" i="14814"/>
  <c r="J598" i="14814"/>
  <c r="J622" i="14814"/>
  <c r="J600" i="14814"/>
  <c r="J599" i="14814"/>
  <c r="J623" i="14814"/>
  <c r="F143" i="14814"/>
  <c r="F264" i="14814"/>
  <c r="F192" i="14814"/>
  <c r="F216" i="14814"/>
  <c r="F240" i="14814"/>
  <c r="F168" i="14814"/>
  <c r="M617" i="14814"/>
  <c r="M623" i="14814"/>
  <c r="M393" i="14814"/>
  <c r="M526" i="14814"/>
  <c r="D66" i="14814"/>
  <c r="M407" i="14814"/>
  <c r="M379" i="14814"/>
  <c r="M603" i="14814"/>
  <c r="M561" i="14814"/>
  <c r="M498" i="14814"/>
  <c r="M534" i="14814"/>
  <c r="M582" i="14814"/>
  <c r="M642" i="14814"/>
  <c r="M646" i="14814"/>
  <c r="M477" i="14814"/>
  <c r="M337" i="14814"/>
  <c r="M309" i="14814"/>
  <c r="M631" i="14814"/>
  <c r="M295" i="14814"/>
  <c r="M359" i="14814"/>
  <c r="M351" i="14814"/>
  <c r="M519" i="14814"/>
  <c r="M645" i="14814"/>
  <c r="M569" i="14814"/>
  <c r="M302" i="14814"/>
  <c r="M442" i="14814"/>
  <c r="M540" i="14814"/>
  <c r="M449" i="14814"/>
  <c r="M400" i="14814"/>
  <c r="M330" i="14814"/>
  <c r="M463" i="14814"/>
  <c r="M365" i="14814"/>
  <c r="M470" i="14814"/>
  <c r="M358" i="14814"/>
  <c r="M652" i="14814"/>
  <c r="M316" i="14814"/>
  <c r="M624" i="14814"/>
  <c r="M367" i="14814"/>
  <c r="M648" i="14814"/>
  <c r="M491" i="14814"/>
  <c r="M421" i="14814"/>
  <c r="M323" i="14814"/>
  <c r="M344" i="14814"/>
  <c r="M482" i="14814"/>
  <c r="M554" i="14814"/>
  <c r="M575" i="14814"/>
  <c r="M456" i="14814"/>
  <c r="M484" i="14814"/>
  <c r="M508" i="14814"/>
  <c r="M429" i="14814"/>
  <c r="M345" i="14814"/>
  <c r="M401" i="14814"/>
  <c r="M511" i="14814"/>
  <c r="M355" i="14814"/>
  <c r="M327" i="14814"/>
  <c r="M303" i="14814"/>
  <c r="M428" i="14814"/>
  <c r="M488" i="14814"/>
  <c r="M464" i="14814"/>
  <c r="M366" i="14814"/>
  <c r="M446" i="14814"/>
  <c r="M614" i="14814"/>
  <c r="M506" i="14814"/>
  <c r="M594" i="14814"/>
  <c r="M317" i="14814"/>
  <c r="M457" i="14814"/>
  <c r="M548" i="14814"/>
  <c r="M373" i="14814"/>
  <c r="M641" i="14814"/>
  <c r="M562" i="14814"/>
  <c r="M431" i="14814"/>
  <c r="M475" i="14814"/>
  <c r="M530" i="14814"/>
  <c r="M616" i="14814"/>
  <c r="M415" i="14814"/>
  <c r="M413" i="14814"/>
  <c r="M501" i="14814"/>
  <c r="M414" i="14814"/>
  <c r="M399" i="14814"/>
  <c r="M651" i="14814"/>
  <c r="M539" i="14814"/>
  <c r="M495" i="14814"/>
  <c r="M653" i="14814"/>
  <c r="M468" i="14814"/>
  <c r="M628" i="14814"/>
  <c r="M567" i="14814"/>
  <c r="M524" i="14814"/>
  <c r="M580" i="14814"/>
  <c r="M622" i="14814"/>
  <c r="M643" i="14814"/>
  <c r="M588" i="14814"/>
  <c r="M494" i="14814"/>
  <c r="M523" i="14814"/>
  <c r="M487" i="14814"/>
  <c r="M471" i="14814"/>
  <c r="M378" i="14814"/>
  <c r="M531" i="14814"/>
  <c r="M300" i="14814"/>
  <c r="M649" i="14814"/>
  <c r="M609" i="14814"/>
  <c r="M350" i="14814"/>
  <c r="M604" i="14814"/>
  <c r="M377" i="14814"/>
  <c r="M527" i="14814"/>
  <c r="M342" i="14814"/>
  <c r="M635" i="14814"/>
  <c r="M405" i="14814"/>
  <c r="M307" i="14814"/>
  <c r="M573" i="14814"/>
  <c r="M418" i="14814"/>
  <c r="M632" i="14814"/>
  <c r="M371" i="14814"/>
  <c r="M637" i="14814"/>
  <c r="M545" i="14814"/>
  <c r="M432" i="14814"/>
  <c r="M320" i="14814"/>
  <c r="M647" i="14814"/>
  <c r="M338" i="14814"/>
  <c r="M388" i="14814"/>
  <c r="M469" i="14814"/>
  <c r="M586" i="14814"/>
  <c r="M579" i="14814"/>
  <c r="M293" i="14814"/>
  <c r="M568" i="14814"/>
  <c r="M485" i="14814"/>
  <c r="M574" i="14814"/>
  <c r="M589" i="14814"/>
  <c r="M504" i="14814"/>
  <c r="M422" i="14814"/>
  <c r="M306" i="14814"/>
  <c r="M639" i="14814"/>
  <c r="M420" i="14814"/>
  <c r="M427" i="14814"/>
  <c r="M370" i="14814"/>
  <c r="M581" i="14814"/>
  <c r="M613" i="14814"/>
  <c r="M447" i="14814"/>
  <c r="M596" i="14814"/>
  <c r="M376" i="14814"/>
  <c r="M518" i="14814"/>
  <c r="M308" i="14814"/>
  <c r="M452" i="14814"/>
  <c r="M372" i="14814"/>
  <c r="M512" i="14814"/>
  <c r="M583" i="14814"/>
  <c r="M650" i="14814"/>
  <c r="M460" i="14814"/>
  <c r="M443" i="14814"/>
  <c r="M439" i="14814"/>
  <c r="M390" i="14814"/>
  <c r="M559" i="14814"/>
  <c r="M391" i="14814"/>
  <c r="M397" i="14814"/>
  <c r="M386" i="14814"/>
  <c r="M441" i="14814"/>
  <c r="M590" i="14814"/>
  <c r="M521" i="14814"/>
  <c r="M566" i="14814"/>
  <c r="M310" i="14814"/>
  <c r="M383" i="14814"/>
  <c r="M315" i="14814"/>
  <c r="M314" i="14814"/>
  <c r="M513" i="14814"/>
  <c r="M387" i="14814"/>
  <c r="M576" i="14814"/>
  <c r="M595" i="14814"/>
  <c r="M419" i="14814"/>
  <c r="M357" i="14814"/>
  <c r="M505" i="14814"/>
  <c r="M607" i="14814"/>
  <c r="M532" i="14814"/>
  <c r="M502" i="14814"/>
  <c r="M294" i="14814"/>
  <c r="M436" i="14814"/>
  <c r="M551" i="14814"/>
  <c r="M621" i="14814"/>
  <c r="M516" i="14814"/>
  <c r="M478" i="14814"/>
  <c r="M602" i="14814"/>
  <c r="M334" i="14814"/>
  <c r="M406" i="14814"/>
  <c r="M321" i="14814"/>
  <c r="M411" i="14814"/>
  <c r="M385" i="14814"/>
  <c r="M638" i="14814"/>
  <c r="M363" i="14814"/>
  <c r="M565" i="14814"/>
  <c r="M497" i="14814"/>
  <c r="M312" i="14814"/>
  <c r="M537" i="14814"/>
  <c r="M510" i="14814"/>
  <c r="M362" i="14814"/>
  <c r="M541" i="14814"/>
  <c r="M348" i="14814"/>
  <c r="M313" i="14814"/>
  <c r="M322" i="14814"/>
  <c r="M600" i="14814"/>
  <c r="M403" i="14814"/>
  <c r="M558" i="14814"/>
  <c r="M292" i="14814"/>
  <c r="M349" i="14814"/>
  <c r="M425" i="14814"/>
  <c r="M572" i="14814"/>
  <c r="M299" i="14814"/>
  <c r="M301" i="14814"/>
  <c r="M630" i="14814"/>
  <c r="M520" i="14814"/>
  <c r="M560" i="14814"/>
  <c r="M552" i="14814"/>
  <c r="M461" i="14814"/>
  <c r="M553" i="14814"/>
  <c r="M533" i="14814"/>
  <c r="M462" i="14814"/>
  <c r="M625" i="14814"/>
  <c r="M509" i="14814"/>
  <c r="M483" i="14814"/>
  <c r="M398" i="14814"/>
  <c r="M489" i="14814"/>
  <c r="M455" i="14814"/>
  <c r="M423" i="14814"/>
  <c r="M364" i="14814"/>
  <c r="M324" i="14814"/>
  <c r="M341" i="14814"/>
  <c r="M601" i="14814"/>
  <c r="M435" i="14814"/>
  <c r="M296" i="14814"/>
  <c r="M448" i="14814"/>
  <c r="M644" i="14814"/>
  <c r="M412" i="14814"/>
  <c r="M555" i="14814"/>
  <c r="M544" i="14814"/>
  <c r="M328" i="14814"/>
  <c r="M329" i="14814"/>
  <c r="M476" i="14814"/>
  <c r="M467" i="14814"/>
  <c r="M656" i="14814"/>
  <c r="M636" i="14814"/>
  <c r="M453" i="14814"/>
  <c r="M450" i="14814"/>
  <c r="M380" i="14814"/>
  <c r="M384" i="14814"/>
  <c r="M440" i="14814"/>
  <c r="M546" i="14814"/>
  <c r="M490" i="14814"/>
  <c r="M394" i="14814"/>
  <c r="M528" i="14814"/>
  <c r="M356" i="14814"/>
  <c r="M433" i="14814"/>
  <c r="M331" i="14814"/>
  <c r="M538" i="14814"/>
  <c r="M426" i="14814"/>
  <c r="M392" i="14814"/>
  <c r="M547" i="14814"/>
  <c r="M343" i="14814"/>
  <c r="M352" i="14814"/>
  <c r="M336" i="14814"/>
  <c r="M593" i="14814"/>
  <c r="M335" i="14814"/>
  <c r="M629" i="14814"/>
  <c r="M408" i="14814"/>
  <c r="M404" i="14814"/>
  <c r="M474" i="14814"/>
  <c r="M454" i="14814"/>
  <c r="M517" i="14814"/>
  <c r="M608" i="14814"/>
  <c r="M587" i="14814"/>
  <c r="M434" i="14814"/>
  <c r="M615" i="14814"/>
  <c r="M369" i="14814"/>
  <c r="M375" i="14814"/>
  <c r="M525" i="14814"/>
  <c r="M507" i="14814"/>
  <c r="M389" i="14814"/>
  <c r="M564" i="14814"/>
  <c r="M353" i="14814"/>
  <c r="M325" i="14814"/>
  <c r="M549" i="14814"/>
  <c r="M444" i="14814"/>
  <c r="M437" i="14814"/>
  <c r="M500" i="14814"/>
  <c r="M480" i="14814"/>
  <c r="M598" i="14814"/>
  <c r="M655" i="14814"/>
  <c r="M503" i="14814"/>
  <c r="M297" i="14814"/>
  <c r="M360" i="14814"/>
  <c r="M570" i="14814"/>
  <c r="M311" i="14814"/>
  <c r="M514" i="14814"/>
  <c r="M634" i="14814"/>
  <c r="M424" i="14814"/>
  <c r="M627" i="14814"/>
  <c r="M592" i="14814"/>
  <c r="M298" i="14814"/>
  <c r="M340" i="14814"/>
  <c r="M374" i="14814"/>
  <c r="M578" i="14814"/>
  <c r="M332" i="14814"/>
  <c r="M361" i="14814"/>
  <c r="M459" i="14814"/>
  <c r="M571" i="14814"/>
  <c r="M577" i="14814"/>
  <c r="M550" i="14814"/>
  <c r="M451" i="14814"/>
  <c r="M542" i="14814"/>
  <c r="M633" i="14814"/>
  <c r="M319" i="14814"/>
  <c r="M479" i="14814"/>
  <c r="M333" i="14814"/>
  <c r="M465" i="14814"/>
  <c r="M409" i="14814"/>
  <c r="M318" i="14814"/>
  <c r="M557" i="14814"/>
  <c r="M654" i="14814"/>
  <c r="M381" i="14814"/>
  <c r="M563" i="14814"/>
  <c r="M326" i="14814"/>
  <c r="M346" i="14814"/>
  <c r="M591" i="14814"/>
  <c r="M473" i="14814"/>
  <c r="M529" i="14814"/>
  <c r="M496" i="14814"/>
  <c r="M445" i="14814"/>
  <c r="M472" i="14814"/>
  <c r="M368" i="14814"/>
  <c r="M417" i="14814"/>
  <c r="M438" i="14814"/>
  <c r="M395" i="14814"/>
  <c r="M354" i="14814"/>
  <c r="M640" i="14814"/>
  <c r="M584" i="14814"/>
  <c r="M410" i="14814"/>
  <c r="M522" i="14814"/>
  <c r="M626" i="14814"/>
  <c r="M612" i="14814"/>
  <c r="M493" i="14814"/>
  <c r="M416" i="14814"/>
  <c r="M585" i="14814"/>
  <c r="M499" i="14814"/>
  <c r="M492" i="14814"/>
  <c r="M382" i="14814"/>
  <c r="M481" i="14814"/>
  <c r="M396" i="14814"/>
  <c r="M536" i="14814"/>
  <c r="M347" i="14814"/>
  <c r="M304" i="14814"/>
  <c r="M515" i="14814"/>
  <c r="M466" i="14814"/>
  <c r="M430" i="14814"/>
  <c r="M556" i="14814"/>
  <c r="M599" i="14814"/>
  <c r="M619" i="14814"/>
  <c r="M535" i="14814"/>
  <c r="M486" i="14814"/>
  <c r="M543" i="14814"/>
  <c r="M402" i="14814"/>
  <c r="M339" i="14814"/>
  <c r="M606" i="14814"/>
  <c r="M305" i="14814"/>
  <c r="M458" i="14814"/>
  <c r="M610" i="14814"/>
  <c r="M611" i="14814"/>
  <c r="M605" i="14814"/>
  <c r="M620" i="14814"/>
  <c r="M597" i="14814"/>
  <c r="M618" i="14814"/>
  <c r="G89" i="14814"/>
  <c r="H89" i="14814" s="1"/>
  <c r="F89" i="14814"/>
  <c r="CX7" i="14809"/>
  <c r="I363" i="14814" l="1"/>
  <c r="I302" i="14814"/>
  <c r="I621" i="14814"/>
  <c r="I399" i="14814"/>
  <c r="I574" i="14814"/>
  <c r="I509" i="14814"/>
  <c r="I379" i="14814"/>
  <c r="I470" i="14814"/>
  <c r="I378" i="14814"/>
  <c r="I454" i="14814"/>
  <c r="I441" i="14814"/>
  <c r="I327" i="14814"/>
  <c r="I393" i="14814"/>
  <c r="I398" i="14814"/>
  <c r="I593" i="14814"/>
  <c r="I502" i="14814"/>
  <c r="I418" i="14814"/>
  <c r="I413" i="14814"/>
  <c r="I482" i="14814"/>
  <c r="I392" i="14814"/>
  <c r="I434" i="14814"/>
  <c r="I335" i="14814"/>
  <c r="I475" i="14814"/>
  <c r="I427" i="14814"/>
  <c r="I484" i="14814"/>
  <c r="I356" i="14814"/>
  <c r="I511" i="14814"/>
  <c r="I384" i="14814"/>
  <c r="I336" i="14814"/>
  <c r="I505" i="14814"/>
  <c r="I426" i="14814"/>
  <c r="I629" i="14814"/>
  <c r="I371" i="14814"/>
  <c r="I510" i="14814"/>
  <c r="I512" i="14814"/>
  <c r="I351" i="14814"/>
  <c r="I455" i="14814"/>
  <c r="I369" i="14814"/>
  <c r="I342" i="14814"/>
  <c r="I581" i="14814"/>
  <c r="I295" i="14814"/>
  <c r="I601" i="14814"/>
  <c r="I546" i="14814"/>
  <c r="I306" i="14814"/>
  <c r="I406" i="14814"/>
  <c r="I559" i="14814"/>
  <c r="I334" i="14814"/>
  <c r="I407" i="14814"/>
  <c r="I530" i="14814"/>
  <c r="I651" i="14814"/>
  <c r="I525" i="14814"/>
  <c r="I446" i="14814"/>
  <c r="I461" i="14814"/>
  <c r="I330" i="14814"/>
  <c r="I617" i="14814"/>
  <c r="I497" i="14814"/>
  <c r="I552" i="14814"/>
  <c r="I344" i="14814"/>
  <c r="I469" i="14814"/>
  <c r="I349" i="14814"/>
  <c r="I652" i="14814"/>
  <c r="I614" i="14814"/>
  <c r="I526" i="14814"/>
  <c r="M49" i="14786"/>
  <c r="I575" i="14814"/>
  <c r="I538" i="14814"/>
  <c r="I622" i="14814"/>
  <c r="I650" i="14814"/>
  <c r="I383" i="14814"/>
  <c r="I645" i="14814"/>
  <c r="I558" i="14814"/>
  <c r="I370" i="14814"/>
  <c r="I656" i="14814"/>
  <c r="I419" i="14814"/>
  <c r="I588" i="14814"/>
  <c r="I636" i="14814"/>
  <c r="I560" i="14814"/>
  <c r="I299" i="14814"/>
  <c r="I400" i="14814"/>
  <c r="I524" i="14814"/>
  <c r="I453" i="14814"/>
  <c r="I364" i="14814"/>
  <c r="I519" i="14814"/>
  <c r="I602" i="14814"/>
  <c r="I411" i="14814"/>
  <c r="I600" i="14814"/>
  <c r="I439" i="14814"/>
  <c r="I323" i="14814"/>
  <c r="I551" i="14814"/>
  <c r="I337" i="14814"/>
  <c r="I610" i="14814"/>
  <c r="I579" i="14814"/>
  <c r="I428" i="14814"/>
  <c r="I566" i="14814"/>
  <c r="I316" i="14814"/>
  <c r="I414" i="14814"/>
  <c r="I477" i="14814"/>
  <c r="I421" i="14814"/>
  <c r="I476" i="14814"/>
  <c r="I292" i="14814"/>
  <c r="I362" i="14814"/>
  <c r="I315" i="14814"/>
  <c r="I631" i="14814"/>
  <c r="I572" i="14814"/>
  <c r="I462" i="14814"/>
  <c r="I420" i="14814"/>
  <c r="I307" i="14814"/>
  <c r="I300" i="14814"/>
  <c r="I435" i="14814"/>
  <c r="I561" i="14814"/>
  <c r="I357" i="14814"/>
  <c r="I474" i="14814"/>
  <c r="I308" i="14814"/>
  <c r="I412" i="14814"/>
  <c r="I386" i="14814"/>
  <c r="I463" i="14814"/>
  <c r="I596" i="14814"/>
  <c r="I355" i="14814"/>
  <c r="I483" i="14814"/>
  <c r="I405" i="14814"/>
  <c r="I637" i="14814"/>
  <c r="I314" i="14814"/>
  <c r="I539" i="14814"/>
  <c r="I294" i="14814"/>
  <c r="I643" i="14814"/>
  <c r="I582" i="14814"/>
  <c r="I467" i="14814"/>
  <c r="I404" i="14814"/>
  <c r="I343" i="14814"/>
  <c r="I580" i="14814"/>
  <c r="I358" i="14814"/>
  <c r="I433" i="14814"/>
  <c r="I321" i="14814"/>
  <c r="I447" i="14814"/>
  <c r="I624" i="14814"/>
  <c r="I609" i="14814"/>
  <c r="I376" i="14814"/>
  <c r="I644" i="14814"/>
  <c r="I531" i="14814"/>
  <c r="I341" i="14814"/>
  <c r="I573" i="14814"/>
  <c r="I567" i="14814"/>
  <c r="I456" i="14814"/>
  <c r="I615" i="14814"/>
  <c r="I309" i="14814"/>
  <c r="I390" i="14814"/>
  <c r="I490" i="14814"/>
  <c r="I432" i="14814"/>
  <c r="I350" i="14814"/>
  <c r="I377" i="14814"/>
  <c r="I638" i="14814"/>
  <c r="I503" i="14814"/>
  <c r="I385" i="14814"/>
  <c r="I594" i="14814"/>
  <c r="I496" i="14814"/>
  <c r="I607" i="14814"/>
  <c r="I481" i="14814"/>
  <c r="I554" i="14814"/>
  <c r="I553" i="14814"/>
  <c r="I595" i="14814"/>
  <c r="I365" i="14814"/>
  <c r="I628" i="14814"/>
  <c r="I504" i="14814"/>
  <c r="I322" i="14814"/>
  <c r="I397" i="14814"/>
  <c r="I537" i="14814"/>
  <c r="I568" i="14814"/>
  <c r="I518" i="14814"/>
  <c r="I642" i="14814"/>
  <c r="I533" i="14814"/>
  <c r="I608" i="14814"/>
  <c r="I440" i="14814"/>
  <c r="I348" i="14814"/>
  <c r="I313" i="14814"/>
  <c r="I328" i="14814"/>
  <c r="I449" i="14814"/>
  <c r="I489" i="14814"/>
  <c r="I540" i="14814"/>
  <c r="I565" i="14814"/>
  <c r="I516" i="14814"/>
  <c r="I329" i="14814"/>
  <c r="I587" i="14814"/>
  <c r="I425" i="14814"/>
  <c r="I586" i="14814"/>
  <c r="I372" i="14814"/>
  <c r="I468" i="14814"/>
  <c r="I603" i="14814"/>
  <c r="I498" i="14814"/>
  <c r="I448" i="14814"/>
  <c r="I491" i="14814"/>
  <c r="I391" i="14814"/>
  <c r="I589" i="14814"/>
  <c r="I545" i="14814"/>
  <c r="I301" i="14814"/>
  <c r="I532" i="14814"/>
  <c r="I623" i="14814"/>
  <c r="I460" i="14814"/>
  <c r="I649" i="14814"/>
  <c r="I293" i="14814"/>
  <c r="I547" i="14814"/>
  <c r="I495" i="14814"/>
  <c r="I488" i="14814"/>
  <c r="I442" i="14814"/>
  <c r="I523" i="14814"/>
  <c r="I630" i="14814"/>
  <c r="I320" i="14814"/>
  <c r="I616" i="14814"/>
  <c r="I517" i="14814"/>
  <c r="I635" i="14814"/>
  <c r="I544" i="14814"/>
  <c r="I590" i="14814"/>
  <c r="I450" i="14814"/>
  <c r="I443" i="14814"/>
  <c r="I604" i="14814"/>
  <c r="I464" i="14814"/>
  <c r="I296" i="14814"/>
  <c r="I303" i="14814"/>
  <c r="I415" i="14814"/>
  <c r="I394" i="14814"/>
  <c r="I527" i="14814"/>
  <c r="I485" i="14814"/>
  <c r="I366" i="14814"/>
  <c r="I317" i="14814"/>
  <c r="I646" i="14814"/>
  <c r="I611" i="14814"/>
  <c r="I471" i="14814"/>
  <c r="I548" i="14814"/>
  <c r="I625" i="14814"/>
  <c r="I583" i="14814"/>
  <c r="I338" i="14814"/>
  <c r="I331" i="14814"/>
  <c r="I632" i="14814"/>
  <c r="I520" i="14814"/>
  <c r="I387" i="14814"/>
  <c r="I422" i="14814"/>
  <c r="I478" i="14814"/>
  <c r="I408" i="14814"/>
  <c r="I513" i="14814"/>
  <c r="I562" i="14814"/>
  <c r="I324" i="14814"/>
  <c r="I534" i="14814"/>
  <c r="I618" i="14814"/>
  <c r="I345" i="14814"/>
  <c r="I541" i="14814"/>
  <c r="I436" i="14814"/>
  <c r="I492" i="14814"/>
  <c r="I555" i="14814"/>
  <c r="I352" i="14814"/>
  <c r="I310" i="14814"/>
  <c r="I639" i="14814"/>
  <c r="I457" i="14814"/>
  <c r="I653" i="14814"/>
  <c r="I359" i="14814"/>
  <c r="I499" i="14814"/>
  <c r="I576" i="14814"/>
  <c r="I569" i="14814"/>
  <c r="I373" i="14814"/>
  <c r="I380" i="14814"/>
  <c r="I506" i="14814"/>
  <c r="I429" i="14814"/>
  <c r="I597" i="14814"/>
  <c r="I401" i="14814"/>
  <c r="I367" i="14814"/>
  <c r="I479" i="14814"/>
  <c r="I472" i="14814"/>
  <c r="I619" i="14814"/>
  <c r="I430" i="14814"/>
  <c r="I605" i="14814"/>
  <c r="I325" i="14814"/>
  <c r="I528" i="14814"/>
  <c r="I570" i="14814"/>
  <c r="I535" i="14814"/>
  <c r="I563" i="14814"/>
  <c r="I297" i="14814"/>
  <c r="I458" i="14814"/>
  <c r="I416" i="14814"/>
  <c r="I612" i="14814"/>
  <c r="I633" i="14814"/>
  <c r="I486" i="14814"/>
  <c r="I640" i="14814"/>
  <c r="I353" i="14814"/>
  <c r="I374" i="14814"/>
  <c r="I423" i="14814"/>
  <c r="I647" i="14814"/>
  <c r="I591" i="14814"/>
  <c r="I654" i="14814"/>
  <c r="I556" i="14814"/>
  <c r="I409" i="14814"/>
  <c r="I626" i="14814"/>
  <c r="I549" i="14814"/>
  <c r="I598" i="14814"/>
  <c r="I346" i="14814"/>
  <c r="I584" i="14814"/>
  <c r="I542" i="14814"/>
  <c r="I311" i="14814"/>
  <c r="I500" i="14814"/>
  <c r="I395" i="14814"/>
  <c r="I507" i="14814"/>
  <c r="I381" i="14814"/>
  <c r="I444" i="14814"/>
  <c r="I451" i="14814"/>
  <c r="I360" i="14814"/>
  <c r="I521" i="14814"/>
  <c r="I318" i="14814"/>
  <c r="I514" i="14814"/>
  <c r="I388" i="14814"/>
  <c r="I577" i="14814"/>
  <c r="I339" i="14814"/>
  <c r="I304" i="14814"/>
  <c r="I437" i="14814"/>
  <c r="I402" i="14814"/>
  <c r="I493" i="14814"/>
  <c r="I332" i="14814"/>
  <c r="I465" i="14814"/>
  <c r="I396" i="14814"/>
  <c r="I305" i="14814"/>
  <c r="I431" i="14814"/>
  <c r="I361" i="14814"/>
  <c r="I564" i="14814"/>
  <c r="I424" i="14814"/>
  <c r="I522" i="14814"/>
  <c r="I354" i="14814"/>
  <c r="I326" i="14814"/>
  <c r="I403" i="14814"/>
  <c r="I452" i="14814"/>
  <c r="I466" i="14814"/>
  <c r="I312" i="14814"/>
  <c r="I550" i="14814"/>
  <c r="I438" i="14814"/>
  <c r="I410" i="14814"/>
  <c r="I333" i="14814"/>
  <c r="I634" i="14814"/>
  <c r="I487" i="14814"/>
  <c r="I655" i="14814"/>
  <c r="I599" i="14814"/>
  <c r="I571" i="14814"/>
  <c r="I585" i="14814"/>
  <c r="I627" i="14814"/>
  <c r="I641" i="14814"/>
  <c r="I543" i="14814"/>
  <c r="I536" i="14814"/>
  <c r="I459" i="14814"/>
  <c r="I606" i="14814"/>
  <c r="I515" i="14814"/>
  <c r="I557" i="14814"/>
  <c r="I417" i="14814"/>
  <c r="I578" i="14814"/>
  <c r="I347" i="14814"/>
  <c r="I620" i="14814"/>
  <c r="I648" i="14814"/>
  <c r="I501" i="14814"/>
  <c r="I529" i="14814"/>
  <c r="I613" i="14814"/>
  <c r="I508" i="14814"/>
  <c r="I298" i="14814"/>
  <c r="I494" i="14814"/>
  <c r="I473" i="14814"/>
  <c r="I445" i="14814"/>
  <c r="I375" i="14814"/>
  <c r="I592" i="14814"/>
  <c r="I319" i="14814"/>
  <c r="I382" i="14814"/>
  <c r="I340" i="14814"/>
  <c r="I368" i="14814"/>
  <c r="I480" i="14814"/>
  <c r="I389" i="14814"/>
  <c r="M69" i="14786"/>
  <c r="L419" i="14814"/>
  <c r="L531" i="14814"/>
  <c r="L629" i="14814"/>
  <c r="L321" i="14814"/>
  <c r="L609" i="14814"/>
  <c r="M69" i="14830"/>
  <c r="L566" i="14814"/>
  <c r="L525" i="14814"/>
  <c r="L293" i="14814"/>
  <c r="L552" i="14814"/>
  <c r="L334" i="14814"/>
  <c r="L363" i="14814"/>
  <c r="L447" i="14814"/>
  <c r="L503" i="14814"/>
  <c r="L650" i="14814"/>
  <c r="L292" i="14814"/>
  <c r="L517" i="14814"/>
  <c r="L405" i="14814"/>
  <c r="L300" i="14814"/>
  <c r="L342" i="14814"/>
  <c r="L559" i="14814"/>
  <c r="L587" i="14814"/>
  <c r="L573" i="14814"/>
  <c r="L440" i="14814"/>
  <c r="L628" i="14814"/>
  <c r="L335" i="14814"/>
  <c r="L349" i="14814"/>
  <c r="L356" i="14814"/>
  <c r="L460" i="14814"/>
  <c r="L315" i="14814"/>
  <c r="L580" i="14814"/>
  <c r="L307" i="14814"/>
  <c r="L439" i="14814"/>
  <c r="L426" i="14814"/>
  <c r="L510" i="14814"/>
  <c r="L538" i="14814"/>
  <c r="L461" i="14814"/>
  <c r="L433" i="14814"/>
  <c r="L306" i="14814"/>
  <c r="L607" i="14814"/>
  <c r="L383" i="14814"/>
  <c r="L516" i="14814"/>
  <c r="L600" i="14814"/>
  <c r="L313" i="14814"/>
  <c r="L294" i="14814"/>
  <c r="L602" i="14814"/>
  <c r="L581" i="14814"/>
  <c r="L642" i="14814"/>
  <c r="L384" i="14814"/>
  <c r="L545" i="14814"/>
  <c r="L299" i="14814"/>
  <c r="L467" i="14814"/>
  <c r="L314" i="14814"/>
  <c r="L348" i="14814"/>
  <c r="L427" i="14814"/>
  <c r="L328" i="14814"/>
  <c r="L412" i="14814"/>
  <c r="L391" i="14814"/>
  <c r="L594" i="14814"/>
  <c r="L644" i="14814"/>
  <c r="L418" i="14814"/>
  <c r="L454" i="14814"/>
  <c r="L482" i="14814"/>
  <c r="L322" i="14814"/>
  <c r="L397" i="14814"/>
  <c r="L643" i="14814"/>
  <c r="L327" i="14814"/>
  <c r="L524" i="14814"/>
  <c r="L468" i="14814"/>
  <c r="L608" i="14814"/>
  <c r="L390" i="14814"/>
  <c r="L539" i="14814"/>
  <c r="L579" i="14814"/>
  <c r="L635" i="14814"/>
  <c r="L432" i="14814"/>
  <c r="L544" i="14814"/>
  <c r="L385" i="14814"/>
  <c r="L537" i="14814"/>
  <c r="L462" i="14814"/>
  <c r="L614" i="14814"/>
  <c r="L362" i="14814"/>
  <c r="L413" i="14814"/>
  <c r="L483" i="14814"/>
  <c r="L364" i="14814"/>
  <c r="L378" i="14814"/>
  <c r="L469" i="14814"/>
  <c r="L399" i="14814"/>
  <c r="L551" i="14814"/>
  <c r="L488" i="14814"/>
  <c r="L560" i="14814"/>
  <c r="L593" i="14814"/>
  <c r="L453" i="14814"/>
  <c r="L411" i="14814"/>
  <c r="L511" i="14814"/>
  <c r="L320" i="14814"/>
  <c r="L504" i="14814"/>
  <c r="L406" i="14814"/>
  <c r="L518" i="14814"/>
  <c r="L567" i="14814"/>
  <c r="L572" i="14814"/>
  <c r="L630" i="14814"/>
  <c r="L523" i="14814"/>
  <c r="L336" i="14814"/>
  <c r="L448" i="14814"/>
  <c r="L621" i="14814"/>
  <c r="L441" i="14814"/>
  <c r="L474" i="14814"/>
  <c r="L636" i="14814"/>
  <c r="L343" i="14814"/>
  <c r="L392" i="14814"/>
  <c r="L532" i="14814"/>
  <c r="L425" i="14814"/>
  <c r="L530" i="14814"/>
  <c r="L649" i="14814"/>
  <c r="L565" i="14814"/>
  <c r="L651" i="14814"/>
  <c r="L588" i="14814"/>
  <c r="L553" i="14814"/>
  <c r="L341" i="14814"/>
  <c r="L509" i="14814"/>
  <c r="L371" i="14814"/>
  <c r="L455" i="14814"/>
  <c r="L404" i="14814"/>
  <c r="L329" i="14814"/>
  <c r="L446" i="14814"/>
  <c r="L558" i="14814"/>
  <c r="L595" i="14814"/>
  <c r="L350" i="14814"/>
  <c r="L574" i="14814"/>
  <c r="L301" i="14814"/>
  <c r="L637" i="14814"/>
  <c r="L308" i="14814"/>
  <c r="L420" i="14814"/>
  <c r="L546" i="14814"/>
  <c r="L656" i="14814"/>
  <c r="L398" i="14814"/>
  <c r="L497" i="14814"/>
  <c r="L586" i="14814"/>
  <c r="L434" i="14814"/>
  <c r="L623" i="14814"/>
  <c r="L495" i="14814"/>
  <c r="L355" i="14814"/>
  <c r="L357" i="14814"/>
  <c r="L502" i="14814"/>
  <c r="L481" i="14814"/>
  <c r="L476" i="14814"/>
  <c r="L369" i="14814"/>
  <c r="L377" i="14814"/>
  <c r="L370" i="14814"/>
  <c r="L475" i="14814"/>
  <c r="L496" i="14814"/>
  <c r="L376" i="14814"/>
  <c r="L601" i="14814"/>
  <c r="L622" i="14814"/>
  <c r="L393" i="14814"/>
  <c r="L400" i="14814"/>
  <c r="L631" i="14814"/>
  <c r="L568" i="14814"/>
  <c r="L295" i="14814"/>
  <c r="L582" i="14814"/>
  <c r="L617" i="14814"/>
  <c r="L463" i="14814"/>
  <c r="L365" i="14814"/>
  <c r="L547" i="14814"/>
  <c r="L638" i="14814"/>
  <c r="L386" i="14814"/>
  <c r="L652" i="14814"/>
  <c r="L491" i="14814"/>
  <c r="L442" i="14814"/>
  <c r="L477" i="14814"/>
  <c r="L344" i="14814"/>
  <c r="L540" i="14814"/>
  <c r="L624" i="14814"/>
  <c r="L456" i="14814"/>
  <c r="L519" i="14814"/>
  <c r="L561" i="14814"/>
  <c r="L323" i="14814"/>
  <c r="L505" i="14814"/>
  <c r="L596" i="14814"/>
  <c r="L554" i="14814"/>
  <c r="L575" i="14814"/>
  <c r="L645" i="14814"/>
  <c r="L603" i="14814"/>
  <c r="L589" i="14814"/>
  <c r="L449" i="14814"/>
  <c r="L421" i="14814"/>
  <c r="L498" i="14814"/>
  <c r="L484" i="14814"/>
  <c r="L309" i="14814"/>
  <c r="L372" i="14814"/>
  <c r="L610" i="14814"/>
  <c r="L428" i="14814"/>
  <c r="L407" i="14814"/>
  <c r="L330" i="14814"/>
  <c r="L358" i="14814"/>
  <c r="L379" i="14814"/>
  <c r="L526" i="14814"/>
  <c r="L533" i="14814"/>
  <c r="L435" i="14814"/>
  <c r="L302" i="14814"/>
  <c r="L470" i="14814"/>
  <c r="L351" i="14814"/>
  <c r="L316" i="14814"/>
  <c r="L337" i="14814"/>
  <c r="L414" i="14814"/>
  <c r="L512" i="14814"/>
  <c r="L394" i="14814"/>
  <c r="L527" i="14814"/>
  <c r="L485" i="14814"/>
  <c r="L436" i="14814"/>
  <c r="L317" i="14814"/>
  <c r="L646" i="14814"/>
  <c r="L611" i="14814"/>
  <c r="L471" i="14814"/>
  <c r="L548" i="14814"/>
  <c r="L625" i="14814"/>
  <c r="L583" i="14814"/>
  <c r="L338" i="14814"/>
  <c r="L331" i="14814"/>
  <c r="L632" i="14814"/>
  <c r="L520" i="14814"/>
  <c r="L310" i="14814"/>
  <c r="L478" i="14814"/>
  <c r="L408" i="14814"/>
  <c r="L513" i="14814"/>
  <c r="L562" i="14814"/>
  <c r="L324" i="14814"/>
  <c r="L534" i="14814"/>
  <c r="L618" i="14814"/>
  <c r="L345" i="14814"/>
  <c r="L541" i="14814"/>
  <c r="L387" i="14814"/>
  <c r="L422" i="14814"/>
  <c r="L597" i="14814"/>
  <c r="L653" i="14814"/>
  <c r="L492" i="14814"/>
  <c r="L555" i="14814"/>
  <c r="L352" i="14814"/>
  <c r="L639" i="14814"/>
  <c r="L457" i="14814"/>
  <c r="L359" i="14814"/>
  <c r="L499" i="14814"/>
  <c r="L576" i="14814"/>
  <c r="L569" i="14814"/>
  <c r="L373" i="14814"/>
  <c r="L380" i="14814"/>
  <c r="L506" i="14814"/>
  <c r="L429" i="14814"/>
  <c r="L366" i="14814"/>
  <c r="L590" i="14814"/>
  <c r="L450" i="14814"/>
  <c r="L443" i="14814"/>
  <c r="L604" i="14814"/>
  <c r="L464" i="14814"/>
  <c r="L296" i="14814"/>
  <c r="L303" i="14814"/>
  <c r="L415" i="14814"/>
  <c r="L401" i="14814"/>
  <c r="L605" i="14814"/>
  <c r="L325" i="14814"/>
  <c r="L528" i="14814"/>
  <c r="L570" i="14814"/>
  <c r="L486" i="14814"/>
  <c r="L535" i="14814"/>
  <c r="L563" i="14814"/>
  <c r="L500" i="14814"/>
  <c r="L297" i="14814"/>
  <c r="L458" i="14814"/>
  <c r="L479" i="14814"/>
  <c r="L423" i="14814"/>
  <c r="L612" i="14814"/>
  <c r="L633" i="14814"/>
  <c r="L640" i="14814"/>
  <c r="L654" i="14814"/>
  <c r="L353" i="14814"/>
  <c r="L647" i="14814"/>
  <c r="L591" i="14814"/>
  <c r="L556" i="14814"/>
  <c r="L409" i="14814"/>
  <c r="L626" i="14814"/>
  <c r="L549" i="14814"/>
  <c r="L598" i="14814"/>
  <c r="L346" i="14814"/>
  <c r="L584" i="14814"/>
  <c r="L542" i="14814"/>
  <c r="L507" i="14814"/>
  <c r="L451" i="14814"/>
  <c r="L311" i="14814"/>
  <c r="L395" i="14814"/>
  <c r="L318" i="14814"/>
  <c r="L381" i="14814"/>
  <c r="L444" i="14814"/>
  <c r="L360" i="14814"/>
  <c r="L521" i="14814"/>
  <c r="L514" i="14814"/>
  <c r="L489" i="14814"/>
  <c r="L490" i="14814"/>
  <c r="L437" i="14814"/>
  <c r="L332" i="14814"/>
  <c r="L374" i="14814"/>
  <c r="L388" i="14814"/>
  <c r="L577" i="14814"/>
  <c r="L339" i="14814"/>
  <c r="L304" i="14814"/>
  <c r="L402" i="14814"/>
  <c r="L493" i="14814"/>
  <c r="L465" i="14814"/>
  <c r="L416" i="14814"/>
  <c r="L367" i="14814"/>
  <c r="L472" i="14814"/>
  <c r="L619" i="14814"/>
  <c r="L430" i="14814"/>
  <c r="L326" i="14814"/>
  <c r="L403" i="14814"/>
  <c r="L452" i="14814"/>
  <c r="L466" i="14814"/>
  <c r="L655" i="14814"/>
  <c r="L312" i="14814"/>
  <c r="L550" i="14814"/>
  <c r="L438" i="14814"/>
  <c r="L410" i="14814"/>
  <c r="L333" i="14814"/>
  <c r="L634" i="14814"/>
  <c r="L487" i="14814"/>
  <c r="L599" i="14814"/>
  <c r="L571" i="14814"/>
  <c r="L361" i="14814"/>
  <c r="L585" i="14814"/>
  <c r="L627" i="14814"/>
  <c r="L641" i="14814"/>
  <c r="L543" i="14814"/>
  <c r="L536" i="14814"/>
  <c r="L459" i="14814"/>
  <c r="L606" i="14814"/>
  <c r="L515" i="14814"/>
  <c r="L557" i="14814"/>
  <c r="L417" i="14814"/>
  <c r="L578" i="14814"/>
  <c r="L613" i="14814"/>
  <c r="L508" i="14814"/>
  <c r="L347" i="14814"/>
  <c r="L620" i="14814"/>
  <c r="L648" i="14814"/>
  <c r="L529" i="14814"/>
  <c r="L298" i="14814"/>
  <c r="L494" i="14814"/>
  <c r="L473" i="14814"/>
  <c r="L445" i="14814"/>
  <c r="L375" i="14814"/>
  <c r="L592" i="14814"/>
  <c r="L354" i="14814"/>
  <c r="L319" i="14814"/>
  <c r="L382" i="14814"/>
  <c r="L340" i="14814"/>
  <c r="L368" i="14814"/>
  <c r="L480" i="14814"/>
  <c r="L389" i="14814"/>
  <c r="L396" i="14814"/>
  <c r="L305" i="14814"/>
  <c r="L431" i="14814"/>
  <c r="L501" i="14814"/>
  <c r="L564" i="14814"/>
  <c r="L424" i="14814"/>
  <c r="L522" i="14814"/>
  <c r="L615" i="14814"/>
  <c r="L616" i="14814"/>
  <c r="J90" i="14814"/>
  <c r="J66" i="14814" s="1"/>
  <c r="I66" i="14814"/>
  <c r="F66" i="14814"/>
  <c r="H264" i="14814"/>
  <c r="H120" i="14814"/>
  <c r="H240" i="14814"/>
  <c r="H192" i="14814"/>
  <c r="H168" i="14814"/>
  <c r="H216" i="14814"/>
  <c r="H144" i="14814"/>
  <c r="H67" i="14814"/>
  <c r="H66" i="14814" s="1"/>
  <c r="G66" i="14814"/>
  <c r="O91" i="14830"/>
  <c r="O92" i="14830" s="1"/>
  <c r="N133" i="14830"/>
  <c r="N145" i="14830"/>
  <c r="N132" i="14830"/>
  <c r="N91" i="14830"/>
  <c r="N92" i="14830" s="1"/>
  <c r="O130" i="14830"/>
  <c r="M176" i="14830"/>
  <c r="O24" i="14830"/>
  <c r="N147" i="14830"/>
  <c r="E131" i="14830"/>
  <c r="O25" i="14830"/>
  <c r="N146" i="14830"/>
  <c r="M128" i="14830"/>
  <c r="M26" i="14830"/>
  <c r="M29" i="14830"/>
  <c r="N130" i="14830"/>
  <c r="M91" i="14830"/>
  <c r="M92" i="14830" s="1"/>
  <c r="M180" i="14830"/>
  <c r="M146" i="14830"/>
  <c r="M30" i="14830"/>
  <c r="M125" i="14830"/>
  <c r="M132" i="14830"/>
  <c r="M77" i="14830"/>
  <c r="M38" i="14830"/>
  <c r="M36" i="14830"/>
  <c r="M72" i="14830"/>
  <c r="M73" i="14830" s="1"/>
  <c r="M147" i="14830"/>
  <c r="M178" i="14830"/>
  <c r="O129" i="14830"/>
  <c r="N24" i="14830"/>
  <c r="M24" i="14830"/>
  <c r="M25" i="14830"/>
  <c r="M32" i="14830"/>
  <c r="M154" i="14830" s="1"/>
  <c r="M79" i="14830"/>
  <c r="M80" i="14830" s="1"/>
  <c r="M129" i="14830"/>
  <c r="N129" i="14830" s="1"/>
  <c r="O70" i="14830"/>
  <c r="M130" i="14830"/>
  <c r="M134" i="14830" s="1"/>
  <c r="M135" i="14830" s="1"/>
  <c r="G239" i="14830" s="1"/>
  <c r="M37" i="14830"/>
  <c r="M70" i="14830"/>
  <c r="M71" i="14830"/>
  <c r="M145" i="14830"/>
  <c r="M31" i="14830"/>
  <c r="M177" i="14830"/>
  <c r="N113" i="14830"/>
  <c r="N72" i="14830"/>
  <c r="N73" i="14830" s="1"/>
  <c r="N152" i="14830"/>
  <c r="N25" i="14830"/>
  <c r="N105" i="14830"/>
  <c r="O133" i="14830"/>
  <c r="M133" i="14830"/>
  <c r="N70" i="14830"/>
  <c r="O132" i="14830"/>
  <c r="O72" i="14830"/>
  <c r="O73" i="14830" s="1"/>
  <c r="O152" i="14830"/>
  <c r="M152" i="14830"/>
  <c r="M178" i="14786"/>
  <c r="M145" i="14786"/>
  <c r="N146" i="14786"/>
  <c r="M146" i="14786"/>
  <c r="N147" i="14786"/>
  <c r="M147" i="14786"/>
  <c r="N145" i="14786"/>
  <c r="N105" i="14786"/>
  <c r="M125" i="14786"/>
  <c r="M91" i="14786"/>
  <c r="M24" i="14786"/>
  <c r="M130" i="14786"/>
  <c r="M25" i="14786"/>
  <c r="M38" i="14786"/>
  <c r="M132" i="14786"/>
  <c r="M26" i="14786"/>
  <c r="M70" i="14786"/>
  <c r="M77" i="14786"/>
  <c r="M82" i="14786" s="1"/>
  <c r="M129" i="14786"/>
  <c r="N129" i="14786" s="1"/>
  <c r="M133" i="14786"/>
  <c r="M37" i="14786"/>
  <c r="M36" i="14786"/>
  <c r="M32" i="14786"/>
  <c r="M31" i="14786"/>
  <c r="M29" i="14786"/>
  <c r="M30" i="14786"/>
  <c r="M128" i="14786"/>
  <c r="M180" i="14786"/>
  <c r="M177" i="14786"/>
  <c r="M72" i="14786"/>
  <c r="M73" i="14786" s="1"/>
  <c r="O132" i="14786"/>
  <c r="O130" i="14786"/>
  <c r="O134" i="14786" s="1"/>
  <c r="R493" i="14814" l="1"/>
  <c r="R635" i="14814"/>
  <c r="R569" i="14814"/>
  <c r="R572" i="14814"/>
  <c r="R538" i="14814"/>
  <c r="R336" i="14814"/>
  <c r="R376" i="14814"/>
  <c r="R469" i="14814"/>
  <c r="R302" i="14814"/>
  <c r="R446" i="14814"/>
  <c r="R510" i="14814"/>
  <c r="R422" i="14814"/>
  <c r="R412" i="14814"/>
  <c r="R406" i="14814"/>
  <c r="R622" i="14814"/>
  <c r="R462" i="14814"/>
  <c r="R344" i="14814"/>
  <c r="R502" i="14814"/>
  <c r="R593" i="14814"/>
  <c r="R352" i="14814"/>
  <c r="R294" i="14814"/>
  <c r="R573" i="14814"/>
  <c r="R576" i="14814"/>
  <c r="R359" i="14814"/>
  <c r="R407" i="14814"/>
  <c r="R335" i="14814"/>
  <c r="R373" i="14814"/>
  <c r="R580" i="14814"/>
  <c r="R532" i="14814"/>
  <c r="R299" i="14814"/>
  <c r="R343" i="14814"/>
  <c r="R483" i="14814"/>
  <c r="R559" i="14814"/>
  <c r="R482" i="14814"/>
  <c r="R314" i="14814"/>
  <c r="R642" i="14814"/>
  <c r="R443" i="14814"/>
  <c r="R436" i="14814"/>
  <c r="R491" i="14814"/>
  <c r="R505" i="14814"/>
  <c r="R365" i="14814"/>
  <c r="R615" i="14814"/>
  <c r="R509" i="14814"/>
  <c r="R587" i="14814"/>
  <c r="R461" i="14814"/>
  <c r="R460" i="14814"/>
  <c r="R653" i="14814"/>
  <c r="R484" i="14814"/>
  <c r="R329" i="14814"/>
  <c r="R334" i="14814"/>
  <c r="R618" i="14814"/>
  <c r="R561" i="14814"/>
  <c r="R596" i="14814"/>
  <c r="R537" i="14814"/>
  <c r="R342" i="14814"/>
  <c r="R646" i="14814"/>
  <c r="R454" i="14814"/>
  <c r="R320" i="14814"/>
  <c r="R638" i="14814"/>
  <c r="R323" i="14814"/>
  <c r="R607" i="14814"/>
  <c r="R394" i="14814"/>
  <c r="R351" i="14814"/>
  <c r="R616" i="14814"/>
  <c r="R358" i="14814"/>
  <c r="R295" i="14814"/>
  <c r="R317" i="14814"/>
  <c r="R604" i="14814"/>
  <c r="R309" i="14814"/>
  <c r="R512" i="14814"/>
  <c r="R467" i="14814"/>
  <c r="R476" i="14814"/>
  <c r="R377" i="14814"/>
  <c r="R503" i="14814"/>
  <c r="R457" i="14814"/>
  <c r="R637" i="14814"/>
  <c r="R518" i="14814"/>
  <c r="R331" i="14814"/>
  <c r="R490" i="14814"/>
  <c r="R372" i="14814"/>
  <c r="R611" i="14814"/>
  <c r="R602" i="14814"/>
  <c r="R428" i="14814"/>
  <c r="R400" i="14814"/>
  <c r="R558" i="14814"/>
  <c r="R310" i="14814"/>
  <c r="R525" i="14814"/>
  <c r="R370" i="14814"/>
  <c r="R610" i="14814"/>
  <c r="R399" i="14814"/>
  <c r="R534" i="14814"/>
  <c r="R656" i="14814"/>
  <c r="R429" i="14814"/>
  <c r="R371" i="14814"/>
  <c r="R293" i="14814"/>
  <c r="R433" i="14814"/>
  <c r="R516" i="14814"/>
  <c r="R630" i="14814"/>
  <c r="R300" i="14814"/>
  <c r="R313" i="14814"/>
  <c r="R303" i="14814"/>
  <c r="R449" i="14814"/>
  <c r="R533" i="14814"/>
  <c r="R321" i="14814"/>
  <c r="R324" i="14814"/>
  <c r="R391" i="14814"/>
  <c r="R575" i="14814"/>
  <c r="R390" i="14814"/>
  <c r="R579" i="14814"/>
  <c r="R539" i="14814"/>
  <c r="R474" i="14814"/>
  <c r="R350" i="14814"/>
  <c r="R481" i="14814"/>
  <c r="R625" i="14814"/>
  <c r="R356" i="14814"/>
  <c r="R379" i="14814"/>
  <c r="R609" i="14814"/>
  <c r="R552" i="14814"/>
  <c r="R405" i="14814"/>
  <c r="R441" i="14814"/>
  <c r="R590" i="14814"/>
  <c r="R643" i="14814"/>
  <c r="R499" i="14814"/>
  <c r="R477" i="14814"/>
  <c r="R617" i="14814"/>
  <c r="R527" i="14814"/>
  <c r="R426" i="14814"/>
  <c r="R364" i="14814"/>
  <c r="R383" i="14814"/>
  <c r="R386" i="14814"/>
  <c r="R357" i="14814"/>
  <c r="R628" i="14814"/>
  <c r="R432" i="14814"/>
  <c r="R478" i="14814"/>
  <c r="R442" i="14814"/>
  <c r="R414" i="14814"/>
  <c r="R565" i="14814"/>
  <c r="R629" i="14814"/>
  <c r="R322" i="14814"/>
  <c r="R337" i="14814"/>
  <c r="R495" i="14814"/>
  <c r="R526" i="14814"/>
  <c r="R362" i="14814"/>
  <c r="R551" i="14814"/>
  <c r="R583" i="14814"/>
  <c r="R345" i="14814"/>
  <c r="R485" i="14814"/>
  <c r="R608" i="14814"/>
  <c r="R420" i="14814"/>
  <c r="R447" i="14814"/>
  <c r="R489" i="14814"/>
  <c r="R408" i="14814"/>
  <c r="R380" i="14814"/>
  <c r="R330" i="14814"/>
  <c r="R397" i="14814"/>
  <c r="R468" i="14814"/>
  <c r="R488" i="14814"/>
  <c r="R306" i="14814"/>
  <c r="R435" i="14814"/>
  <c r="R315" i="14814"/>
  <c r="R316" i="14814"/>
  <c r="R384" i="14814"/>
  <c r="R427" i="14814"/>
  <c r="R650" i="14814"/>
  <c r="R652" i="14814"/>
  <c r="R411" i="14814"/>
  <c r="R541" i="14814"/>
  <c r="R385" i="14814"/>
  <c r="R348" i="14814"/>
  <c r="R567" i="14814"/>
  <c r="R651" i="14814"/>
  <c r="R421" i="14814"/>
  <c r="R546" i="14814"/>
  <c r="R506" i="14814"/>
  <c r="R540" i="14814"/>
  <c r="R404" i="14814"/>
  <c r="R581" i="14814"/>
  <c r="R456" i="14814"/>
  <c r="R425" i="14814"/>
  <c r="R511" i="14814"/>
  <c r="R645" i="14814"/>
  <c r="R566" i="14814"/>
  <c r="R513" i="14814"/>
  <c r="R475" i="14814"/>
  <c r="R555" i="14814"/>
  <c r="R586" i="14814"/>
  <c r="R553" i="14814"/>
  <c r="R393" i="14814"/>
  <c r="R568" i="14814"/>
  <c r="R545" i="14814"/>
  <c r="R530" i="14814"/>
  <c r="R401" i="14814"/>
  <c r="R547" i="14814"/>
  <c r="R504" i="14814"/>
  <c r="R464" i="14814"/>
  <c r="R413" i="14814"/>
  <c r="R392" i="14814"/>
  <c r="R595" i="14814"/>
  <c r="R523" i="14814"/>
  <c r="R589" i="14814"/>
  <c r="R588" i="14814"/>
  <c r="R597" i="14814"/>
  <c r="R548" i="14814"/>
  <c r="R453" i="14814"/>
  <c r="R398" i="14814"/>
  <c r="R554" i="14814"/>
  <c r="R434" i="14814"/>
  <c r="R632" i="14814"/>
  <c r="R496" i="14814"/>
  <c r="R544" i="14814"/>
  <c r="R498" i="14814"/>
  <c r="R624" i="14814"/>
  <c r="R497" i="14814"/>
  <c r="R601" i="14814"/>
  <c r="R636" i="14814"/>
  <c r="R519" i="14814"/>
  <c r="R292" i="14814"/>
  <c r="R369" i="14814"/>
  <c r="R517" i="14814"/>
  <c r="R560" i="14814"/>
  <c r="R327" i="14814"/>
  <c r="R387" i="14814"/>
  <c r="R450" i="14814"/>
  <c r="R574" i="14814"/>
  <c r="R639" i="14814"/>
  <c r="R349" i="14814"/>
  <c r="R623" i="14814"/>
  <c r="R649" i="14814"/>
  <c r="R470" i="14814"/>
  <c r="R363" i="14814"/>
  <c r="R355" i="14814"/>
  <c r="R301" i="14814"/>
  <c r="R603" i="14814"/>
  <c r="R524" i="14814"/>
  <c r="R328" i="14814"/>
  <c r="R520" i="14814"/>
  <c r="R296" i="14814"/>
  <c r="R492" i="14814"/>
  <c r="R644" i="14814"/>
  <c r="R600" i="14814"/>
  <c r="R455" i="14814"/>
  <c r="R341" i="14814"/>
  <c r="R378" i="14814"/>
  <c r="R418" i="14814"/>
  <c r="R582" i="14814"/>
  <c r="R562" i="14814"/>
  <c r="R631" i="14814"/>
  <c r="R594" i="14814"/>
  <c r="R307" i="14814"/>
  <c r="R531" i="14814"/>
  <c r="R419" i="14814"/>
  <c r="R338" i="14814"/>
  <c r="R308" i="14814"/>
  <c r="R471" i="14814"/>
  <c r="R439" i="14814"/>
  <c r="R463" i="14814"/>
  <c r="R440" i="14814"/>
  <c r="R621" i="14814"/>
  <c r="R448" i="14814"/>
  <c r="R415" i="14814"/>
  <c r="R366" i="14814"/>
  <c r="R614" i="14814"/>
  <c r="R507" i="14814"/>
  <c r="R381" i="14814"/>
  <c r="R626" i="14814"/>
  <c r="R423" i="14814"/>
  <c r="R647" i="14814"/>
  <c r="R395" i="14814"/>
  <c r="R346" i="14814"/>
  <c r="R619" i="14814"/>
  <c r="R353" i="14814"/>
  <c r="R409" i="14814"/>
  <c r="R598" i="14814"/>
  <c r="R521" i="14814"/>
  <c r="R388" i="14814"/>
  <c r="R514" i="14814"/>
  <c r="R444" i="14814"/>
  <c r="R437" i="14814"/>
  <c r="R332" i="14814"/>
  <c r="R472" i="14814"/>
  <c r="R339" i="14814"/>
  <c r="R304" i="14814"/>
  <c r="R500" i="14814"/>
  <c r="R360" i="14814"/>
  <c r="R374" i="14814"/>
  <c r="R465" i="14814"/>
  <c r="R528" i="14814"/>
  <c r="R318" i="14814"/>
  <c r="R430" i="14814"/>
  <c r="R556" i="14814"/>
  <c r="R402" i="14814"/>
  <c r="R297" i="14814"/>
  <c r="R458" i="14814"/>
  <c r="R367" i="14814"/>
  <c r="R577" i="14814"/>
  <c r="R584" i="14814"/>
  <c r="R486" i="14814"/>
  <c r="R416" i="14814"/>
  <c r="R549" i="14814"/>
  <c r="R605" i="14814"/>
  <c r="R570" i="14814"/>
  <c r="R640" i="14814"/>
  <c r="R311" i="14814"/>
  <c r="R479" i="14814"/>
  <c r="R325" i="14814"/>
  <c r="R612" i="14814"/>
  <c r="R633" i="14814"/>
  <c r="R542" i="14814"/>
  <c r="R591" i="14814"/>
  <c r="R535" i="14814"/>
  <c r="R654" i="14814"/>
  <c r="R563" i="14814"/>
  <c r="R451" i="14814"/>
  <c r="R627" i="14814"/>
  <c r="R634" i="14814"/>
  <c r="R557" i="14814"/>
  <c r="R487" i="14814"/>
  <c r="R613" i="14814"/>
  <c r="R641" i="14814"/>
  <c r="R571" i="14814"/>
  <c r="R606" i="14814"/>
  <c r="R417" i="14814"/>
  <c r="R578" i="14814"/>
  <c r="R543" i="14814"/>
  <c r="R347" i="14814"/>
  <c r="R620" i="14814"/>
  <c r="R319" i="14814"/>
  <c r="R459" i="14814"/>
  <c r="R494" i="14814"/>
  <c r="R473" i="14814"/>
  <c r="R501" i="14814"/>
  <c r="R340" i="14814"/>
  <c r="R529" i="14814"/>
  <c r="R368" i="14814"/>
  <c r="R424" i="14814"/>
  <c r="R298" i="14814"/>
  <c r="R648" i="14814"/>
  <c r="R452" i="14814"/>
  <c r="R522" i="14814"/>
  <c r="R480" i="14814"/>
  <c r="R508" i="14814"/>
  <c r="R599" i="14814"/>
  <c r="R592" i="14814"/>
  <c r="R382" i="14814"/>
  <c r="R333" i="14814"/>
  <c r="R445" i="14814"/>
  <c r="R375" i="14814"/>
  <c r="R396" i="14814"/>
  <c r="R438" i="14814"/>
  <c r="R354" i="14814"/>
  <c r="R410" i="14814"/>
  <c r="R305" i="14814"/>
  <c r="R403" i="14814"/>
  <c r="R585" i="14814"/>
  <c r="R564" i="14814"/>
  <c r="R312" i="14814"/>
  <c r="R389" i="14814"/>
  <c r="R326" i="14814"/>
  <c r="R431" i="14814"/>
  <c r="R550" i="14814"/>
  <c r="R536" i="14814"/>
  <c r="R361" i="14814"/>
  <c r="R515" i="14814"/>
  <c r="R466" i="14814"/>
  <c r="R655" i="14814"/>
  <c r="P292" i="14814"/>
  <c r="O341" i="14814"/>
  <c r="O558" i="14814"/>
  <c r="P552" i="14814"/>
  <c r="P510" i="14814"/>
  <c r="O292" i="14814"/>
  <c r="P537" i="14814"/>
  <c r="O652" i="14814"/>
  <c r="O454" i="14814"/>
  <c r="P545" i="14814"/>
  <c r="O296" i="14814"/>
  <c r="P408" i="14814"/>
  <c r="O573" i="14814"/>
  <c r="O533" i="14814"/>
  <c r="O390" i="14814"/>
  <c r="P418" i="14814"/>
  <c r="P433" i="14814"/>
  <c r="P538" i="14814"/>
  <c r="P345" i="14814"/>
  <c r="P646" i="14814"/>
  <c r="O426" i="14814"/>
  <c r="P357" i="14814"/>
  <c r="O317" i="14814"/>
  <c r="P443" i="14814"/>
  <c r="P517" i="14814"/>
  <c r="O401" i="14814"/>
  <c r="P386" i="14814"/>
  <c r="O476" i="14814"/>
  <c r="P588" i="14814"/>
  <c r="O407" i="14814"/>
  <c r="O611" i="14814"/>
  <c r="P310" i="14814"/>
  <c r="P399" i="14814"/>
  <c r="O579" i="14814"/>
  <c r="O582" i="14814"/>
  <c r="P637" i="14814"/>
  <c r="O358" i="14814"/>
  <c r="P491" i="14814"/>
  <c r="P293" i="14814"/>
  <c r="P625" i="14814"/>
  <c r="P504" i="14814"/>
  <c r="O482" i="14814"/>
  <c r="P317" i="14814"/>
  <c r="P642" i="14814"/>
  <c r="P420" i="14814"/>
  <c r="O594" i="14814"/>
  <c r="P636" i="14814"/>
  <c r="P628" i="14814"/>
  <c r="O359" i="14814"/>
  <c r="P372" i="14814"/>
  <c r="O428" i="14814"/>
  <c r="P548" i="14814"/>
  <c r="P476" i="14814"/>
  <c r="P306" i="14814"/>
  <c r="P582" i="14814"/>
  <c r="P436" i="14814"/>
  <c r="P523" i="14814"/>
  <c r="P608" i="14814"/>
  <c r="O511" i="14814"/>
  <c r="O371" i="14814"/>
  <c r="O348" i="14814"/>
  <c r="O649" i="14814"/>
  <c r="P341" i="14814"/>
  <c r="P462" i="14814"/>
  <c r="O481" i="14814"/>
  <c r="P450" i="14814"/>
  <c r="P572" i="14814"/>
  <c r="O503" i="14814"/>
  <c r="O449" i="14814"/>
  <c r="O531" i="14814"/>
  <c r="P575" i="14814"/>
  <c r="O293" i="14814"/>
  <c r="P580" i="14814"/>
  <c r="P604" i="14814"/>
  <c r="P475" i="14814"/>
  <c r="P324" i="14814"/>
  <c r="P609" i="14814"/>
  <c r="O593" i="14814"/>
  <c r="P449" i="14814"/>
  <c r="O553" i="14814"/>
  <c r="P390" i="14814"/>
  <c r="O457" i="14814"/>
  <c r="O442" i="14814"/>
  <c r="P629" i="14814"/>
  <c r="P639" i="14814"/>
  <c r="O321" i="14814"/>
  <c r="P300" i="14814"/>
  <c r="O497" i="14814"/>
  <c r="P651" i="14814"/>
  <c r="P362" i="14814"/>
  <c r="O379" i="14814"/>
  <c r="P442" i="14814"/>
  <c r="O618" i="14814"/>
  <c r="P380" i="14814"/>
  <c r="O517" i="14814"/>
  <c r="P478" i="14814"/>
  <c r="O336" i="14814"/>
  <c r="P540" i="14814"/>
  <c r="O383" i="14814"/>
  <c r="O499" i="14814"/>
  <c r="O623" i="14814"/>
  <c r="P440" i="14814"/>
  <c r="O516" i="14814"/>
  <c r="O475" i="14814"/>
  <c r="O443" i="14814"/>
  <c r="P656" i="14814"/>
  <c r="P509" i="14814"/>
  <c r="P469" i="14814"/>
  <c r="P322" i="14814"/>
  <c r="P590" i="14814"/>
  <c r="O561" i="14814"/>
  <c r="O418" i="14814"/>
  <c r="P320" i="14814"/>
  <c r="P555" i="14814"/>
  <c r="O302" i="14814"/>
  <c r="O345" i="14814"/>
  <c r="P567" i="14814"/>
  <c r="O372" i="14814"/>
  <c r="O313" i="14814"/>
  <c r="P632" i="14814"/>
  <c r="P611" i="14814"/>
  <c r="O624" i="14814"/>
  <c r="P335" i="14814"/>
  <c r="P554" i="14814"/>
  <c r="O523" i="14814"/>
  <c r="P484" i="14814"/>
  <c r="O583" i="14814"/>
  <c r="O495" i="14814"/>
  <c r="O478" i="14814"/>
  <c r="O455" i="14814"/>
  <c r="P428" i="14814"/>
  <c r="P544" i="14814"/>
  <c r="O364" i="14814"/>
  <c r="O489" i="14814"/>
  <c r="P330" i="14814"/>
  <c r="P435" i="14814"/>
  <c r="P525" i="14814"/>
  <c r="O595" i="14814"/>
  <c r="P568" i="14814"/>
  <c r="P308" i="14814"/>
  <c r="P649" i="14814"/>
  <c r="O429" i="14814"/>
  <c r="P327" i="14814"/>
  <c r="O446" i="14814"/>
  <c r="P489" i="14814"/>
  <c r="O505" i="14814"/>
  <c r="P643" i="14814"/>
  <c r="O399" i="14814"/>
  <c r="O404" i="14814"/>
  <c r="P359" i="14814"/>
  <c r="P534" i="14814"/>
  <c r="O569" i="14814"/>
  <c r="O644" i="14814"/>
  <c r="P350" i="14814"/>
  <c r="P593" i="14814"/>
  <c r="O324" i="14814"/>
  <c r="P422" i="14814"/>
  <c r="P296" i="14814"/>
  <c r="P485" i="14814"/>
  <c r="O370" i="14814"/>
  <c r="O432" i="14814"/>
  <c r="O562" i="14814"/>
  <c r="O532" i="14814"/>
  <c r="O615" i="14814"/>
  <c r="P384" i="14814"/>
  <c r="O555" i="14814"/>
  <c r="O616" i="14814"/>
  <c r="O484" i="14814"/>
  <c r="O328" i="14814"/>
  <c r="P561" i="14814"/>
  <c r="P562" i="14814"/>
  <c r="P344" i="14814"/>
  <c r="P492" i="14814"/>
  <c r="P624" i="14814"/>
  <c r="P617" i="14814"/>
  <c r="P524" i="14814"/>
  <c r="O433" i="14814"/>
  <c r="O537" i="14814"/>
  <c r="O303" i="14814"/>
  <c r="P530" i="14814"/>
  <c r="P331" i="14814"/>
  <c r="O636" i="14814"/>
  <c r="O392" i="14814"/>
  <c r="P502" i="14814"/>
  <c r="O525" i="14814"/>
  <c r="O334" i="14814"/>
  <c r="O440" i="14814"/>
  <c r="P453" i="14814"/>
  <c r="O639" i="14814"/>
  <c r="O295" i="14814"/>
  <c r="O512" i="14814"/>
  <c r="P553" i="14814"/>
  <c r="O596" i="14814"/>
  <c r="O650" i="14814"/>
  <c r="P477" i="14814"/>
  <c r="P373" i="14814"/>
  <c r="O545" i="14814"/>
  <c r="P560" i="14814"/>
  <c r="P589" i="14814"/>
  <c r="O415" i="14814"/>
  <c r="P610" i="14814"/>
  <c r="P464" i="14814"/>
  <c r="O608" i="14814"/>
  <c r="O646" i="14814"/>
  <c r="P565" i="14814"/>
  <c r="P365" i="14814"/>
  <c r="O637" i="14814"/>
  <c r="O408" i="14814"/>
  <c r="O614" i="14814"/>
  <c r="P615" i="14814"/>
  <c r="O338" i="14814"/>
  <c r="O299" i="14814"/>
  <c r="P358" i="14814"/>
  <c r="O552" i="14814"/>
  <c r="P652" i="14814"/>
  <c r="O607" i="14814"/>
  <c r="P546" i="14814"/>
  <c r="P302" i="14814"/>
  <c r="P303" i="14814"/>
  <c r="O534" i="14814"/>
  <c r="O524" i="14814"/>
  <c r="P559" i="14814"/>
  <c r="O300" i="14814"/>
  <c r="P352" i="14814"/>
  <c r="O490" i="14814"/>
  <c r="P594" i="14814"/>
  <c r="P426" i="14814"/>
  <c r="P474" i="14814"/>
  <c r="O387" i="14814"/>
  <c r="O631" i="14814"/>
  <c r="O412" i="14814"/>
  <c r="O422" i="14814"/>
  <c r="O576" i="14814"/>
  <c r="P446" i="14814"/>
  <c r="P614" i="14814"/>
  <c r="O343" i="14814"/>
  <c r="P496" i="14814"/>
  <c r="O322" i="14814"/>
  <c r="O506" i="14814"/>
  <c r="O460" i="14814"/>
  <c r="O385" i="14814"/>
  <c r="O435" i="14814"/>
  <c r="O463" i="14814"/>
  <c r="O307" i="14814"/>
  <c r="O610" i="14814"/>
  <c r="O306" i="14814"/>
  <c r="P363" i="14814"/>
  <c r="O434" i="14814"/>
  <c r="P439" i="14814"/>
  <c r="O308" i="14814"/>
  <c r="P516" i="14814"/>
  <c r="P471" i="14814"/>
  <c r="O653" i="14814"/>
  <c r="O642" i="14814"/>
  <c r="O436" i="14814"/>
  <c r="P457" i="14814"/>
  <c r="P383" i="14814"/>
  <c r="O551" i="14814"/>
  <c r="P551" i="14814"/>
  <c r="O391" i="14814"/>
  <c r="O316" i="14814"/>
  <c r="P313" i="14814"/>
  <c r="O597" i="14814"/>
  <c r="O310" i="14814"/>
  <c r="O527" i="14814"/>
  <c r="O502" i="14814"/>
  <c r="P441" i="14814"/>
  <c r="O461" i="14814"/>
  <c r="O656" i="14814"/>
  <c r="P329" i="14814"/>
  <c r="O581" i="14814"/>
  <c r="P600" i="14814"/>
  <c r="P425" i="14814"/>
  <c r="P406" i="14814"/>
  <c r="O373" i="14814"/>
  <c r="O510" i="14814"/>
  <c r="O559" i="14814"/>
  <c r="O645" i="14814"/>
  <c r="P623" i="14814"/>
  <c r="O427" i="14814"/>
  <c r="P574" i="14814"/>
  <c r="O447" i="14814"/>
  <c r="P481" i="14814"/>
  <c r="P645" i="14814"/>
  <c r="P387" i="14814"/>
  <c r="O380" i="14814"/>
  <c r="P309" i="14814"/>
  <c r="P526" i="14814"/>
  <c r="P513" i="14814"/>
  <c r="P301" i="14814"/>
  <c r="O526" i="14814"/>
  <c r="O520" i="14814"/>
  <c r="P356" i="14814"/>
  <c r="O309" i="14814"/>
  <c r="O357" i="14814"/>
  <c r="O414" i="14814"/>
  <c r="P414" i="14814"/>
  <c r="O351" i="14814"/>
  <c r="P587" i="14814"/>
  <c r="O600" i="14814"/>
  <c r="O342" i="14814"/>
  <c r="P315" i="14814"/>
  <c r="O513" i="14814"/>
  <c r="O568" i="14814"/>
  <c r="O483" i="14814"/>
  <c r="O320" i="14814"/>
  <c r="P467" i="14814"/>
  <c r="P412" i="14814"/>
  <c r="O301" i="14814"/>
  <c r="P371" i="14814"/>
  <c r="P377" i="14814"/>
  <c r="O352" i="14814"/>
  <c r="O450" i="14814"/>
  <c r="O492" i="14814"/>
  <c r="O400" i="14814"/>
  <c r="O518" i="14814"/>
  <c r="O393" i="14814"/>
  <c r="O384" i="14814"/>
  <c r="P401" i="14814"/>
  <c r="P533" i="14814"/>
  <c r="P581" i="14814"/>
  <c r="P595" i="14814"/>
  <c r="O546" i="14814"/>
  <c r="P541" i="14814"/>
  <c r="O548" i="14814"/>
  <c r="P569" i="14814"/>
  <c r="O625" i="14814"/>
  <c r="O453" i="14814"/>
  <c r="O448" i="14814"/>
  <c r="P398" i="14814"/>
  <c r="P434" i="14814"/>
  <c r="P321" i="14814"/>
  <c r="P603" i="14814"/>
  <c r="P520" i="14814"/>
  <c r="O504" i="14814"/>
  <c r="P497" i="14814"/>
  <c r="P586" i="14814"/>
  <c r="O567" i="14814"/>
  <c r="P454" i="14814"/>
  <c r="O439" i="14814"/>
  <c r="O406" i="14814"/>
  <c r="P456" i="14814"/>
  <c r="P539" i="14814"/>
  <c r="P532" i="14814"/>
  <c r="O629" i="14814"/>
  <c r="P385" i="14814"/>
  <c r="P498" i="14814"/>
  <c r="O643" i="14814"/>
  <c r="O651" i="14814"/>
  <c r="O376" i="14814"/>
  <c r="O419" i="14814"/>
  <c r="P337" i="14814"/>
  <c r="P419" i="14814"/>
  <c r="O590" i="14814"/>
  <c r="O362" i="14814"/>
  <c r="P461" i="14814"/>
  <c r="P576" i="14814"/>
  <c r="O544" i="14814"/>
  <c r="P635" i="14814"/>
  <c r="P630" i="14814"/>
  <c r="P506" i="14814"/>
  <c r="O587" i="14814"/>
  <c r="P495" i="14814"/>
  <c r="P499" i="14814"/>
  <c r="P579" i="14814"/>
  <c r="P602" i="14814"/>
  <c r="O566" i="14814"/>
  <c r="O411" i="14814"/>
  <c r="O547" i="14814"/>
  <c r="P316" i="14814"/>
  <c r="O315" i="14814"/>
  <c r="P411" i="14814"/>
  <c r="O469" i="14814"/>
  <c r="O602" i="14814"/>
  <c r="O498" i="14814"/>
  <c r="P447" i="14814"/>
  <c r="P621" i="14814"/>
  <c r="P519" i="14814"/>
  <c r="P405" i="14814"/>
  <c r="P393" i="14814"/>
  <c r="O604" i="14814"/>
  <c r="P653" i="14814"/>
  <c r="O560" i="14814"/>
  <c r="O572" i="14814"/>
  <c r="P295" i="14814"/>
  <c r="O355" i="14814"/>
  <c r="O588" i="14814"/>
  <c r="O621" i="14814"/>
  <c r="O350" i="14814"/>
  <c r="O462" i="14814"/>
  <c r="P323" i="14814"/>
  <c r="O638" i="14814"/>
  <c r="P638" i="14814"/>
  <c r="P349" i="14814"/>
  <c r="O632" i="14814"/>
  <c r="P378" i="14814"/>
  <c r="P400" i="14814"/>
  <c r="O541" i="14814"/>
  <c r="O554" i="14814"/>
  <c r="P355" i="14814"/>
  <c r="O349" i="14814"/>
  <c r="P573" i="14814"/>
  <c r="P644" i="14814"/>
  <c r="P518" i="14814"/>
  <c r="O470" i="14814"/>
  <c r="P601" i="14814"/>
  <c r="O630" i="14814"/>
  <c r="P421" i="14814"/>
  <c r="P334" i="14814"/>
  <c r="O394" i="14814"/>
  <c r="O617" i="14814"/>
  <c r="P294" i="14814"/>
  <c r="O335" i="14814"/>
  <c r="P583" i="14814"/>
  <c r="P488" i="14814"/>
  <c r="P407" i="14814"/>
  <c r="O635" i="14814"/>
  <c r="O530" i="14814"/>
  <c r="P432" i="14814"/>
  <c r="O378" i="14814"/>
  <c r="O337" i="14814"/>
  <c r="P413" i="14814"/>
  <c r="O363" i="14814"/>
  <c r="O477" i="14814"/>
  <c r="O405" i="14814"/>
  <c r="O471" i="14814"/>
  <c r="O323" i="14814"/>
  <c r="P351" i="14814"/>
  <c r="P299" i="14814"/>
  <c r="O601" i="14814"/>
  <c r="O586" i="14814"/>
  <c r="P348" i="14814"/>
  <c r="P596" i="14814"/>
  <c r="O575" i="14814"/>
  <c r="P379" i="14814"/>
  <c r="P455" i="14814"/>
  <c r="O574" i="14814"/>
  <c r="P650" i="14814"/>
  <c r="O519" i="14814"/>
  <c r="O294" i="14814"/>
  <c r="O327" i="14814"/>
  <c r="P512" i="14814"/>
  <c r="O366" i="14814"/>
  <c r="O622" i="14814"/>
  <c r="P468" i="14814"/>
  <c r="O509" i="14814"/>
  <c r="P631" i="14814"/>
  <c r="O386" i="14814"/>
  <c r="O538" i="14814"/>
  <c r="P483" i="14814"/>
  <c r="P558" i="14814"/>
  <c r="P547" i="14814"/>
  <c r="O397" i="14814"/>
  <c r="P338" i="14814"/>
  <c r="P607" i="14814"/>
  <c r="P566" i="14814"/>
  <c r="O456" i="14814"/>
  <c r="P328" i="14814"/>
  <c r="O425" i="14814"/>
  <c r="P376" i="14814"/>
  <c r="P622" i="14814"/>
  <c r="O420" i="14814"/>
  <c r="O331" i="14814"/>
  <c r="O464" i="14814"/>
  <c r="O356" i="14814"/>
  <c r="O488" i="14814"/>
  <c r="O467" i="14814"/>
  <c r="O441" i="14814"/>
  <c r="O421" i="14814"/>
  <c r="O496" i="14814"/>
  <c r="O398" i="14814"/>
  <c r="P616" i="14814"/>
  <c r="P366" i="14814"/>
  <c r="P369" i="14814"/>
  <c r="P392" i="14814"/>
  <c r="P307" i="14814"/>
  <c r="P427" i="14814"/>
  <c r="O540" i="14814"/>
  <c r="O628" i="14814"/>
  <c r="P511" i="14814"/>
  <c r="O413" i="14814"/>
  <c r="O369" i="14814"/>
  <c r="P342" i="14814"/>
  <c r="P314" i="14814"/>
  <c r="P503" i="14814"/>
  <c r="O344" i="14814"/>
  <c r="O589" i="14814"/>
  <c r="O565" i="14814"/>
  <c r="O485" i="14814"/>
  <c r="O609" i="14814"/>
  <c r="O539" i="14814"/>
  <c r="P364" i="14814"/>
  <c r="P336" i="14814"/>
  <c r="O580" i="14814"/>
  <c r="P597" i="14814"/>
  <c r="P531" i="14814"/>
  <c r="P505" i="14814"/>
  <c r="P460" i="14814"/>
  <c r="P404" i="14814"/>
  <c r="O474" i="14814"/>
  <c r="P618" i="14814"/>
  <c r="P482" i="14814"/>
  <c r="P527" i="14814"/>
  <c r="O468" i="14814"/>
  <c r="O603" i="14814"/>
  <c r="O314" i="14814"/>
  <c r="P448" i="14814"/>
  <c r="P470" i="14814"/>
  <c r="P391" i="14814"/>
  <c r="P370" i="14814"/>
  <c r="P397" i="14814"/>
  <c r="P429" i="14814"/>
  <c r="O365" i="14814"/>
  <c r="P490" i="14814"/>
  <c r="P343" i="14814"/>
  <c r="O329" i="14814"/>
  <c r="O330" i="14814"/>
  <c r="O377" i="14814"/>
  <c r="P394" i="14814"/>
  <c r="P463" i="14814"/>
  <c r="O491" i="14814"/>
  <c r="P415" i="14814"/>
  <c r="O423" i="14814"/>
  <c r="O598" i="14814"/>
  <c r="P346" i="14814"/>
  <c r="O633" i="14814"/>
  <c r="P584" i="14814"/>
  <c r="O542" i="14814"/>
  <c r="P591" i="14814"/>
  <c r="O654" i="14814"/>
  <c r="P444" i="14814"/>
  <c r="P353" i="14814"/>
  <c r="O409" i="14814"/>
  <c r="P360" i="14814"/>
  <c r="P374" i="14814"/>
  <c r="O549" i="14814"/>
  <c r="P598" i="14814"/>
  <c r="O521" i="14814"/>
  <c r="P318" i="14814"/>
  <c r="P542" i="14814"/>
  <c r="O514" i="14814"/>
  <c r="O591" i="14814"/>
  <c r="O507" i="14814"/>
  <c r="P556" i="14814"/>
  <c r="O311" i="14814"/>
  <c r="P500" i="14814"/>
  <c r="O360" i="14814"/>
  <c r="O626" i="14814"/>
  <c r="O395" i="14814"/>
  <c r="O584" i="14814"/>
  <c r="P430" i="14814"/>
  <c r="P507" i="14814"/>
  <c r="P339" i="14814"/>
  <c r="O381" i="14814"/>
  <c r="O304" i="14814"/>
  <c r="P451" i="14814"/>
  <c r="P311" i="14814"/>
  <c r="O500" i="14814"/>
  <c r="O402" i="14814"/>
  <c r="P493" i="14814"/>
  <c r="O374" i="14814"/>
  <c r="O465" i="14814"/>
  <c r="P521" i="14814"/>
  <c r="P605" i="14814"/>
  <c r="P388" i="14814"/>
  <c r="O577" i="14814"/>
  <c r="O318" i="14814"/>
  <c r="P514" i="14814"/>
  <c r="P381" i="14814"/>
  <c r="O451" i="14814"/>
  <c r="P402" i="14814"/>
  <c r="O493" i="14814"/>
  <c r="O332" i="14814"/>
  <c r="P367" i="14814"/>
  <c r="O388" i="14814"/>
  <c r="P577" i="14814"/>
  <c r="O619" i="14814"/>
  <c r="P570" i="14814"/>
  <c r="O535" i="14814"/>
  <c r="O437" i="14814"/>
  <c r="P332" i="14814"/>
  <c r="P465" i="14814"/>
  <c r="P416" i="14814"/>
  <c r="O479" i="14814"/>
  <c r="O472" i="14814"/>
  <c r="O605" i="14814"/>
  <c r="O325" i="14814"/>
  <c r="P528" i="14814"/>
  <c r="O612" i="14814"/>
  <c r="P619" i="14814"/>
  <c r="O570" i="14814"/>
  <c r="P640" i="14814"/>
  <c r="O339" i="14814"/>
  <c r="P535" i="14814"/>
  <c r="P304" i="14814"/>
  <c r="O563" i="14814"/>
  <c r="P437" i="14814"/>
  <c r="O297" i="14814"/>
  <c r="O458" i="14814"/>
  <c r="O367" i="14814"/>
  <c r="P479" i="14814"/>
  <c r="P472" i="14814"/>
  <c r="P325" i="14814"/>
  <c r="O647" i="14814"/>
  <c r="P395" i="14814"/>
  <c r="O528" i="14814"/>
  <c r="P612" i="14814"/>
  <c r="O346" i="14814"/>
  <c r="P633" i="14814"/>
  <c r="P486" i="14814"/>
  <c r="O430" i="14814"/>
  <c r="P654" i="14814"/>
  <c r="O444" i="14814"/>
  <c r="P563" i="14814"/>
  <c r="O353" i="14814"/>
  <c r="P458" i="14814"/>
  <c r="P626" i="14814"/>
  <c r="O416" i="14814"/>
  <c r="P423" i="14814"/>
  <c r="P647" i="14814"/>
  <c r="O486" i="14814"/>
  <c r="O640" i="14814"/>
  <c r="O556" i="14814"/>
  <c r="P297" i="14814"/>
  <c r="P409" i="14814"/>
  <c r="P549" i="14814"/>
  <c r="O347" i="14814"/>
  <c r="P571" i="14814"/>
  <c r="P648" i="14814"/>
  <c r="O410" i="14814"/>
  <c r="P515" i="14814"/>
  <c r="O585" i="14814"/>
  <c r="O529" i="14814"/>
  <c r="P417" i="14814"/>
  <c r="P578" i="14814"/>
  <c r="O508" i="14814"/>
  <c r="P536" i="14814"/>
  <c r="O599" i="14814"/>
  <c r="P347" i="14814"/>
  <c r="P620" i="14814"/>
  <c r="P459" i="14814"/>
  <c r="P494" i="14814"/>
  <c r="O515" i="14814"/>
  <c r="P529" i="14814"/>
  <c r="O627" i="14814"/>
  <c r="P557" i="14814"/>
  <c r="P445" i="14814"/>
  <c r="P613" i="14814"/>
  <c r="P508" i="14814"/>
  <c r="O298" i="14814"/>
  <c r="P592" i="14814"/>
  <c r="O648" i="14814"/>
  <c r="P382" i="14814"/>
  <c r="O606" i="14814"/>
  <c r="O613" i="14814"/>
  <c r="P480" i="14814"/>
  <c r="O592" i="14814"/>
  <c r="O620" i="14814"/>
  <c r="O319" i="14814"/>
  <c r="O494" i="14814"/>
  <c r="O305" i="14814"/>
  <c r="P431" i="14814"/>
  <c r="P473" i="14814"/>
  <c r="O340" i="14814"/>
  <c r="O368" i="14814"/>
  <c r="P564" i="14814"/>
  <c r="O445" i="14814"/>
  <c r="O375" i="14814"/>
  <c r="P389" i="14814"/>
  <c r="O389" i="14814"/>
  <c r="P396" i="14814"/>
  <c r="O354" i="14814"/>
  <c r="P305" i="14814"/>
  <c r="O431" i="14814"/>
  <c r="O473" i="14814"/>
  <c r="P501" i="14814"/>
  <c r="O403" i="14814"/>
  <c r="P340" i="14814"/>
  <c r="P368" i="14814"/>
  <c r="O466" i="14814"/>
  <c r="O424" i="14814"/>
  <c r="O480" i="14814"/>
  <c r="P319" i="14814"/>
  <c r="O326" i="14814"/>
  <c r="O382" i="14814"/>
  <c r="O361" i="14814"/>
  <c r="O501" i="14814"/>
  <c r="O452" i="14814"/>
  <c r="P424" i="14814"/>
  <c r="O487" i="14814"/>
  <c r="O522" i="14814"/>
  <c r="O655" i="14814"/>
  <c r="P375" i="14814"/>
  <c r="O550" i="14814"/>
  <c r="O396" i="14814"/>
  <c r="P438" i="14814"/>
  <c r="P354" i="14814"/>
  <c r="O333" i="14814"/>
  <c r="P606" i="14814"/>
  <c r="P361" i="14814"/>
  <c r="P403" i="14814"/>
  <c r="P452" i="14814"/>
  <c r="P466" i="14814"/>
  <c r="P627" i="14814"/>
  <c r="O564" i="14814"/>
  <c r="P634" i="14814"/>
  <c r="P487" i="14814"/>
  <c r="P522" i="14814"/>
  <c r="P655" i="14814"/>
  <c r="O312" i="14814"/>
  <c r="O641" i="14814"/>
  <c r="O438" i="14814"/>
  <c r="P599" i="14814"/>
  <c r="P326" i="14814"/>
  <c r="O571" i="14814"/>
  <c r="P410" i="14814"/>
  <c r="O459" i="14814"/>
  <c r="P333" i="14814"/>
  <c r="P585" i="14814"/>
  <c r="O634" i="14814"/>
  <c r="O557" i="14814"/>
  <c r="O417" i="14814"/>
  <c r="O578" i="14814"/>
  <c r="P312" i="14814"/>
  <c r="P641" i="14814"/>
  <c r="O543" i="14814"/>
  <c r="P550" i="14814"/>
  <c r="O536" i="14814"/>
  <c r="P543" i="14814"/>
  <c r="P298" i="14814"/>
  <c r="S358" i="14814"/>
  <c r="S415" i="14814"/>
  <c r="S380" i="14814"/>
  <c r="S511" i="14814"/>
  <c r="S405" i="14814"/>
  <c r="S468" i="14814"/>
  <c r="S516" i="14814"/>
  <c r="S532" i="14814"/>
  <c r="S478" i="14814"/>
  <c r="S439" i="14814"/>
  <c r="S534" i="14814"/>
  <c r="S603" i="14814"/>
  <c r="S492" i="14814"/>
  <c r="S334" i="14814"/>
  <c r="S481" i="14814"/>
  <c r="S636" i="14814"/>
  <c r="S608" i="14814"/>
  <c r="S553" i="14814"/>
  <c r="S499" i="14814"/>
  <c r="S590" i="14814"/>
  <c r="S600" i="14814"/>
  <c r="S383" i="14814"/>
  <c r="S520" i="14814"/>
  <c r="S398" i="14814"/>
  <c r="S391" i="14814"/>
  <c r="S300" i="14814"/>
  <c r="S420" i="14814"/>
  <c r="S518" i="14814"/>
  <c r="S456" i="14814"/>
  <c r="S292" i="14814"/>
  <c r="S428" i="14814"/>
  <c r="S628" i="14814"/>
  <c r="S315" i="14814"/>
  <c r="S351" i="14814"/>
  <c r="S323" i="14814"/>
  <c r="S476" i="14814"/>
  <c r="S317" i="14814"/>
  <c r="S629" i="14814"/>
  <c r="S370" i="14814"/>
  <c r="S646" i="14814"/>
  <c r="S427" i="14814"/>
  <c r="S337" i="14814"/>
  <c r="S457" i="14814"/>
  <c r="S555" i="14814"/>
  <c r="S643" i="14814"/>
  <c r="S406" i="14814"/>
  <c r="S581" i="14814"/>
  <c r="S538" i="14814"/>
  <c r="S597" i="14814"/>
  <c r="S419" i="14814"/>
  <c r="S573" i="14814"/>
  <c r="S519" i="14814"/>
  <c r="S408" i="14814"/>
  <c r="S541" i="14814"/>
  <c r="S496" i="14814"/>
  <c r="S482" i="14814"/>
  <c r="S505" i="14814"/>
  <c r="S495" i="14814"/>
  <c r="S610" i="14814"/>
  <c r="S565" i="14814"/>
  <c r="S357" i="14814"/>
  <c r="S604" i="14814"/>
  <c r="S625" i="14814"/>
  <c r="S490" i="14814"/>
  <c r="S441" i="14814"/>
  <c r="S567" i="14814"/>
  <c r="S306" i="14814"/>
  <c r="S650" i="14814"/>
  <c r="S630" i="14814"/>
  <c r="S552" i="14814"/>
  <c r="S461" i="14814"/>
  <c r="S586" i="14814"/>
  <c r="S349" i="14814"/>
  <c r="S425" i="14814"/>
  <c r="S652" i="14814"/>
  <c r="S526" i="14814"/>
  <c r="S489" i="14814"/>
  <c r="S422" i="14814"/>
  <c r="S331" i="14814"/>
  <c r="S400" i="14814"/>
  <c r="S387" i="14814"/>
  <c r="S637" i="14814"/>
  <c r="S362" i="14814"/>
  <c r="S364" i="14814"/>
  <c r="S471" i="14814"/>
  <c r="S440" i="14814"/>
  <c r="S497" i="14814"/>
  <c r="S302" i="14814"/>
  <c r="S572" i="14814"/>
  <c r="S525" i="14814"/>
  <c r="S313" i="14814"/>
  <c r="S491" i="14814"/>
  <c r="S596" i="14814"/>
  <c r="S307" i="14814"/>
  <c r="S583" i="14814"/>
  <c r="S435" i="14814"/>
  <c r="S303" i="14814"/>
  <c r="S376" i="14814"/>
  <c r="S547" i="14814"/>
  <c r="S399" i="14814"/>
  <c r="S474" i="14814"/>
  <c r="S588" i="14814"/>
  <c r="S407" i="14814"/>
  <c r="S635" i="14814"/>
  <c r="S506" i="14814"/>
  <c r="S343" i="14814"/>
  <c r="S372" i="14814"/>
  <c r="S366" i="14814"/>
  <c r="S651" i="14814"/>
  <c r="S607" i="14814"/>
  <c r="S632" i="14814"/>
  <c r="S579" i="14814"/>
  <c r="S336" i="14814"/>
  <c r="S309" i="14814"/>
  <c r="S324" i="14814"/>
  <c r="S617" i="14814"/>
  <c r="S580" i="14814"/>
  <c r="S569" i="14814"/>
  <c r="S615" i="14814"/>
  <c r="S359" i="14814"/>
  <c r="S649" i="14814"/>
  <c r="S379" i="14814"/>
  <c r="S449" i="14814"/>
  <c r="S488" i="14814"/>
  <c r="S527" i="14814"/>
  <c r="S443" i="14814"/>
  <c r="S558" i="14814"/>
  <c r="S455" i="14814"/>
  <c r="S314" i="14814"/>
  <c r="S460" i="14814"/>
  <c r="S345" i="14814"/>
  <c r="S609" i="14814"/>
  <c r="S301" i="14814"/>
  <c r="S344" i="14814"/>
  <c r="S434" i="14814"/>
  <c r="S296" i="14814"/>
  <c r="S462" i="14814"/>
  <c r="S328" i="14814"/>
  <c r="S377" i="14814"/>
  <c r="S531" i="14814"/>
  <c r="S644" i="14814"/>
  <c r="S545" i="14814"/>
  <c r="S322" i="14814"/>
  <c r="S392" i="14814"/>
  <c r="S386" i="14814"/>
  <c r="S412" i="14814"/>
  <c r="S464" i="14814"/>
  <c r="S530" i="14814"/>
  <c r="S394" i="14814"/>
  <c r="S533" i="14814"/>
  <c r="S365" i="14814"/>
  <c r="S513" i="14814"/>
  <c r="S299" i="14814"/>
  <c r="S624" i="14814"/>
  <c r="S560" i="14814"/>
  <c r="S369" i="14814"/>
  <c r="S594" i="14814"/>
  <c r="S540" i="14814"/>
  <c r="S642" i="14814"/>
  <c r="S413" i="14814"/>
  <c r="S504" i="14814"/>
  <c r="S469" i="14814"/>
  <c r="S611" i="14814"/>
  <c r="S566" i="14814"/>
  <c r="S653" i="14814"/>
  <c r="S546" i="14814"/>
  <c r="S483" i="14814"/>
  <c r="S385" i="14814"/>
  <c r="S454" i="14814"/>
  <c r="S432" i="14814"/>
  <c r="S390" i="14814"/>
  <c r="S539" i="14814"/>
  <c r="S308" i="14814"/>
  <c r="S623" i="14814"/>
  <c r="S321" i="14814"/>
  <c r="S475" i="14814"/>
  <c r="S356" i="14814"/>
  <c r="S411" i="14814"/>
  <c r="S523" i="14814"/>
  <c r="S575" i="14814"/>
  <c r="S310" i="14814"/>
  <c r="S512" i="14814"/>
  <c r="S329" i="14814"/>
  <c r="S568" i="14814"/>
  <c r="S442" i="14814"/>
  <c r="S656" i="14814"/>
  <c r="S524" i="14814"/>
  <c r="S544" i="14814"/>
  <c r="S450" i="14814"/>
  <c r="S463" i="14814"/>
  <c r="S470" i="14814"/>
  <c r="S378" i="14814"/>
  <c r="S509" i="14814"/>
  <c r="S582" i="14814"/>
  <c r="S436" i="14814"/>
  <c r="S384" i="14814"/>
  <c r="S335" i="14814"/>
  <c r="S595" i="14814"/>
  <c r="S467" i="14814"/>
  <c r="S426" i="14814"/>
  <c r="S448" i="14814"/>
  <c r="S295" i="14814"/>
  <c r="S371" i="14814"/>
  <c r="S342" i="14814"/>
  <c r="S503" i="14814"/>
  <c r="S601" i="14814"/>
  <c r="S373" i="14814"/>
  <c r="S401" i="14814"/>
  <c r="S350" i="14814"/>
  <c r="S537" i="14814"/>
  <c r="S316" i="14814"/>
  <c r="S485" i="14814"/>
  <c r="S616" i="14814"/>
  <c r="S502" i="14814"/>
  <c r="S327" i="14814"/>
  <c r="S574" i="14814"/>
  <c r="S602" i="14814"/>
  <c r="S338" i="14814"/>
  <c r="S587" i="14814"/>
  <c r="S551" i="14814"/>
  <c r="S429" i="14814"/>
  <c r="S510" i="14814"/>
  <c r="S320" i="14814"/>
  <c r="S397" i="14814"/>
  <c r="S618" i="14814"/>
  <c r="S639" i="14814"/>
  <c r="S421" i="14814"/>
  <c r="S414" i="14814"/>
  <c r="S561" i="14814"/>
  <c r="S548" i="14814"/>
  <c r="S484" i="14814"/>
  <c r="S433" i="14814"/>
  <c r="S393" i="14814"/>
  <c r="S352" i="14814"/>
  <c r="S631" i="14814"/>
  <c r="S517" i="14814"/>
  <c r="S348" i="14814"/>
  <c r="S645" i="14814"/>
  <c r="S589" i="14814"/>
  <c r="S293" i="14814"/>
  <c r="S622" i="14814"/>
  <c r="S404" i="14814"/>
  <c r="S418" i="14814"/>
  <c r="S554" i="14814"/>
  <c r="S614" i="14814"/>
  <c r="S621" i="14814"/>
  <c r="S559" i="14814"/>
  <c r="S447" i="14814"/>
  <c r="S363" i="14814"/>
  <c r="S638" i="14814"/>
  <c r="S498" i="14814"/>
  <c r="S330" i="14814"/>
  <c r="S446" i="14814"/>
  <c r="S341" i="14814"/>
  <c r="S576" i="14814"/>
  <c r="S562" i="14814"/>
  <c r="S477" i="14814"/>
  <c r="S593" i="14814"/>
  <c r="S294" i="14814"/>
  <c r="S453" i="14814"/>
  <c r="S355" i="14814"/>
  <c r="S521" i="14814"/>
  <c r="S388" i="14814"/>
  <c r="S318" i="14814"/>
  <c r="S339" i="14814"/>
  <c r="S304" i="14814"/>
  <c r="S402" i="14814"/>
  <c r="S493" i="14814"/>
  <c r="S332" i="14814"/>
  <c r="S465" i="14814"/>
  <c r="S577" i="14814"/>
  <c r="S430" i="14814"/>
  <c r="S444" i="14814"/>
  <c r="S437" i="14814"/>
  <c r="S528" i="14814"/>
  <c r="S619" i="14814"/>
  <c r="S570" i="14814"/>
  <c r="S535" i="14814"/>
  <c r="S563" i="14814"/>
  <c r="S297" i="14814"/>
  <c r="S367" i="14814"/>
  <c r="S325" i="14814"/>
  <c r="S612" i="14814"/>
  <c r="S486" i="14814"/>
  <c r="S640" i="14814"/>
  <c r="S458" i="14814"/>
  <c r="S416" i="14814"/>
  <c r="S479" i="14814"/>
  <c r="S472" i="14814"/>
  <c r="S605" i="14814"/>
  <c r="S647" i="14814"/>
  <c r="S633" i="14814"/>
  <c r="S409" i="14814"/>
  <c r="S626" i="14814"/>
  <c r="S549" i="14814"/>
  <c r="S423" i="14814"/>
  <c r="S598" i="14814"/>
  <c r="S542" i="14814"/>
  <c r="S654" i="14814"/>
  <c r="S353" i="14814"/>
  <c r="S311" i="14814"/>
  <c r="S584" i="14814"/>
  <c r="S591" i="14814"/>
  <c r="S556" i="14814"/>
  <c r="S451" i="14814"/>
  <c r="S360" i="14814"/>
  <c r="S374" i="14814"/>
  <c r="S395" i="14814"/>
  <c r="S346" i="14814"/>
  <c r="S514" i="14814"/>
  <c r="S507" i="14814"/>
  <c r="S381" i="14814"/>
  <c r="S500" i="14814"/>
  <c r="S473" i="14814"/>
  <c r="S501" i="14814"/>
  <c r="S389" i="14814"/>
  <c r="S396" i="14814"/>
  <c r="S592" i="14814"/>
  <c r="S319" i="14814"/>
  <c r="S382" i="14814"/>
  <c r="S305" i="14814"/>
  <c r="S431" i="14814"/>
  <c r="S340" i="14814"/>
  <c r="S368" i="14814"/>
  <c r="S564" i="14814"/>
  <c r="S424" i="14814"/>
  <c r="S522" i="14814"/>
  <c r="S480" i="14814"/>
  <c r="S326" i="14814"/>
  <c r="S466" i="14814"/>
  <c r="S375" i="14814"/>
  <c r="S438" i="14814"/>
  <c r="S354" i="14814"/>
  <c r="S410" i="14814"/>
  <c r="S403" i="14814"/>
  <c r="S634" i="14814"/>
  <c r="S312" i="14814"/>
  <c r="S550" i="14814"/>
  <c r="S361" i="14814"/>
  <c r="S452" i="14814"/>
  <c r="S627" i="14814"/>
  <c r="S487" i="14814"/>
  <c r="S655" i="14814"/>
  <c r="S641" i="14814"/>
  <c r="S543" i="14814"/>
  <c r="S536" i="14814"/>
  <c r="S599" i="14814"/>
  <c r="S571" i="14814"/>
  <c r="S333" i="14814"/>
  <c r="S417" i="14814"/>
  <c r="S347" i="14814"/>
  <c r="S459" i="14814"/>
  <c r="S515" i="14814"/>
  <c r="S585" i="14814"/>
  <c r="S557" i="14814"/>
  <c r="S578" i="14814"/>
  <c r="S298" i="14814"/>
  <c r="S620" i="14814"/>
  <c r="S648" i="14814"/>
  <c r="S494" i="14814"/>
  <c r="S606" i="14814"/>
  <c r="S529" i="14814"/>
  <c r="S445" i="14814"/>
  <c r="S613" i="14814"/>
  <c r="S508" i="14814"/>
  <c r="L291" i="14814"/>
  <c r="T294" i="14814"/>
  <c r="T427" i="14814"/>
  <c r="T597" i="14814"/>
  <c r="T614" i="14814"/>
  <c r="T471" i="14814"/>
  <c r="T415" i="14814"/>
  <c r="T418" i="14814"/>
  <c r="T462" i="14814"/>
  <c r="T576" i="14814"/>
  <c r="T377" i="14814"/>
  <c r="T488" i="14814"/>
  <c r="T518" i="14814"/>
  <c r="T541" i="14814"/>
  <c r="T608" i="14814"/>
  <c r="T477" i="14814"/>
  <c r="T366" i="14814"/>
  <c r="T351" i="14814"/>
  <c r="T537" i="14814"/>
  <c r="T587" i="14814"/>
  <c r="T520" i="14814"/>
  <c r="T491" i="14814"/>
  <c r="T331" i="14814"/>
  <c r="T572" i="14814"/>
  <c r="T534" i="14814"/>
  <c r="T293" i="14814"/>
  <c r="T616" i="14814"/>
  <c r="T603" i="14814"/>
  <c r="T560" i="14814"/>
  <c r="T315" i="14814"/>
  <c r="T296" i="14814"/>
  <c r="T359" i="14814"/>
  <c r="T432" i="14814"/>
  <c r="T645" i="14814"/>
  <c r="T502" i="14814"/>
  <c r="T548" i="14814"/>
  <c r="T653" i="14814"/>
  <c r="T350" i="14814"/>
  <c r="T644" i="14814"/>
  <c r="T307" i="14814"/>
  <c r="T579" i="14814"/>
  <c r="T483" i="14814"/>
  <c r="T387" i="14814"/>
  <c r="T546" i="14814"/>
  <c r="T358" i="14814"/>
  <c r="T399" i="14814"/>
  <c r="T455" i="14814"/>
  <c r="T631" i="14814"/>
  <c r="T532" i="14814"/>
  <c r="T457" i="14814"/>
  <c r="T594" i="14814"/>
  <c r="T414" i="14814"/>
  <c r="T450" i="14814"/>
  <c r="T407" i="14814"/>
  <c r="T379" i="14814"/>
  <c r="T398" i="14814"/>
  <c r="T323" i="14814"/>
  <c r="T404" i="14814"/>
  <c r="T615" i="14814"/>
  <c r="T617" i="14814"/>
  <c r="T362" i="14814"/>
  <c r="T425" i="14814"/>
  <c r="T526" i="14814"/>
  <c r="T344" i="14814"/>
  <c r="T553" i="14814"/>
  <c r="T400" i="14814"/>
  <c r="T611" i="14814"/>
  <c r="T440" i="14814"/>
  <c r="T303" i="14814"/>
  <c r="T588" i="14814"/>
  <c r="T496" i="14814"/>
  <c r="T313" i="14814"/>
  <c r="T624" i="14814"/>
  <c r="T568" i="14814"/>
  <c r="T575" i="14814"/>
  <c r="T391" i="14814"/>
  <c r="T503" i="14814"/>
  <c r="T446" i="14814"/>
  <c r="T334" i="14814"/>
  <c r="T638" i="14814"/>
  <c r="T338" i="14814"/>
  <c r="T468" i="14814"/>
  <c r="T419" i="14814"/>
  <c r="T329" i="14814"/>
  <c r="T581" i="14814"/>
  <c r="T408" i="14814"/>
  <c r="T523" i="14814"/>
  <c r="T364" i="14814"/>
  <c r="T525" i="14814"/>
  <c r="T646" i="14814"/>
  <c r="T371" i="14814"/>
  <c r="T478" i="14814"/>
  <c r="T600" i="14814"/>
  <c r="T422" i="14814"/>
  <c r="T516" i="14814"/>
  <c r="T474" i="14814"/>
  <c r="T345" i="14814"/>
  <c r="T505" i="14814"/>
  <c r="T635" i="14814"/>
  <c r="T469" i="14814"/>
  <c r="T475" i="14814"/>
  <c r="T463" i="14814"/>
  <c r="T582" i="14814"/>
  <c r="T348" i="14814"/>
  <c r="T533" i="14814"/>
  <c r="T651" i="14814"/>
  <c r="T625" i="14814"/>
  <c r="T519" i="14814"/>
  <c r="T593" i="14814"/>
  <c r="T506" i="14814"/>
  <c r="T365" i="14814"/>
  <c r="T336" i="14814"/>
  <c r="T524" i="14814"/>
  <c r="T383" i="14814"/>
  <c r="T301" i="14814"/>
  <c r="T559" i="14814"/>
  <c r="T601" i="14814"/>
  <c r="T512" i="14814"/>
  <c r="T420" i="14814"/>
  <c r="T580" i="14814"/>
  <c r="T441" i="14814"/>
  <c r="T583" i="14814"/>
  <c r="T637" i="14814"/>
  <c r="T385" i="14814"/>
  <c r="T411" i="14814"/>
  <c r="T401" i="14814"/>
  <c r="T621" i="14814"/>
  <c r="T552" i="14814"/>
  <c r="T610" i="14814"/>
  <c r="T562" i="14814"/>
  <c r="T453" i="14814"/>
  <c r="T602" i="14814"/>
  <c r="T642" i="14814"/>
  <c r="T433" i="14814"/>
  <c r="T413" i="14814"/>
  <c r="T547" i="14814"/>
  <c r="T435" i="14814"/>
  <c r="T373" i="14814"/>
  <c r="T530" i="14814"/>
  <c r="T482" i="14814"/>
  <c r="T442" i="14814"/>
  <c r="T335" i="14814"/>
  <c r="T498" i="14814"/>
  <c r="T540" i="14814"/>
  <c r="T380" i="14814"/>
  <c r="T436" i="14814"/>
  <c r="T558" i="14814"/>
  <c r="T567" i="14814"/>
  <c r="T554" i="14814"/>
  <c r="T460" i="14814"/>
  <c r="T499" i="14814"/>
  <c r="T324" i="14814"/>
  <c r="T447" i="14814"/>
  <c r="T302" i="14814"/>
  <c r="T632" i="14814"/>
  <c r="T461" i="14814"/>
  <c r="T320" i="14814"/>
  <c r="T476" i="14814"/>
  <c r="T504" i="14814"/>
  <c r="T565" i="14814"/>
  <c r="T390" i="14814"/>
  <c r="T328" i="14814"/>
  <c r="T309" i="14814"/>
  <c r="T412" i="14814"/>
  <c r="T292" i="14814"/>
  <c r="T378" i="14814"/>
  <c r="T421" i="14814"/>
  <c r="T513" i="14814"/>
  <c r="T310" i="14814"/>
  <c r="T349" i="14814"/>
  <c r="T485" i="14814"/>
  <c r="T609" i="14814"/>
  <c r="T369" i="14814"/>
  <c r="T643" i="14814"/>
  <c r="T343" i="14814"/>
  <c r="T376" i="14814"/>
  <c r="T295" i="14814"/>
  <c r="T443" i="14814"/>
  <c r="T595" i="14814"/>
  <c r="T449" i="14814"/>
  <c r="T467" i="14814"/>
  <c r="T321" i="14814"/>
  <c r="T308" i="14814"/>
  <c r="T566" i="14814"/>
  <c r="T649" i="14814"/>
  <c r="T470" i="14814"/>
  <c r="T341" i="14814"/>
  <c r="T306" i="14814"/>
  <c r="T342" i="14814"/>
  <c r="T484" i="14814"/>
  <c r="T517" i="14814"/>
  <c r="T394" i="14814"/>
  <c r="T492" i="14814"/>
  <c r="T539" i="14814"/>
  <c r="T590" i="14814"/>
  <c r="T337" i="14814"/>
  <c r="T434" i="14814"/>
  <c r="T454" i="14814"/>
  <c r="T386" i="14814"/>
  <c r="T370" i="14814"/>
  <c r="T481" i="14814"/>
  <c r="T316" i="14814"/>
  <c r="T428" i="14814"/>
  <c r="T357" i="14814"/>
  <c r="T489" i="14814"/>
  <c r="T511" i="14814"/>
  <c r="T531" i="14814"/>
  <c r="T314" i="14814"/>
  <c r="T406" i="14814"/>
  <c r="T639" i="14814"/>
  <c r="T545" i="14814"/>
  <c r="T586" i="14814"/>
  <c r="T629" i="14814"/>
  <c r="T628" i="14814"/>
  <c r="T497" i="14814"/>
  <c r="T397" i="14814"/>
  <c r="T456" i="14814"/>
  <c r="T448" i="14814"/>
  <c r="T372" i="14814"/>
  <c r="T355" i="14814"/>
  <c r="T363" i="14814"/>
  <c r="T327" i="14814"/>
  <c r="T322" i="14814"/>
  <c r="T330" i="14814"/>
  <c r="T509" i="14814"/>
  <c r="T650" i="14814"/>
  <c r="T604" i="14814"/>
  <c r="T630" i="14814"/>
  <c r="T429" i="14814"/>
  <c r="T636" i="14814"/>
  <c r="T426" i="14814"/>
  <c r="T538" i="14814"/>
  <c r="T495" i="14814"/>
  <c r="T317" i="14814"/>
  <c r="T656" i="14814"/>
  <c r="T392" i="14814"/>
  <c r="T622" i="14814"/>
  <c r="T490" i="14814"/>
  <c r="T618" i="14814"/>
  <c r="T574" i="14814"/>
  <c r="T393" i="14814"/>
  <c r="T405" i="14814"/>
  <c r="T652" i="14814"/>
  <c r="T356" i="14814"/>
  <c r="T607" i="14814"/>
  <c r="T299" i="14814"/>
  <c r="T300" i="14814"/>
  <c r="T544" i="14814"/>
  <c r="T573" i="14814"/>
  <c r="T569" i="14814"/>
  <c r="T589" i="14814"/>
  <c r="T623" i="14814"/>
  <c r="T510" i="14814"/>
  <c r="T464" i="14814"/>
  <c r="T384" i="14814"/>
  <c r="T555" i="14814"/>
  <c r="T439" i="14814"/>
  <c r="T551" i="14814"/>
  <c r="T596" i="14814"/>
  <c r="T527" i="14814"/>
  <c r="T352" i="14814"/>
  <c r="T561" i="14814"/>
  <c r="T395" i="14814"/>
  <c r="T514" i="14814"/>
  <c r="T451" i="14814"/>
  <c r="T437" i="14814"/>
  <c r="T500" i="14814"/>
  <c r="T472" i="14814"/>
  <c r="T388" i="14814"/>
  <c r="T339" i="14814"/>
  <c r="T304" i="14814"/>
  <c r="T402" i="14814"/>
  <c r="T493" i="14814"/>
  <c r="T332" i="14814"/>
  <c r="T465" i="14814"/>
  <c r="T367" i="14814"/>
  <c r="T605" i="14814"/>
  <c r="T325" i="14814"/>
  <c r="T577" i="14814"/>
  <c r="T458" i="14814"/>
  <c r="T416" i="14814"/>
  <c r="T479" i="14814"/>
  <c r="T528" i="14814"/>
  <c r="T619" i="14814"/>
  <c r="T633" i="14814"/>
  <c r="T570" i="14814"/>
  <c r="T430" i="14814"/>
  <c r="T535" i="14814"/>
  <c r="T563" i="14814"/>
  <c r="T423" i="14814"/>
  <c r="T612" i="14814"/>
  <c r="T486" i="14814"/>
  <c r="T640" i="14814"/>
  <c r="T591" i="14814"/>
  <c r="T654" i="14814"/>
  <c r="T353" i="14814"/>
  <c r="T647" i="14814"/>
  <c r="T346" i="14814"/>
  <c r="T556" i="14814"/>
  <c r="T626" i="14814"/>
  <c r="T598" i="14814"/>
  <c r="T542" i="14814"/>
  <c r="T507" i="14814"/>
  <c r="T381" i="14814"/>
  <c r="T297" i="14814"/>
  <c r="T409" i="14814"/>
  <c r="T549" i="14814"/>
  <c r="T521" i="14814"/>
  <c r="T318" i="14814"/>
  <c r="T584" i="14814"/>
  <c r="T444" i="14814"/>
  <c r="T311" i="14814"/>
  <c r="T360" i="14814"/>
  <c r="T374" i="14814"/>
  <c r="T592" i="14814"/>
  <c r="T319" i="14814"/>
  <c r="T382" i="14814"/>
  <c r="T494" i="14814"/>
  <c r="T340" i="14814"/>
  <c r="T368" i="14814"/>
  <c r="T445" i="14814"/>
  <c r="T480" i="14814"/>
  <c r="T375" i="14814"/>
  <c r="T501" i="14814"/>
  <c r="T354" i="14814"/>
  <c r="T305" i="14814"/>
  <c r="T431" i="14814"/>
  <c r="T403" i="14814"/>
  <c r="T452" i="14814"/>
  <c r="T564" i="14814"/>
  <c r="T522" i="14814"/>
  <c r="T389" i="14814"/>
  <c r="T396" i="14814"/>
  <c r="T326" i="14814"/>
  <c r="T333" i="14814"/>
  <c r="T361" i="14814"/>
  <c r="T466" i="14814"/>
  <c r="T424" i="14814"/>
  <c r="T487" i="14814"/>
  <c r="T655" i="14814"/>
  <c r="T438" i="14814"/>
  <c r="T571" i="14814"/>
  <c r="T410" i="14814"/>
  <c r="T585" i="14814"/>
  <c r="T634" i="14814"/>
  <c r="T312" i="14814"/>
  <c r="T550" i="14814"/>
  <c r="T536" i="14814"/>
  <c r="T459" i="14814"/>
  <c r="T606" i="14814"/>
  <c r="T515" i="14814"/>
  <c r="T627" i="14814"/>
  <c r="T557" i="14814"/>
  <c r="T578" i="14814"/>
  <c r="T641" i="14814"/>
  <c r="T543" i="14814"/>
  <c r="T599" i="14814"/>
  <c r="T620" i="14814"/>
  <c r="T648" i="14814"/>
  <c r="T529" i="14814"/>
  <c r="T417" i="14814"/>
  <c r="T613" i="14814"/>
  <c r="T508" i="14814"/>
  <c r="T347" i="14814"/>
  <c r="T473" i="14814"/>
  <c r="T298" i="14814"/>
  <c r="I291" i="14814"/>
  <c r="Q479" i="14814"/>
  <c r="Q294" i="14814"/>
  <c r="Q552" i="14814"/>
  <c r="Q589" i="14814"/>
  <c r="Q456" i="14814"/>
  <c r="Q545" i="14814"/>
  <c r="Q586" i="14814"/>
  <c r="Q380" i="14814"/>
  <c r="Q419" i="14814"/>
  <c r="Q344" i="14814"/>
  <c r="Q306" i="14814"/>
  <c r="Q329" i="14814"/>
  <c r="Q414" i="14814"/>
  <c r="Q355" i="14814"/>
  <c r="Q513" i="14814"/>
  <c r="Q327" i="14814"/>
  <c r="Q463" i="14814"/>
  <c r="Q316" i="14814"/>
  <c r="Q462" i="14814"/>
  <c r="Q470" i="14814"/>
  <c r="Q551" i="14814"/>
  <c r="Q539" i="14814"/>
  <c r="Q541" i="14814"/>
  <c r="Q330" i="14814"/>
  <c r="Q317" i="14814"/>
  <c r="Q411" i="14814"/>
  <c r="Q293" i="14814"/>
  <c r="Q398" i="14814"/>
  <c r="Q383" i="14814"/>
  <c r="Q376" i="14814"/>
  <c r="Q568" i="14814"/>
  <c r="Q651" i="14814"/>
  <c r="Q611" i="14814"/>
  <c r="Q387" i="14814"/>
  <c r="Q636" i="14814"/>
  <c r="Q343" i="14814"/>
  <c r="Q422" i="14814"/>
  <c r="Q323" i="14814"/>
  <c r="Q439" i="14814"/>
  <c r="Q386" i="14814"/>
  <c r="Q582" i="14814"/>
  <c r="Q631" i="14814"/>
  <c r="Q490" i="14814"/>
  <c r="Q432" i="14814"/>
  <c r="Q560" i="14814"/>
  <c r="Q569" i="14814"/>
  <c r="Q460" i="14814"/>
  <c r="Q412" i="14814"/>
  <c r="Q595" i="14814"/>
  <c r="Q392" i="14814"/>
  <c r="Q385" i="14814"/>
  <c r="Q594" i="14814"/>
  <c r="Q596" i="14814"/>
  <c r="Q548" i="14814"/>
  <c r="Q350" i="14814"/>
  <c r="Q600" i="14814"/>
  <c r="Q491" i="14814"/>
  <c r="Q391" i="14814"/>
  <c r="Q482" i="14814"/>
  <c r="Q622" i="14814"/>
  <c r="Q509" i="14814"/>
  <c r="Q428" i="14814"/>
  <c r="Q575" i="14814"/>
  <c r="Q455" i="14814"/>
  <c r="Q341" i="14814"/>
  <c r="Q644" i="14814"/>
  <c r="Q525" i="14814"/>
  <c r="Q315" i="14814"/>
  <c r="Q363" i="14814"/>
  <c r="Q632" i="14814"/>
  <c r="Q442" i="14814"/>
  <c r="Q538" i="14814"/>
  <c r="Q303" i="14814"/>
  <c r="Q337" i="14814"/>
  <c r="Q511" i="14814"/>
  <c r="Q356" i="14814"/>
  <c r="Q649" i="14814"/>
  <c r="Q372" i="14814"/>
  <c r="Q371" i="14814"/>
  <c r="Q629" i="14814"/>
  <c r="Q608" i="14814"/>
  <c r="Q489" i="14814"/>
  <c r="Q583" i="14814"/>
  <c r="Q625" i="14814"/>
  <c r="Q593" i="14814"/>
  <c r="Q650" i="14814"/>
  <c r="Q400" i="14814"/>
  <c r="Q565" i="14814"/>
  <c r="Q408" i="14814"/>
  <c r="Q572" i="14814"/>
  <c r="Q373" i="14814"/>
  <c r="Q505" i="14814"/>
  <c r="Q483" i="14814"/>
  <c r="Q324" i="14814"/>
  <c r="Q485" i="14814"/>
  <c r="Q308" i="14814"/>
  <c r="Q621" i="14814"/>
  <c r="Q404" i="14814"/>
  <c r="Q307" i="14814"/>
  <c r="Q447" i="14814"/>
  <c r="Q461" i="14814"/>
  <c r="Q615" i="14814"/>
  <c r="Q587" i="14814"/>
  <c r="Q590" i="14814"/>
  <c r="Q547" i="14814"/>
  <c r="Q435" i="14814"/>
  <c r="Q616" i="14814"/>
  <c r="Q338" i="14814"/>
  <c r="Q530" i="14814"/>
  <c r="Q384" i="14814"/>
  <c r="Q503" i="14814"/>
  <c r="Q562" i="14814"/>
  <c r="Q624" i="14814"/>
  <c r="Q504" i="14814"/>
  <c r="Q555" i="14814"/>
  <c r="Q534" i="14814"/>
  <c r="Q365" i="14814"/>
  <c r="Q415" i="14814"/>
  <c r="Q471" i="14814"/>
  <c r="Q457" i="14814"/>
  <c r="Q559" i="14814"/>
  <c r="Q653" i="14814"/>
  <c r="Q390" i="14814"/>
  <c r="Q468" i="14814"/>
  <c r="Q394" i="14814"/>
  <c r="Q366" i="14814"/>
  <c r="Q328" i="14814"/>
  <c r="Q406" i="14814"/>
  <c r="Q497" i="14814"/>
  <c r="Q454" i="14814"/>
  <c r="Q628" i="14814"/>
  <c r="Q427" i="14814"/>
  <c r="Q607" i="14814"/>
  <c r="Q579" i="14814"/>
  <c r="Q351" i="14814"/>
  <c r="Q474" i="14814"/>
  <c r="Q348" i="14814"/>
  <c r="Q524" i="14814"/>
  <c r="Q510" i="14814"/>
  <c r="Q359" i="14814"/>
  <c r="Q345" i="14814"/>
  <c r="Q573" i="14814"/>
  <c r="Q618" i="14814"/>
  <c r="Q302" i="14814"/>
  <c r="Q639" i="14814"/>
  <c r="Q426" i="14814"/>
  <c r="Q322" i="14814"/>
  <c r="Q295" i="14814"/>
  <c r="Q646" i="14814"/>
  <c r="Q440" i="14814"/>
  <c r="Q602" i="14814"/>
  <c r="Q301" i="14814"/>
  <c r="Q652" i="14814"/>
  <c r="Q420" i="14814"/>
  <c r="Q498" i="14814"/>
  <c r="Q441" i="14814"/>
  <c r="Q566" i="14814"/>
  <c r="Q378" i="14814"/>
  <c r="Q393" i="14814"/>
  <c r="Q320" i="14814"/>
  <c r="Q478" i="14814"/>
  <c r="Q519" i="14814"/>
  <c r="Q477" i="14814"/>
  <c r="Q518" i="14814"/>
  <c r="Q453" i="14814"/>
  <c r="Q601" i="14814"/>
  <c r="Q517" i="14814"/>
  <c r="Q643" i="14814"/>
  <c r="Q567" i="14814"/>
  <c r="Q464" i="14814"/>
  <c r="Q496" i="14814"/>
  <c r="Q467" i="14814"/>
  <c r="Q526" i="14814"/>
  <c r="Q407" i="14814"/>
  <c r="Q349" i="14814"/>
  <c r="Q443" i="14814"/>
  <c r="Q399" i="14814"/>
  <c r="Q484" i="14814"/>
  <c r="Q369" i="14814"/>
  <c r="Q656" i="14814"/>
  <c r="Q433" i="14814"/>
  <c r="Q617" i="14814"/>
  <c r="Q604" i="14814"/>
  <c r="Q421" i="14814"/>
  <c r="Q309" i="14814"/>
  <c r="Q554" i="14814"/>
  <c r="Q506" i="14814"/>
  <c r="Q553" i="14814"/>
  <c r="Q544" i="14814"/>
  <c r="Q379" i="14814"/>
  <c r="Q520" i="14814"/>
  <c r="Q630" i="14814"/>
  <c r="Q418" i="14814"/>
  <c r="Q449" i="14814"/>
  <c r="Q495" i="14814"/>
  <c r="Q540" i="14814"/>
  <c r="Q597" i="14814"/>
  <c r="Q533" i="14814"/>
  <c r="Q637" i="14814"/>
  <c r="Q300" i="14814"/>
  <c r="Q499" i="14814"/>
  <c r="Q436" i="14814"/>
  <c r="Q642" i="14814"/>
  <c r="Q635" i="14814"/>
  <c r="Q299" i="14814"/>
  <c r="Q405" i="14814"/>
  <c r="Q469" i="14814"/>
  <c r="Q588" i="14814"/>
  <c r="Q610" i="14814"/>
  <c r="Q331" i="14814"/>
  <c r="Q603" i="14814"/>
  <c r="Q434" i="14814"/>
  <c r="Q475" i="14814"/>
  <c r="Q358" i="14814"/>
  <c r="Q523" i="14814"/>
  <c r="Q342" i="14814"/>
  <c r="Q574" i="14814"/>
  <c r="Q558" i="14814"/>
  <c r="Q310" i="14814"/>
  <c r="Q645" i="14814"/>
  <c r="Q576" i="14814"/>
  <c r="Q614" i="14814"/>
  <c r="Q357" i="14814"/>
  <c r="Q450" i="14814"/>
  <c r="Q581" i="14814"/>
  <c r="Q335" i="14814"/>
  <c r="Q546" i="14814"/>
  <c r="Q296" i="14814"/>
  <c r="Q488" i="14814"/>
  <c r="Q561" i="14814"/>
  <c r="Q364" i="14814"/>
  <c r="Q532" i="14814"/>
  <c r="Q401" i="14814"/>
  <c r="Q476" i="14814"/>
  <c r="Q481" i="14814"/>
  <c r="Q512" i="14814"/>
  <c r="Q537" i="14814"/>
  <c r="Q448" i="14814"/>
  <c r="Q429" i="14814"/>
  <c r="Q527" i="14814"/>
  <c r="Q314" i="14814"/>
  <c r="Q531" i="14814"/>
  <c r="Q413" i="14814"/>
  <c r="Q492" i="14814"/>
  <c r="Q336" i="14814"/>
  <c r="Q321" i="14814"/>
  <c r="Q313" i="14814"/>
  <c r="Q370" i="14814"/>
  <c r="Q397" i="14814"/>
  <c r="Q609" i="14814"/>
  <c r="Q638" i="14814"/>
  <c r="Q580" i="14814"/>
  <c r="Q352" i="14814"/>
  <c r="Q377" i="14814"/>
  <c r="Q362" i="14814"/>
  <c r="Q334" i="14814"/>
  <c r="Q516" i="14814"/>
  <c r="Q425" i="14814"/>
  <c r="Q623" i="14814"/>
  <c r="Q502" i="14814"/>
  <c r="Q292" i="14814"/>
  <c r="Q446" i="14814"/>
  <c r="Q647" i="14814"/>
  <c r="Q577" i="14814"/>
  <c r="Q612" i="14814"/>
  <c r="Q486" i="14814"/>
  <c r="Q640" i="14814"/>
  <c r="Q556" i="14814"/>
  <c r="Q311" i="14814"/>
  <c r="Q584" i="14814"/>
  <c r="Q654" i="14814"/>
  <c r="Q381" i="14814"/>
  <c r="Q451" i="14814"/>
  <c r="Q374" i="14814"/>
  <c r="Q549" i="14814"/>
  <c r="Q472" i="14814"/>
  <c r="Q346" i="14814"/>
  <c r="Q318" i="14814"/>
  <c r="Q542" i="14814"/>
  <c r="Q360" i="14814"/>
  <c r="Q395" i="14814"/>
  <c r="Q507" i="14814"/>
  <c r="Q444" i="14814"/>
  <c r="Q437" i="14814"/>
  <c r="Q297" i="14814"/>
  <c r="Q521" i="14814"/>
  <c r="Q325" i="14814"/>
  <c r="Q514" i="14814"/>
  <c r="Q339" i="14814"/>
  <c r="Q304" i="14814"/>
  <c r="Q563" i="14814"/>
  <c r="Q493" i="14814"/>
  <c r="Q388" i="14814"/>
  <c r="Q633" i="14814"/>
  <c r="Q430" i="14814"/>
  <c r="Q591" i="14814"/>
  <c r="Q402" i="14814"/>
  <c r="Q409" i="14814"/>
  <c r="Q332" i="14814"/>
  <c r="Q465" i="14814"/>
  <c r="Q423" i="14814"/>
  <c r="Q619" i="14814"/>
  <c r="Q535" i="14814"/>
  <c r="Q500" i="14814"/>
  <c r="Q367" i="14814"/>
  <c r="Q598" i="14814"/>
  <c r="Q605" i="14814"/>
  <c r="Q528" i="14814"/>
  <c r="Q570" i="14814"/>
  <c r="Q353" i="14814"/>
  <c r="Q458" i="14814"/>
  <c r="Q626" i="14814"/>
  <c r="Q416" i="14814"/>
  <c r="Q438" i="14814"/>
  <c r="Q599" i="14814"/>
  <c r="Q620" i="14814"/>
  <c r="Q459" i="14814"/>
  <c r="Q333" i="14814"/>
  <c r="Q606" i="14814"/>
  <c r="Q361" i="14814"/>
  <c r="Q655" i="14814"/>
  <c r="Q648" i="14814"/>
  <c r="Q473" i="14814"/>
  <c r="Q585" i="14814"/>
  <c r="Q641" i="14814"/>
  <c r="Q375" i="14814"/>
  <c r="Q389" i="14814"/>
  <c r="Q396" i="14814"/>
  <c r="Q515" i="14814"/>
  <c r="Q557" i="14814"/>
  <c r="Q445" i="14814"/>
  <c r="Q417" i="14814"/>
  <c r="Q578" i="14814"/>
  <c r="Q312" i="14814"/>
  <c r="Q508" i="14814"/>
  <c r="Q550" i="14814"/>
  <c r="Q347" i="14814"/>
  <c r="Q382" i="14814"/>
  <c r="Q501" i="14814"/>
  <c r="Q529" i="14814"/>
  <c r="Q613" i="14814"/>
  <c r="Q298" i="14814"/>
  <c r="Q319" i="14814"/>
  <c r="Q326" i="14814"/>
  <c r="Q494" i="14814"/>
  <c r="Q564" i="14814"/>
  <c r="Q522" i="14814"/>
  <c r="Q592" i="14814"/>
  <c r="Q431" i="14814"/>
  <c r="Q340" i="14814"/>
  <c r="Q368" i="14814"/>
  <c r="Q466" i="14814"/>
  <c r="Q634" i="14814"/>
  <c r="Q480" i="14814"/>
  <c r="Q571" i="14814"/>
  <c r="Q410" i="14814"/>
  <c r="Q305" i="14814"/>
  <c r="Q424" i="14814"/>
  <c r="Q543" i="14814"/>
  <c r="Q354" i="14814"/>
  <c r="Q403" i="14814"/>
  <c r="Q452" i="14814"/>
  <c r="Q627" i="14814"/>
  <c r="Q487" i="14814"/>
  <c r="Q536" i="14814"/>
  <c r="M179" i="14830"/>
  <c r="M181" i="14830" s="1"/>
  <c r="N83" i="14830"/>
  <c r="M83" i="14830"/>
  <c r="O83" i="14830" s="1"/>
  <c r="M34" i="14830"/>
  <c r="N131" i="14830"/>
  <c r="M131" i="14830"/>
  <c r="N154" i="14830"/>
  <c r="O154" i="14830"/>
  <c r="N134" i="14830"/>
  <c r="M87" i="14830"/>
  <c r="N87" i="14830"/>
  <c r="N82" i="14830"/>
  <c r="M82" i="14830"/>
  <c r="O82" i="14830" s="1"/>
  <c r="O87" i="14830"/>
  <c r="N150" i="14830"/>
  <c r="H243" i="14830" s="1"/>
  <c r="N148" i="14830"/>
  <c r="M150" i="14830"/>
  <c r="H244" i="14830" s="1"/>
  <c r="O148" i="14830"/>
  <c r="M33" i="14830"/>
  <c r="O150" i="14830"/>
  <c r="H242" i="14830" s="1"/>
  <c r="M148" i="14830"/>
  <c r="N114" i="14830"/>
  <c r="N115" i="14830" s="1"/>
  <c r="N119" i="14830"/>
  <c r="N116" i="14830" s="1"/>
  <c r="E237" i="14830"/>
  <c r="O26" i="14830"/>
  <c r="N26" i="14830"/>
  <c r="O134" i="14830"/>
  <c r="O131" i="14830"/>
  <c r="E238" i="14830"/>
  <c r="E239" i="14830"/>
  <c r="M100" i="14830"/>
  <c r="M101" i="14830"/>
  <c r="N128" i="14830"/>
  <c r="N163" i="14830" s="1"/>
  <c r="N164" i="14830" s="1"/>
  <c r="N165" i="14830" s="1"/>
  <c r="N166" i="14830" s="1"/>
  <c r="O128" i="14830"/>
  <c r="M163" i="14830"/>
  <c r="N100" i="14830"/>
  <c r="N101" i="14830"/>
  <c r="O101" i="14830"/>
  <c r="O100" i="14830"/>
  <c r="M34" i="14786"/>
  <c r="M134" i="14786"/>
  <c r="M135" i="14786" s="1"/>
  <c r="N150" i="14786"/>
  <c r="M150" i="14786"/>
  <c r="O150" i="14786"/>
  <c r="M33" i="14786"/>
  <c r="N148" i="14786"/>
  <c r="M148" i="14786"/>
  <c r="O148" i="14786"/>
  <c r="M179" i="14786"/>
  <c r="O131" i="14786"/>
  <c r="M131" i="14786"/>
  <c r="EW7" i="14809"/>
  <c r="Q291" i="14814" l="1"/>
  <c r="P291" i="14814"/>
  <c r="M74" i="14786"/>
  <c r="M74" i="14830"/>
  <c r="S291" i="14814"/>
  <c r="O291" i="14814"/>
  <c r="T291" i="14814"/>
  <c r="O136" i="14786" s="1"/>
  <c r="R291" i="14814"/>
  <c r="O102" i="14830"/>
  <c r="M102" i="14830"/>
  <c r="N135" i="14830"/>
  <c r="G238" i="14830" s="1"/>
  <c r="H237" i="14830"/>
  <c r="O149" i="14830"/>
  <c r="O135" i="14830"/>
  <c r="G237" i="14830" s="1"/>
  <c r="O163" i="14830"/>
  <c r="N139" i="14830"/>
  <c r="M109" i="14830"/>
  <c r="N102" i="14830"/>
  <c r="H239" i="14830"/>
  <c r="M149" i="14830"/>
  <c r="N149" i="14830"/>
  <c r="H238" i="14830"/>
  <c r="M103" i="14830"/>
  <c r="N103" i="14830"/>
  <c r="O103" i="14830"/>
  <c r="O109" i="14830"/>
  <c r="M139" i="14830"/>
  <c r="M164" i="14830"/>
  <c r="M165" i="14830" s="1"/>
  <c r="M166" i="14830" s="1"/>
  <c r="M167" i="14830" s="1"/>
  <c r="M168" i="14830" s="1"/>
  <c r="I239" i="14830" s="1"/>
  <c r="N167" i="14830"/>
  <c r="N168" i="14830" s="1"/>
  <c r="I238" i="14830" s="1"/>
  <c r="N109" i="14830"/>
  <c r="M149" i="14786"/>
  <c r="M181" i="14786"/>
  <c r="E16" i="14822"/>
  <c r="D29" i="14822"/>
  <c r="N24" i="14786"/>
  <c r="F29" i="14822" s="1"/>
  <c r="O16" i="14786"/>
  <c r="G15" i="14822" s="1"/>
  <c r="O25" i="14786"/>
  <c r="N16" i="14786"/>
  <c r="F15" i="14822" s="1"/>
  <c r="N25" i="14786"/>
  <c r="N91" i="14786"/>
  <c r="N92" i="14786" s="1"/>
  <c r="M92" i="14786"/>
  <c r="N17" i="14786"/>
  <c r="F16" i="14822" s="1"/>
  <c r="O24" i="14786"/>
  <c r="G29" i="14822" s="1"/>
  <c r="O91" i="14786"/>
  <c r="O92" i="14786" s="1"/>
  <c r="O17" i="14786"/>
  <c r="G16" i="14822" s="1"/>
  <c r="E15" i="14822"/>
  <c r="M154" i="14786"/>
  <c r="O70" i="14786"/>
  <c r="N72" i="14786"/>
  <c r="N73" i="14786" s="1"/>
  <c r="N70" i="14786"/>
  <c r="M71" i="14786"/>
  <c r="O72" i="14786"/>
  <c r="O73" i="14786" s="1"/>
  <c r="M79" i="14786"/>
  <c r="N113" i="14786"/>
  <c r="E131" i="14786"/>
  <c r="M152" i="14786"/>
  <c r="N133" i="14786"/>
  <c r="N132" i="14786"/>
  <c r="O152" i="14786"/>
  <c r="O133" i="14786"/>
  <c r="N152" i="14786"/>
  <c r="FJ7" i="14809"/>
  <c r="O127" i="14786" l="1"/>
  <c r="N136" i="14786"/>
  <c r="N136" i="14830"/>
  <c r="N137" i="14830" s="1"/>
  <c r="G243" i="14830" s="1"/>
  <c r="M127" i="14786"/>
  <c r="M173" i="14786" s="1"/>
  <c r="D26" i="14822" s="1"/>
  <c r="M127" i="14830"/>
  <c r="M173" i="14830" s="1"/>
  <c r="O127" i="14830"/>
  <c r="O173" i="14830" s="1"/>
  <c r="O74" i="14830"/>
  <c r="O75" i="14830" s="1"/>
  <c r="E242" i="14830" s="1"/>
  <c r="N74" i="14830"/>
  <c r="N75" i="14830" s="1"/>
  <c r="E243" i="14830" s="1"/>
  <c r="M75" i="14830"/>
  <c r="N74" i="14786"/>
  <c r="N75" i="14786" s="1"/>
  <c r="E243" i="14786" s="1"/>
  <c r="O74" i="14786"/>
  <c r="O75" i="14786" s="1"/>
  <c r="E242" i="14786" s="1"/>
  <c r="M136" i="14830"/>
  <c r="M137" i="14830" s="1"/>
  <c r="G244" i="14830" s="1"/>
  <c r="O136" i="14830"/>
  <c r="O137" i="14830" s="1"/>
  <c r="G242" i="14830" s="1"/>
  <c r="M136" i="14786"/>
  <c r="N127" i="14786"/>
  <c r="N173" i="14786" s="1"/>
  <c r="F26" i="14822" s="1"/>
  <c r="N127" i="14830"/>
  <c r="N173" i="14830" s="1"/>
  <c r="O110" i="14830"/>
  <c r="M110" i="14830"/>
  <c r="O164" i="14830"/>
  <c r="O139" i="14830"/>
  <c r="N117" i="14830"/>
  <c r="N110" i="14830"/>
  <c r="F238" i="14830"/>
  <c r="M80" i="14786"/>
  <c r="M83" i="14786" s="1"/>
  <c r="O101" i="14786"/>
  <c r="O100" i="14786"/>
  <c r="M11" i="14786"/>
  <c r="M21" i="14786"/>
  <c r="M22" i="14786" s="1"/>
  <c r="M101" i="14786"/>
  <c r="M100" i="14786"/>
  <c r="N26" i="14786"/>
  <c r="O26" i="14786"/>
  <c r="D27" i="14822"/>
  <c r="N100" i="14786"/>
  <c r="N101" i="14786"/>
  <c r="O18" i="14786"/>
  <c r="N18" i="14786"/>
  <c r="D28" i="14822"/>
  <c r="E239" i="14786"/>
  <c r="M75" i="14786"/>
  <c r="N114" i="14786"/>
  <c r="N115" i="14786" s="1"/>
  <c r="O173" i="14786"/>
  <c r="G26" i="14822" s="1"/>
  <c r="O82" i="14786"/>
  <c r="N87" i="14786"/>
  <c r="N82" i="14786"/>
  <c r="M87" i="14786"/>
  <c r="O87" i="14786"/>
  <c r="E237" i="14786"/>
  <c r="O128" i="14786"/>
  <c r="N128" i="14786"/>
  <c r="N135" i="14786" s="1"/>
  <c r="E238" i="14786"/>
  <c r="N154" i="14786"/>
  <c r="O154" i="14786"/>
  <c r="D34" i="14822"/>
  <c r="D55" i="14822" s="1"/>
  <c r="H237" i="14786"/>
  <c r="H244" i="14786"/>
  <c r="H243" i="14786"/>
  <c r="N137" i="14786" l="1"/>
  <c r="E244" i="14830"/>
  <c r="S150" i="14830"/>
  <c r="O165" i="14830"/>
  <c r="O166" i="14830" s="1"/>
  <c r="O167" i="14830" s="1"/>
  <c r="O168" i="14830" s="1"/>
  <c r="I237" i="14830" s="1"/>
  <c r="M78" i="14786"/>
  <c r="M163" i="14786"/>
  <c r="O83" i="14786"/>
  <c r="O109" i="14786" s="1"/>
  <c r="M109" i="14786"/>
  <c r="D8" i="14822"/>
  <c r="N77" i="14822" s="1"/>
  <c r="D9" i="14822"/>
  <c r="G239" i="14786"/>
  <c r="M137" i="14786"/>
  <c r="G244" i="14786" s="1"/>
  <c r="N83" i="14786"/>
  <c r="N109" i="14786" s="1"/>
  <c r="O163" i="14786"/>
  <c r="N163" i="14786"/>
  <c r="G243" i="14786"/>
  <c r="G238" i="14786"/>
  <c r="O135" i="14786"/>
  <c r="G237" i="14786" s="1"/>
  <c r="S150" i="14786"/>
  <c r="E244" i="14786"/>
  <c r="FL7" i="14809"/>
  <c r="H239" i="14786"/>
  <c r="O149" i="14786"/>
  <c r="H242" i="14786"/>
  <c r="N149" i="14786"/>
  <c r="H238" i="14786"/>
  <c r="M162" i="14786" l="1"/>
  <c r="M139" i="14786" s="1"/>
  <c r="O103" i="14786"/>
  <c r="M102" i="14786"/>
  <c r="N117" i="14786"/>
  <c r="F82" i="14822"/>
  <c r="M77" i="14822"/>
  <c r="L175" i="14822"/>
  <c r="H107" i="14822"/>
  <c r="G76" i="14822"/>
  <c r="I110" i="14822"/>
  <c r="F110" i="14822"/>
  <c r="M107" i="14822"/>
  <c r="N80" i="14822"/>
  <c r="I80" i="14822"/>
  <c r="O107" i="14822"/>
  <c r="K107" i="14822"/>
  <c r="N110" i="14822"/>
  <c r="L79" i="14822"/>
  <c r="L172" i="14822"/>
  <c r="K113" i="14822"/>
  <c r="E110" i="14822"/>
  <c r="K79" i="14822"/>
  <c r="J111" i="14822"/>
  <c r="J175" i="14822"/>
  <c r="L141" i="14822"/>
  <c r="L111" i="14822"/>
  <c r="G172" i="14822"/>
  <c r="N144" i="14822"/>
  <c r="E142" i="14822"/>
  <c r="K80" i="14822"/>
  <c r="K142" i="14822"/>
  <c r="G141" i="14822"/>
  <c r="D169" i="14822"/>
  <c r="M169" i="14822"/>
  <c r="O111" i="14822"/>
  <c r="M144" i="14822"/>
  <c r="H169" i="14822"/>
  <c r="O113" i="14822"/>
  <c r="D110" i="14822"/>
  <c r="L107" i="14822"/>
  <c r="N141" i="14822"/>
  <c r="N82" i="14822"/>
  <c r="I173" i="14822"/>
  <c r="M173" i="14822"/>
  <c r="I169" i="14822"/>
  <c r="F79" i="14822"/>
  <c r="L142" i="14822"/>
  <c r="L82" i="14822"/>
  <c r="I172" i="14822"/>
  <c r="M110" i="14786"/>
  <c r="I76" i="14822"/>
  <c r="D79" i="14822"/>
  <c r="H141" i="14822"/>
  <c r="G173" i="14822"/>
  <c r="O110" i="14822"/>
  <c r="D77" i="14822"/>
  <c r="G111" i="14822"/>
  <c r="N113" i="14822"/>
  <c r="I79" i="14822"/>
  <c r="H80" i="14822"/>
  <c r="F169" i="14822"/>
  <c r="M142" i="14822"/>
  <c r="H144" i="14822"/>
  <c r="G77" i="14822"/>
  <c r="F142" i="14822"/>
  <c r="O172" i="14822"/>
  <c r="G79" i="14822"/>
  <c r="K172" i="14822"/>
  <c r="E172" i="14822"/>
  <c r="D111" i="14822"/>
  <c r="L138" i="14822"/>
  <c r="E111" i="14822"/>
  <c r="F141" i="14822"/>
  <c r="G175" i="14822"/>
  <c r="K77" i="14822"/>
  <c r="N173" i="14822"/>
  <c r="J172" i="14822"/>
  <c r="D80" i="14822"/>
  <c r="O142" i="14822"/>
  <c r="I142" i="14822"/>
  <c r="E175" i="14822"/>
  <c r="N142" i="14822"/>
  <c r="F113" i="14822"/>
  <c r="O173" i="14822"/>
  <c r="L144" i="14822"/>
  <c r="H113" i="14822"/>
  <c r="M138" i="14822"/>
  <c r="J76" i="14822"/>
  <c r="O138" i="14822"/>
  <c r="H173" i="14822"/>
  <c r="N169" i="14822"/>
  <c r="O175" i="14822"/>
  <c r="F175" i="14822"/>
  <c r="H138" i="14822"/>
  <c r="J144" i="14822"/>
  <c r="E169" i="14822"/>
  <c r="D173" i="14822"/>
  <c r="N138" i="14822"/>
  <c r="J142" i="14822"/>
  <c r="H111" i="14822"/>
  <c r="O82" i="14822"/>
  <c r="I111" i="14822"/>
  <c r="L113" i="14822"/>
  <c r="E76" i="14822"/>
  <c r="G107" i="14822"/>
  <c r="J113" i="14822"/>
  <c r="O80" i="14822"/>
  <c r="K169" i="14822"/>
  <c r="M141" i="14822"/>
  <c r="N76" i="14822"/>
  <c r="G110" i="14822"/>
  <c r="G82" i="14822"/>
  <c r="H175" i="14822"/>
  <c r="M111" i="14822"/>
  <c r="M172" i="14822"/>
  <c r="D76" i="14822"/>
  <c r="O144" i="14822"/>
  <c r="J169" i="14822"/>
  <c r="J107" i="14822"/>
  <c r="L76" i="14822"/>
  <c r="D113" i="14822"/>
  <c r="M113" i="14822"/>
  <c r="F80" i="14822"/>
  <c r="O141" i="14822"/>
  <c r="E77" i="14822"/>
  <c r="K175" i="14822"/>
  <c r="D138" i="14822"/>
  <c r="J138" i="14822"/>
  <c r="M79" i="14822"/>
  <c r="J110" i="14822"/>
  <c r="F111" i="14822"/>
  <c r="F138" i="14822"/>
  <c r="H79" i="14822"/>
  <c r="D141" i="14822"/>
  <c r="K111" i="14822"/>
  <c r="I144" i="14822"/>
  <c r="L77" i="14822"/>
  <c r="J79" i="14822"/>
  <c r="K76" i="14822"/>
  <c r="J82" i="14822"/>
  <c r="H82" i="14822"/>
  <c r="L173" i="14822"/>
  <c r="O169" i="14822"/>
  <c r="H76" i="14822"/>
  <c r="M76" i="14822"/>
  <c r="D107" i="14822"/>
  <c r="N172" i="14822"/>
  <c r="I175" i="14822"/>
  <c r="D82" i="14822"/>
  <c r="N111" i="14822"/>
  <c r="H142" i="14822"/>
  <c r="N107" i="14822"/>
  <c r="K138" i="14822"/>
  <c r="O77" i="14822"/>
  <c r="D142" i="14822"/>
  <c r="G138" i="14822"/>
  <c r="G169" i="14822"/>
  <c r="H110" i="14822"/>
  <c r="M80" i="14822"/>
  <c r="M82" i="14822"/>
  <c r="F144" i="14822"/>
  <c r="J80" i="14822"/>
  <c r="I77" i="14822"/>
  <c r="E113" i="14822"/>
  <c r="E80" i="14822"/>
  <c r="H77" i="14822"/>
  <c r="M110" i="14822"/>
  <c r="J77" i="14822"/>
  <c r="L110" i="14822"/>
  <c r="F172" i="14822"/>
  <c r="L80" i="14822"/>
  <c r="I138" i="14822"/>
  <c r="E82" i="14822"/>
  <c r="O76" i="14822"/>
  <c r="G113" i="14822"/>
  <c r="I113" i="14822"/>
  <c r="K173" i="14822"/>
  <c r="E79" i="14822"/>
  <c r="E107" i="14822"/>
  <c r="I141" i="14822"/>
  <c r="F107" i="14822"/>
  <c r="M175" i="14822"/>
  <c r="N79" i="14822"/>
  <c r="K144" i="14822"/>
  <c r="J141" i="14822"/>
  <c r="I107" i="14822"/>
  <c r="J173" i="14822"/>
  <c r="K141" i="14822"/>
  <c r="G142" i="14822"/>
  <c r="E141" i="14822"/>
  <c r="F77" i="14822"/>
  <c r="O79" i="14822"/>
  <c r="L169" i="14822"/>
  <c r="K82" i="14822"/>
  <c r="D172" i="14822"/>
  <c r="G80" i="14822"/>
  <c r="E144" i="14822"/>
  <c r="E138" i="14822"/>
  <c r="I82" i="14822"/>
  <c r="F76" i="14822"/>
  <c r="G144" i="14822"/>
  <c r="E173" i="14822"/>
  <c r="H172" i="14822"/>
  <c r="N175" i="14822"/>
  <c r="F173" i="14822"/>
  <c r="K110" i="14822"/>
  <c r="D10" i="14822"/>
  <c r="Z102" i="14822" s="1"/>
  <c r="Z103" i="14822" s="1"/>
  <c r="Z114" i="14822" s="1"/>
  <c r="M23" i="14786"/>
  <c r="D17" i="14822"/>
  <c r="D18" i="14822"/>
  <c r="D20" i="14822"/>
  <c r="D19" i="14822"/>
  <c r="O162" i="14786"/>
  <c r="O139" i="14786" s="1"/>
  <c r="N162" i="14786"/>
  <c r="N139" i="14786" s="1"/>
  <c r="N103" i="14786"/>
  <c r="N102" i="14786"/>
  <c r="M103" i="14786"/>
  <c r="O102" i="14786"/>
  <c r="N110" i="14786"/>
  <c r="F238" i="14786"/>
  <c r="O110" i="14786"/>
  <c r="O137" i="14786"/>
  <c r="G242" i="14786" s="1"/>
  <c r="FM7" i="14809"/>
  <c r="M164" i="14786" l="1"/>
  <c r="M165" i="14786" s="1"/>
  <c r="M166" i="14786" s="1"/>
  <c r="M167" i="14786" s="1"/>
  <c r="M168" i="14786" s="1"/>
  <c r="N164" i="14786"/>
  <c r="N165" i="14786" s="1"/>
  <c r="N166" i="14786" s="1"/>
  <c r="O164" i="14786"/>
  <c r="P172" i="14822"/>
  <c r="P111" i="14822"/>
  <c r="P141" i="14822"/>
  <c r="P107" i="14822"/>
  <c r="P80" i="14822"/>
  <c r="P79" i="14822"/>
  <c r="P113" i="14822"/>
  <c r="P142" i="14822"/>
  <c r="P77" i="14822"/>
  <c r="P82" i="14822"/>
  <c r="P76" i="14822"/>
  <c r="P169" i="14822"/>
  <c r="P138" i="14822"/>
  <c r="P110" i="14822"/>
  <c r="P173" i="14822"/>
  <c r="AF102" i="14822"/>
  <c r="AF103" i="14822" s="1"/>
  <c r="AF114" i="14822" s="1"/>
  <c r="AA102" i="14822"/>
  <c r="AA103" i="14822" s="1"/>
  <c r="AA114" i="14822" s="1"/>
  <c r="AB102" i="14822"/>
  <c r="AB103" i="14822" s="1"/>
  <c r="AB114" i="14822" s="1"/>
  <c r="AH102" i="14822"/>
  <c r="AH103" i="14822" s="1"/>
  <c r="AH114" i="14822" s="1"/>
  <c r="AC102" i="14822"/>
  <c r="AC103" i="14822" s="1"/>
  <c r="AC114" i="14822" s="1"/>
  <c r="AK102" i="14822"/>
  <c r="AK103" i="14822" s="1"/>
  <c r="AK114" i="14822" s="1"/>
  <c r="AI102" i="14822"/>
  <c r="AI103" i="14822" s="1"/>
  <c r="AI114" i="14822" s="1"/>
  <c r="AD102" i="14822"/>
  <c r="AD103" i="14822" s="1"/>
  <c r="AD114" i="14822" s="1"/>
  <c r="AJ102" i="14822"/>
  <c r="AJ103" i="14822" s="1"/>
  <c r="AJ114" i="14822" s="1"/>
  <c r="AG102" i="14822"/>
  <c r="AG103" i="14822" s="1"/>
  <c r="AG114" i="14822" s="1"/>
  <c r="AE102" i="14822"/>
  <c r="AE103" i="14822" s="1"/>
  <c r="AE114" i="14822" s="1"/>
  <c r="H185" i="14822"/>
  <c r="O92" i="14822"/>
  <c r="N185" i="14822"/>
  <c r="N123" i="14822"/>
  <c r="G185" i="14822"/>
  <c r="L185" i="14822"/>
  <c r="F123" i="14822"/>
  <c r="I92" i="14822"/>
  <c r="M185" i="14822"/>
  <c r="N92" i="14822"/>
  <c r="D185" i="14822"/>
  <c r="F92" i="14822"/>
  <c r="D92" i="14822"/>
  <c r="K92" i="14822"/>
  <c r="K185" i="14822"/>
  <c r="K123" i="14822"/>
  <c r="J154" i="14822"/>
  <c r="F185" i="14822"/>
  <c r="J92" i="14822"/>
  <c r="H123" i="14822"/>
  <c r="O154" i="14822"/>
  <c r="M154" i="14822"/>
  <c r="L154" i="14822"/>
  <c r="I154" i="14822"/>
  <c r="D123" i="14822"/>
  <c r="O185" i="14822"/>
  <c r="F154" i="14822"/>
  <c r="E185" i="14822"/>
  <c r="G92" i="14822"/>
  <c r="D154" i="14822"/>
  <c r="H92" i="14822"/>
  <c r="I123" i="14822"/>
  <c r="I185" i="14822"/>
  <c r="E123" i="14822"/>
  <c r="D175" i="14822" s="1"/>
  <c r="P175" i="14822" s="1"/>
  <c r="O123" i="14822"/>
  <c r="J185" i="14822"/>
  <c r="L92" i="14822"/>
  <c r="H154" i="14822"/>
  <c r="G123" i="14822"/>
  <c r="N154" i="14822"/>
  <c r="E154" i="14822"/>
  <c r="L123" i="14822"/>
  <c r="M123" i="14822"/>
  <c r="M92" i="14822"/>
  <c r="K154" i="14822"/>
  <c r="G154" i="14822"/>
  <c r="J123" i="14822"/>
  <c r="E92" i="14822"/>
  <c r="D144" i="14822" s="1"/>
  <c r="P144" i="14822" s="1"/>
  <c r="D16" i="14822"/>
  <c r="D11" i="14822" s="1"/>
  <c r="FN7" i="14809"/>
  <c r="N167" i="14786" l="1"/>
  <c r="N168" i="14786" s="1"/>
  <c r="I238" i="14786" s="1"/>
  <c r="O165" i="14786"/>
  <c r="O166" i="14786" s="1"/>
  <c r="O167" i="14786" s="1"/>
  <c r="I239" i="14786"/>
  <c r="N81" i="14822"/>
  <c r="L112" i="14822"/>
  <c r="F112" i="14822"/>
  <c r="G174" i="14822"/>
  <c r="D174" i="14822"/>
  <c r="O143" i="14822"/>
  <c r="J112" i="14822"/>
  <c r="K112" i="14822"/>
  <c r="J81" i="14822"/>
  <c r="O81" i="14822"/>
  <c r="G112" i="14822"/>
  <c r="L81" i="14822"/>
  <c r="H174" i="14822"/>
  <c r="E81" i="14822"/>
  <c r="G143" i="14822"/>
  <c r="F174" i="14822"/>
  <c r="J174" i="14822"/>
  <c r="D81" i="14822"/>
  <c r="F143" i="14822"/>
  <c r="H112" i="14822"/>
  <c r="F81" i="14822"/>
  <c r="L174" i="14822"/>
  <c r="I143" i="14822"/>
  <c r="M174" i="14822"/>
  <c r="I81" i="14822"/>
  <c r="N143" i="14822"/>
  <c r="M81" i="14822"/>
  <c r="M143" i="14822"/>
  <c r="G81" i="14822"/>
  <c r="K143" i="14822"/>
  <c r="N112" i="14822"/>
  <c r="D143" i="14822"/>
  <c r="N174" i="14822"/>
  <c r="D112" i="14822"/>
  <c r="K174" i="14822"/>
  <c r="E143" i="14822"/>
  <c r="E112" i="14822"/>
  <c r="M112" i="14822"/>
  <c r="L143" i="14822"/>
  <c r="O112" i="14822"/>
  <c r="E174" i="14822"/>
  <c r="I174" i="14822"/>
  <c r="H143" i="14822"/>
  <c r="K81" i="14822"/>
  <c r="I112" i="14822"/>
  <c r="H81" i="14822"/>
  <c r="O174" i="14822"/>
  <c r="J143" i="14822"/>
  <c r="P185" i="14822"/>
  <c r="P154" i="14822"/>
  <c r="D15" i="14822"/>
  <c r="P123" i="14822"/>
  <c r="P92" i="14822"/>
  <c r="FO7" i="14809"/>
  <c r="O168" i="14786" l="1"/>
  <c r="I237" i="14786" s="1"/>
  <c r="P143" i="14822"/>
  <c r="D12" i="14822"/>
  <c r="J140" i="14822"/>
  <c r="J145" i="14822" s="1"/>
  <c r="J147" i="14822" s="1"/>
  <c r="J149" i="14822" s="1"/>
  <c r="J157" i="14822" s="1"/>
  <c r="K78" i="14822"/>
  <c r="K83" i="14822" s="1"/>
  <c r="L109" i="14822"/>
  <c r="L114" i="14822" s="1"/>
  <c r="L116" i="14822" s="1"/>
  <c r="L118" i="14822" s="1"/>
  <c r="L126" i="14822" s="1"/>
  <c r="H109" i="14822"/>
  <c r="H114" i="14822" s="1"/>
  <c r="H116" i="14822" s="1"/>
  <c r="H118" i="14822" s="1"/>
  <c r="H126" i="14822" s="1"/>
  <c r="F109" i="14822"/>
  <c r="F114" i="14822" s="1"/>
  <c r="F116" i="14822" s="1"/>
  <c r="F118" i="14822" s="1"/>
  <c r="F126" i="14822" s="1"/>
  <c r="G78" i="14822"/>
  <c r="G83" i="14822" s="1"/>
  <c r="E140" i="14822"/>
  <c r="E145" i="14822" s="1"/>
  <c r="E147" i="14822" s="1"/>
  <c r="E149" i="14822" s="1"/>
  <c r="E157" i="14822" s="1"/>
  <c r="N109" i="14822"/>
  <c r="N114" i="14822" s="1"/>
  <c r="N116" i="14822" s="1"/>
  <c r="N118" i="14822" s="1"/>
  <c r="N126" i="14822" s="1"/>
  <c r="O171" i="14822"/>
  <c r="O176" i="14822" s="1"/>
  <c r="O178" i="14822" s="1"/>
  <c r="O180" i="14822" s="1"/>
  <c r="O188" i="14822" s="1"/>
  <c r="E78" i="14822"/>
  <c r="E83" i="14822" s="1"/>
  <c r="I140" i="14822"/>
  <c r="I145" i="14822" s="1"/>
  <c r="I147" i="14822" s="1"/>
  <c r="I149" i="14822" s="1"/>
  <c r="I157" i="14822" s="1"/>
  <c r="G140" i="14822"/>
  <c r="G145" i="14822" s="1"/>
  <c r="G147" i="14822" s="1"/>
  <c r="G149" i="14822" s="1"/>
  <c r="G157" i="14822" s="1"/>
  <c r="I109" i="14822"/>
  <c r="I114" i="14822" s="1"/>
  <c r="I116" i="14822" s="1"/>
  <c r="I118" i="14822" s="1"/>
  <c r="I126" i="14822" s="1"/>
  <c r="D78" i="14822"/>
  <c r="M140" i="14822"/>
  <c r="M145" i="14822" s="1"/>
  <c r="M147" i="14822" s="1"/>
  <c r="M149" i="14822" s="1"/>
  <c r="M157" i="14822" s="1"/>
  <c r="F171" i="14822"/>
  <c r="F176" i="14822" s="1"/>
  <c r="F178" i="14822" s="1"/>
  <c r="F180" i="14822" s="1"/>
  <c r="F188" i="14822" s="1"/>
  <c r="H171" i="14822"/>
  <c r="H176" i="14822" s="1"/>
  <c r="H178" i="14822" s="1"/>
  <c r="H180" i="14822" s="1"/>
  <c r="H188" i="14822" s="1"/>
  <c r="N140" i="14822"/>
  <c r="N145" i="14822" s="1"/>
  <c r="N147" i="14822" s="1"/>
  <c r="N149" i="14822" s="1"/>
  <c r="N157" i="14822" s="1"/>
  <c r="L171" i="14822"/>
  <c r="L176" i="14822" s="1"/>
  <c r="L178" i="14822" s="1"/>
  <c r="L180" i="14822" s="1"/>
  <c r="L188" i="14822" s="1"/>
  <c r="H78" i="14822"/>
  <c r="H83" i="14822" s="1"/>
  <c r="N78" i="14822"/>
  <c r="N83" i="14822" s="1"/>
  <c r="G171" i="14822"/>
  <c r="G176" i="14822" s="1"/>
  <c r="G178" i="14822" s="1"/>
  <c r="G180" i="14822" s="1"/>
  <c r="G188" i="14822" s="1"/>
  <c r="M109" i="14822"/>
  <c r="M114" i="14822" s="1"/>
  <c r="M116" i="14822" s="1"/>
  <c r="M118" i="14822" s="1"/>
  <c r="M126" i="14822" s="1"/>
  <c r="E171" i="14822"/>
  <c r="E176" i="14822" s="1"/>
  <c r="E178" i="14822" s="1"/>
  <c r="E180" i="14822" s="1"/>
  <c r="E188" i="14822" s="1"/>
  <c r="O109" i="14822"/>
  <c r="O114" i="14822" s="1"/>
  <c r="O116" i="14822" s="1"/>
  <c r="O118" i="14822" s="1"/>
  <c r="O126" i="14822" s="1"/>
  <c r="J171" i="14822"/>
  <c r="J176" i="14822" s="1"/>
  <c r="J178" i="14822" s="1"/>
  <c r="J180" i="14822" s="1"/>
  <c r="J188" i="14822" s="1"/>
  <c r="H140" i="14822"/>
  <c r="H145" i="14822" s="1"/>
  <c r="H147" i="14822" s="1"/>
  <c r="H149" i="14822" s="1"/>
  <c r="H157" i="14822" s="1"/>
  <c r="E109" i="14822"/>
  <c r="E114" i="14822" s="1"/>
  <c r="E116" i="14822" s="1"/>
  <c r="E118" i="14822" s="1"/>
  <c r="E126" i="14822" s="1"/>
  <c r="G109" i="14822"/>
  <c r="G114" i="14822" s="1"/>
  <c r="G116" i="14822" s="1"/>
  <c r="G118" i="14822" s="1"/>
  <c r="G126" i="14822" s="1"/>
  <c r="F78" i="14822"/>
  <c r="F83" i="14822" s="1"/>
  <c r="D140" i="14822"/>
  <c r="K109" i="14822"/>
  <c r="K114" i="14822" s="1"/>
  <c r="K116" i="14822" s="1"/>
  <c r="K118" i="14822" s="1"/>
  <c r="K126" i="14822" s="1"/>
  <c r="J78" i="14822"/>
  <c r="J83" i="14822" s="1"/>
  <c r="N171" i="14822"/>
  <c r="N176" i="14822" s="1"/>
  <c r="N178" i="14822" s="1"/>
  <c r="N180" i="14822" s="1"/>
  <c r="N188" i="14822" s="1"/>
  <c r="I171" i="14822"/>
  <c r="I176" i="14822" s="1"/>
  <c r="I178" i="14822" s="1"/>
  <c r="I180" i="14822" s="1"/>
  <c r="I188" i="14822" s="1"/>
  <c r="K140" i="14822"/>
  <c r="K145" i="14822" s="1"/>
  <c r="K147" i="14822" s="1"/>
  <c r="K149" i="14822" s="1"/>
  <c r="K157" i="14822" s="1"/>
  <c r="L78" i="14822"/>
  <c r="L83" i="14822" s="1"/>
  <c r="J109" i="14822"/>
  <c r="J114" i="14822" s="1"/>
  <c r="J116" i="14822" s="1"/>
  <c r="J118" i="14822" s="1"/>
  <c r="J126" i="14822" s="1"/>
  <c r="M78" i="14822"/>
  <c r="M83" i="14822" s="1"/>
  <c r="F140" i="14822"/>
  <c r="F145" i="14822" s="1"/>
  <c r="F147" i="14822" s="1"/>
  <c r="F149" i="14822" s="1"/>
  <c r="F157" i="14822" s="1"/>
  <c r="O78" i="14822"/>
  <c r="O83" i="14822" s="1"/>
  <c r="I78" i="14822"/>
  <c r="I83" i="14822" s="1"/>
  <c r="K171" i="14822"/>
  <c r="K176" i="14822" s="1"/>
  <c r="K178" i="14822" s="1"/>
  <c r="K180" i="14822" s="1"/>
  <c r="K188" i="14822" s="1"/>
  <c r="L140" i="14822"/>
  <c r="L145" i="14822" s="1"/>
  <c r="L147" i="14822" s="1"/>
  <c r="L149" i="14822" s="1"/>
  <c r="L157" i="14822" s="1"/>
  <c r="D109" i="14822"/>
  <c r="M171" i="14822"/>
  <c r="M176" i="14822" s="1"/>
  <c r="M178" i="14822" s="1"/>
  <c r="M180" i="14822" s="1"/>
  <c r="M188" i="14822" s="1"/>
  <c r="D171" i="14822"/>
  <c r="O140" i="14822"/>
  <c r="O145" i="14822" s="1"/>
  <c r="O147" i="14822" s="1"/>
  <c r="O149" i="14822" s="1"/>
  <c r="O157" i="14822" s="1"/>
  <c r="P112" i="14822"/>
  <c r="P81" i="14822"/>
  <c r="P174" i="14822"/>
  <c r="FP7" i="14809"/>
  <c r="D83" i="14822" l="1"/>
  <c r="P83" i="14822" s="1"/>
  <c r="P78" i="14822"/>
  <c r="P109" i="14822"/>
  <c r="D114" i="14822"/>
  <c r="D116" i="14822" s="1"/>
  <c r="P171" i="14822"/>
  <c r="D176" i="14822"/>
  <c r="D145" i="14822"/>
  <c r="P140" i="14822"/>
  <c r="FQ7" i="14809"/>
  <c r="M52" i="14786" l="1"/>
  <c r="M52" i="14830"/>
  <c r="P114" i="14822"/>
  <c r="D147" i="14822"/>
  <c r="P145" i="14822"/>
  <c r="D178" i="14822"/>
  <c r="P176" i="14822"/>
  <c r="FR7" i="14809"/>
  <c r="D149" i="14822" l="1"/>
  <c r="P147" i="14822"/>
  <c r="P178" i="14822"/>
  <c r="D180" i="14822"/>
  <c r="D118" i="14822"/>
  <c r="P116" i="14822"/>
  <c r="FS7" i="14809"/>
  <c r="P180" i="14822" l="1"/>
  <c r="D188" i="14822"/>
  <c r="P118" i="14822"/>
  <c r="D126" i="14822"/>
  <c r="P149" i="14822"/>
  <c r="D157" i="14822"/>
  <c r="FT7" i="14809"/>
  <c r="FU7" i="14809" l="1"/>
  <c r="M85" i="14786" l="1"/>
  <c r="M108" i="14786" s="1"/>
  <c r="M55" i="14830"/>
  <c r="H58" i="14830" s="1"/>
  <c r="M61" i="14830"/>
  <c r="M172" i="14830"/>
  <c r="M54" i="14830"/>
  <c r="M50" i="14830"/>
  <c r="M51" i="14830" s="1"/>
  <c r="M53" i="14830" s="1"/>
  <c r="M113" i="14830"/>
  <c r="M57" i="14830"/>
  <c r="M85" i="14830"/>
  <c r="M56" i="14830"/>
  <c r="M171" i="14830"/>
  <c r="M84" i="14830"/>
  <c r="M170" i="14830"/>
  <c r="M6" i="14830"/>
  <c r="M113" i="14786"/>
  <c r="M117" i="14786" s="1"/>
  <c r="M84" i="14786"/>
  <c r="M58" i="14830" l="1"/>
  <c r="S126" i="14830" s="1"/>
  <c r="M106" i="14830"/>
  <c r="O106" i="14830"/>
  <c r="O118" i="14830" s="1"/>
  <c r="O112" i="14830" s="1"/>
  <c r="M107" i="14830"/>
  <c r="M111" i="14830" s="1"/>
  <c r="O107" i="14830"/>
  <c r="O111" i="14830" s="1"/>
  <c r="N106" i="14830"/>
  <c r="N118" i="14830" s="1"/>
  <c r="N112" i="14830" s="1"/>
  <c r="N120" i="14830" s="1"/>
  <c r="F243" i="14830" s="1"/>
  <c r="N107" i="14830"/>
  <c r="N111" i="14830" s="1"/>
  <c r="N172" i="14830"/>
  <c r="O172" i="14830"/>
  <c r="N171" i="14830"/>
  <c r="O171" i="14830"/>
  <c r="M114" i="14830"/>
  <c r="M115" i="14830" s="1"/>
  <c r="O113" i="14830"/>
  <c r="M119" i="14830"/>
  <c r="M116" i="14830" s="1"/>
  <c r="F239" i="14830"/>
  <c r="M117" i="14830"/>
  <c r="M157" i="14830"/>
  <c r="M158" i="14830" s="1"/>
  <c r="M159" i="14830" s="1"/>
  <c r="O157" i="14830"/>
  <c r="O158" i="14830" s="1"/>
  <c r="O159" i="14830" s="1"/>
  <c r="N157" i="14830"/>
  <c r="N158" i="14830" s="1"/>
  <c r="N159" i="14830" s="1"/>
  <c r="O170" i="14830"/>
  <c r="N170" i="14830"/>
  <c r="M108" i="14830"/>
  <c r="N108" i="14830"/>
  <c r="O108" i="14830"/>
  <c r="N182" i="14830"/>
  <c r="J243" i="14830" s="1"/>
  <c r="O182" i="14830"/>
  <c r="J242" i="14830" s="1"/>
  <c r="M182" i="14830"/>
  <c r="J244" i="14830" s="1"/>
  <c r="H60" i="14830"/>
  <c r="M60" i="14830" s="1"/>
  <c r="N107" i="14786"/>
  <c r="N111" i="14786" s="1"/>
  <c r="M106" i="14786"/>
  <c r="O107" i="14786"/>
  <c r="O111" i="14786" s="1"/>
  <c r="M107" i="14786"/>
  <c r="M111" i="14786" s="1"/>
  <c r="F239" i="14786"/>
  <c r="M114" i="14786"/>
  <c r="M115" i="14786" s="1"/>
  <c r="O113" i="14786"/>
  <c r="M59" i="14830" l="1"/>
  <c r="M141" i="14830" s="1"/>
  <c r="N59" i="14830"/>
  <c r="N141" i="14830" s="1"/>
  <c r="N140" i="14830"/>
  <c r="O59" i="14830"/>
  <c r="M140" i="14830"/>
  <c r="O114" i="14830"/>
  <c r="O119" i="14830"/>
  <c r="O116" i="14830" s="1"/>
  <c r="O120" i="14830" s="1"/>
  <c r="F242" i="14830" s="1"/>
  <c r="F237" i="14830"/>
  <c r="O117" i="14830"/>
  <c r="M118" i="14830"/>
  <c r="M112" i="14830" s="1"/>
  <c r="M120" i="14830" s="1"/>
  <c r="T149" i="14830"/>
  <c r="F237" i="14786"/>
  <c r="O117" i="14786"/>
  <c r="O114" i="14786"/>
  <c r="O115" i="14786" s="1"/>
  <c r="N106" i="14786"/>
  <c r="O106" i="14786"/>
  <c r="O108" i="14786"/>
  <c r="N108" i="14786"/>
  <c r="M144" i="14830" l="1"/>
  <c r="M142" i="14830"/>
  <c r="M143" i="14830"/>
  <c r="N143" i="14830"/>
  <c r="N142" i="14830"/>
  <c r="N144" i="14830"/>
  <c r="F244" i="14830"/>
  <c r="S149" i="14830"/>
  <c r="O115" i="14830"/>
  <c r="O141" i="14830" s="1"/>
  <c r="O140" i="14830"/>
  <c r="T149" i="14786"/>
  <c r="M50" i="14786"/>
  <c r="M172" i="14786" l="1"/>
  <c r="N172" i="14786" s="1"/>
  <c r="C199" i="14786"/>
  <c r="M51" i="14786"/>
  <c r="M61" i="14786"/>
  <c r="M54" i="14786"/>
  <c r="M57" i="14786"/>
  <c r="M56" i="14786"/>
  <c r="M55" i="14786"/>
  <c r="H58" i="14786" s="1"/>
  <c r="C207" i="14786"/>
  <c r="C209" i="14786"/>
  <c r="M170" i="14786"/>
  <c r="M6" i="14786"/>
  <c r="D6" i="14822" s="1"/>
  <c r="D40" i="14822" s="1"/>
  <c r="C205" i="14786"/>
  <c r="M171" i="14786"/>
  <c r="C201" i="14786"/>
  <c r="C203" i="14786"/>
  <c r="D33" i="14822" l="1"/>
  <c r="H85" i="14822" s="1"/>
  <c r="H87" i="14822" s="1"/>
  <c r="H95" i="14822" s="1"/>
  <c r="O172" i="14786"/>
  <c r="D35" i="14822"/>
  <c r="O182" i="14786"/>
  <c r="J242" i="14786" s="1"/>
  <c r="N182" i="14786"/>
  <c r="J243" i="14786" s="1"/>
  <c r="M182" i="14786"/>
  <c r="J244" i="14786" s="1"/>
  <c r="O170" i="14786"/>
  <c r="N170" i="14786"/>
  <c r="N171" i="14786"/>
  <c r="O171" i="14786"/>
  <c r="M58" i="14786"/>
  <c r="M118" i="14786"/>
  <c r="M112" i="14786" s="1"/>
  <c r="O118" i="14786"/>
  <c r="O112" i="14786" s="1"/>
  <c r="N118" i="14786"/>
  <c r="N112" i="14786" s="1"/>
  <c r="O119" i="14786"/>
  <c r="O116" i="14786" s="1"/>
  <c r="M119" i="14786"/>
  <c r="M116" i="14786" s="1"/>
  <c r="N119" i="14786"/>
  <c r="N116" i="14786" s="1"/>
  <c r="M53" i="14786"/>
  <c r="D36" i="14822"/>
  <c r="H60" i="14786"/>
  <c r="M60" i="14786" s="1"/>
  <c r="M157" i="14786"/>
  <c r="M158" i="14786" s="1"/>
  <c r="M159" i="14786" s="1"/>
  <c r="O157" i="14786"/>
  <c r="O158" i="14786" s="1"/>
  <c r="O159" i="14786" s="1"/>
  <c r="N157" i="14786"/>
  <c r="N158" i="14786" s="1"/>
  <c r="N159" i="14786" s="1"/>
  <c r="D37" i="14822"/>
  <c r="F6" i="14822"/>
  <c r="D43" i="14822"/>
  <c r="K207" i="14822" s="1"/>
  <c r="K210" i="14822" s="1"/>
  <c r="D42" i="14822"/>
  <c r="M140" i="14786" l="1"/>
  <c r="N140" i="14786"/>
  <c r="O140" i="14786"/>
  <c r="F85" i="14822"/>
  <c r="F87" i="14822" s="1"/>
  <c r="F95" i="14822" s="1"/>
  <c r="F96" i="14822" s="1"/>
  <c r="I85" i="14822"/>
  <c r="I87" i="14822" s="1"/>
  <c r="I95" i="14822" s="1"/>
  <c r="I96" i="14822" s="1"/>
  <c r="E85" i="14822"/>
  <c r="E87" i="14822" s="1"/>
  <c r="E95" i="14822" s="1"/>
  <c r="E96" i="14822" s="1"/>
  <c r="J85" i="14822"/>
  <c r="J87" i="14822" s="1"/>
  <c r="J95" i="14822" s="1"/>
  <c r="J96" i="14822" s="1"/>
  <c r="G85" i="14822"/>
  <c r="G87" i="14822" s="1"/>
  <c r="G95" i="14822" s="1"/>
  <c r="G96" i="14822" s="1"/>
  <c r="N85" i="14822"/>
  <c r="N87" i="14822" s="1"/>
  <c r="N95" i="14822" s="1"/>
  <c r="N96" i="14822" s="1"/>
  <c r="O85" i="14822"/>
  <c r="O87" i="14822" s="1"/>
  <c r="O95" i="14822" s="1"/>
  <c r="O96" i="14822" s="1"/>
  <c r="K85" i="14822"/>
  <c r="K87" i="14822" s="1"/>
  <c r="K95" i="14822" s="1"/>
  <c r="K96" i="14822" s="1"/>
  <c r="D85" i="14822"/>
  <c r="L85" i="14822"/>
  <c r="L87" i="14822" s="1"/>
  <c r="L95" i="14822" s="1"/>
  <c r="L96" i="14822" s="1"/>
  <c r="M85" i="14822"/>
  <c r="M87" i="14822" s="1"/>
  <c r="M95" i="14822" s="1"/>
  <c r="M96" i="14822" s="1"/>
  <c r="D90" i="14822"/>
  <c r="O120" i="14786"/>
  <c r="G38" i="14822" s="1"/>
  <c r="I182" i="14822" s="1"/>
  <c r="M120" i="14786"/>
  <c r="D38" i="14822" s="1"/>
  <c r="L120" i="14822" s="1"/>
  <c r="N120" i="14786"/>
  <c r="F243" i="14786" s="1"/>
  <c r="F152" i="14822"/>
  <c r="N59" i="14786"/>
  <c r="N141" i="14786" s="1"/>
  <c r="O59" i="14786"/>
  <c r="O141" i="14786" s="1"/>
  <c r="M59" i="14786"/>
  <c r="M141" i="14786" s="1"/>
  <c r="S126" i="14786"/>
  <c r="L121" i="14822"/>
  <c r="G121" i="14822"/>
  <c r="F183" i="14822"/>
  <c r="L90" i="14822"/>
  <c r="J183" i="14822"/>
  <c r="D183" i="14822"/>
  <c r="L183" i="14822"/>
  <c r="M152" i="14822"/>
  <c r="E183" i="14822"/>
  <c r="E152" i="14822"/>
  <c r="K152" i="14822"/>
  <c r="M183" i="14822"/>
  <c r="J152" i="14822"/>
  <c r="I121" i="14822"/>
  <c r="D152" i="14822"/>
  <c r="G183" i="14822"/>
  <c r="G90" i="14822"/>
  <c r="K121" i="14822"/>
  <c r="K158" i="14822"/>
  <c r="I183" i="14822"/>
  <c r="E121" i="14822"/>
  <c r="I152" i="14822"/>
  <c r="N121" i="14822"/>
  <c r="J121" i="14822"/>
  <c r="F90" i="14822"/>
  <c r="M90" i="14822"/>
  <c r="E90" i="14822"/>
  <c r="J90" i="14822"/>
  <c r="O183" i="14822"/>
  <c r="F121" i="14822"/>
  <c r="O90" i="14822"/>
  <c r="L152" i="14822"/>
  <c r="N152" i="14822"/>
  <c r="I90" i="14822"/>
  <c r="O121" i="14822"/>
  <c r="H183" i="14822"/>
  <c r="D121" i="14822"/>
  <c r="G152" i="14822"/>
  <c r="N183" i="14822"/>
  <c r="K90" i="14822"/>
  <c r="I158" i="14822"/>
  <c r="H152" i="14822"/>
  <c r="N90" i="14822"/>
  <c r="K183" i="14822"/>
  <c r="H121" i="14822"/>
  <c r="H90" i="14822"/>
  <c r="M121" i="14822"/>
  <c r="O152" i="14822"/>
  <c r="G127" i="14822"/>
  <c r="J127" i="14822"/>
  <c r="F158" i="14822"/>
  <c r="D127" i="14822"/>
  <c r="G158" i="14822"/>
  <c r="O127" i="14822"/>
  <c r="F127" i="14822"/>
  <c r="E127" i="14822"/>
  <c r="E158" i="14822"/>
  <c r="K189" i="14822"/>
  <c r="N158" i="14822"/>
  <c r="H127" i="14822"/>
  <c r="G189" i="14822"/>
  <c r="O158" i="14822"/>
  <c r="I127" i="14822"/>
  <c r="D189" i="14822"/>
  <c r="N127" i="14822"/>
  <c r="J158" i="14822"/>
  <c r="K127" i="14822"/>
  <c r="O189" i="14822"/>
  <c r="E189" i="14822"/>
  <c r="N189" i="14822"/>
  <c r="H189" i="14822"/>
  <c r="L189" i="14822"/>
  <c r="M158" i="14822"/>
  <c r="H158" i="14822"/>
  <c r="D158" i="14822"/>
  <c r="M127" i="14822"/>
  <c r="L127" i="14822"/>
  <c r="L158" i="14822"/>
  <c r="I189" i="14822"/>
  <c r="F189" i="14822"/>
  <c r="J189" i="14822"/>
  <c r="H96" i="14822"/>
  <c r="M189" i="14822"/>
  <c r="P85" i="14822" l="1"/>
  <c r="D87" i="14822"/>
  <c r="D95" i="14822" s="1"/>
  <c r="D96" i="14822" s="1"/>
  <c r="E182" i="14822"/>
  <c r="E184" i="14822" s="1"/>
  <c r="E186" i="14822" s="1"/>
  <c r="E187" i="14822" s="1"/>
  <c r="E190" i="14822" s="1"/>
  <c r="E191" i="14822" s="1"/>
  <c r="E193" i="14822" s="1"/>
  <c r="F242" i="14786"/>
  <c r="L182" i="14822"/>
  <c r="L184" i="14822" s="1"/>
  <c r="L186" i="14822" s="1"/>
  <c r="L187" i="14822" s="1"/>
  <c r="L190" i="14822" s="1"/>
  <c r="L191" i="14822" s="1"/>
  <c r="L193" i="14822" s="1"/>
  <c r="F182" i="14822"/>
  <c r="F184" i="14822" s="1"/>
  <c r="F186" i="14822" s="1"/>
  <c r="F187" i="14822" s="1"/>
  <c r="F190" i="14822" s="1"/>
  <c r="F191" i="14822" s="1"/>
  <c r="F193" i="14822" s="1"/>
  <c r="O182" i="14822"/>
  <c r="O184" i="14822" s="1"/>
  <c r="O186" i="14822" s="1"/>
  <c r="O187" i="14822" s="1"/>
  <c r="O190" i="14822" s="1"/>
  <c r="O191" i="14822" s="1"/>
  <c r="O193" i="14822" s="1"/>
  <c r="D120" i="14822"/>
  <c r="D122" i="14822" s="1"/>
  <c r="D124" i="14822" s="1"/>
  <c r="D125" i="14822" s="1"/>
  <c r="D128" i="14822" s="1"/>
  <c r="H182" i="14822"/>
  <c r="H184" i="14822" s="1"/>
  <c r="H186" i="14822" s="1"/>
  <c r="H187" i="14822" s="1"/>
  <c r="H190" i="14822" s="1"/>
  <c r="H191" i="14822" s="1"/>
  <c r="H193" i="14822" s="1"/>
  <c r="M120" i="14822"/>
  <c r="M122" i="14822" s="1"/>
  <c r="M124" i="14822" s="1"/>
  <c r="M125" i="14822" s="1"/>
  <c r="M128" i="14822" s="1"/>
  <c r="M129" i="14822" s="1"/>
  <c r="M131" i="14822" s="1"/>
  <c r="J182" i="14822"/>
  <c r="J184" i="14822" s="1"/>
  <c r="J186" i="14822" s="1"/>
  <c r="J187" i="14822" s="1"/>
  <c r="J190" i="14822" s="1"/>
  <c r="J191" i="14822" s="1"/>
  <c r="J193" i="14822" s="1"/>
  <c r="D182" i="14822"/>
  <c r="D184" i="14822" s="1"/>
  <c r="D186" i="14822" s="1"/>
  <c r="D187" i="14822" s="1"/>
  <c r="D190" i="14822" s="1"/>
  <c r="G182" i="14822"/>
  <c r="G184" i="14822" s="1"/>
  <c r="G186" i="14822" s="1"/>
  <c r="G187" i="14822" s="1"/>
  <c r="G190" i="14822" s="1"/>
  <c r="G191" i="14822" s="1"/>
  <c r="G193" i="14822" s="1"/>
  <c r="M182" i="14822"/>
  <c r="M184" i="14822" s="1"/>
  <c r="M186" i="14822" s="1"/>
  <c r="M187" i="14822" s="1"/>
  <c r="M190" i="14822" s="1"/>
  <c r="M191" i="14822" s="1"/>
  <c r="M193" i="14822" s="1"/>
  <c r="N182" i="14822"/>
  <c r="N184" i="14822" s="1"/>
  <c r="N186" i="14822" s="1"/>
  <c r="N187" i="14822" s="1"/>
  <c r="N190" i="14822" s="1"/>
  <c r="N191" i="14822" s="1"/>
  <c r="N193" i="14822" s="1"/>
  <c r="K182" i="14822"/>
  <c r="K184" i="14822" s="1"/>
  <c r="K186" i="14822" s="1"/>
  <c r="K187" i="14822" s="1"/>
  <c r="K190" i="14822" s="1"/>
  <c r="K191" i="14822" s="1"/>
  <c r="K193" i="14822" s="1"/>
  <c r="E120" i="14822"/>
  <c r="E122" i="14822" s="1"/>
  <c r="E124" i="14822" s="1"/>
  <c r="E125" i="14822" s="1"/>
  <c r="E128" i="14822" s="1"/>
  <c r="E129" i="14822" s="1"/>
  <c r="E131" i="14822" s="1"/>
  <c r="H120" i="14822"/>
  <c r="H122" i="14822" s="1"/>
  <c r="H124" i="14822" s="1"/>
  <c r="H125" i="14822" s="1"/>
  <c r="H128" i="14822" s="1"/>
  <c r="H129" i="14822" s="1"/>
  <c r="H131" i="14822" s="1"/>
  <c r="D89" i="14822"/>
  <c r="D91" i="14822" s="1"/>
  <c r="D93" i="14822" s="1"/>
  <c r="I120" i="14822"/>
  <c r="I122" i="14822" s="1"/>
  <c r="I124" i="14822" s="1"/>
  <c r="I125" i="14822" s="1"/>
  <c r="I128" i="14822" s="1"/>
  <c r="I129" i="14822" s="1"/>
  <c r="I131" i="14822" s="1"/>
  <c r="F120" i="14822"/>
  <c r="F122" i="14822" s="1"/>
  <c r="F124" i="14822" s="1"/>
  <c r="F125" i="14822" s="1"/>
  <c r="F128" i="14822" s="1"/>
  <c r="F129" i="14822" s="1"/>
  <c r="F131" i="14822" s="1"/>
  <c r="F244" i="14786"/>
  <c r="I89" i="14822"/>
  <c r="I91" i="14822" s="1"/>
  <c r="I93" i="14822" s="1"/>
  <c r="I94" i="14822" s="1"/>
  <c r="I97" i="14822" s="1"/>
  <c r="I98" i="14822" s="1"/>
  <c r="I100" i="14822" s="1"/>
  <c r="J89" i="14822"/>
  <c r="J91" i="14822" s="1"/>
  <c r="J93" i="14822" s="1"/>
  <c r="J94" i="14822" s="1"/>
  <c r="J97" i="14822" s="1"/>
  <c r="J98" i="14822" s="1"/>
  <c r="J100" i="14822" s="1"/>
  <c r="J120" i="14822"/>
  <c r="J122" i="14822" s="1"/>
  <c r="J124" i="14822" s="1"/>
  <c r="J125" i="14822" s="1"/>
  <c r="J128" i="14822" s="1"/>
  <c r="J129" i="14822" s="1"/>
  <c r="J131" i="14822" s="1"/>
  <c r="L89" i="14822"/>
  <c r="L91" i="14822" s="1"/>
  <c r="L93" i="14822" s="1"/>
  <c r="L94" i="14822" s="1"/>
  <c r="L97" i="14822" s="1"/>
  <c r="L98" i="14822" s="1"/>
  <c r="L100" i="14822" s="1"/>
  <c r="K120" i="14822"/>
  <c r="K122" i="14822" s="1"/>
  <c r="K124" i="14822" s="1"/>
  <c r="K125" i="14822" s="1"/>
  <c r="K128" i="14822" s="1"/>
  <c r="K129" i="14822" s="1"/>
  <c r="K131" i="14822" s="1"/>
  <c r="F89" i="14822"/>
  <c r="F91" i="14822" s="1"/>
  <c r="F93" i="14822" s="1"/>
  <c r="F94" i="14822" s="1"/>
  <c r="F97" i="14822" s="1"/>
  <c r="F98" i="14822" s="1"/>
  <c r="F100" i="14822" s="1"/>
  <c r="G120" i="14822"/>
  <c r="G122" i="14822" s="1"/>
  <c r="G124" i="14822" s="1"/>
  <c r="G125" i="14822" s="1"/>
  <c r="G128" i="14822" s="1"/>
  <c r="G129" i="14822" s="1"/>
  <c r="G131" i="14822" s="1"/>
  <c r="N89" i="14822"/>
  <c r="N91" i="14822" s="1"/>
  <c r="N93" i="14822" s="1"/>
  <c r="N94" i="14822" s="1"/>
  <c r="N97" i="14822" s="1"/>
  <c r="N98" i="14822" s="1"/>
  <c r="N100" i="14822" s="1"/>
  <c r="K89" i="14822"/>
  <c r="K91" i="14822" s="1"/>
  <c r="K93" i="14822" s="1"/>
  <c r="K94" i="14822" s="1"/>
  <c r="K97" i="14822" s="1"/>
  <c r="K98" i="14822" s="1"/>
  <c r="K100" i="14822" s="1"/>
  <c r="M89" i="14822"/>
  <c r="M91" i="14822" s="1"/>
  <c r="M93" i="14822" s="1"/>
  <c r="M94" i="14822" s="1"/>
  <c r="M97" i="14822" s="1"/>
  <c r="M98" i="14822" s="1"/>
  <c r="M100" i="14822" s="1"/>
  <c r="O120" i="14822"/>
  <c r="O122" i="14822" s="1"/>
  <c r="O124" i="14822" s="1"/>
  <c r="O125" i="14822" s="1"/>
  <c r="O128" i="14822" s="1"/>
  <c r="O129" i="14822" s="1"/>
  <c r="O131" i="14822" s="1"/>
  <c r="N120" i="14822"/>
  <c r="N122" i="14822" s="1"/>
  <c r="N124" i="14822" s="1"/>
  <c r="N125" i="14822" s="1"/>
  <c r="N128" i="14822" s="1"/>
  <c r="N129" i="14822" s="1"/>
  <c r="N131" i="14822" s="1"/>
  <c r="G89" i="14822"/>
  <c r="G91" i="14822" s="1"/>
  <c r="G93" i="14822" s="1"/>
  <c r="G94" i="14822" s="1"/>
  <c r="G97" i="14822" s="1"/>
  <c r="G98" i="14822" s="1"/>
  <c r="G100" i="14822" s="1"/>
  <c r="E89" i="14822"/>
  <c r="E91" i="14822" s="1"/>
  <c r="E93" i="14822" s="1"/>
  <c r="E94" i="14822" s="1"/>
  <c r="E97" i="14822" s="1"/>
  <c r="E98" i="14822" s="1"/>
  <c r="E100" i="14822" s="1"/>
  <c r="S149" i="14786"/>
  <c r="I184" i="14822"/>
  <c r="I186" i="14822" s="1"/>
  <c r="I187" i="14822" s="1"/>
  <c r="I190" i="14822" s="1"/>
  <c r="I191" i="14822" s="1"/>
  <c r="I193" i="14822" s="1"/>
  <c r="H89" i="14822"/>
  <c r="O89" i="14822"/>
  <c r="O91" i="14822" s="1"/>
  <c r="O93" i="14822" s="1"/>
  <c r="O94" i="14822" s="1"/>
  <c r="O97" i="14822" s="1"/>
  <c r="O98" i="14822" s="1"/>
  <c r="O100" i="14822" s="1"/>
  <c r="F38" i="14822"/>
  <c r="F151" i="14822" s="1"/>
  <c r="F153" i="14822" s="1"/>
  <c r="F155" i="14822" s="1"/>
  <c r="F156" i="14822" s="1"/>
  <c r="F159" i="14822" s="1"/>
  <c r="F160" i="14822" s="1"/>
  <c r="F162" i="14822" s="1"/>
  <c r="L122" i="14822"/>
  <c r="L124" i="14822" s="1"/>
  <c r="L125" i="14822" s="1"/>
  <c r="L128" i="14822" s="1"/>
  <c r="L129" i="14822" s="1"/>
  <c r="L131" i="14822" s="1"/>
  <c r="M143" i="14786"/>
  <c r="M144" i="14786"/>
  <c r="M142" i="14786"/>
  <c r="N144" i="14786"/>
  <c r="N143" i="14786"/>
  <c r="N142" i="14786"/>
  <c r="P90" i="14822"/>
  <c r="P152" i="14822"/>
  <c r="P183" i="14822"/>
  <c r="P121" i="14822"/>
  <c r="P87" i="14822" l="1"/>
  <c r="D94" i="14822"/>
  <c r="D97" i="14822" s="1"/>
  <c r="D98" i="14822" s="1"/>
  <c r="P182" i="14822"/>
  <c r="P120" i="14822"/>
  <c r="P89" i="14822"/>
  <c r="H91" i="14822"/>
  <c r="H93" i="14822" s="1"/>
  <c r="H94" i="14822" s="1"/>
  <c r="H97" i="14822" s="1"/>
  <c r="H98" i="14822" s="1"/>
  <c r="H100" i="14822" s="1"/>
  <c r="H151" i="14822"/>
  <c r="H153" i="14822" s="1"/>
  <c r="H155" i="14822" s="1"/>
  <c r="H156" i="14822" s="1"/>
  <c r="H159" i="14822" s="1"/>
  <c r="H160" i="14822" s="1"/>
  <c r="H162" i="14822" s="1"/>
  <c r="D151" i="14822"/>
  <c r="D153" i="14822" s="1"/>
  <c r="D155" i="14822" s="1"/>
  <c r="D156" i="14822" s="1"/>
  <c r="D159" i="14822" s="1"/>
  <c r="D160" i="14822" s="1"/>
  <c r="I151" i="14822"/>
  <c r="I153" i="14822" s="1"/>
  <c r="I155" i="14822" s="1"/>
  <c r="I156" i="14822" s="1"/>
  <c r="I159" i="14822" s="1"/>
  <c r="I160" i="14822" s="1"/>
  <c r="I162" i="14822" s="1"/>
  <c r="N151" i="14822"/>
  <c r="N153" i="14822" s="1"/>
  <c r="N155" i="14822" s="1"/>
  <c r="N156" i="14822" s="1"/>
  <c r="N159" i="14822" s="1"/>
  <c r="N160" i="14822" s="1"/>
  <c r="N162" i="14822" s="1"/>
  <c r="J151" i="14822"/>
  <c r="J153" i="14822" s="1"/>
  <c r="J155" i="14822" s="1"/>
  <c r="J156" i="14822" s="1"/>
  <c r="J159" i="14822" s="1"/>
  <c r="J160" i="14822" s="1"/>
  <c r="J162" i="14822" s="1"/>
  <c r="E151" i="14822"/>
  <c r="E153" i="14822" s="1"/>
  <c r="E155" i="14822" s="1"/>
  <c r="E156" i="14822" s="1"/>
  <c r="E159" i="14822" s="1"/>
  <c r="E160" i="14822" s="1"/>
  <c r="E162" i="14822" s="1"/>
  <c r="M151" i="14822"/>
  <c r="M153" i="14822" s="1"/>
  <c r="M155" i="14822" s="1"/>
  <c r="M156" i="14822" s="1"/>
  <c r="M159" i="14822" s="1"/>
  <c r="M160" i="14822" s="1"/>
  <c r="M162" i="14822" s="1"/>
  <c r="G151" i="14822"/>
  <c r="G153" i="14822" s="1"/>
  <c r="G155" i="14822" s="1"/>
  <c r="G156" i="14822" s="1"/>
  <c r="G159" i="14822" s="1"/>
  <c r="G160" i="14822" s="1"/>
  <c r="G162" i="14822" s="1"/>
  <c r="K151" i="14822"/>
  <c r="K153" i="14822" s="1"/>
  <c r="K155" i="14822" s="1"/>
  <c r="K156" i="14822" s="1"/>
  <c r="K159" i="14822" s="1"/>
  <c r="K160" i="14822" s="1"/>
  <c r="K162" i="14822" s="1"/>
  <c r="L151" i="14822"/>
  <c r="L153" i="14822" s="1"/>
  <c r="L155" i="14822" s="1"/>
  <c r="L156" i="14822" s="1"/>
  <c r="L159" i="14822" s="1"/>
  <c r="L160" i="14822" s="1"/>
  <c r="L162" i="14822" s="1"/>
  <c r="O151" i="14822"/>
  <c r="O153" i="14822" s="1"/>
  <c r="O155" i="14822" s="1"/>
  <c r="O156" i="14822" s="1"/>
  <c r="O159" i="14822" s="1"/>
  <c r="O160" i="14822" s="1"/>
  <c r="O162" i="14822" s="1"/>
  <c r="P184" i="14822"/>
  <c r="P122" i="14822"/>
  <c r="P124" i="14822"/>
  <c r="D129" i="14822"/>
  <c r="P186" i="14822"/>
  <c r="D191" i="14822"/>
  <c r="P91" i="14822" l="1"/>
  <c r="P93" i="14822"/>
  <c r="P153" i="14822"/>
  <c r="P151" i="14822"/>
  <c r="P155" i="14822"/>
  <c r="P98" i="14822"/>
  <c r="D100" i="14822"/>
  <c r="P100" i="14822" s="1"/>
  <c r="P191" i="14822"/>
  <c r="P190" i="14822" s="1"/>
  <c r="D193" i="14822"/>
  <c r="P193" i="14822" s="1"/>
  <c r="P160" i="14822"/>
  <c r="D162" i="14822"/>
  <c r="P129" i="14822"/>
  <c r="P128" i="14822" s="1"/>
  <c r="D131" i="14822"/>
  <c r="P131" i="14822" s="1"/>
  <c r="M174" i="14786" l="1"/>
  <c r="M169" i="14786" s="1"/>
  <c r="M174" i="14830"/>
  <c r="O174" i="14786"/>
  <c r="O169" i="14786" s="1"/>
  <c r="O174" i="14830"/>
  <c r="P162" i="14822"/>
  <c r="P97" i="14822"/>
  <c r="P159" i="14822"/>
  <c r="J206" i="14822"/>
  <c r="J210" i="14822" s="1"/>
  <c r="J212" i="14822" s="1"/>
  <c r="I242" i="14786" l="1"/>
  <c r="I242" i="14830"/>
  <c r="O169" i="14830"/>
  <c r="I244" i="14830"/>
  <c r="M169" i="14830"/>
  <c r="N174" i="14786"/>
  <c r="I243" i="14786" s="1"/>
  <c r="N174" i="14830"/>
  <c r="I244" i="14786"/>
  <c r="N169" i="14786" l="1"/>
  <c r="I243" i="14830"/>
  <c r="N169" i="1483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Schneider</author>
  </authors>
  <commentList>
    <comment ref="HL7" authorId="0" shapeId="0" xr:uid="{00000000-0006-0000-0200-000001000000}">
      <text>
        <r>
          <rPr>
            <b/>
            <sz val="9"/>
            <color indexed="81"/>
            <rFont val="Tahoma"/>
            <family val="2"/>
          </rPr>
          <t>Christian Schneider:</t>
        </r>
        <r>
          <rPr>
            <sz val="9"/>
            <color indexed="81"/>
            <rFont val="Tahoma"/>
            <family val="2"/>
          </rPr>
          <t xml:space="preserve">
1 I:   Wohnen MFH
2 II:  Wohnen EFH
3 III: Verwaltung
4 IV:  Schulen
5 V:  Verkauf
6 VI:  Restaurants
7 VII: Versammlungslokale
8 VIII: Spitäler
9 IX:   Industrie
10 X:    Lager
11 XI:   Sportbauten
12 XII:  Hallenbäder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Schneider</author>
  </authors>
  <commentList>
    <comment ref="I67" authorId="0" shapeId="0" xr:uid="{00000000-0006-0000-0A00-000001000000}">
      <text>
        <r>
          <rPr>
            <b/>
            <sz val="8"/>
            <color indexed="81"/>
            <rFont val="Tahoma"/>
            <family val="2"/>
          </rPr>
          <t>Christian Schneider:</t>
        </r>
        <r>
          <rPr>
            <sz val="8"/>
            <color indexed="81"/>
            <rFont val="Tahoma"/>
            <family val="2"/>
          </rPr>
          <t xml:space="preserve">
Lüftung von Personenprofil abhängig machen und Vor- und Nachspühlung berücksichtigen. 
Minimaler Volstrom 0.4 sonst Wert von Belegung  mit Vor- und Nachspülung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Martin Ménard</author>
    <author>Christian Schneider</author>
    <author>mme</author>
  </authors>
  <commentList>
    <comment ref="E15" authorId="0" shapeId="0" xr:uid="{00000000-0006-0000-0C00-000001000000}">
      <text>
        <r>
          <rPr>
            <b/>
            <sz val="9"/>
            <color indexed="81"/>
            <rFont val="Tahoma"/>
            <family val="2"/>
          </rPr>
          <t>Martin Ménard:</t>
        </r>
        <r>
          <rPr>
            <sz val="9"/>
            <color indexed="81"/>
            <rFont val="Tahoma"/>
            <family val="2"/>
          </rPr>
          <t xml:space="preserve">
inkl. 10% Wärmebrücken</t>
        </r>
      </text>
    </comment>
    <comment ref="D35" authorId="1" shapeId="0" xr:uid="{00000000-0006-0000-0C00-000002000000}">
      <text>
        <r>
          <rPr>
            <b/>
            <sz val="9"/>
            <color indexed="81"/>
            <rFont val="Tahoma"/>
            <family val="2"/>
          </rPr>
          <t>Christian Schneider:</t>
        </r>
        <r>
          <rPr>
            <sz val="9"/>
            <color indexed="81"/>
            <rFont val="Tahoma"/>
            <family val="2"/>
          </rPr>
          <t xml:space="preserve">
Räume ohne Personen bekommen 1000 m2/Pers. damit gerechnet wird. </t>
        </r>
      </text>
    </comment>
    <comment ref="D41" authorId="2" shapeId="0" xr:uid="{00000000-0006-0000-0C00-000003000000}">
      <text>
        <r>
          <rPr>
            <b/>
            <sz val="9"/>
            <color indexed="81"/>
            <rFont val="Tahoma"/>
            <family val="2"/>
          </rPr>
          <t>mme:</t>
        </r>
        <r>
          <rPr>
            <sz val="9"/>
            <color indexed="81"/>
            <rFont val="Tahoma"/>
            <family val="2"/>
          </rPr>
          <t xml:space="preserve">
100% Ausnutzung der internen Wärmeeinträge aus Beleuchtung und Betriebseinrihtungen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Martin Ménard</author>
  </authors>
  <commentList>
    <comment ref="B22" authorId="0" shapeId="0" xr:uid="{00000000-0006-0000-0D00-000001000000}">
      <text>
        <r>
          <rPr>
            <b/>
            <sz val="9"/>
            <color indexed="81"/>
            <rFont val="Tahoma"/>
            <family val="2"/>
          </rPr>
          <t>Martin Ménard:</t>
        </r>
        <r>
          <rPr>
            <sz val="9"/>
            <color indexed="81"/>
            <rFont val="Tahoma"/>
            <family val="2"/>
          </rPr>
          <t xml:space="preserve">
Kühlbedarf teilweise durch Kühlmöbel gedeckt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<sst xmlns="http://schemas.openxmlformats.org/spreadsheetml/2006/main" count="4961" uniqueCount="1689">
  <si>
    <t>Raum</t>
  </si>
  <si>
    <t>Einheit</t>
  </si>
  <si>
    <t>Sommer</t>
  </si>
  <si>
    <t>°C</t>
  </si>
  <si>
    <t>Winter</t>
  </si>
  <si>
    <t>j</t>
  </si>
  <si>
    <t>%</t>
  </si>
  <si>
    <t>m/s</t>
  </si>
  <si>
    <t>mittel</t>
  </si>
  <si>
    <t>dB(A)</t>
  </si>
  <si>
    <t>T</t>
  </si>
  <si>
    <t>s</t>
  </si>
  <si>
    <t>Personen</t>
  </si>
  <si>
    <t>M</t>
  </si>
  <si>
    <t>met</t>
  </si>
  <si>
    <t>clo</t>
  </si>
  <si>
    <t>h/d</t>
  </si>
  <si>
    <t>h</t>
  </si>
  <si>
    <t>-</t>
  </si>
  <si>
    <t>Beleuchtung</t>
  </si>
  <si>
    <t>k</t>
  </si>
  <si>
    <t>lx</t>
  </si>
  <si>
    <t>Akzentbeleuchtung</t>
  </si>
  <si>
    <t>Lüftung</t>
  </si>
  <si>
    <t>Befeuchtung</t>
  </si>
  <si>
    <t>Heizung</t>
  </si>
  <si>
    <t>x</t>
  </si>
  <si>
    <t>Nutzungsstunden</t>
  </si>
  <si>
    <t>Raumbeleuchtung</t>
  </si>
  <si>
    <t>W/m2</t>
  </si>
  <si>
    <t>Standard</t>
  </si>
  <si>
    <t>Symbol</t>
  </si>
  <si>
    <t>g</t>
  </si>
  <si>
    <t>Nichtraucher</t>
  </si>
  <si>
    <t>Stunde</t>
  </si>
  <si>
    <t>m</t>
  </si>
  <si>
    <t xml:space="preserve">für seitlich einfallendes Licht </t>
  </si>
  <si>
    <t>Korrekturfaktor Regelung</t>
  </si>
  <si>
    <t xml:space="preserve">Korrekturfaktor </t>
  </si>
  <si>
    <t>Korrekturfaktor Reflexionsgrad</t>
  </si>
  <si>
    <t>Korrekturfaktor Fenstersturz</t>
  </si>
  <si>
    <t>Korrekturfaktor Sonnenschutz</t>
  </si>
  <si>
    <t>Korrekturfaktor Balkon</t>
  </si>
  <si>
    <t>Korrekturfaktor Umgebung</t>
  </si>
  <si>
    <t>Balkontiefe</t>
  </si>
  <si>
    <t>Höhendifferenz</t>
  </si>
  <si>
    <t>Abstand zum gegenüberliegenden Gebäude</t>
  </si>
  <si>
    <t>delta h</t>
  </si>
  <si>
    <t>d</t>
  </si>
  <si>
    <t>ja</t>
  </si>
  <si>
    <t>Jan</t>
  </si>
  <si>
    <t>Feb</t>
  </si>
  <si>
    <t>Apr</t>
  </si>
  <si>
    <t>Mai</t>
  </si>
  <si>
    <t>Jun</t>
  </si>
  <si>
    <t>Jul</t>
  </si>
  <si>
    <t>Aug</t>
  </si>
  <si>
    <t>Sep</t>
  </si>
  <si>
    <t>Okt</t>
  </si>
  <si>
    <t>Nov</t>
  </si>
  <si>
    <t>Dez</t>
  </si>
  <si>
    <t>Standardwert</t>
  </si>
  <si>
    <t>W/K</t>
  </si>
  <si>
    <t>Zielwert</t>
  </si>
  <si>
    <t>Geräte</t>
  </si>
  <si>
    <t>W/m²</t>
  </si>
  <si>
    <t>kWh/m²*a</t>
  </si>
  <si>
    <r>
      <t>q</t>
    </r>
    <r>
      <rPr>
        <i/>
        <vertAlign val="subscript"/>
        <sz val="10"/>
        <color indexed="63"/>
        <rFont val="Arial"/>
        <family val="2"/>
      </rPr>
      <t>o</t>
    </r>
  </si>
  <si>
    <r>
      <t>W/m</t>
    </r>
    <r>
      <rPr>
        <vertAlign val="superscript"/>
        <sz val="10"/>
        <color indexed="63"/>
        <rFont val="Arial"/>
        <family val="2"/>
      </rPr>
      <t>2</t>
    </r>
  </si>
  <si>
    <t>mechanische Lüftung</t>
  </si>
  <si>
    <t>Betriebseinrichtungen</t>
  </si>
  <si>
    <t xml:space="preserve"> </t>
  </si>
  <si>
    <t>Umrechnungsfaktor  Brutto- zu Nettofassadenfläche</t>
  </si>
  <si>
    <t>K</t>
  </si>
  <si>
    <t>Mrz</t>
  </si>
  <si>
    <t>Schulzimmer</t>
  </si>
  <si>
    <t>Verkauf</t>
  </si>
  <si>
    <r>
      <t>kWh/m</t>
    </r>
    <r>
      <rPr>
        <vertAlign val="superscript"/>
        <sz val="10"/>
        <color indexed="63"/>
        <rFont val="Arial"/>
        <family val="2"/>
      </rPr>
      <t>2</t>
    </r>
  </si>
  <si>
    <t>Total Zu- und Abluft</t>
  </si>
  <si>
    <t>gering</t>
  </si>
  <si>
    <t>Hörsaal</t>
  </si>
  <si>
    <t>Korrekturfaktor x</t>
  </si>
  <si>
    <t>Steuerung und Regelung der Beleuchtung</t>
  </si>
  <si>
    <t>Präsenzmelder</t>
  </si>
  <si>
    <t>nein</t>
  </si>
  <si>
    <t>pv</t>
  </si>
  <si>
    <r>
      <t>E</t>
    </r>
    <r>
      <rPr>
        <i/>
        <vertAlign val="subscript"/>
        <sz val="10"/>
        <color indexed="63"/>
        <rFont val="Arial"/>
        <family val="2"/>
      </rPr>
      <t>vm</t>
    </r>
  </si>
  <si>
    <r>
      <t>k</t>
    </r>
    <r>
      <rPr>
        <i/>
        <vertAlign val="subscript"/>
        <sz val="10"/>
        <color indexed="63"/>
        <rFont val="Arial"/>
        <family val="2"/>
      </rPr>
      <t>m2</t>
    </r>
  </si>
  <si>
    <r>
      <t>k</t>
    </r>
    <r>
      <rPr>
        <i/>
        <vertAlign val="subscript"/>
        <sz val="10"/>
        <color indexed="63"/>
        <rFont val="Arial"/>
        <family val="2"/>
      </rPr>
      <t>R</t>
    </r>
  </si>
  <si>
    <r>
      <t>k</t>
    </r>
    <r>
      <rPr>
        <i/>
        <vertAlign val="subscript"/>
        <sz val="10"/>
        <color indexed="63"/>
        <rFont val="Arial"/>
        <family val="2"/>
      </rPr>
      <t>Re</t>
    </r>
  </si>
  <si>
    <r>
      <t>k</t>
    </r>
    <r>
      <rPr>
        <i/>
        <vertAlign val="subscript"/>
        <sz val="10"/>
        <color indexed="63"/>
        <rFont val="Arial"/>
        <family val="2"/>
      </rPr>
      <t>Tr</t>
    </r>
  </si>
  <si>
    <r>
      <t>k</t>
    </r>
    <r>
      <rPr>
        <i/>
        <vertAlign val="subscript"/>
        <sz val="10"/>
        <color indexed="63"/>
        <rFont val="Arial"/>
        <family val="2"/>
      </rPr>
      <t>Fs</t>
    </r>
  </si>
  <si>
    <r>
      <t>k</t>
    </r>
    <r>
      <rPr>
        <i/>
        <vertAlign val="subscript"/>
        <sz val="10"/>
        <color indexed="63"/>
        <rFont val="Arial"/>
        <family val="2"/>
      </rPr>
      <t>So</t>
    </r>
  </si>
  <si>
    <r>
      <t>B</t>
    </r>
    <r>
      <rPr>
        <i/>
        <vertAlign val="subscript"/>
        <sz val="10"/>
        <color indexed="63"/>
        <rFont val="Arial"/>
        <family val="2"/>
      </rPr>
      <t>k</t>
    </r>
  </si>
  <si>
    <r>
      <t>k</t>
    </r>
    <r>
      <rPr>
        <i/>
        <vertAlign val="subscript"/>
        <sz val="10"/>
        <color indexed="63"/>
        <rFont val="Arial"/>
        <family val="2"/>
      </rPr>
      <t>Bk</t>
    </r>
  </si>
  <si>
    <r>
      <t>k</t>
    </r>
    <r>
      <rPr>
        <i/>
        <vertAlign val="subscript"/>
        <sz val="10"/>
        <color indexed="63"/>
        <rFont val="Arial"/>
        <family val="2"/>
      </rPr>
      <t>Ug</t>
    </r>
  </si>
  <si>
    <r>
      <t>k</t>
    </r>
    <r>
      <rPr>
        <i/>
        <vertAlign val="subscript"/>
        <sz val="10"/>
        <color indexed="63"/>
        <rFont val="Arial"/>
        <family val="2"/>
      </rPr>
      <t>Pr</t>
    </r>
  </si>
  <si>
    <t>lm/W</t>
  </si>
  <si>
    <t>Tiefe</t>
  </si>
  <si>
    <t>Höhe</t>
  </si>
  <si>
    <t>Nutzungstage</t>
  </si>
  <si>
    <t>h/a</t>
  </si>
  <si>
    <t>Volllaststunden</t>
  </si>
  <si>
    <t>Jahresgleichzeitigkeit</t>
  </si>
  <si>
    <t>Volllaststunden Ruhetag</t>
  </si>
  <si>
    <t>Ruhetage pro Woche</t>
  </si>
  <si>
    <t xml:space="preserve">Hotelzimmer </t>
  </si>
  <si>
    <t>Empfang/Lobby</t>
  </si>
  <si>
    <t>Grossraumbüro</t>
  </si>
  <si>
    <t>Sitzungszimmer</t>
  </si>
  <si>
    <t>Bibliothek</t>
  </si>
  <si>
    <t>Lebensmittelverkauf</t>
  </si>
  <si>
    <t>Restaurant</t>
  </si>
  <si>
    <t>Selbstbedienungsrestaurant</t>
  </si>
  <si>
    <t>Küche zu 6.1</t>
  </si>
  <si>
    <t>Küche zu 6.2</t>
  </si>
  <si>
    <t>Vorstellungsraum</t>
  </si>
  <si>
    <t>Mehrzweckhalle</t>
  </si>
  <si>
    <t xml:space="preserve">Bettenzimmer </t>
  </si>
  <si>
    <t xml:space="preserve">Stationszimmer </t>
  </si>
  <si>
    <t>Produktion (grobe Arbeit)</t>
  </si>
  <si>
    <t>Produktion (feine Arbeit)</t>
  </si>
  <si>
    <t>Lagerhalle</t>
  </si>
  <si>
    <t>Turnhalle</t>
  </si>
  <si>
    <t>Fitnessraum</t>
  </si>
  <si>
    <t>Schwimmhalle</t>
  </si>
  <si>
    <t>Verkehrsfläche</t>
  </si>
  <si>
    <t>WC</t>
  </si>
  <si>
    <t>Parkhaus</t>
  </si>
  <si>
    <t>Wasch- und Trockenraum</t>
  </si>
  <si>
    <t>Kühlraum</t>
  </si>
  <si>
    <t>Personenfläche</t>
  </si>
  <si>
    <t>m²/P</t>
  </si>
  <si>
    <t>Wohnen</t>
  </si>
  <si>
    <t>Nr.</t>
  </si>
  <si>
    <t>SWKI</t>
  </si>
  <si>
    <t>12</t>
  </si>
  <si>
    <t>1</t>
  </si>
  <si>
    <t>2</t>
  </si>
  <si>
    <t>6</t>
  </si>
  <si>
    <t>7</t>
  </si>
  <si>
    <t>lux</t>
  </si>
  <si>
    <t>5</t>
  </si>
  <si>
    <t>Raumabmessungen</t>
  </si>
  <si>
    <t>Lärmempfindlichkeit</t>
  </si>
  <si>
    <t>Aktivitätsgrad</t>
  </si>
  <si>
    <t>Ausstellungshalle</t>
  </si>
  <si>
    <t>Bauteile</t>
  </si>
  <si>
    <t>Tagesprofil-Typ</t>
  </si>
  <si>
    <t>Personen-Stunden</t>
  </si>
  <si>
    <t>Geräte-Stunden</t>
  </si>
  <si>
    <t>SIA 380/4</t>
  </si>
  <si>
    <t>Klasse gemäss 384.201</t>
  </si>
  <si>
    <t>Nachhallzeit</t>
  </si>
  <si>
    <t>Bewertungsebene</t>
  </si>
  <si>
    <t>B</t>
  </si>
  <si>
    <t>Arbeit</t>
  </si>
  <si>
    <t>C</t>
  </si>
  <si>
    <t>Hotel</t>
  </si>
  <si>
    <t>Büro</t>
  </si>
  <si>
    <t>Sitzung</t>
  </si>
  <si>
    <t>Schule</t>
  </si>
  <si>
    <t>A</t>
  </si>
  <si>
    <t>Spital</t>
  </si>
  <si>
    <t>Industrie</t>
  </si>
  <si>
    <t>Sport</t>
  </si>
  <si>
    <t>Monatsprofil</t>
  </si>
  <si>
    <t>Sommer-Auslegungstag Stundenmodell</t>
  </si>
  <si>
    <t>kWh/m2</t>
  </si>
  <si>
    <t>Monat</t>
  </si>
  <si>
    <t>Vergleich mit CSTB Modell</t>
  </si>
  <si>
    <t>Tagesgleichzeitigkeit</t>
  </si>
  <si>
    <t>Tagesgleichzeitigkeit (Arbeitstag)</t>
  </si>
  <si>
    <t>Tagesgleichzeitigkeit (freier Tag)</t>
  </si>
  <si>
    <t>Summe h/d</t>
  </si>
  <si>
    <t>Tagesprofile</t>
  </si>
  <si>
    <t>X</t>
  </si>
  <si>
    <t>gemäss EN 12831; auf Nettobodenfläche bezogen; Lüftungsverluste: bei natürlicher Lüftung max: 0.8 fach; bei mech. Lüftung max: 1.0</t>
  </si>
  <si>
    <t>Volllaststunden (7-18h)</t>
  </si>
  <si>
    <t>Vollaststunden (18-7h)</t>
  </si>
  <si>
    <t>Kommentar 1</t>
  </si>
  <si>
    <t>Kommentar 2</t>
  </si>
  <si>
    <t>Kommentar 3</t>
  </si>
  <si>
    <t>Kommentar 4</t>
  </si>
  <si>
    <t>Kommentar 5</t>
  </si>
  <si>
    <t>Kommentar 6</t>
  </si>
  <si>
    <t>2-stufig</t>
  </si>
  <si>
    <t>Kommentare</t>
  </si>
  <si>
    <r>
      <t>W/m</t>
    </r>
    <r>
      <rPr>
        <vertAlign val="superscript"/>
        <sz val="10"/>
        <rFont val="Arial"/>
        <family val="2"/>
      </rPr>
      <t>2</t>
    </r>
  </si>
  <si>
    <t>365 Tage</t>
  </si>
  <si>
    <t>mit 50% Volumenstrom berechnet</t>
  </si>
  <si>
    <t>"ursprüngl. Formel:  =RUNDEN(($K94*L98)/(L99*L100)*2;0)/2"</t>
  </si>
  <si>
    <t>Lichtverteilcharakteristik: direkt breit</t>
  </si>
  <si>
    <t>Vollaststunden pro Tag mit Präsenzmelder</t>
  </si>
  <si>
    <t>Vollaststunden pro 11h Tag</t>
  </si>
  <si>
    <t>Typ</t>
  </si>
  <si>
    <t>SIA</t>
  </si>
  <si>
    <r>
      <t>Wh/(m</t>
    </r>
    <r>
      <rPr>
        <vertAlign val="superscript"/>
        <sz val="10"/>
        <rFont val="Arial"/>
        <family val="2"/>
      </rPr>
      <t>2</t>
    </r>
    <r>
      <rPr>
        <sz val="10"/>
        <rFont val="Arial"/>
        <family val="2"/>
      </rPr>
      <t>K)</t>
    </r>
  </si>
  <si>
    <t>Nutzung</t>
  </si>
  <si>
    <t>Bezeichnung</t>
  </si>
  <si>
    <r>
      <t>h</t>
    </r>
    <r>
      <rPr>
        <i/>
        <vertAlign val="subscript"/>
        <sz val="10"/>
        <color indexed="63"/>
        <rFont val="Arial"/>
        <family val="2"/>
      </rPr>
      <t>v,Lo</t>
    </r>
  </si>
  <si>
    <t>Lehrerzimmer</t>
  </si>
  <si>
    <t>Selbst.restaurant</t>
  </si>
  <si>
    <r>
      <t>h</t>
    </r>
    <r>
      <rPr>
        <i/>
        <vertAlign val="subscript"/>
        <sz val="11"/>
        <color indexed="63"/>
        <rFont val="Arial"/>
        <family val="2"/>
      </rPr>
      <t>R</t>
    </r>
  </si>
  <si>
    <r>
      <t>h</t>
    </r>
    <r>
      <rPr>
        <i/>
        <vertAlign val="subscript"/>
        <sz val="10"/>
        <color indexed="63"/>
        <rFont val="Arial"/>
        <family val="2"/>
      </rPr>
      <t>v</t>
    </r>
  </si>
  <si>
    <r>
      <t>F</t>
    </r>
    <r>
      <rPr>
        <i/>
        <vertAlign val="subscript"/>
        <sz val="10"/>
        <color indexed="63"/>
        <rFont val="Arial"/>
        <family val="2"/>
      </rPr>
      <t>e</t>
    </r>
  </si>
  <si>
    <r>
      <t>F</t>
    </r>
    <r>
      <rPr>
        <i/>
        <vertAlign val="subscript"/>
        <sz val="10"/>
        <color indexed="63"/>
        <rFont val="Arial"/>
        <family val="2"/>
      </rPr>
      <t>i</t>
    </r>
  </si>
  <si>
    <t>SIA 181</t>
  </si>
  <si>
    <r>
      <t>W/(m</t>
    </r>
    <r>
      <rPr>
        <vertAlign val="superscript"/>
        <sz val="10"/>
        <rFont val="Arial"/>
        <family val="2"/>
      </rPr>
      <t>3</t>
    </r>
    <r>
      <rPr>
        <sz val="10"/>
        <rFont val="Arial"/>
        <family val="2"/>
      </rPr>
      <t>h)</t>
    </r>
  </si>
  <si>
    <r>
      <t>k</t>
    </r>
    <r>
      <rPr>
        <i/>
        <vertAlign val="subscript"/>
        <sz val="10"/>
        <rFont val="Arial"/>
        <family val="2"/>
      </rPr>
      <t>R</t>
    </r>
  </si>
  <si>
    <t>z.B. Pflanzen</t>
  </si>
  <si>
    <r>
      <t>v</t>
    </r>
    <r>
      <rPr>
        <i/>
        <vertAlign val="subscript"/>
        <sz val="10"/>
        <color indexed="63"/>
        <rFont val="Arial"/>
        <family val="2"/>
      </rPr>
      <t>x</t>
    </r>
  </si>
  <si>
    <t>Beleuchtungssteuerung (Stundenmodell)</t>
  </si>
  <si>
    <t>Jahresgleichzeitigkeit (berechnet)</t>
  </si>
  <si>
    <t>Monatsprofil (bisher)</t>
  </si>
  <si>
    <t>Norm Aussentemperatur</t>
  </si>
  <si>
    <r>
      <t>l</t>
    </r>
    <r>
      <rPr>
        <i/>
        <vertAlign val="subscript"/>
        <sz val="11"/>
        <rFont val="Arial"/>
        <family val="2"/>
      </rPr>
      <t>cl</t>
    </r>
  </si>
  <si>
    <t>Wärmebrückenzuschlag auf Gesamt-U-Wert Fassade</t>
  </si>
  <si>
    <r>
      <t>Q</t>
    </r>
    <r>
      <rPr>
        <i/>
        <vertAlign val="subscript"/>
        <sz val="10"/>
        <color indexed="63"/>
        <rFont val="Arial"/>
        <family val="2"/>
      </rPr>
      <t>i</t>
    </r>
  </si>
  <si>
    <t>Länge</t>
  </si>
  <si>
    <r>
      <t>r</t>
    </r>
    <r>
      <rPr>
        <i/>
        <vertAlign val="subscript"/>
        <sz val="10"/>
        <color indexed="63"/>
        <rFont val="Arial"/>
        <family val="2"/>
      </rPr>
      <t>L</t>
    </r>
  </si>
  <si>
    <r>
      <t>kg/m</t>
    </r>
    <r>
      <rPr>
        <vertAlign val="superscript"/>
        <sz val="10"/>
        <color indexed="63"/>
        <rFont val="Arial"/>
        <family val="2"/>
      </rPr>
      <t>3</t>
    </r>
  </si>
  <si>
    <t>Auslegungstemperatur Winter</t>
  </si>
  <si>
    <t>0,7</t>
  </si>
  <si>
    <r>
      <t>p</t>
    </r>
    <r>
      <rPr>
        <i/>
        <vertAlign val="subscript"/>
        <sz val="10"/>
        <rFont val="Arial"/>
        <family val="2"/>
      </rPr>
      <t>SFP</t>
    </r>
  </si>
  <si>
    <r>
      <t>p</t>
    </r>
    <r>
      <rPr>
        <i/>
        <vertAlign val="subscript"/>
        <sz val="10"/>
        <rFont val="Arial"/>
        <family val="2"/>
      </rPr>
      <t>V</t>
    </r>
  </si>
  <si>
    <r>
      <t>t</t>
    </r>
    <r>
      <rPr>
        <i/>
        <vertAlign val="subscript"/>
        <sz val="10"/>
        <rFont val="Arial"/>
        <family val="2"/>
      </rPr>
      <t>V</t>
    </r>
  </si>
  <si>
    <r>
      <t>t</t>
    </r>
    <r>
      <rPr>
        <i/>
        <vertAlign val="subscript"/>
        <sz val="10"/>
        <rFont val="Arial"/>
        <family val="2"/>
      </rPr>
      <t>h</t>
    </r>
  </si>
  <si>
    <r>
      <t>v</t>
    </r>
    <r>
      <rPr>
        <i/>
        <vertAlign val="subscript"/>
        <sz val="10"/>
        <color indexed="63"/>
        <rFont val="Arial"/>
        <family val="2"/>
      </rPr>
      <t>i,min</t>
    </r>
  </si>
  <si>
    <r>
      <t>g/m</t>
    </r>
    <r>
      <rPr>
        <vertAlign val="superscript"/>
        <sz val="10"/>
        <color indexed="63"/>
        <rFont val="Arial"/>
        <family val="2"/>
      </rPr>
      <t>3</t>
    </r>
  </si>
  <si>
    <r>
      <t>v</t>
    </r>
    <r>
      <rPr>
        <i/>
        <vertAlign val="subscript"/>
        <sz val="10"/>
        <color indexed="63"/>
        <rFont val="Arial"/>
        <family val="2"/>
      </rPr>
      <t>e,min</t>
    </r>
  </si>
  <si>
    <r>
      <t>H</t>
    </r>
    <r>
      <rPr>
        <i/>
        <vertAlign val="subscript"/>
        <sz val="10"/>
        <rFont val="Arial"/>
        <family val="2"/>
      </rPr>
      <t>T</t>
    </r>
  </si>
  <si>
    <r>
      <t>H</t>
    </r>
    <r>
      <rPr>
        <i/>
        <vertAlign val="subscript"/>
        <sz val="10"/>
        <rFont val="Arial"/>
        <family val="2"/>
      </rPr>
      <t>V</t>
    </r>
  </si>
  <si>
    <t>t</t>
  </si>
  <si>
    <r>
      <t>C</t>
    </r>
    <r>
      <rPr>
        <i/>
        <vertAlign val="subscript"/>
        <sz val="10"/>
        <color indexed="63"/>
        <rFont val="Arial"/>
        <family val="2"/>
      </rPr>
      <t>m</t>
    </r>
  </si>
  <si>
    <r>
      <t>t</t>
    </r>
    <r>
      <rPr>
        <i/>
        <vertAlign val="subscript"/>
        <sz val="10"/>
        <color indexed="63"/>
        <rFont val="Arial"/>
        <family val="2"/>
      </rPr>
      <t>ud</t>
    </r>
  </si>
  <si>
    <r>
      <t>t</t>
    </r>
    <r>
      <rPr>
        <i/>
        <vertAlign val="subscript"/>
        <sz val="10"/>
        <color indexed="63"/>
        <rFont val="Arial"/>
        <family val="2"/>
      </rPr>
      <t>un</t>
    </r>
  </si>
  <si>
    <r>
      <t>f</t>
    </r>
    <r>
      <rPr>
        <i/>
        <vertAlign val="subscript"/>
        <sz val="10"/>
        <color indexed="63"/>
        <rFont val="Arial"/>
        <family val="2"/>
      </rPr>
      <t>g</t>
    </r>
  </si>
  <si>
    <r>
      <t>Wh/(m</t>
    </r>
    <r>
      <rPr>
        <vertAlign val="superscript"/>
        <sz val="10"/>
        <rFont val="Arial"/>
        <family val="2"/>
      </rPr>
      <t>2</t>
    </r>
    <r>
      <rPr>
        <sz val="10"/>
        <rFont val="Symbol"/>
        <family val="1"/>
        <charset val="2"/>
      </rPr>
      <t>×</t>
    </r>
    <r>
      <rPr>
        <sz val="10"/>
        <rFont val="Arial"/>
        <family val="2"/>
      </rPr>
      <t>K)</t>
    </r>
  </si>
  <si>
    <r>
      <t>g/(h</t>
    </r>
    <r>
      <rPr>
        <sz val="10"/>
        <color indexed="63"/>
        <rFont val="Symbol"/>
        <family val="1"/>
        <charset val="2"/>
      </rPr>
      <t>×</t>
    </r>
    <r>
      <rPr>
        <sz val="10"/>
        <color indexed="63"/>
        <rFont val="Arial"/>
        <family val="2"/>
      </rPr>
      <t>m</t>
    </r>
    <r>
      <rPr>
        <vertAlign val="superscript"/>
        <sz val="10"/>
        <color indexed="63"/>
        <rFont val="Arial"/>
        <family val="2"/>
      </rPr>
      <t>2</t>
    </r>
    <r>
      <rPr>
        <sz val="10"/>
        <color indexed="63"/>
        <rFont val="Arial"/>
        <family val="2"/>
      </rPr>
      <t>)</t>
    </r>
  </si>
  <si>
    <r>
      <t>m</t>
    </r>
    <r>
      <rPr>
        <vertAlign val="superscript"/>
        <sz val="10"/>
        <color indexed="63"/>
        <rFont val="Arial"/>
        <family val="2"/>
      </rPr>
      <t>3</t>
    </r>
    <r>
      <rPr>
        <sz val="10"/>
        <color indexed="63"/>
        <rFont val="Arial"/>
        <family val="2"/>
      </rPr>
      <t>/(h</t>
    </r>
    <r>
      <rPr>
        <sz val="10"/>
        <color indexed="63"/>
        <rFont val="Symbol"/>
        <family val="1"/>
        <charset val="2"/>
      </rPr>
      <t>×</t>
    </r>
    <r>
      <rPr>
        <sz val="10"/>
        <color indexed="63"/>
        <rFont val="Arial"/>
        <family val="2"/>
      </rPr>
      <t>m</t>
    </r>
    <r>
      <rPr>
        <vertAlign val="superscript"/>
        <sz val="10"/>
        <color indexed="63"/>
        <rFont val="Arial"/>
        <family val="2"/>
      </rPr>
      <t>2</t>
    </r>
    <r>
      <rPr>
        <sz val="10"/>
        <color indexed="63"/>
        <rFont val="Arial"/>
        <family val="2"/>
      </rPr>
      <t>)</t>
    </r>
  </si>
  <si>
    <t>- Im Kindergarten Beleuchtungsstärke 300 lx</t>
  </si>
  <si>
    <t>- Im Musikzimmer erhöhter Schallschutz</t>
  </si>
  <si>
    <t>- Im Direktionsbüro erhöhter Schallschutz</t>
  </si>
  <si>
    <t>- Im Schlafzimmer erhöhter Schallschutz</t>
  </si>
  <si>
    <t>- Im Lesebereich Beleuchtungsstärke 500 lx</t>
  </si>
  <si>
    <t>- Bühnenbereich des Theaters mit speziellen Anforderungen</t>
  </si>
  <si>
    <t>- Für einfache Untersuchungen Beleuchtungsstärke 300 lx</t>
  </si>
  <si>
    <t>- Verpackungsbereich mit speziellen Anforderungen</t>
  </si>
  <si>
    <t>- Für Wettkampfsport Beleuchtungsstärke 500 lx und erhöhter Luftwechsel</t>
  </si>
  <si>
    <t>- Je nach Hauptnutzung unterschiedliche Luftwechsel</t>
  </si>
  <si>
    <r>
      <t>h</t>
    </r>
    <r>
      <rPr>
        <i/>
        <vertAlign val="subscript"/>
        <sz val="10"/>
        <color indexed="63"/>
        <rFont val="Arial"/>
        <family val="2"/>
      </rPr>
      <t>rec,</t>
    </r>
    <r>
      <rPr>
        <i/>
        <vertAlign val="subscript"/>
        <sz val="10"/>
        <color indexed="63"/>
        <rFont val="Symbol"/>
        <family val="1"/>
        <charset val="2"/>
      </rPr>
      <t>j</t>
    </r>
  </si>
  <si>
    <r>
      <t>h</t>
    </r>
    <r>
      <rPr>
        <i/>
        <vertAlign val="subscript"/>
        <sz val="10"/>
        <rFont val="Arial"/>
        <family val="2"/>
      </rPr>
      <t>rec,</t>
    </r>
    <r>
      <rPr>
        <i/>
        <vertAlign val="subscript"/>
        <sz val="10"/>
        <rFont val="Symbol"/>
        <family val="1"/>
        <charset val="2"/>
      </rPr>
      <t>q</t>
    </r>
  </si>
  <si>
    <t>stufenlos</t>
  </si>
  <si>
    <t>1-stufig</t>
  </si>
  <si>
    <t>Anlagentyp</t>
  </si>
  <si>
    <t/>
  </si>
  <si>
    <t>Nutzung mit Klimatisierung</t>
  </si>
  <si>
    <t>Empfang, Lobby</t>
  </si>
  <si>
    <t>Einzel-, Gruppenbüro</t>
  </si>
  <si>
    <t>Schalterhalle, Empfang</t>
  </si>
  <si>
    <t>Küche zu Restaurant</t>
  </si>
  <si>
    <t>Küche zu Selbstbedienungsrest.</t>
  </si>
  <si>
    <t xml:space="preserve">WC, Bad, Dusche </t>
  </si>
  <si>
    <t>keine Lüftungsanlage</t>
  </si>
  <si>
    <t>24h</t>
  </si>
  <si>
    <t>Stationszimmer</t>
  </si>
  <si>
    <t>23</t>
  </si>
  <si>
    <t>Raumklima</t>
  </si>
  <si>
    <t>- Tiefkühlraum -18°C</t>
  </si>
  <si>
    <r>
      <t>g/(h·m</t>
    </r>
    <r>
      <rPr>
        <vertAlign val="superscript"/>
        <sz val="10"/>
        <rFont val="Arial"/>
        <family val="2"/>
      </rPr>
      <t>2</t>
    </r>
    <r>
      <rPr>
        <sz val="10"/>
        <rFont val="Arial"/>
        <family val="2"/>
      </rPr>
      <t>)</t>
    </r>
  </si>
  <si>
    <r>
      <t>z</t>
    </r>
    <r>
      <rPr>
        <i/>
        <vertAlign val="subscript"/>
        <sz val="10"/>
        <rFont val="Arial"/>
        <family val="2"/>
      </rPr>
      <t>g</t>
    </r>
  </si>
  <si>
    <t>–</t>
  </si>
  <si>
    <t>m2</t>
  </si>
  <si>
    <t>Raum-Hüllzahl</t>
  </si>
  <si>
    <t>Eckraum mit Dach</t>
  </si>
  <si>
    <t>Hüllfläche - Netto</t>
  </si>
  <si>
    <t>Hüllfläche - brutto</t>
  </si>
  <si>
    <t>Basisdaten Raumabmessung und Hüllzahlen</t>
  </si>
  <si>
    <t>Raum mit 
1 Fassade</t>
  </si>
  <si>
    <t>Eckraum 
(2 Fassaden)</t>
  </si>
  <si>
    <t>Raum mit 
3 Fassaden</t>
  </si>
  <si>
    <t>Raum mit 
4 Fassaden</t>
  </si>
  <si>
    <t>Küche, Teeküche</t>
  </si>
  <si>
    <t>Vol.Strom/Elektr.</t>
  </si>
  <si>
    <t>Vol.Strom</t>
  </si>
  <si>
    <t>Elektr.</t>
  </si>
  <si>
    <t>anhand Bruttoflächen</t>
  </si>
  <si>
    <t>MFH</t>
  </si>
  <si>
    <t>Verwaltung</t>
  </si>
  <si>
    <t>Schulen</t>
  </si>
  <si>
    <t>Restaurants</t>
  </si>
  <si>
    <t>Versammlungslokale</t>
  </si>
  <si>
    <t>Spitäler</t>
  </si>
  <si>
    <t>Lager</t>
  </si>
  <si>
    <t>Sportbauten</t>
  </si>
  <si>
    <t>Hallenbäder</t>
  </si>
  <si>
    <t>SIA 2031 - Gebäudehüllzahl</t>
  </si>
  <si>
    <t>SIA 2031 - Nutzung</t>
  </si>
  <si>
    <t>1.3 / 2</t>
  </si>
  <si>
    <t>Kommentar</t>
  </si>
  <si>
    <t>Arbeitstag</t>
  </si>
  <si>
    <t>Woche</t>
  </si>
  <si>
    <t>Jahr (bisher)</t>
  </si>
  <si>
    <t>Jahr (neu)</t>
  </si>
  <si>
    <t>Monatsgleichzeitigkeit</t>
  </si>
  <si>
    <t>Solarstrahlung</t>
  </si>
  <si>
    <t>Tageslicht</t>
  </si>
  <si>
    <t>Ohne SoSch</t>
  </si>
  <si>
    <t>Mit SoSch</t>
  </si>
  <si>
    <t>Wochenprofile</t>
  </si>
  <si>
    <t>Arbeitstage pro Woche</t>
  </si>
  <si>
    <t>Stand-by</t>
  </si>
  <si>
    <t>Achsbeschr</t>
  </si>
  <si>
    <t>Wochentag</t>
  </si>
  <si>
    <t>Jahresprofile</t>
  </si>
  <si>
    <t>neues Monatsprofil</t>
  </si>
  <si>
    <t>Monatstag</t>
  </si>
  <si>
    <t>Jahrestag</t>
  </si>
  <si>
    <t>Monatsgleich.</t>
  </si>
  <si>
    <t xml:space="preserve">1-stufig </t>
  </si>
  <si>
    <t>Produkt</t>
  </si>
  <si>
    <t>Wochenprofil (1. Tag Samstag)</t>
  </si>
  <si>
    <t>Sa</t>
  </si>
  <si>
    <t>So</t>
  </si>
  <si>
    <t>Mo</t>
  </si>
  <si>
    <t>Di</t>
  </si>
  <si>
    <t>Mi</t>
  </si>
  <si>
    <t>Do</t>
  </si>
  <si>
    <t>Fr</t>
  </si>
  <si>
    <t>Neu</t>
  </si>
  <si>
    <t>Bisher</t>
  </si>
  <si>
    <t>Wochenprofil (Anwesenheit)</t>
  </si>
  <si>
    <t>bisheriges</t>
  </si>
  <si>
    <t>Wähle Monatsgleichzeitigkeit:</t>
  </si>
  <si>
    <t>für Grafik</t>
  </si>
  <si>
    <t>Elektrisch</t>
  </si>
  <si>
    <t>Anwesenheit</t>
  </si>
  <si>
    <t xml:space="preserve">2-stufig </t>
  </si>
  <si>
    <t>Volllast-Std.</t>
  </si>
  <si>
    <t>Bodenfläche * Hüllzahl abzgl. Fensterfläche (Achtung umrechnung Bodenfläche von Netto- auf Bruttofläche 0.85)</t>
  </si>
  <si>
    <t>Hüllzahl MB 2024</t>
  </si>
  <si>
    <t>SIA 380/1 Systemanforderungen</t>
  </si>
  <si>
    <t>Qh,li0</t>
  </si>
  <si>
    <t>dQh,li</t>
  </si>
  <si>
    <t>MJ/m2</t>
  </si>
  <si>
    <r>
      <t>Hüllfläche - brutto (A</t>
    </r>
    <r>
      <rPr>
        <vertAlign val="subscript"/>
        <sz val="10"/>
        <rFont val="Arial"/>
        <family val="2"/>
      </rPr>
      <t>th</t>
    </r>
    <r>
      <rPr>
        <sz val="10"/>
        <rFont val="Arial"/>
        <family val="2"/>
      </rPr>
      <t>)</t>
    </r>
  </si>
  <si>
    <t>Summe aus spez. Wärmelasten Pers., Geräte und Beleuchtung inkl. Akzentbel.</t>
  </si>
  <si>
    <t>EBF = Raumfläche / 0.9</t>
  </si>
  <si>
    <t>Spez. Leistung * Tagesvolllaststunden</t>
  </si>
  <si>
    <t>Verkehrsfläche 24 h</t>
  </si>
  <si>
    <t>m3/m2.h</t>
  </si>
  <si>
    <r>
      <t xml:space="preserve"> V/A</t>
    </r>
    <r>
      <rPr>
        <i/>
        <vertAlign val="subscript"/>
        <sz val="10"/>
        <rFont val="Arial"/>
        <family val="2"/>
      </rPr>
      <t>E</t>
    </r>
  </si>
  <si>
    <t>Heizwärmebedarf Basiswert SIA 380/1</t>
  </si>
  <si>
    <t>Steigungsfaktor Grenzwert Heizwärmebedarf SIA 380/1</t>
  </si>
  <si>
    <t xml:space="preserve"> Jährliche Betriebsstunden (Vol.Strom)</t>
  </si>
  <si>
    <t>Bestand</t>
  </si>
  <si>
    <t>Kimakälte-bedarf</t>
  </si>
  <si>
    <t>Leistungs-bedarf</t>
  </si>
  <si>
    <t>Kälte: Leistungs- und Energiebedarf</t>
  </si>
  <si>
    <t>Aussenlufttemp.</t>
  </si>
  <si>
    <t>Designday August SMA</t>
  </si>
  <si>
    <t>°C x10</t>
  </si>
  <si>
    <t>aus Daten in Tabelle "Profil"</t>
  </si>
  <si>
    <t>Einfache Lüftungsanlage</t>
  </si>
  <si>
    <t>Einfache Klimaanlage</t>
  </si>
  <si>
    <t>LA mit Lufterwärmung</t>
  </si>
  <si>
    <t>Klimaanlage mit Luftbe- und -entfeuchtung</t>
  </si>
  <si>
    <t>Einfache Abluftanlage</t>
  </si>
  <si>
    <t>Raumkühlung</t>
  </si>
  <si>
    <t>Raumheizung</t>
  </si>
  <si>
    <t>Energie- und Leistungsbedarf</t>
  </si>
  <si>
    <t>Warmwasser</t>
  </si>
  <si>
    <t>Nettogeschossfläche</t>
  </si>
  <si>
    <t>Personenprofil (Nutzungstag)</t>
  </si>
  <si>
    <t>pro Nettobodenfläche</t>
  </si>
  <si>
    <t>Eingabe</t>
  </si>
  <si>
    <t>Ergebnisse</t>
  </si>
  <si>
    <t>Gebäudekategorie</t>
  </si>
  <si>
    <t>GebKat</t>
  </si>
  <si>
    <t>Energetisches Standard</t>
  </si>
  <si>
    <t xml:space="preserve">thermische Gebäudehüllfläche </t>
  </si>
  <si>
    <t>Gebäudehüllzahl</t>
  </si>
  <si>
    <t>Verhältnis Fenster-/Türflächen zur GF beheizt</t>
  </si>
  <si>
    <t xml:space="preserve">Fenster/GF </t>
  </si>
  <si>
    <t>Verhältnis Fenster-/Türfläche zu Fassadenfläche</t>
  </si>
  <si>
    <t>Fenster/AW</t>
  </si>
  <si>
    <t>Fläche</t>
  </si>
  <si>
    <t>Aussenwand zu Erdreich</t>
  </si>
  <si>
    <t>E3beheizt</t>
  </si>
  <si>
    <t>Aussenwand zu Aussenluft</t>
  </si>
  <si>
    <t>E4beheizt</t>
  </si>
  <si>
    <t>Fenster gesamt</t>
  </si>
  <si>
    <t>E5total</t>
  </si>
  <si>
    <t>Fenster Nord</t>
  </si>
  <si>
    <t>Fenster Ost</t>
  </si>
  <si>
    <t>Fenster Süd</t>
  </si>
  <si>
    <t>Fenster West</t>
  </si>
  <si>
    <t>Dachfenster</t>
  </si>
  <si>
    <t>Dach</t>
  </si>
  <si>
    <t>DAFbeheizt</t>
  </si>
  <si>
    <t>Boden gegen Erdreich und unbeheizt</t>
  </si>
  <si>
    <t>BodenErdeF</t>
  </si>
  <si>
    <t>Eingabe Parameter</t>
  </si>
  <si>
    <t>Th. Wirk.r Aussenluftvo.strom mechanisch</t>
  </si>
  <si>
    <t>V'/EBF mech</t>
  </si>
  <si>
    <t>m3/m2h</t>
  </si>
  <si>
    <t>Bauweise: Wärmespeicherfähigkeit pro EBF</t>
  </si>
  <si>
    <t>CEBF</t>
  </si>
  <si>
    <t>MJ/(m2*K)</t>
  </si>
  <si>
    <t>Abminderungsfaktoren für Fensterrahmen</t>
  </si>
  <si>
    <t>G-Wert Fenster</t>
  </si>
  <si>
    <t>G_E5</t>
  </si>
  <si>
    <t>Wärmebrückenzuschlag:</t>
  </si>
  <si>
    <t>WBZuschlag</t>
  </si>
  <si>
    <t>Kennwerte abhängig von Gebäudekategorie</t>
  </si>
  <si>
    <t>Deckungsgrad</t>
  </si>
  <si>
    <t>thermisch wirksamer Aussenluft-Volumenstrom natürlich</t>
  </si>
  <si>
    <t>V'/EBF nat</t>
  </si>
  <si>
    <t>Innentemperatur</t>
  </si>
  <si>
    <t>AP</t>
  </si>
  <si>
    <t>m2/P</t>
  </si>
  <si>
    <t>Transmissionswärmeverlust QT:</t>
  </si>
  <si>
    <t>Wärmeabgabe</t>
  </si>
  <si>
    <t>QP</t>
  </si>
  <si>
    <t>W/P</t>
  </si>
  <si>
    <t>Lüftungswärmeverlust QV:</t>
  </si>
  <si>
    <t>Präsenzzeit pro Tag</t>
  </si>
  <si>
    <t>tP</t>
  </si>
  <si>
    <t>Genutzte Wärmegewinne Qug:</t>
  </si>
  <si>
    <t>Elektrizitätsverbrauch pro Jahr</t>
  </si>
  <si>
    <t>QE</t>
  </si>
  <si>
    <t>Heizwärmebedarf Qh inkl. WB Zuschlag:</t>
  </si>
  <si>
    <t>Reduktionsfaktor Elektrizitätsverbrauch</t>
  </si>
  <si>
    <t>fE</t>
  </si>
  <si>
    <t>Wärmebedarf für Warmwasser pro Jahr und EBF</t>
  </si>
  <si>
    <t>QWW</t>
  </si>
  <si>
    <t>Konstante (für Ausnutzung Wärmegewinne)</t>
  </si>
  <si>
    <t>a0</t>
  </si>
  <si>
    <t>Konstante t0 (für Ausnutzung Wärmegewinne)</t>
  </si>
  <si>
    <t>tau0</t>
  </si>
  <si>
    <t>WW</t>
  </si>
  <si>
    <t>Legende</t>
  </si>
  <si>
    <t>Aus Flächentabelle</t>
  </si>
  <si>
    <t>Randbedingungen, Gebäude Kategorie</t>
  </si>
  <si>
    <t>Randbedingungen, Gebäude Standard</t>
  </si>
  <si>
    <t>feste Paramter</t>
  </si>
  <si>
    <t>Sonstiges</t>
  </si>
  <si>
    <t>Reduktionsfaktor Boden gegen Erdreich</t>
  </si>
  <si>
    <t xml:space="preserve">Reduktionsfaktor Boden g. Unbeheizt </t>
  </si>
  <si>
    <t>b</t>
  </si>
  <si>
    <t>Reduktionsfaktor Wand gegen Erdreich</t>
  </si>
  <si>
    <t>korrig. Raumtemp. (Raumtemp. qi  + Regelungszuschlag Dqi )</t>
  </si>
  <si>
    <t>Thetai</t>
  </si>
  <si>
    <t>(Innen-) Temperaturzuschlag wegen Bodenheizung</t>
  </si>
  <si>
    <t>deltaThetahmax</t>
  </si>
  <si>
    <t>Höhenlage in Meter über Meer</t>
  </si>
  <si>
    <t>HueM</t>
  </si>
  <si>
    <t>Horizont (Topographie + andere Gebäude)</t>
  </si>
  <si>
    <t>Maximale Vorlauftemperatur Bodenheizung</t>
  </si>
  <si>
    <t>Regelungszuschlag</t>
  </si>
  <si>
    <t>Boden gegen unbeheizt</t>
  </si>
  <si>
    <t>BodenUnb</t>
  </si>
  <si>
    <t>LÖSCHEN</t>
  </si>
  <si>
    <t>Decke nach aussen</t>
  </si>
  <si>
    <t>gedaemmteDecke</t>
  </si>
  <si>
    <t>Gebäudekategorien</t>
  </si>
  <si>
    <t>Nutzungsbeispiele</t>
  </si>
  <si>
    <t>Zürich SMA</t>
  </si>
  <si>
    <t>Mär</t>
  </si>
  <si>
    <t>Jahr</t>
  </si>
  <si>
    <t>Tage im Monat :</t>
  </si>
  <si>
    <t>Tage</t>
  </si>
  <si>
    <t>I:   Wohnen MFH</t>
  </si>
  <si>
    <t>Mehrfamilienhäuser, Alterssiedlungen und -wohnungen, Hotels, Mehrfamilien-Ferienhäuser, Heime, Drogenstationen, Kasernen, Strafanstalten</t>
  </si>
  <si>
    <t>Mitteltemp. Heizperiode Thetae :</t>
  </si>
  <si>
    <t>II:  Wohnen EFH</t>
  </si>
  <si>
    <t>Ein- und Zweifamilienhäuser, Ein- und Zweifamilien-Ferienhäuser, Reihen-Einfamilienhäuser</t>
  </si>
  <si>
    <t>Globalstrahlung horizontal :</t>
  </si>
  <si>
    <t>MJ/m2a</t>
  </si>
  <si>
    <t>III: Verwaltung</t>
  </si>
  <si>
    <t>priv. und öff. Bürobauten, Schalterhallen, Arztpraxen, Bibliotheken, Ateliers, Ausstellungsbauten, Kulturzentren, Fernsehgebäude, Filmstudios</t>
  </si>
  <si>
    <t>Globalstrahlung Süd:</t>
  </si>
  <si>
    <t>IV:  Schulen</t>
  </si>
  <si>
    <t>Schulen aller Stufen, Kindergärten, Ausbildungszentren, Kongressgebäude, Labors, Forschungsinstitute, Gemeinschaftsräume, Freizeitanlagen</t>
  </si>
  <si>
    <t>Globalstrahlung Ost:</t>
  </si>
  <si>
    <t>V:  Verkauf</t>
  </si>
  <si>
    <t>Verkaufsräume aller Art inkl. Einkaufszentren, Messegebäude</t>
  </si>
  <si>
    <t>Globalstrahlung West:</t>
  </si>
  <si>
    <t>VI:  Restaurants</t>
  </si>
  <si>
    <t>Restaurants (inkl. Küchen), Cafeterias, Kantinen, Dancings, Diskotheken</t>
  </si>
  <si>
    <t>Globalstrahlung Nord :</t>
  </si>
  <si>
    <t>VII: Versammlungslokale</t>
  </si>
  <si>
    <t>Theater, Konzertsäle, Kinos, Kirchen, Abdankungshallen, Aulas, Sporthallen mit viel Publikum</t>
  </si>
  <si>
    <t>VIII: Spitäler</t>
  </si>
  <si>
    <t>Spitäler, psychiatrische Kliniken, Krankenheime, Altersheime, Rehabilitationszentren, Behandlungsräume</t>
  </si>
  <si>
    <t>IX:   Industrie</t>
  </si>
  <si>
    <t>Fabrikationsgebäude, Gewerbebauten, Werkstätten, Servicestationen, Werkhöfe, Bahnhöfe, Feuerwehrgebäude</t>
  </si>
  <si>
    <t>F: Transmissionswärmeverlust:</t>
  </si>
  <si>
    <t>X:    Lager</t>
  </si>
  <si>
    <t>Lagerhallen, Verteilzentren</t>
  </si>
  <si>
    <t>Dach gegen aussen :</t>
  </si>
  <si>
    <t>XI:   Sportbauten</t>
  </si>
  <si>
    <t>Turn- und Sporthallen, Gymnastikräume, Tennishallen, Kegelbahnen, Fitnesszentren, Sportgarderobengebäude</t>
  </si>
  <si>
    <t>Wand gegen Erdreich:</t>
  </si>
  <si>
    <t>XII:  Hallenbäder</t>
  </si>
  <si>
    <t>Hallenbäder, Lehrschwimmbecken, Saunagebäude, Heilbäder</t>
  </si>
  <si>
    <t>Wand gegen aussen :</t>
  </si>
  <si>
    <t>Boden gegen Erdreich und unbeheizt :</t>
  </si>
  <si>
    <t>I</t>
  </si>
  <si>
    <t>II</t>
  </si>
  <si>
    <t>III</t>
  </si>
  <si>
    <t>IV</t>
  </si>
  <si>
    <t>V</t>
  </si>
  <si>
    <t>VI</t>
  </si>
  <si>
    <t>VII</t>
  </si>
  <si>
    <t>VIII</t>
  </si>
  <si>
    <t>IX</t>
  </si>
  <si>
    <t>XI</t>
  </si>
  <si>
    <t>XII</t>
  </si>
  <si>
    <t>Decken gegen aussen (in Dach beinhaltet)</t>
  </si>
  <si>
    <t>Verwal-</t>
  </si>
  <si>
    <t>Restau-</t>
  </si>
  <si>
    <t>Versamm-</t>
  </si>
  <si>
    <t>Sport-</t>
  </si>
  <si>
    <t>Hallen-</t>
  </si>
  <si>
    <t>Fenster:</t>
  </si>
  <si>
    <t>EFH</t>
  </si>
  <si>
    <t>tung</t>
  </si>
  <si>
    <t>rants</t>
  </si>
  <si>
    <t>lungs-</t>
  </si>
  <si>
    <t>bauten</t>
  </si>
  <si>
    <t>bäder</t>
  </si>
  <si>
    <t>Boden gegen unbeheizt (in Boden gegen Erdreich und unbeheizt zusammengefasst)</t>
  </si>
  <si>
    <t>lokale</t>
  </si>
  <si>
    <t>G: Lüftungswärmeverlust:</t>
  </si>
  <si>
    <t>H: Gesamtwärmeverlust:</t>
  </si>
  <si>
    <t>Gesamtwärmeverlust Qt:</t>
  </si>
  <si>
    <t>I: Wärmegewinn:</t>
  </si>
  <si>
    <t>Wärmegewinn Elektrizität QiE:</t>
  </si>
  <si>
    <t>Aussenluft-Volumenstrom</t>
  </si>
  <si>
    <t>Wärmegewinn Personen QiP:</t>
  </si>
  <si>
    <t>Wärmebedarf für Warmwasser pro Jahr</t>
  </si>
  <si>
    <t>Interne Wärmegewinne Qi:</t>
  </si>
  <si>
    <t>Solarer Wärmegewinn total Qs:</t>
  </si>
  <si>
    <t>SIA-Grenzwerte für den Heizwärmebedarf pro Jahr von Neu- und Altbauten (bei 8.5°C Jahresmitteltemperatur) und Ausnutzungsgrade ao und to</t>
  </si>
  <si>
    <t>Wärmegewinne total Qg:</t>
  </si>
  <si>
    <t>a:</t>
  </si>
  <si>
    <t>Grenzwerte Hg</t>
  </si>
  <si>
    <t>Auswahl</t>
  </si>
  <si>
    <t>Hg0</t>
  </si>
  <si>
    <t>K: Heizwärmebedarf:</t>
  </si>
  <si>
    <t>Qh, li (inkl. WBZuschlag)</t>
  </si>
  <si>
    <t>t0</t>
  </si>
  <si>
    <t>Grenzwert SIA Neubau</t>
  </si>
  <si>
    <t>Grenzwert SIA Altbau</t>
  </si>
  <si>
    <t>Energiebilanz mit mechanischer Lüftung</t>
  </si>
  <si>
    <t>MINERGIE / MINERGIE-P für Neu- und Altbau</t>
  </si>
  <si>
    <t>Boden gegen Erdreich :</t>
  </si>
  <si>
    <t>Grenzwert Minergie</t>
  </si>
  <si>
    <t>Decken gegen aussen: (in Dach beinhaltet)</t>
  </si>
  <si>
    <t>Grenzwert Minergie Neubau</t>
  </si>
  <si>
    <t>Grenzwert Minergie Altbau</t>
  </si>
  <si>
    <t>Boden gegen unbeheizt (in Boden gegen Erdreich beinhaltet)</t>
  </si>
  <si>
    <t>Grenzwert Minergie-P Neubau</t>
  </si>
  <si>
    <t>Grenzwert Minergie-P Altbau</t>
  </si>
  <si>
    <t>Heizwärmebedarf Qh, eff mit Wärmebrückenzuschlag:</t>
  </si>
  <si>
    <t>MINERGIE</t>
  </si>
  <si>
    <t>Projekt</t>
  </si>
  <si>
    <t>Endenergie, gewichtet</t>
  </si>
  <si>
    <t xml:space="preserve">Wärmeerzeugung: </t>
  </si>
  <si>
    <t>Nr</t>
  </si>
  <si>
    <t>Nutzungsgrad</t>
  </si>
  <si>
    <t>Gewichtung</t>
  </si>
  <si>
    <t xml:space="preserve">Wärmeerzeuger </t>
  </si>
  <si>
    <t>gew. Strom Lüftung:</t>
  </si>
  <si>
    <t>Strom ungewichtet für die Lüftung 3kWh/m2</t>
  </si>
  <si>
    <t>Minergie-Wert:</t>
  </si>
  <si>
    <t>Ölfeuerung</t>
  </si>
  <si>
    <t>Ölfeuerung kondensierend nur Heizung</t>
  </si>
  <si>
    <t>Ölfeuerung kondensierend nur Warmwasser</t>
  </si>
  <si>
    <t>Gasfeuerung</t>
  </si>
  <si>
    <t>Gasfeuerung kondensierend nur Heizung</t>
  </si>
  <si>
    <t>Gasfeuerung kondensierend nur Warmwasser</t>
  </si>
  <si>
    <t>Gas - Wassererwärmer</t>
  </si>
  <si>
    <t>Holzfeuerung</t>
  </si>
  <si>
    <t>Pelletfeuerung</t>
  </si>
  <si>
    <t>Fernwärme (aus KVA, ARA, Industrie) resp. Abwärme</t>
  </si>
  <si>
    <t>Elektrospeicher-Zentralheizung</t>
  </si>
  <si>
    <t>Elektro direkt</t>
  </si>
  <si>
    <t>Elektro-Wassererwärmer</t>
  </si>
  <si>
    <t>Wärmepumpe Aussenluft, nur Heizung</t>
  </si>
  <si>
    <t>Wärmepumpe, Aussenluft, nur Warmwasser</t>
  </si>
  <si>
    <t>Wärmepumpe, Erdwärmesonde, nur Heizung</t>
  </si>
  <si>
    <t>Wärmepumpe, Erdwärmesonde, nur Warmwasser</t>
  </si>
  <si>
    <t>Wärmepumpe, Abwasser, nur Heizung</t>
  </si>
  <si>
    <t>Wärmepumpe, Abwasser, nur Warmwasser</t>
  </si>
  <si>
    <t>Wasser-Wärmepumpe, nur Heizung</t>
  </si>
  <si>
    <t>Wasser-Wärmepumpe, nur Warmwasser</t>
  </si>
  <si>
    <t>Wärmepumpe, Grundwasser, direkt, nur Heizung</t>
  </si>
  <si>
    <t>Wärmepumpe, Grundwasser, direkt, nur Warmwasser</t>
  </si>
  <si>
    <t>Wärmepumpe, Grundwasser, indirekt, nur Heizung</t>
  </si>
  <si>
    <t>Wärmepumpe, Grundwasser, indirekt, nur Warmwaser</t>
  </si>
  <si>
    <t>Wärmepumpe Erdregister, nur Heizung</t>
  </si>
  <si>
    <t>Wärmepumpe Erdregister, nur Warmwasser</t>
  </si>
  <si>
    <t>Lüftungsgerät mit Abluft / Zuluft - Wärmepumpe plus WRG</t>
  </si>
  <si>
    <t>Lüftungsgerät mit Abluft / Zuluft - Wärmepumpe ohne WRG</t>
  </si>
  <si>
    <t>Lüftungsgerät mit Abluft-Wärmepumpe (keine Zuluft)</t>
  </si>
  <si>
    <t>Kompakt-WP mit Zu- &amp; Abluft / WW plus WRG</t>
  </si>
  <si>
    <t>Kompakt-WP mit Zu- &amp; Abluft / WW ohne WRG (nur Heizung)</t>
  </si>
  <si>
    <t>Kompakt-WP mit Zu- &amp; Abluft / WW ohne WRG (nur WW)</t>
  </si>
  <si>
    <t>Solarenergie thermisch, nur Heizung</t>
  </si>
  <si>
    <t>Solarenergie thermisch, nur Warmwasser</t>
  </si>
  <si>
    <t>Solarenergie thermisch, Heizung + WW</t>
  </si>
  <si>
    <t>Berechnung Heizwärmebedarf nach SIA 380/1</t>
  </si>
  <si>
    <t>Wärmegewinn-/Verlust-Verhältnis g:</t>
  </si>
  <si>
    <t>Zeitkonstante t:</t>
  </si>
  <si>
    <t>Ausnutzungsgrad f. Wärmegew. hg:</t>
  </si>
  <si>
    <r>
      <t xml:space="preserve"> F</t>
    </r>
    <r>
      <rPr>
        <vertAlign val="subscript"/>
        <sz val="10"/>
        <rFont val="Arial"/>
        <family val="2"/>
      </rPr>
      <t>F</t>
    </r>
  </si>
  <si>
    <r>
      <t>b</t>
    </r>
    <r>
      <rPr>
        <vertAlign val="subscript"/>
        <sz val="10"/>
        <rFont val="Arial"/>
        <family val="2"/>
      </rPr>
      <t>GF</t>
    </r>
  </si>
  <si>
    <r>
      <t>b</t>
    </r>
    <r>
      <rPr>
        <vertAlign val="subscript"/>
        <sz val="10"/>
        <rFont val="Arial"/>
        <family val="2"/>
      </rPr>
      <t>GW</t>
    </r>
  </si>
  <si>
    <r>
      <t>F</t>
    </r>
    <r>
      <rPr>
        <vertAlign val="subscript"/>
        <sz val="10"/>
        <rFont val="Arial"/>
        <family val="2"/>
      </rPr>
      <t>S1</t>
    </r>
  </si>
  <si>
    <r>
      <t>q</t>
    </r>
    <r>
      <rPr>
        <vertAlign val="subscript"/>
        <sz val="10"/>
        <rFont val="Arial"/>
        <family val="2"/>
      </rPr>
      <t>h,max</t>
    </r>
  </si>
  <si>
    <r>
      <t>Dq</t>
    </r>
    <r>
      <rPr>
        <vertAlign val="subscript"/>
        <sz val="10"/>
        <rFont val="Arial"/>
        <family val="2"/>
      </rPr>
      <t>i,g</t>
    </r>
  </si>
  <si>
    <r>
      <t>DH</t>
    </r>
    <r>
      <rPr>
        <vertAlign val="subscript"/>
        <sz val="10"/>
        <rFont val="Arial"/>
        <family val="2"/>
      </rPr>
      <t>g</t>
    </r>
  </si>
  <si>
    <t>SIA 380/1</t>
  </si>
  <si>
    <t>Gebäudekategorie nach SIA 380/1</t>
  </si>
  <si>
    <t>Verkauf lange</t>
  </si>
  <si>
    <t>Werte aus dem Datenblatt übernommen, gültig für Standard, Zielwert und Bestand</t>
  </si>
  <si>
    <t>Auf diesem Blatt berechnete Werte</t>
  </si>
  <si>
    <t>Werte aus dem Datenblatt übernommen, variabel für Standard, Zielwert und Bestand</t>
  </si>
  <si>
    <t>Werte ohne Einfluss auf Berechnung des Heizwärmebedarfs</t>
  </si>
  <si>
    <t>LEGENDE</t>
  </si>
  <si>
    <t>9.3</t>
  </si>
  <si>
    <t>Laborraum</t>
  </si>
  <si>
    <t>Energiebilanz mit Standard-Lüftung</t>
  </si>
  <si>
    <t>Treppenhaus</t>
  </si>
  <si>
    <t>Blendziffer UGR</t>
  </si>
  <si>
    <t>Thermische Gebäudehüllfläche</t>
  </si>
  <si>
    <t>Standard, Zielwert</t>
  </si>
  <si>
    <t>Verkauf Möbel, Bau, Garten</t>
  </si>
  <si>
    <t>Fachgeschäft</t>
  </si>
  <si>
    <t>Behandlungsraum</t>
  </si>
  <si>
    <t>Nebenraum</t>
  </si>
  <si>
    <t>Garderobe, Dusche</t>
  </si>
  <si>
    <r>
      <t>W/(m</t>
    </r>
    <r>
      <rPr>
        <vertAlign val="superscript"/>
        <sz val="10"/>
        <rFont val="Arial"/>
        <family val="2"/>
      </rPr>
      <t>2</t>
    </r>
    <r>
      <rPr>
        <sz val="10"/>
        <rFont val="Symbol"/>
        <family val="1"/>
        <charset val="2"/>
      </rPr>
      <t>×</t>
    </r>
    <r>
      <rPr>
        <sz val="10"/>
        <rFont val="Arial"/>
        <family val="2"/>
      </rPr>
      <t>K)</t>
    </r>
  </si>
  <si>
    <r>
      <t>m</t>
    </r>
    <r>
      <rPr>
        <vertAlign val="superscript"/>
        <sz val="10"/>
        <rFont val="Arial"/>
        <family val="2"/>
      </rPr>
      <t>2</t>
    </r>
  </si>
  <si>
    <r>
      <t>h</t>
    </r>
    <r>
      <rPr>
        <i/>
        <vertAlign val="subscript"/>
        <sz val="10"/>
        <color indexed="63"/>
        <rFont val="Arial"/>
        <family val="2"/>
      </rPr>
      <t>R</t>
    </r>
  </si>
  <si>
    <r>
      <t>g/(hm</t>
    </r>
    <r>
      <rPr>
        <vertAlign val="superscript"/>
        <sz val="10"/>
        <rFont val="Arial"/>
        <family val="2"/>
      </rPr>
      <t>2</t>
    </r>
    <r>
      <rPr>
        <sz val="10"/>
        <rFont val="Arial"/>
        <family val="2"/>
      </rPr>
      <t>)</t>
    </r>
  </si>
  <si>
    <r>
      <t>kWh/m</t>
    </r>
    <r>
      <rPr>
        <vertAlign val="superscript"/>
        <sz val="10"/>
        <rFont val="Arial"/>
        <family val="2"/>
      </rPr>
      <t>2</t>
    </r>
  </si>
  <si>
    <r>
      <t>A</t>
    </r>
    <r>
      <rPr>
        <vertAlign val="subscript"/>
        <sz val="10"/>
        <rFont val="Arial"/>
        <family val="2"/>
      </rPr>
      <t>NGF</t>
    </r>
  </si>
  <si>
    <r>
      <t>A</t>
    </r>
    <r>
      <rPr>
        <vertAlign val="subscript"/>
        <sz val="10"/>
        <rFont val="Arial"/>
        <family val="2"/>
      </rPr>
      <t>th</t>
    </r>
  </si>
  <si>
    <r>
      <t>A</t>
    </r>
    <r>
      <rPr>
        <vertAlign val="subscript"/>
        <sz val="10"/>
        <rFont val="Arial"/>
        <family val="2"/>
      </rPr>
      <t>th/AE</t>
    </r>
  </si>
  <si>
    <r>
      <t>A</t>
    </r>
    <r>
      <rPr>
        <vertAlign val="subscript"/>
        <sz val="10"/>
        <rFont val="Arial"/>
        <family val="2"/>
      </rPr>
      <t>th</t>
    </r>
    <r>
      <rPr>
        <sz val="10"/>
        <rFont val="Arial"/>
        <family val="2"/>
      </rPr>
      <t>/A</t>
    </r>
    <r>
      <rPr>
        <vertAlign val="subscript"/>
        <sz val="10"/>
        <rFont val="Arial"/>
        <family val="2"/>
      </rPr>
      <t>E</t>
    </r>
  </si>
  <si>
    <t>Variante:</t>
  </si>
  <si>
    <t>neu</t>
  </si>
  <si>
    <t>Pfad/Datei:</t>
  </si>
  <si>
    <t>\20596_SIA_2024_Update\07_Berechnungen\Excel_Tool\Raumnutzung</t>
  </si>
  <si>
    <t>Gesamt-Gleichzeitigkeitsfaktor</t>
  </si>
  <si>
    <t>Spez. Anschlusswirkleistung</t>
  </si>
  <si>
    <t>Serverraum</t>
  </si>
  <si>
    <r>
      <t>t</t>
    </r>
    <r>
      <rPr>
        <i/>
        <vertAlign val="subscript"/>
        <sz val="10"/>
        <rFont val="Arial"/>
        <family val="2"/>
      </rPr>
      <t>L</t>
    </r>
  </si>
  <si>
    <r>
      <t>p</t>
    </r>
    <r>
      <rPr>
        <i/>
        <vertAlign val="subscript"/>
        <sz val="10"/>
        <rFont val="Arial"/>
        <family val="2"/>
      </rPr>
      <t>L</t>
    </r>
  </si>
  <si>
    <r>
      <t>Q</t>
    </r>
    <r>
      <rPr>
        <i/>
        <vertAlign val="subscript"/>
        <sz val="10"/>
        <rFont val="Arial"/>
        <family val="2"/>
      </rPr>
      <t>W</t>
    </r>
  </si>
  <si>
    <r>
      <t>p</t>
    </r>
    <r>
      <rPr>
        <i/>
        <vertAlign val="subscript"/>
        <sz val="10"/>
        <color indexed="63"/>
        <rFont val="Arial"/>
        <family val="2"/>
      </rPr>
      <t>A</t>
    </r>
  </si>
  <si>
    <r>
      <t>t</t>
    </r>
    <r>
      <rPr>
        <i/>
        <vertAlign val="subscript"/>
        <sz val="10"/>
        <color indexed="63"/>
        <rFont val="Arial"/>
        <family val="2"/>
      </rPr>
      <t>A</t>
    </r>
  </si>
  <si>
    <r>
      <t>q</t>
    </r>
    <r>
      <rPr>
        <i/>
        <vertAlign val="subscript"/>
        <sz val="10"/>
        <rFont val="Arial"/>
        <family val="2"/>
      </rPr>
      <t>V,e,P</t>
    </r>
  </si>
  <si>
    <r>
      <t>t</t>
    </r>
    <r>
      <rPr>
        <i/>
        <vertAlign val="subscript"/>
        <sz val="10"/>
        <rFont val="Arial"/>
        <family val="2"/>
      </rPr>
      <t>bV</t>
    </r>
  </si>
  <si>
    <r>
      <t>E</t>
    </r>
    <r>
      <rPr>
        <i/>
        <vertAlign val="subscript"/>
        <sz val="10"/>
        <rFont val="Arial"/>
        <family val="2"/>
      </rPr>
      <t>V</t>
    </r>
  </si>
  <si>
    <r>
      <t>E</t>
    </r>
    <r>
      <rPr>
        <i/>
        <vertAlign val="subscript"/>
        <sz val="10"/>
        <color indexed="63"/>
        <rFont val="Arial"/>
        <family val="2"/>
      </rPr>
      <t>A</t>
    </r>
  </si>
  <si>
    <r>
      <t>F</t>
    </r>
    <r>
      <rPr>
        <i/>
        <vertAlign val="subscript"/>
        <sz val="10"/>
        <color indexed="63"/>
        <rFont val="Arial"/>
        <family val="2"/>
      </rPr>
      <t>C</t>
    </r>
  </si>
  <si>
    <r>
      <t>t</t>
    </r>
    <r>
      <rPr>
        <i/>
        <vertAlign val="subscript"/>
        <sz val="10"/>
        <color indexed="63"/>
        <rFont val="Arial"/>
        <family val="2"/>
      </rPr>
      <t>C</t>
    </r>
  </si>
  <si>
    <r>
      <t>Q</t>
    </r>
    <r>
      <rPr>
        <i/>
        <vertAlign val="subscript"/>
        <sz val="10"/>
        <color indexed="63"/>
        <rFont val="Arial"/>
        <family val="2"/>
      </rPr>
      <t>C</t>
    </r>
  </si>
  <si>
    <r>
      <t>v</t>
    </r>
    <r>
      <rPr>
        <i/>
        <vertAlign val="subscript"/>
        <sz val="10"/>
        <color indexed="63"/>
        <rFont val="Arial"/>
        <family val="2"/>
      </rPr>
      <t>Hu</t>
    </r>
  </si>
  <si>
    <r>
      <t>p</t>
    </r>
    <r>
      <rPr>
        <i/>
        <vertAlign val="subscript"/>
        <sz val="10"/>
        <rFont val="Arial"/>
        <family val="2"/>
      </rPr>
      <t>Hu</t>
    </r>
  </si>
  <si>
    <r>
      <t>t</t>
    </r>
    <r>
      <rPr>
        <i/>
        <vertAlign val="subscript"/>
        <sz val="10"/>
        <rFont val="Arial"/>
        <family val="2"/>
      </rPr>
      <t>Hu</t>
    </r>
  </si>
  <si>
    <r>
      <t>Q</t>
    </r>
    <r>
      <rPr>
        <i/>
        <vertAlign val="subscript"/>
        <sz val="10"/>
        <rFont val="Arial"/>
        <family val="2"/>
      </rPr>
      <t>hu</t>
    </r>
  </si>
  <si>
    <r>
      <t>F</t>
    </r>
    <r>
      <rPr>
        <i/>
        <vertAlign val="subscript"/>
        <sz val="10"/>
        <color indexed="63"/>
        <rFont val="Arial"/>
        <family val="2"/>
      </rPr>
      <t>H</t>
    </r>
  </si>
  <si>
    <r>
      <t>Q</t>
    </r>
    <r>
      <rPr>
        <vertAlign val="subscript"/>
        <sz val="10"/>
        <rFont val="Arial"/>
        <family val="2"/>
      </rPr>
      <t>H,li0</t>
    </r>
  </si>
  <si>
    <r>
      <rPr>
        <i/>
        <sz val="10"/>
        <rFont val="Symbol"/>
        <family val="1"/>
        <charset val="2"/>
      </rPr>
      <t>D</t>
    </r>
    <r>
      <rPr>
        <i/>
        <sz val="10"/>
        <rFont val="Arial"/>
        <family val="2"/>
      </rPr>
      <t>Q</t>
    </r>
    <r>
      <rPr>
        <vertAlign val="subscript"/>
        <sz val="10"/>
        <rFont val="Arial"/>
        <family val="2"/>
      </rPr>
      <t>H,li</t>
    </r>
    <r>
      <rPr>
        <sz val="11"/>
        <color theme="1"/>
        <rFont val="Calibri"/>
        <family val="2"/>
        <scheme val="minor"/>
      </rPr>
      <t/>
    </r>
  </si>
  <si>
    <r>
      <t>Q</t>
    </r>
    <r>
      <rPr>
        <i/>
        <vertAlign val="subscript"/>
        <sz val="10"/>
        <rFont val="Arial"/>
        <family val="2"/>
      </rPr>
      <t>H,eff</t>
    </r>
  </si>
  <si>
    <t>Standardwerte</t>
  </si>
  <si>
    <t>Zielwerte</t>
  </si>
  <si>
    <t>Werte Bestand</t>
  </si>
  <si>
    <t>Raumnutzung (SIA 2024)</t>
  </si>
  <si>
    <t>Klimakälte</t>
  </si>
  <si>
    <t>Heizwärme</t>
  </si>
  <si>
    <t xml:space="preserve">Elektrischer und thermischer Leistungsbedarf </t>
  </si>
  <si>
    <t>Elektrischer und thermischer Energiebedarf</t>
  </si>
  <si>
    <t>Energiekennzahlen für Standard, Zielwert und Bestand</t>
  </si>
  <si>
    <t>Leistungskennzahlen für Standard, Zielwert und Bestand</t>
  </si>
  <si>
    <t>Resultate_20596_SIA2024_130804_SIA_2024_Standard_Zul_x°C_ID16</t>
  </si>
  <si>
    <t>BFF = NFF / 0.85</t>
  </si>
  <si>
    <t>Interne Wärmeeinträge pro Jahr</t>
  </si>
  <si>
    <r>
      <t>Wh/m</t>
    </r>
    <r>
      <rPr>
        <vertAlign val="superscript"/>
        <sz val="10"/>
        <rFont val="Arial"/>
        <family val="2"/>
      </rPr>
      <t>2</t>
    </r>
    <r>
      <rPr>
        <sz val="10"/>
        <rFont val="Arial"/>
        <family val="2"/>
      </rPr>
      <t>d</t>
    </r>
  </si>
  <si>
    <t>Wärmespeicherfähigkeit</t>
  </si>
  <si>
    <t>Wh/m2K</t>
  </si>
  <si>
    <t>SIA-TEC-Tool 382/2: Blatt Auswertung</t>
  </si>
  <si>
    <t>Wärmespeicherf.</t>
  </si>
  <si>
    <t>SIA-TEC-Tool 382/1: Blatt Kühlbedarf</t>
  </si>
  <si>
    <r>
      <t>A</t>
    </r>
    <r>
      <rPr>
        <i/>
        <vertAlign val="subscript"/>
        <sz val="10"/>
        <color indexed="63"/>
        <rFont val="Arial"/>
        <family val="2"/>
      </rPr>
      <t>P,NGF</t>
    </r>
  </si>
  <si>
    <r>
      <t>l</t>
    </r>
    <r>
      <rPr>
        <i/>
        <vertAlign val="subscript"/>
        <sz val="10"/>
        <color indexed="63"/>
        <rFont val="Arial"/>
        <family val="2"/>
      </rPr>
      <t>R</t>
    </r>
  </si>
  <si>
    <r>
      <t>d</t>
    </r>
    <r>
      <rPr>
        <i/>
        <vertAlign val="subscript"/>
        <sz val="10"/>
        <color indexed="63"/>
        <rFont val="Arial"/>
        <family val="2"/>
      </rPr>
      <t>R</t>
    </r>
  </si>
  <si>
    <r>
      <t>A</t>
    </r>
    <r>
      <rPr>
        <i/>
        <vertAlign val="subscript"/>
        <sz val="10"/>
        <color indexed="63"/>
        <rFont val="Arial"/>
        <family val="2"/>
      </rPr>
      <t>NGF</t>
    </r>
  </si>
  <si>
    <r>
      <t>A</t>
    </r>
    <r>
      <rPr>
        <i/>
        <vertAlign val="subscript"/>
        <sz val="10"/>
        <color indexed="63"/>
        <rFont val="Arial"/>
        <family val="2"/>
      </rPr>
      <t>th</t>
    </r>
  </si>
  <si>
    <r>
      <t>U</t>
    </r>
    <r>
      <rPr>
        <i/>
        <vertAlign val="subscript"/>
        <sz val="10"/>
        <color indexed="63"/>
        <rFont val="Arial"/>
        <family val="2"/>
      </rPr>
      <t>op</t>
    </r>
  </si>
  <si>
    <r>
      <t>U</t>
    </r>
    <r>
      <rPr>
        <i/>
        <vertAlign val="subscript"/>
        <sz val="10"/>
        <color indexed="63"/>
        <rFont val="Arial"/>
        <family val="2"/>
      </rPr>
      <t>w</t>
    </r>
  </si>
  <si>
    <t>Maximaler Stundenwert</t>
  </si>
  <si>
    <r>
      <t>g</t>
    </r>
    <r>
      <rPr>
        <i/>
        <vertAlign val="subscript"/>
        <sz val="10"/>
        <color indexed="63"/>
        <rFont val="Arial"/>
        <family val="2"/>
      </rPr>
      <t>tot</t>
    </r>
  </si>
  <si>
    <t>Bauphysikalische Eigenschaften</t>
  </si>
  <si>
    <t>Jahresprofil</t>
  </si>
  <si>
    <t>70%</t>
  </si>
  <si>
    <t>Anschlussleistung</t>
  </si>
  <si>
    <t>SWKI 95/3</t>
  </si>
  <si>
    <t>SIA 2024</t>
  </si>
  <si>
    <t>ohne Fensterlüftung</t>
  </si>
  <si>
    <t>- Berechnung Klimakältebedarf: negative Wärmeeinträge durch Kühlmöbel (Standard: -10, Zielwert: -8, Bestand: -12 W/m2)</t>
  </si>
  <si>
    <t>mit Fensterlüftung bei Belegung</t>
  </si>
  <si>
    <r>
      <t>q</t>
    </r>
    <r>
      <rPr>
        <i/>
        <vertAlign val="subscript"/>
        <sz val="10"/>
        <rFont val="Arial"/>
        <family val="2"/>
      </rPr>
      <t>th</t>
    </r>
  </si>
  <si>
    <t>60°C</t>
  </si>
  <si>
    <r>
      <t>F</t>
    </r>
    <r>
      <rPr>
        <i/>
        <vertAlign val="subscript"/>
        <sz val="10"/>
        <color indexed="63"/>
        <rFont val="Arial"/>
        <family val="2"/>
      </rPr>
      <t>A</t>
    </r>
  </si>
  <si>
    <t>nach Westen orientiert</t>
  </si>
  <si>
    <t>Aussen-/Innenlärm, Trittschall</t>
  </si>
  <si>
    <t>mit Möblierung</t>
  </si>
  <si>
    <t>pro Nettogeschossfläche</t>
  </si>
  <si>
    <r>
      <t>q</t>
    </r>
    <r>
      <rPr>
        <i/>
        <vertAlign val="subscript"/>
        <sz val="10"/>
        <rFont val="Arial"/>
        <family val="2"/>
      </rPr>
      <t>V,inf</t>
    </r>
  </si>
  <si>
    <t>Raumlänge</t>
  </si>
  <si>
    <t>Raumtiefe</t>
  </si>
  <si>
    <t>Raumhöhe</t>
  </si>
  <si>
    <t>Glasanteil</t>
  </si>
  <si>
    <t>U-Wert Fenster</t>
  </si>
  <si>
    <t>U-Wert opake Bauteile</t>
  </si>
  <si>
    <t>Reduktionsfaktor solare Wärmeeinträge</t>
  </si>
  <si>
    <t>Wärmespeicherfähigkeit des Raumes</t>
  </si>
  <si>
    <t>Raumakustik</t>
  </si>
  <si>
    <t>Wärmeeintragsleistung Personen</t>
  </si>
  <si>
    <t>Feuchtequellen (exklusive Personen)</t>
  </si>
  <si>
    <t>Glasflächenzahl</t>
  </si>
  <si>
    <t>Raumindex</t>
  </si>
  <si>
    <t>Leuchten-Lichtausbeute</t>
  </si>
  <si>
    <t>Raumwirkungsgrad</t>
  </si>
  <si>
    <t>Jährlicher Elektrizitätsbedarf Beleuchtung</t>
  </si>
  <si>
    <t>Interne Wärmeeinträge pro Tag</t>
  </si>
  <si>
    <t>Notwendigkeit einer Kühlung</t>
  </si>
  <si>
    <t>Klimakälteleistungsbedarf</t>
  </si>
  <si>
    <t>Jährliche Volllaststunden</t>
  </si>
  <si>
    <t>Jährlicher Klimakältebedarf</t>
  </si>
  <si>
    <t>Zeitkonstante</t>
  </si>
  <si>
    <t>Norm-Heizwärmeleistungsbedarf</t>
  </si>
  <si>
    <t>Jährlicher Wärmebedarf für Warmwasser</t>
  </si>
  <si>
    <t>Gesamtenergiedurchlassgrad Verglasung</t>
  </si>
  <si>
    <t>Gesamtenergiedurchlassgrad Verglasung und Sonnenschutz</t>
  </si>
  <si>
    <t>Lichttransmissionsgrad</t>
  </si>
  <si>
    <t>Leistung ausserhalb der Nutzungszeit</t>
  </si>
  <si>
    <t>Feuchteproduktion Personen</t>
  </si>
  <si>
    <t>Nutzungsstunden Nacht</t>
  </si>
  <si>
    <t>18-7 h</t>
  </si>
  <si>
    <t>7-18 h</t>
  </si>
  <si>
    <t>Feuchtegehalt-Änderungsgrad der Lüftungsanlage</t>
  </si>
  <si>
    <t>Minimale Feuchte der Raumluft</t>
  </si>
  <si>
    <t>Minimale Feuchte der Aussenluft</t>
  </si>
  <si>
    <t>Dichte der Raumluft</t>
  </si>
  <si>
    <t>Feuchtebedarf</t>
  </si>
  <si>
    <t>Spez. Wärmeleistungsbedarf für Befeuchtung</t>
  </si>
  <si>
    <t>Jährlicher spez. Wärmebedarf für Befeuchtung</t>
  </si>
  <si>
    <t>Elektrizitätsbedarf</t>
  </si>
  <si>
    <t>Wärmeeintragsleistung (extern)</t>
  </si>
  <si>
    <t>Wärmeeintragsleistung (intern)</t>
  </si>
  <si>
    <t>Jährlicher spez. Elektrizitätsbedarf</t>
  </si>
  <si>
    <t>Elektrische Leistung Beleuchtung</t>
  </si>
  <si>
    <t>Raum- und Akzentbeleuchtung</t>
  </si>
  <si>
    <t>Elektrische Leistung Beleuchtung (Raum- und Akzentbeleuchtung)</t>
  </si>
  <si>
    <t>Wasser</t>
  </si>
  <si>
    <t>Normheizleistung</t>
  </si>
  <si>
    <t>Glasfläche</t>
  </si>
  <si>
    <t>Ag</t>
  </si>
  <si>
    <t>Fensterfläche</t>
  </si>
  <si>
    <t>Aw</t>
  </si>
  <si>
    <t>Opake Gebäudehüllfläche</t>
  </si>
  <si>
    <t>Aop</t>
  </si>
  <si>
    <r>
      <t>q</t>
    </r>
    <r>
      <rPr>
        <i/>
        <vertAlign val="subscript"/>
        <sz val="10"/>
        <color indexed="63"/>
        <rFont val="Arial"/>
        <family val="2"/>
      </rPr>
      <t>korr</t>
    </r>
  </si>
  <si>
    <t>Qh,lim</t>
  </si>
  <si>
    <t>Hüllzahl</t>
  </si>
  <si>
    <t>Nachts aus</t>
  </si>
  <si>
    <t>erwünscht</t>
  </si>
  <si>
    <t>notwendig</t>
  </si>
  <si>
    <t>Volllaststunden  pro Tag</t>
  </si>
  <si>
    <t>Wärmeeintragsleistung Betriebseinrichtungen</t>
  </si>
  <si>
    <t>Interne Wärmeeinträge</t>
  </si>
  <si>
    <t>Wh/m2d</t>
  </si>
  <si>
    <t>Interne Wärmeeinträge pro Tag
SIA 2024: 2006</t>
  </si>
  <si>
    <t>Interne Wärmeeinträge pro Tag
SIA 2024: 2013 VL</t>
  </si>
  <si>
    <t>Summe P + A + L</t>
  </si>
  <si>
    <t>Summe P + A</t>
  </si>
  <si>
    <t>Verhaltnis Version 2006 / 2013 VL</t>
  </si>
  <si>
    <t>SIA 2024 - Resultate Standard - interne Wärmeeinträge pro Tag</t>
  </si>
  <si>
    <r>
      <t>E'</t>
    </r>
    <r>
      <rPr>
        <i/>
        <vertAlign val="subscript"/>
        <sz val="10"/>
        <rFont val="Arial"/>
        <family val="2"/>
      </rPr>
      <t>L</t>
    </r>
  </si>
  <si>
    <r>
      <t>E'</t>
    </r>
    <r>
      <rPr>
        <i/>
        <vertAlign val="subscript"/>
        <sz val="10"/>
        <rFont val="Arial"/>
        <family val="2"/>
      </rPr>
      <t>LAc</t>
    </r>
  </si>
  <si>
    <t>Beleuchtung (Formel anpassen!)</t>
  </si>
  <si>
    <t>Res</t>
  </si>
  <si>
    <t>Anzeige</t>
  </si>
  <si>
    <t>Int. Wärme</t>
  </si>
  <si>
    <t>Interne Wärmeeinträge Geräte pro Tag</t>
  </si>
  <si>
    <r>
      <t>Q</t>
    </r>
    <r>
      <rPr>
        <i/>
        <vertAlign val="subscript"/>
        <sz val="10"/>
        <color indexed="63"/>
        <rFont val="Arial"/>
        <family val="2"/>
      </rPr>
      <t>iA</t>
    </r>
  </si>
  <si>
    <r>
      <t>Wh/m</t>
    </r>
    <r>
      <rPr>
        <vertAlign val="superscript"/>
        <sz val="10"/>
        <color indexed="63"/>
        <rFont val="Arial"/>
        <family val="2"/>
      </rPr>
      <t>2</t>
    </r>
    <r>
      <rPr>
        <sz val="10"/>
        <color indexed="63"/>
        <rFont val="Arial"/>
        <family val="2"/>
      </rPr>
      <t>d</t>
    </r>
  </si>
  <si>
    <t>Interne Wärmeeinträge Personen pro Tag</t>
  </si>
  <si>
    <r>
      <t>Q</t>
    </r>
    <r>
      <rPr>
        <i/>
        <vertAlign val="subscript"/>
        <sz val="10"/>
        <color indexed="63"/>
        <rFont val="Arial"/>
        <family val="2"/>
      </rPr>
      <t>iP</t>
    </r>
  </si>
  <si>
    <r>
      <t>F</t>
    </r>
    <r>
      <rPr>
        <i/>
        <vertAlign val="subscript"/>
        <sz val="10"/>
        <color indexed="63"/>
        <rFont val="Arial"/>
        <family val="2"/>
      </rPr>
      <t>L</t>
    </r>
  </si>
  <si>
    <r>
      <t>Q</t>
    </r>
    <r>
      <rPr>
        <i/>
        <vertAlign val="subscript"/>
        <sz val="10"/>
        <color indexed="63"/>
        <rFont val="Arial"/>
        <family val="2"/>
      </rPr>
      <t>iL</t>
    </r>
  </si>
  <si>
    <t>Vollaststunden Nacht mit Präsenzmelder</t>
  </si>
  <si>
    <r>
      <rPr>
        <i/>
        <sz val="10"/>
        <color indexed="63"/>
        <rFont val="Arial"/>
        <family val="2"/>
      </rPr>
      <t>t</t>
    </r>
    <r>
      <rPr>
        <i/>
        <vertAlign val="subscript"/>
        <sz val="10"/>
        <color indexed="63"/>
        <rFont val="Arial"/>
        <family val="2"/>
      </rPr>
      <t>L,11</t>
    </r>
  </si>
  <si>
    <r>
      <t>t</t>
    </r>
    <r>
      <rPr>
        <i/>
        <vertAlign val="subscript"/>
        <sz val="10"/>
        <color indexed="63"/>
        <rFont val="Arial"/>
        <family val="2"/>
      </rPr>
      <t>L,n</t>
    </r>
  </si>
  <si>
    <t>Interne Wärmeeinträge Raumbeleuchtung</t>
  </si>
  <si>
    <r>
      <t>Q</t>
    </r>
    <r>
      <rPr>
        <i/>
        <vertAlign val="subscript"/>
        <sz val="10"/>
        <color indexed="63"/>
        <rFont val="Arial"/>
        <family val="2"/>
      </rPr>
      <t>iLAc</t>
    </r>
  </si>
  <si>
    <t>Interne Wärmeeinträge Akzentbeleuchtung</t>
  </si>
  <si>
    <t>Vorschlag 19.3.2014, mme</t>
  </si>
  <si>
    <t>Interne Wärmeeinträge pro Tag
SIA 2024: Vorschlag 19.03.2014</t>
  </si>
  <si>
    <t>Verhaltnis Version 2006 / 2014 Vorschlag 19.03.2014</t>
  </si>
  <si>
    <t>Raumnutzung</t>
  </si>
  <si>
    <t>Geräteprofil (Nutzungstag)</t>
  </si>
  <si>
    <r>
      <t>Wh/m</t>
    </r>
    <r>
      <rPr>
        <vertAlign val="superscript"/>
        <sz val="10"/>
        <color indexed="63"/>
        <rFont val="Arial"/>
        <family val="2"/>
      </rPr>
      <t>2</t>
    </r>
  </si>
  <si>
    <r>
      <t>m</t>
    </r>
    <r>
      <rPr>
        <vertAlign val="superscript"/>
        <sz val="10"/>
        <color indexed="63"/>
        <rFont val="Arial"/>
        <family val="2"/>
      </rPr>
      <t>3</t>
    </r>
    <r>
      <rPr>
        <sz val="10"/>
        <color indexed="63"/>
        <rFont val="Arial"/>
        <family val="2"/>
      </rPr>
      <t>/h</t>
    </r>
  </si>
  <si>
    <r>
      <t>m</t>
    </r>
    <r>
      <rPr>
        <vertAlign val="superscript"/>
        <sz val="10"/>
        <color indexed="63"/>
        <rFont val="Arial"/>
        <family val="2"/>
      </rPr>
      <t>2</t>
    </r>
  </si>
  <si>
    <t>Wasserbedarf pro Person</t>
  </si>
  <si>
    <t>Warmwasserbedarf pro Person</t>
  </si>
  <si>
    <t>l/d</t>
  </si>
  <si>
    <t>m²</t>
  </si>
  <si>
    <r>
      <t>m</t>
    </r>
    <r>
      <rPr>
        <vertAlign val="superscript"/>
        <sz val="10"/>
        <rFont val="Arial"/>
        <family val="2"/>
      </rPr>
      <t>3</t>
    </r>
    <r>
      <rPr>
        <sz val="10"/>
        <rFont val="Arial"/>
        <family val="2"/>
      </rPr>
      <t>/h</t>
    </r>
  </si>
  <si>
    <t>Nettogeschossfläche pro Person</t>
  </si>
  <si>
    <t>Wärmedämmwert der Bekleidung</t>
  </si>
  <si>
    <r>
      <t>q</t>
    </r>
    <r>
      <rPr>
        <i/>
        <vertAlign val="subscript"/>
        <sz val="10"/>
        <color indexed="63"/>
        <rFont val="Arial"/>
        <family val="2"/>
      </rPr>
      <t>a,i</t>
    </r>
  </si>
  <si>
    <t>Feuchtequellen (ohne Personen)</t>
  </si>
  <si>
    <t>mit Fensterlüftung Tag und Nacht</t>
  </si>
  <si>
    <r>
      <t>t</t>
    </r>
    <r>
      <rPr>
        <i/>
        <vertAlign val="subscript"/>
        <sz val="10"/>
        <color indexed="63"/>
        <rFont val="Arial"/>
        <family val="2"/>
      </rPr>
      <t>Li,min</t>
    </r>
  </si>
  <si>
    <t>tLi,min</t>
  </si>
  <si>
    <t>tLi,min,Sommer</t>
  </si>
  <si>
    <r>
      <t>t</t>
    </r>
    <r>
      <rPr>
        <i/>
        <vertAlign val="subscript"/>
        <sz val="10"/>
        <color indexed="63"/>
        <rFont val="Arial"/>
        <family val="2"/>
      </rPr>
      <t>Li,min,su</t>
    </r>
  </si>
  <si>
    <t>Vollaststunden pro 11h Sommertag</t>
  </si>
  <si>
    <r>
      <rPr>
        <i/>
        <sz val="10"/>
        <color indexed="63"/>
        <rFont val="Arial"/>
        <family val="2"/>
      </rPr>
      <t>t</t>
    </r>
    <r>
      <rPr>
        <i/>
        <vertAlign val="subscript"/>
        <sz val="10"/>
        <color indexed="63"/>
        <rFont val="Arial"/>
        <family val="2"/>
      </rPr>
      <t>L,11,su</t>
    </r>
  </si>
  <si>
    <t>Vollaststunden Sommertag Präsenzmelder</t>
  </si>
  <si>
    <r>
      <t>t</t>
    </r>
    <r>
      <rPr>
        <i/>
        <vertAlign val="subscript"/>
        <sz val="10"/>
        <color indexed="63"/>
        <rFont val="Arial"/>
        <family val="2"/>
      </rPr>
      <t>L,su</t>
    </r>
  </si>
  <si>
    <t>Externe Wärmeeintragsleistung</t>
  </si>
  <si>
    <t>Interne Wärmeeintragsleistung</t>
  </si>
  <si>
    <t>Personen, Geräte, Beleuchtung</t>
  </si>
  <si>
    <t>Solar, Transmission, Lüftung</t>
  </si>
  <si>
    <t>- Wasser- und Warmwasserbedarf sind in den Raumnutzungen 3.1 und 3.2 enthalten</t>
  </si>
  <si>
    <t>SIA 385/2</t>
  </si>
  <si>
    <t>Person</t>
  </si>
  <si>
    <t>Bett</t>
  </si>
  <si>
    <t>Sitzplatz</t>
  </si>
  <si>
    <t>Warm- und Kaltwasser</t>
  </si>
  <si>
    <t>- Wasser- und Warmwasserbedarf sind in der Raumnutzung 2.1 enthalten</t>
  </si>
  <si>
    <t>- Wasser- und Warmwasserbedarf sind in der Raumnutzung 4.1 enthalten</t>
  </si>
  <si>
    <t>'- Wasser- und Warmwasserbedarf sind in der Raumnutzung 6.2 enthalten</t>
  </si>
  <si>
    <t>- Wasser- und Warmwasserbedarf pro Dusche für Sportanlagen</t>
  </si>
  <si>
    <t>- Wasser- und Warmwasserbedarf pro Dusche ohne Badewasserbedarf</t>
  </si>
  <si>
    <t>- Beurteilungspegel für Dauergeräusche von Haustechnikanlagen in Abhängigkeit der zugehörigen Hauptnutzung</t>
  </si>
  <si>
    <t>- Wasser- und Warmwasserbedarf werden durch die Hauptnutzung bestimmt</t>
  </si>
  <si>
    <t>Wohnen MFH</t>
  </si>
  <si>
    <t>Wohnen EFH</t>
  </si>
  <si>
    <t>nicht notwend.</t>
  </si>
  <si>
    <t xml:space="preserve">SIA 2024 Raumnutzungsbedingungen  </t>
  </si>
  <si>
    <t>80%</t>
  </si>
  <si>
    <t>Abminderungsfaktor für Fensterrahmen</t>
  </si>
  <si>
    <r>
      <t>F</t>
    </r>
    <r>
      <rPr>
        <i/>
        <vertAlign val="subscript"/>
        <sz val="10"/>
        <color indexed="63"/>
        <rFont val="Arial"/>
        <family val="2"/>
      </rPr>
      <t>F</t>
    </r>
  </si>
  <si>
    <t>SIA 382/1</t>
  </si>
  <si>
    <t>Nutzungsstunden pro Tag</t>
  </si>
  <si>
    <t>Volllaststunden pro Tag</t>
  </si>
  <si>
    <t>Nutzungstage pro Jahr</t>
  </si>
  <si>
    <t>- Die Raumlufttemperatur Winter (Auslegung Heizung) richtet sich nach der zugehörigen Hauptnutzung</t>
  </si>
  <si>
    <r>
      <t>V</t>
    </r>
    <r>
      <rPr>
        <i/>
        <vertAlign val="subscript"/>
        <sz val="10"/>
        <rFont val="Arial"/>
        <family val="2"/>
      </rPr>
      <t>W</t>
    </r>
  </si>
  <si>
    <r>
      <t>V</t>
    </r>
    <r>
      <rPr>
        <i/>
        <vertAlign val="subscript"/>
        <sz val="10"/>
        <rFont val="Arial"/>
        <family val="2"/>
      </rPr>
      <t>w</t>
    </r>
  </si>
  <si>
    <r>
      <t>V</t>
    </r>
    <r>
      <rPr>
        <i/>
        <vertAlign val="subscript"/>
        <sz val="10"/>
        <rFont val="Arial"/>
        <family val="2"/>
      </rPr>
      <t>W,u</t>
    </r>
  </si>
  <si>
    <r>
      <t>q</t>
    </r>
    <r>
      <rPr>
        <i/>
        <vertAlign val="subscript"/>
        <sz val="10"/>
        <rFont val="Arial"/>
        <family val="2"/>
      </rPr>
      <t>V,e</t>
    </r>
  </si>
  <si>
    <t>- Keine Lüftungsanlage im Bestand</t>
  </si>
  <si>
    <t>Verkehr</t>
  </si>
  <si>
    <t>Küche</t>
  </si>
  <si>
    <t>WC, Bad, Dusche</t>
  </si>
  <si>
    <t>Server</t>
  </si>
  <si>
    <t>Import aus TEC-Tool (pdf)</t>
  </si>
  <si>
    <t>kWh</t>
  </si>
  <si>
    <t>W</t>
  </si>
  <si>
    <t>Beurteilungspegel für Geräusche haustechnischer Anlagen</t>
  </si>
  <si>
    <t>Auslegung Dauergeräusche</t>
  </si>
  <si>
    <r>
      <t>L</t>
    </r>
    <r>
      <rPr>
        <i/>
        <vertAlign val="subscript"/>
        <sz val="10"/>
        <color indexed="63"/>
        <rFont val="Arial"/>
        <family val="2"/>
      </rPr>
      <t>r,H</t>
    </r>
  </si>
  <si>
    <r>
      <t>t</t>
    </r>
    <r>
      <rPr>
        <i/>
        <vertAlign val="subscript"/>
        <sz val="10"/>
        <color indexed="63"/>
        <rFont val="Arial"/>
        <family val="2"/>
      </rPr>
      <t>L,d</t>
    </r>
  </si>
  <si>
    <r>
      <t>H</t>
    </r>
    <r>
      <rPr>
        <i/>
        <vertAlign val="subscript"/>
        <sz val="10"/>
        <rFont val="Arial"/>
        <family val="2"/>
      </rPr>
      <t>H</t>
    </r>
  </si>
  <si>
    <t>Wärmetransferkoeffizient</t>
  </si>
  <si>
    <t>Bezugseinheit</t>
  </si>
  <si>
    <t>- Wasser- und Warmwasserbedarf pro Person</t>
  </si>
  <si>
    <t>- Wasser- und Warmwasserbedarf für Restaurants inkl. Küche pro Sitzplatz</t>
  </si>
  <si>
    <t>Dusche</t>
  </si>
  <si>
    <t>Anzahl Bezugseinheiten pro Person</t>
  </si>
  <si>
    <t>Auslegungskriterien</t>
  </si>
  <si>
    <t>Raumlufttemperatur</t>
  </si>
  <si>
    <t>Standard, Bestand</t>
  </si>
  <si>
    <t>Wasser und Warmwasser</t>
  </si>
  <si>
    <r>
      <t>F</t>
    </r>
    <r>
      <rPr>
        <i/>
        <vertAlign val="subscript"/>
        <sz val="10"/>
        <color indexed="63"/>
        <rFont val="Arial"/>
        <family val="2"/>
      </rPr>
      <t>P</t>
    </r>
  </si>
  <si>
    <t>Temperatur-Änderungsgrad der Wärmerückgewinnung</t>
  </si>
  <si>
    <t>SIA 2024 - Resultate Zielwert</t>
  </si>
  <si>
    <t>SIA 2024 - Resultate Standard</t>
  </si>
  <si>
    <t>SIA 2024 - Resultate Bestand</t>
  </si>
  <si>
    <t>SIA 2024 - Eingabedaten</t>
  </si>
  <si>
    <t>Jahresnutzungsgrad der Wärmerückgewinnung</t>
  </si>
  <si>
    <t>Nutzwarmwasserbedarf pro Bezugseinheit</t>
  </si>
  <si>
    <t>- Wasser- und Warmwasserbedarf pro Bett, ohne Küche und Wäscherei</t>
  </si>
  <si>
    <t>- Wasser- und Warmwasserbedarf pro Person, ohne Personalrestaurant</t>
  </si>
  <si>
    <t>- Wasser- und Warmwasserbedarf pro Person (Schüler), ohne Mensa und Sportanlagen</t>
  </si>
  <si>
    <t>- Wasser- und Warmwasserbedarf pro Person (Kunden)</t>
  </si>
  <si>
    <t>- Wasser- und Warmwasserbedarf sind in der Raumnutzung 6.1 enthalten</t>
  </si>
  <si>
    <t>- Wasser- und Warmwasserbedarf pro Person (Besucher)</t>
  </si>
  <si>
    <t>- Wasser- und Warmwasserbedarf pro Bett, ohne Restaurant</t>
  </si>
  <si>
    <t>- Wasser- und Warmwasserbedarf sind in der Raumnutzung 8.1 enthalten</t>
  </si>
  <si>
    <t>W/(m²K)</t>
  </si>
  <si>
    <r>
      <t>m</t>
    </r>
    <r>
      <rPr>
        <vertAlign val="superscript"/>
        <sz val="10"/>
        <rFont val="Arial"/>
        <family val="2"/>
      </rPr>
      <t>3</t>
    </r>
    <r>
      <rPr>
        <sz val="10"/>
        <rFont val="Arial"/>
        <family val="2"/>
      </rPr>
      <t>/(hm</t>
    </r>
    <r>
      <rPr>
        <vertAlign val="superscript"/>
        <sz val="10"/>
        <rFont val="Arial"/>
        <family val="2"/>
      </rPr>
      <t>2</t>
    </r>
    <r>
      <rPr>
        <sz val="10"/>
        <rFont val="Arial"/>
        <family val="2"/>
      </rPr>
      <t>)</t>
    </r>
  </si>
  <si>
    <r>
      <t>m</t>
    </r>
    <r>
      <rPr>
        <vertAlign val="superscript"/>
        <sz val="10"/>
        <color indexed="63"/>
        <rFont val="Arial"/>
        <family val="2"/>
      </rPr>
      <t>3</t>
    </r>
    <r>
      <rPr>
        <sz val="10"/>
        <color indexed="63"/>
        <rFont val="Arial"/>
        <family val="2"/>
      </rPr>
      <t>/(h</t>
    </r>
    <r>
      <rPr>
        <sz val="10"/>
        <color indexed="63"/>
        <rFont val="Arial"/>
        <family val="2"/>
      </rPr>
      <t>m</t>
    </r>
    <r>
      <rPr>
        <vertAlign val="superscript"/>
        <sz val="10"/>
        <color indexed="63"/>
        <rFont val="Arial"/>
        <family val="2"/>
      </rPr>
      <t>2</t>
    </r>
    <r>
      <rPr>
        <sz val="10"/>
        <color indexed="63"/>
        <rFont val="Arial"/>
        <family val="2"/>
      </rPr>
      <t>)</t>
    </r>
  </si>
  <si>
    <r>
      <t>l/(d</t>
    </r>
    <r>
      <rPr>
        <sz val="10"/>
        <color indexed="63"/>
        <rFont val="Arial"/>
        <family val="2"/>
      </rPr>
      <t>P)</t>
    </r>
  </si>
  <si>
    <r>
      <t>v</t>
    </r>
    <r>
      <rPr>
        <i/>
        <vertAlign val="subscript"/>
        <sz val="10"/>
        <color indexed="63"/>
        <rFont val="Arial"/>
        <family val="2"/>
      </rPr>
      <t>a,max</t>
    </r>
  </si>
  <si>
    <r>
      <t>p</t>
    </r>
    <r>
      <rPr>
        <i/>
        <vertAlign val="subscript"/>
        <sz val="10"/>
        <rFont val="Arial"/>
        <family val="2"/>
      </rPr>
      <t>L,Ac</t>
    </r>
  </si>
  <si>
    <r>
      <t>F</t>
    </r>
    <r>
      <rPr>
        <i/>
        <vertAlign val="subscript"/>
        <sz val="10"/>
        <color indexed="63"/>
        <rFont val="Arial"/>
        <family val="2"/>
      </rPr>
      <t>L,Ac</t>
    </r>
  </si>
  <si>
    <r>
      <t>p</t>
    </r>
    <r>
      <rPr>
        <i/>
        <vertAlign val="subscript"/>
        <sz val="10"/>
        <rFont val="Arial"/>
        <family val="2"/>
      </rPr>
      <t>L+L,Ac</t>
    </r>
  </si>
  <si>
    <r>
      <t>t</t>
    </r>
    <r>
      <rPr>
        <i/>
        <vertAlign val="subscript"/>
        <sz val="10"/>
        <rFont val="Arial"/>
        <family val="2"/>
      </rPr>
      <t>L,Ac</t>
    </r>
  </si>
  <si>
    <r>
      <t>E</t>
    </r>
    <r>
      <rPr>
        <i/>
        <vertAlign val="subscript"/>
        <sz val="10"/>
        <rFont val="Arial"/>
        <family val="2"/>
      </rPr>
      <t>L+L,Ac</t>
    </r>
  </si>
  <si>
    <r>
      <t>g</t>
    </r>
    <r>
      <rPr>
        <i/>
        <vertAlign val="subscript"/>
        <sz val="10"/>
        <color indexed="63"/>
        <rFont val="Arial"/>
        <family val="2"/>
      </rPr>
      <t>P</t>
    </r>
  </si>
  <si>
    <r>
      <t>g</t>
    </r>
    <r>
      <rPr>
        <i/>
        <vertAlign val="subscript"/>
        <sz val="10"/>
        <color indexed="63"/>
        <rFont val="Arial"/>
        <family val="2"/>
      </rPr>
      <t>a</t>
    </r>
  </si>
  <si>
    <r>
      <t>h</t>
    </r>
    <r>
      <rPr>
        <i/>
        <vertAlign val="subscript"/>
        <sz val="10"/>
        <rFont val="Arial"/>
        <family val="2"/>
      </rPr>
      <t>rec,an</t>
    </r>
  </si>
  <si>
    <t>Auslegung Kühlung</t>
  </si>
  <si>
    <t>Auslegung Heizung</t>
  </si>
  <si>
    <t>Ziffer</t>
  </si>
  <si>
    <t>Deutsch</t>
  </si>
  <si>
    <t>Französisch</t>
  </si>
  <si>
    <t>Italienisch</t>
  </si>
  <si>
    <t>1.3.1.4</t>
  </si>
  <si>
    <t>Quote-part vitrée des fenêtres</t>
  </si>
  <si>
    <t>1.3.2.10</t>
  </si>
  <si>
    <t>Activité métabolique</t>
  </si>
  <si>
    <t>1.3.5.4</t>
  </si>
  <si>
    <t>Type d’installation</t>
  </si>
  <si>
    <t>Tipo d‘impianto</t>
  </si>
  <si>
    <t>1.3.8.3</t>
  </si>
  <si>
    <t>Unité de consommation par personne</t>
  </si>
  <si>
    <t>Numero di unità di prelievo a persona</t>
  </si>
  <si>
    <t>1.3.5.1</t>
  </si>
  <si>
    <t>Débit d’air neuf</t>
  </si>
  <si>
    <t>1.3.5.2</t>
  </si>
  <si>
    <t>Aussenluft-Volumenstrom durch Infiltration</t>
  </si>
  <si>
    <t>Débit d’air par infiltration</t>
  </si>
  <si>
    <t>1.3.1.5</t>
  </si>
  <si>
    <t>Surface des éléments de construction</t>
  </si>
  <si>
    <t>Superficie degli elementi costruttivi</t>
  </si>
  <si>
    <t>1.3.4.1</t>
  </si>
  <si>
    <t>Beleuchtungsstärke</t>
  </si>
  <si>
    <t>Éclairement lumineux</t>
  </si>
  <si>
    <t>1.3.1.16</t>
  </si>
  <si>
    <t>1.3.4.3</t>
  </si>
  <si>
    <t>Plan utile</t>
  </si>
  <si>
    <t>Piano di valutazione</t>
  </si>
  <si>
    <t>1.3.8.1</t>
  </si>
  <si>
    <t>Unité de consommation</t>
  </si>
  <si>
    <t>Unità di prelievo</t>
  </si>
  <si>
    <t>1.3.4.11</t>
  </si>
  <si>
    <t>Elektrische Leistung der Akzentbeleuchtung</t>
  </si>
  <si>
    <t>Puissance électrique de l’éclairage de valorisation</t>
  </si>
  <si>
    <t>1.3.4.9</t>
  </si>
  <si>
    <t>Elektrische Leistung der Raumbeleuchtung</t>
  </si>
  <si>
    <t xml:space="preserve">Puissance électrique de l’éclairage </t>
  </si>
  <si>
    <t>1.3.3.3</t>
  </si>
  <si>
    <t>Elektrische Leistung der Geräte</t>
  </si>
  <si>
    <t>Potenza elettrica degli apparecchi</t>
  </si>
  <si>
    <t>1.3.5.8</t>
  </si>
  <si>
    <t>Elektrische Leistung der Lüftung</t>
  </si>
  <si>
    <t xml:space="preserve">Puissance électrique de la ventilation </t>
  </si>
  <si>
    <t>Potenza elettrica della ventilazione</t>
  </si>
  <si>
    <t>1.3.6.1</t>
  </si>
  <si>
    <t>Apports de chaleur externes</t>
  </si>
  <si>
    <t>Apporti termici esterni</t>
  </si>
  <si>
    <t>1.3.2.14</t>
  </si>
  <si>
    <t>Production d'humidité par personne</t>
  </si>
  <si>
    <t>1.3.2.15</t>
  </si>
  <si>
    <t>Sources d'humidité (personnes exceptées)</t>
  </si>
  <si>
    <t>Fonte d’umidità (senza persone)</t>
  </si>
  <si>
    <t>1.3.3.1</t>
  </si>
  <si>
    <t>Geräteprofil</t>
  </si>
  <si>
    <t>Profil de puissance des appareils</t>
  </si>
  <si>
    <t>1.3.1.7</t>
  </si>
  <si>
    <t>Gesamtenergiedurchlassgrad</t>
  </si>
  <si>
    <t>1.3.1.3</t>
  </si>
  <si>
    <t>Taux de surface vitrée</t>
  </si>
  <si>
    <t>1.3.4.2</t>
  </si>
  <si>
    <t>1.3.6.3</t>
  </si>
  <si>
    <t>Apporti termici interni</t>
  </si>
  <si>
    <t>1.3.6.2</t>
  </si>
  <si>
    <t>Apports de chaleur internes</t>
  </si>
  <si>
    <t>1.3.2.7</t>
  </si>
  <si>
    <t>Simultanéité annuelle</t>
  </si>
  <si>
    <t>Contemporaneità annuale</t>
  </si>
  <si>
    <t>1.3.5.6</t>
  </si>
  <si>
    <t>1.3.2.6</t>
  </si>
  <si>
    <t>Profil annuel</t>
  </si>
  <si>
    <t>Profilo annuale</t>
  </si>
  <si>
    <t>1.3.3.6</t>
  </si>
  <si>
    <t>1.3.5.9</t>
  </si>
  <si>
    <t>1.3.6.6</t>
  </si>
  <si>
    <t>1.3.7.7</t>
  </si>
  <si>
    <t>1.3.4.13</t>
  </si>
  <si>
    <t xml:space="preserve">Jährliche Volllaststunden der Raumbeleuchtung </t>
  </si>
  <si>
    <t>Heures à pleine charge de l’éclairage par an</t>
  </si>
  <si>
    <t>1.3.4.14</t>
  </si>
  <si>
    <t xml:space="preserve">Jährliche Volllaststunden der Akzentbeleuchtung </t>
  </si>
  <si>
    <t>Heures à pleine charge de l'éclairage de valorisation par an</t>
  </si>
  <si>
    <t>1.3.4.15</t>
  </si>
  <si>
    <t>Demande annuelle en électricité de l’éclairage</t>
  </si>
  <si>
    <t>Fabbisogno elettrico annuale dell’illuminazione</t>
  </si>
  <si>
    <t>1.3.3.7</t>
  </si>
  <si>
    <t>Jährlicher Elektrizitätsbedarf der Geräte</t>
  </si>
  <si>
    <t>1.3.5.10</t>
  </si>
  <si>
    <t>Jährlicher Elektrizitätsbedarf für die Lüftung</t>
  </si>
  <si>
    <t>Demande annuelle en électricité de la ventilation</t>
  </si>
  <si>
    <t>Fabbisogno elettrico annuale della ventilazione</t>
  </si>
  <si>
    <t>1.3.9.1</t>
  </si>
  <si>
    <t>Jährlicher Energiebedarf</t>
  </si>
  <si>
    <t xml:space="preserve">Demande énergie par an </t>
  </si>
  <si>
    <t>1.3.7.9</t>
  </si>
  <si>
    <t xml:space="preserve">Jährlicher Heizwärmebedarf </t>
  </si>
  <si>
    <t>1.3.6.7</t>
  </si>
  <si>
    <t>1.3.8.7</t>
  </si>
  <si>
    <t>1.3.6.5</t>
  </si>
  <si>
    <t>Demande en puissance de refroidissement</t>
  </si>
  <si>
    <t>Fabbisogno di potenza di raffreddamento</t>
  </si>
  <si>
    <t>1.3.4.8</t>
  </si>
  <si>
    <t>Korrekturfaktor für Präsenzregelung</t>
  </si>
  <si>
    <t>Facteur de correction pour détecteur de présence</t>
  </si>
  <si>
    <t>Fattore di correzione per la regolazione di presenza</t>
  </si>
  <si>
    <t>1.3.1.15</t>
  </si>
  <si>
    <t xml:space="preserve">Sensibilité au bruit </t>
  </si>
  <si>
    <t>Sensibilità al rumore</t>
  </si>
  <si>
    <t>1.3.3.4</t>
  </si>
  <si>
    <t>1.3.9.2</t>
  </si>
  <si>
    <t>Leistungsbedarf</t>
  </si>
  <si>
    <t xml:space="preserve">Demande en puissance </t>
  </si>
  <si>
    <t>Fabbisogno di potenza</t>
  </si>
  <si>
    <t>1.3.4.5</t>
  </si>
  <si>
    <t>Efficacité lumineuse des luminaires</t>
  </si>
  <si>
    <t>Efficienza luminosa dei corpi illuminanti</t>
  </si>
  <si>
    <t>1.3.1.8</t>
  </si>
  <si>
    <t>Facteur de transmission solaire et lumineuse</t>
  </si>
  <si>
    <t>Fattore di trasmissione luminosa</t>
  </si>
  <si>
    <t>1.3.7.2</t>
  </si>
  <si>
    <t>Lüftungs-Wärmetransferkoeffizient</t>
  </si>
  <si>
    <t>Coefficient de transfert thermique par ventilation</t>
  </si>
  <si>
    <t>1.3.1.14</t>
  </si>
  <si>
    <t>Maximale Luftgeschwindigkeit</t>
  </si>
  <si>
    <t>Vitesse maximale de l'air</t>
  </si>
  <si>
    <t>Velocità massima dell’aria</t>
  </si>
  <si>
    <t>1.3.1.17</t>
  </si>
  <si>
    <t>Temps de réverbération</t>
  </si>
  <si>
    <t>Tempo di riverbero</t>
  </si>
  <si>
    <t>1.3.7.6</t>
  </si>
  <si>
    <t>1.3.6.4</t>
  </si>
  <si>
    <t xml:space="preserve">Nécessité du refroidissement </t>
  </si>
  <si>
    <t>Necessità di raffredamento</t>
  </si>
  <si>
    <t>1.3.2.2</t>
  </si>
  <si>
    <t>Heures d'utilisation par jour</t>
  </si>
  <si>
    <t>Ore di utilizzo giornaliere</t>
  </si>
  <si>
    <t>1.3.4.7</t>
  </si>
  <si>
    <t>Nutzungsstunden Tag und Nacht</t>
  </si>
  <si>
    <t>Heures d'utilisation pour le jour et pour la nuit</t>
  </si>
  <si>
    <t>Ore di utilizzo giornaliere e notturne</t>
  </si>
  <si>
    <t>1.3.2.5</t>
  </si>
  <si>
    <t>Giorni di utilizzo annuali</t>
  </si>
  <si>
    <t>1.3.8.2</t>
  </si>
  <si>
    <t>Besoins en eau chaude utile par unité de consommation</t>
  </si>
  <si>
    <t>Fabbisogno di acqua calda utile per unità di prelievo</t>
  </si>
  <si>
    <t>1.3.2.9</t>
  </si>
  <si>
    <t>Surface par personne</t>
  </si>
  <si>
    <t>Superficie per persona</t>
  </si>
  <si>
    <t>1.3.2.1</t>
  </si>
  <si>
    <t>Personenprofil</t>
  </si>
  <si>
    <t>Tasso di occupazione</t>
  </si>
  <si>
    <t>1.3.1.1</t>
  </si>
  <si>
    <t>1.3.4.4</t>
  </si>
  <si>
    <t>Indice del locale</t>
  </si>
  <si>
    <t>1.3.1.12</t>
  </si>
  <si>
    <t xml:space="preserve">Température de l’air intérieur </t>
  </si>
  <si>
    <t>1.3.4.6</t>
  </si>
  <si>
    <t>Utilance</t>
  </si>
  <si>
    <t>1.3.1.9</t>
  </si>
  <si>
    <t>Facteur de réduction des apports de chaleur solaires</t>
  </si>
  <si>
    <t>Fattore di riduzione degli apporti termici solari</t>
  </si>
  <si>
    <t>1.3.1.13</t>
  </si>
  <si>
    <t>1.3.2.4</t>
  </si>
  <si>
    <t>Jours non ouvrables par semaine</t>
  </si>
  <si>
    <t>Giorni di riposo settimanali</t>
  </si>
  <si>
    <t>1.3.5.7</t>
  </si>
  <si>
    <t>1.3.5.3</t>
  </si>
  <si>
    <t>1.3.1.10</t>
  </si>
  <si>
    <t>Strahlungsleistung für Betätigung Sonnenschutz</t>
  </si>
  <si>
    <t>Puissance rayonnée pour l’actionnement de la protection solaire</t>
  </si>
  <si>
    <t>Potenza d’irraggiamento per l'azionamento della protezione solare</t>
  </si>
  <si>
    <t>1.3.5.5</t>
  </si>
  <si>
    <t>Coefficiente di variabilità della temperatura del recuperatore di calore</t>
  </si>
  <si>
    <t>1.3.7.5</t>
  </si>
  <si>
    <t>Temperaturkorrektur</t>
  </si>
  <si>
    <t>Correction de température</t>
  </si>
  <si>
    <t>Correzione di temperatura</t>
  </si>
  <si>
    <t>1.3.7.8</t>
  </si>
  <si>
    <t>Thermisch wirksamer Aussenluft-Volumenstrom</t>
  </si>
  <si>
    <t>Débit d’air thermiquement actif</t>
  </si>
  <si>
    <t>Volume d’aria esterna termicamente determinante</t>
  </si>
  <si>
    <t>1.3.1.2</t>
  </si>
  <si>
    <t>Surface de l’enveloppe thermique</t>
  </si>
  <si>
    <t>Superficie dell’involucro termico dell’edificio</t>
  </si>
  <si>
    <t>1.3.7.1</t>
  </si>
  <si>
    <t>1.3.8.5</t>
  </si>
  <si>
    <t>Verhältnis Warmwasserbedarf zu Wasserbedarf</t>
  </si>
  <si>
    <t>1.3.2.8</t>
  </si>
  <si>
    <t>Volllaststunden pro Jahr</t>
  </si>
  <si>
    <t>Heures à pleine charge par an</t>
  </si>
  <si>
    <t>Ore a pieno carico annuali</t>
  </si>
  <si>
    <t>1.3.2.3</t>
  </si>
  <si>
    <t>Heures à pleine charge par jour</t>
  </si>
  <si>
    <t>Ore a pieno carico giormaliere</t>
  </si>
  <si>
    <t>1.3.3.2</t>
  </si>
  <si>
    <t>1.3.2.12</t>
  </si>
  <si>
    <t>Wärmeabgabeleistung Personen</t>
  </si>
  <si>
    <t>Dégagement de chaleur par personne</t>
  </si>
  <si>
    <t>Potenza termica ceduta a persona</t>
  </si>
  <si>
    <t>1.3.2.11</t>
  </si>
  <si>
    <t xml:space="preserve">Résistance thermique de l‘habillement </t>
  </si>
  <si>
    <t>Valore di resistenza termica dell’abbigliamento</t>
  </si>
  <si>
    <t>1.3.1.6</t>
  </si>
  <si>
    <t>Wärmedurchgangskoeffizient</t>
  </si>
  <si>
    <t>Coefficient de transmission thermique</t>
  </si>
  <si>
    <t>Coefficiente di trasmissione termica</t>
  </si>
  <si>
    <t>1.3.4.12</t>
  </si>
  <si>
    <t>Wärmeeintragsleistung der Akzentbeleuchtung</t>
  </si>
  <si>
    <t>Puissance de charge interne de l’éclairage de valorisation</t>
  </si>
  <si>
    <t>1.3.3.5</t>
  </si>
  <si>
    <t>Wärmeeintragsleistung der Geräte</t>
  </si>
  <si>
    <t>1.3.4.10</t>
  </si>
  <si>
    <t>Wärmeeintragsleistung der Raumbeleuchtung</t>
  </si>
  <si>
    <t>Puissance de charge interne de l’éclairage</t>
  </si>
  <si>
    <t>1.3.2.13</t>
  </si>
  <si>
    <t>1.3.1.11</t>
  </si>
  <si>
    <t>1.3.7.3</t>
  </si>
  <si>
    <t>Coefficient de transfert thermique</t>
  </si>
  <si>
    <t>1.3.8.4</t>
  </si>
  <si>
    <t xml:space="preserve">Besoin en eau chaude utile par personne </t>
  </si>
  <si>
    <t>1.3.8.6</t>
  </si>
  <si>
    <t>Besoin en eau par personne</t>
  </si>
  <si>
    <t>Fabbisogno d’acqua a persona</t>
  </si>
  <si>
    <t>1.3.7.4</t>
  </si>
  <si>
    <t>Constante de temps</t>
  </si>
  <si>
    <t>Costante di tempo</t>
  </si>
  <si>
    <t>Variabilité de la température dans les installations de récupération de chaleur</t>
  </si>
  <si>
    <t>Français</t>
  </si>
  <si>
    <t>Italiano</t>
  </si>
  <si>
    <t>Code</t>
  </si>
  <si>
    <t>Jährliche Geräte-Volllaststunden</t>
  </si>
  <si>
    <t>Wartungswert</t>
  </si>
  <si>
    <t>Aussenluft-Volumenstrom pro Person</t>
  </si>
  <si>
    <t>Aussenluft-Volumenstrom pro Person Nacht</t>
  </si>
  <si>
    <t>Aussenluft-Volumenstrom pro Personenfläche und Aktivitätsgrad</t>
  </si>
  <si>
    <t>Aussenluft-Volumenstrom pro Nettofläche</t>
  </si>
  <si>
    <t>Spez. Aussenluft-Volumenstrom Nacht</t>
  </si>
  <si>
    <t>Spez. elektrische Leistung Bel. &amp; Betriebseinr.</t>
  </si>
  <si>
    <t>Nutzungsstunden pro Nacht</t>
  </si>
  <si>
    <t>Transmissions-Wärmetransferkoeffizient</t>
  </si>
  <si>
    <t>Cible</t>
  </si>
  <si>
    <t>Existant</t>
  </si>
  <si>
    <t>Standard, cible</t>
  </si>
  <si>
    <t>Standard, existant</t>
  </si>
  <si>
    <t>Hiver</t>
  </si>
  <si>
    <t>Mirato</t>
  </si>
  <si>
    <t>Standard, mirato</t>
  </si>
  <si>
    <t>Estate</t>
  </si>
  <si>
    <t>Inverno</t>
  </si>
  <si>
    <t>Ausgewählt</t>
  </si>
  <si>
    <t>Begriffe aus Kapitel Verständigung</t>
  </si>
  <si>
    <t>Begriffe Blatt Eingabedaten - Verknüpft mit Code</t>
  </si>
  <si>
    <t>Raumnutzungen - Verknüpft mit Code</t>
  </si>
  <si>
    <t>Begriffe Blatt Eingabedaten - Verknüpft via Spalte F</t>
  </si>
  <si>
    <t>Begriffe Datenblatt - Verknüpft via Spalte F</t>
  </si>
  <si>
    <t>bei</t>
  </si>
  <si>
    <r>
      <t>t</t>
    </r>
    <r>
      <rPr>
        <i/>
        <vertAlign val="subscript"/>
        <sz val="10"/>
        <rFont val="Arial"/>
        <family val="2"/>
      </rPr>
      <t>A,d</t>
    </r>
  </si>
  <si>
    <r>
      <t>f</t>
    </r>
    <r>
      <rPr>
        <i/>
        <vertAlign val="subscript"/>
        <sz val="10"/>
        <rFont val="Arial"/>
        <family val="2"/>
      </rPr>
      <t>A,St</t>
    </r>
  </si>
  <si>
    <t>Höhe = 0.75 m oder 0.05 m</t>
  </si>
  <si>
    <r>
      <t>t</t>
    </r>
    <r>
      <rPr>
        <i/>
        <vertAlign val="subscript"/>
        <sz val="10"/>
        <color indexed="63"/>
        <rFont val="Arial"/>
        <family val="2"/>
      </rPr>
      <t>P,d,max</t>
    </r>
  </si>
  <si>
    <r>
      <t>t</t>
    </r>
    <r>
      <rPr>
        <i/>
        <vertAlign val="subscript"/>
        <sz val="10"/>
        <color indexed="63"/>
        <rFont val="Arial"/>
        <family val="2"/>
      </rPr>
      <t>P,d</t>
    </r>
  </si>
  <si>
    <r>
      <t>d</t>
    </r>
    <r>
      <rPr>
        <i/>
        <vertAlign val="subscript"/>
        <sz val="10"/>
        <color indexed="63"/>
        <rFont val="Arial"/>
        <family val="2"/>
      </rPr>
      <t>Pr,w</t>
    </r>
  </si>
  <si>
    <r>
      <t>d</t>
    </r>
    <r>
      <rPr>
        <i/>
        <vertAlign val="subscript"/>
        <sz val="10"/>
        <color indexed="63"/>
        <rFont val="Arial"/>
        <family val="2"/>
      </rPr>
      <t>P</t>
    </r>
  </si>
  <si>
    <r>
      <t>f</t>
    </r>
    <r>
      <rPr>
        <i/>
        <vertAlign val="subscript"/>
        <sz val="10"/>
        <color indexed="63"/>
        <rFont val="Arial"/>
        <family val="2"/>
      </rPr>
      <t>P</t>
    </r>
  </si>
  <si>
    <r>
      <t>t</t>
    </r>
    <r>
      <rPr>
        <i/>
        <vertAlign val="subscript"/>
        <sz val="10"/>
        <color indexed="63"/>
        <rFont val="Arial"/>
        <family val="2"/>
      </rPr>
      <t>P</t>
    </r>
  </si>
  <si>
    <t>berechnet!</t>
  </si>
  <si>
    <t>10°C  -&gt;  60°C</t>
  </si>
  <si>
    <t xml:space="preserve">Elektrischer Energiebedarf                              </t>
  </si>
  <si>
    <t xml:space="preserve">Thermischer Energiebedarf                              </t>
  </si>
  <si>
    <t xml:space="preserve">Elektrischer Leistungsbedarf                              </t>
  </si>
  <si>
    <t xml:space="preserve">Thermischer Leistungsbedarf                              </t>
  </si>
  <si>
    <t>- Gewerbliche Kälte ist unter Geräte verbucht</t>
  </si>
  <si>
    <t>Chambre d'hôtel</t>
  </si>
  <si>
    <t>Réception, zone d'accueil</t>
  </si>
  <si>
    <t>Bureau individuel, collectif</t>
  </si>
  <si>
    <t>Bureau paysagé</t>
  </si>
  <si>
    <t>Salle de réunion</t>
  </si>
  <si>
    <t>Hall des guichets, zone clientèle</t>
  </si>
  <si>
    <t>Salle d'école</t>
  </si>
  <si>
    <t>Salle des maîtres</t>
  </si>
  <si>
    <t>Bibliothèque</t>
  </si>
  <si>
    <t>Auditoire</t>
  </si>
  <si>
    <t>Magasin d'alimentation</t>
  </si>
  <si>
    <t>Magasin grande surface</t>
  </si>
  <si>
    <t>Restaurant self-service</t>
  </si>
  <si>
    <t>Cuisine de restaurant</t>
  </si>
  <si>
    <t>Cuisine de restaurant self-service</t>
  </si>
  <si>
    <t>Salle de spectacles</t>
  </si>
  <si>
    <t>Halle d'exposition</t>
  </si>
  <si>
    <t>Chambre d'hôpital</t>
  </si>
  <si>
    <t>Bureau de service hospitalier</t>
  </si>
  <si>
    <t>Locaux médicaux</t>
  </si>
  <si>
    <t>Production (travail lourd)</t>
  </si>
  <si>
    <t>Production (travail fin)</t>
  </si>
  <si>
    <t>Entrepôt</t>
  </si>
  <si>
    <t>Salle de gymnastique</t>
  </si>
  <si>
    <t>Salle de fitness</t>
  </si>
  <si>
    <t>Piscine couverte</t>
  </si>
  <si>
    <t>Surface de dégagement</t>
  </si>
  <si>
    <t>WC, salle de bain, douche</t>
  </si>
  <si>
    <t>Garage collectif</t>
  </si>
  <si>
    <t>Buanderie, séchoir</t>
  </si>
  <si>
    <t>Chambre froide</t>
  </si>
  <si>
    <t>Salle de serveurs</t>
  </si>
  <si>
    <t>Magasin de meubles, bricolage</t>
  </si>
  <si>
    <t>Surface de dégagement 24h</t>
  </si>
  <si>
    <t>Habitat individuel</t>
  </si>
  <si>
    <t>Habitat collectif</t>
  </si>
  <si>
    <t>Profondeur</t>
  </si>
  <si>
    <t>Hauteur</t>
  </si>
  <si>
    <t>Surface nette</t>
  </si>
  <si>
    <t>Utilisation avec climatisation</t>
  </si>
  <si>
    <t>Désignation</t>
  </si>
  <si>
    <t>Utilisation du local</t>
  </si>
  <si>
    <t>Dimensions du local</t>
  </si>
  <si>
    <t>Climat du local</t>
  </si>
  <si>
    <t>Personnes</t>
  </si>
  <si>
    <t>Appareils</t>
  </si>
  <si>
    <t>Eclairage</t>
  </si>
  <si>
    <t>Ventilation</t>
  </si>
  <si>
    <t>Climatisation</t>
  </si>
  <si>
    <t>Chauffage</t>
  </si>
  <si>
    <t>Eau chaude</t>
  </si>
  <si>
    <t>moyen</t>
  </si>
  <si>
    <t>faible</t>
  </si>
  <si>
    <t>1-vitesse</t>
  </si>
  <si>
    <t>Installation de ventilation</t>
  </si>
  <si>
    <t>VE avec chauffage de l'air</t>
  </si>
  <si>
    <t>Clim. avec humidification et déshumidification de l'air</t>
  </si>
  <si>
    <t>Installation d'extraction simple flux (ARS)</t>
  </si>
  <si>
    <t>sans installation de ventilation</t>
  </si>
  <si>
    <t>nécessaire</t>
  </si>
  <si>
    <t>souhaité</t>
  </si>
  <si>
    <t>pas nécess.</t>
  </si>
  <si>
    <t>Lit</t>
  </si>
  <si>
    <t>Douche</t>
  </si>
  <si>
    <t>Symbole</t>
  </si>
  <si>
    <t>Unité</t>
  </si>
  <si>
    <t>Local</t>
  </si>
  <si>
    <t>Eau</t>
  </si>
  <si>
    <t>Laboratoir</t>
  </si>
  <si>
    <t>Demande en énergie électrique et thermique</t>
  </si>
  <si>
    <t>Demande en puissance électrique et thermique</t>
  </si>
  <si>
    <t>Demande en énergie électrique</t>
  </si>
  <si>
    <t>Demande en énergie thermique</t>
  </si>
  <si>
    <t>Demande en puissance électrique</t>
  </si>
  <si>
    <t>Demande en puissance thermique</t>
  </si>
  <si>
    <t>Local annexes</t>
  </si>
  <si>
    <t>Vestiaire, douche</t>
  </si>
  <si>
    <t>Demande en énergie et puissance</t>
  </si>
  <si>
    <t>Puissance électrique de l'éclairage</t>
  </si>
  <si>
    <t>Heures d'utilisation par nuit</t>
  </si>
  <si>
    <t>Commentaires</t>
  </si>
  <si>
    <t>Jährliche Volllaststunden der Lüftung</t>
  </si>
  <si>
    <t>Jährliche Volllaststunden der Geräte</t>
  </si>
  <si>
    <t>Jährliche Volllaststunden der Raumkühlung</t>
  </si>
  <si>
    <t>Jährliche Volllaststunden der Raumheizung</t>
  </si>
  <si>
    <t>avec aération par les fenêtres jour et nuit</t>
  </si>
  <si>
    <t>avec aération par les fenêtres avec ocupation</t>
  </si>
  <si>
    <t>sans aération par les fenêtres</t>
  </si>
  <si>
    <t>Eau chaude et froide</t>
  </si>
  <si>
    <t>Solaire, transmission, ventilation</t>
  </si>
  <si>
    <t>Demande en électricité</t>
  </si>
  <si>
    <t>Personnes, appareils, éclairage</t>
  </si>
  <si>
    <t>Heures à pleine charge par an des appareils</t>
  </si>
  <si>
    <t>Heures à pleine charge par an de la ventilation</t>
  </si>
  <si>
    <t>Heures à pleine charge par an de la climatisation</t>
  </si>
  <si>
    <t>SIA 2024 - Résultats standard</t>
  </si>
  <si>
    <t>SIA 2024 - Résultats valeur cible</t>
  </si>
  <si>
    <t>SIA 2024 - Résultats existant</t>
  </si>
  <si>
    <t>Camera d'albergo</t>
  </si>
  <si>
    <t>Ricezione, atrio</t>
  </si>
  <si>
    <t>Ufficio singolo, ufficio per più persone</t>
  </si>
  <si>
    <t>Grande ufficio</t>
  </si>
  <si>
    <t>Sala riunioni</t>
  </si>
  <si>
    <t>Sportello, sala d'accoglienza</t>
  </si>
  <si>
    <t>Aula scolastica</t>
  </si>
  <si>
    <t>Aula docenti</t>
  </si>
  <si>
    <t>Biblioteca</t>
  </si>
  <si>
    <t>Auditorio</t>
  </si>
  <si>
    <t>Negozio di alimentari</t>
  </si>
  <si>
    <t>Ristorante</t>
  </si>
  <si>
    <t>Ristorante self-service</t>
  </si>
  <si>
    <t>Cucina di ristorante</t>
  </si>
  <si>
    <t>Cucina di ristorante self-service</t>
  </si>
  <si>
    <t>Sala di presentazione</t>
  </si>
  <si>
    <t>Sala polivalente</t>
  </si>
  <si>
    <t>Sala esposizioni</t>
  </si>
  <si>
    <t>Camera da letto, ospedale</t>
  </si>
  <si>
    <t>Locale infermieri</t>
  </si>
  <si>
    <t>Locale di cura</t>
  </si>
  <si>
    <t>Produzione (lavori grossolani)</t>
  </si>
  <si>
    <t>Produzione (lavori di precisione)</t>
  </si>
  <si>
    <t>Palestra</t>
  </si>
  <si>
    <t>Locale fitness</t>
  </si>
  <si>
    <t>Piscina coperta</t>
  </si>
  <si>
    <t>Superficie di circolazione</t>
  </si>
  <si>
    <t>WC, bagno, doccia</t>
  </si>
  <si>
    <t>Guardaroba, docce</t>
  </si>
  <si>
    <t>Autosilo</t>
  </si>
  <si>
    <t>Lavanderia, essicatoio</t>
  </si>
  <si>
    <t>Locale frigorifero</t>
  </si>
  <si>
    <t>Locale server</t>
  </si>
  <si>
    <t>Negozi specializzati</t>
  </si>
  <si>
    <t>Vendita mobili, fai da te</t>
  </si>
  <si>
    <t>Laboratorio</t>
  </si>
  <si>
    <t>Superficie di circolazione 24h</t>
  </si>
  <si>
    <t>Corpo scale</t>
  </si>
  <si>
    <t>Abitazione plurifamiliare</t>
  </si>
  <si>
    <t>Abitazione monofamiliare</t>
  </si>
  <si>
    <t>Lunghezza</t>
  </si>
  <si>
    <t>Profondità</t>
  </si>
  <si>
    <t>Altezza</t>
  </si>
  <si>
    <t>Superficie netta</t>
  </si>
  <si>
    <t>Valeur-U de la fenêtre</t>
  </si>
  <si>
    <t>Valore-U finestra</t>
  </si>
  <si>
    <t>Descrizione</t>
  </si>
  <si>
    <t>Utilizzo del locale</t>
  </si>
  <si>
    <t>Locale</t>
  </si>
  <si>
    <t>Persone</t>
  </si>
  <si>
    <t>Apparecchi</t>
  </si>
  <si>
    <t>Illuminazione</t>
  </si>
  <si>
    <t>Ventilazione</t>
  </si>
  <si>
    <t>Climatizzazione</t>
  </si>
  <si>
    <t>Riscaldamento</t>
  </si>
  <si>
    <t>Acqua</t>
  </si>
  <si>
    <t>medio</t>
  </si>
  <si>
    <t>1 stadio</t>
  </si>
  <si>
    <t>2 stadi</t>
  </si>
  <si>
    <t>Impianto d'aspirazione semplice (AA)</t>
  </si>
  <si>
    <t xml:space="preserve">Impianto di ventilazione (LA) </t>
  </si>
  <si>
    <t>Impianto di ventilazione con riscaldamento dell'aria</t>
  </si>
  <si>
    <t>AC  con umidificazione e deumidificazione dell'aria</t>
  </si>
  <si>
    <t>senza impianto di ventilazione</t>
  </si>
  <si>
    <t>non necessario</t>
  </si>
  <si>
    <t>desiderato</t>
  </si>
  <si>
    <t>necessario</t>
  </si>
  <si>
    <t>Potenza elettrica dell'illuminazione</t>
  </si>
  <si>
    <t>SIA 2024 - Risultati standard</t>
  </si>
  <si>
    <t>Projektwert</t>
  </si>
  <si>
    <t>Valeur projet</t>
  </si>
  <si>
    <t>Valore progetto</t>
  </si>
  <si>
    <t>Valore standard</t>
  </si>
  <si>
    <t>Simbolo</t>
  </si>
  <si>
    <t>Unità</t>
  </si>
  <si>
    <t>Fabbisogno di energia e potenza</t>
  </si>
  <si>
    <t>SIA 2024 - Risultati valore mirato</t>
  </si>
  <si>
    <t>SIA 2024 - Risultati esistente</t>
  </si>
  <si>
    <t>Maximale Luftgeschwindigkeit Sommer</t>
  </si>
  <si>
    <t>Maximale Luftgeschwindigkeit Winter</t>
  </si>
  <si>
    <t>Notwendigkeit einer Kühlung mit Fensterlüftung Tag und Nacht</t>
  </si>
  <si>
    <t>Notwendigkeit einer Kühlung mit Fensterlüftung bei Belegung</t>
  </si>
  <si>
    <t>Notwendigkeit einer Kühlung ohne Fensterlüftung</t>
  </si>
  <si>
    <t>g/(hm2)</t>
  </si>
  <si>
    <t>m3/(hm2)</t>
  </si>
  <si>
    <t>l/(dP)</t>
  </si>
  <si>
    <t>m3/(h×m2)</t>
  </si>
  <si>
    <t>Begriffe Resultate - Verknüpft via Spalte F</t>
  </si>
  <si>
    <t>Begriffe Profile - Verknüpft via Spalte F</t>
  </si>
  <si>
    <t>Fev</t>
  </si>
  <si>
    <t>Mar</t>
  </si>
  <si>
    <t>Avr</t>
  </si>
  <si>
    <t>Jui</t>
  </si>
  <si>
    <t>Oct</t>
  </si>
  <si>
    <t>Dec</t>
  </si>
  <si>
    <t>Gen</t>
  </si>
  <si>
    <t>Mag</t>
  </si>
  <si>
    <t>Giu</t>
  </si>
  <si>
    <t>Lug</t>
  </si>
  <si>
    <t>Ago</t>
  </si>
  <si>
    <t>Set</t>
  </si>
  <si>
    <t>Ott</t>
  </si>
  <si>
    <t>Dic</t>
  </si>
  <si>
    <t>Aou</t>
  </si>
  <si>
    <t>Jährlicher Elektrizitätsbedarf pro Person</t>
  </si>
  <si>
    <t xml:space="preserve">Bauteilflächen </t>
  </si>
  <si>
    <t>Indice di superficie vetrata</t>
  </si>
  <si>
    <t>Ore annuali a pieno carico degli apparecchi</t>
  </si>
  <si>
    <t>Ore annuali a pieno carico della ventilazione</t>
  </si>
  <si>
    <t>Heures à pleine charge par an du chauffage</t>
  </si>
  <si>
    <t>Ore annuali a pieno carico dell’ illuminazione dei locali</t>
  </si>
  <si>
    <t>Besoins de chaleur pour le chauffage par an</t>
  </si>
  <si>
    <t>Fabbisogno termico annuale per il riscaldamento</t>
  </si>
  <si>
    <t>Fabbisogno termico annuale per il raffreddamento</t>
  </si>
  <si>
    <t>Besoins de chaleur pour l'eau chaude sanitaire par an</t>
  </si>
  <si>
    <t>Fabbisogno termico annuale per l’acqua calda sanitaria</t>
  </si>
  <si>
    <t>Fabbisogno di potenza termica standard</t>
  </si>
  <si>
    <t>Temperatura dell’aria 
interna</t>
  </si>
  <si>
    <t>Rendimento del locale</t>
  </si>
  <si>
    <t xml:space="preserve">Relative Raumluftfeuchte </t>
  </si>
  <si>
    <t>Spezifische Ventilatorleistung</t>
  </si>
  <si>
    <t>Puissance spécifique du ventilateur</t>
  </si>
  <si>
    <t>Potenza specifica del ventilatore</t>
  </si>
  <si>
    <t>Controllo e regolazione della portata di ventilazione (a un livello, due livelli, varabile)</t>
  </si>
  <si>
    <t>Coefficiente delle perdite termiche per trasmissione</t>
  </si>
  <si>
    <t>Rapporto tra fabbisogno di acqua calda sanitaria e fabbisogno d'acqua</t>
  </si>
  <si>
    <t>Coefficiente di scambio termico</t>
  </si>
  <si>
    <t>Fabbisogno d'acqua calda sanitaria a persona</t>
  </si>
  <si>
    <t>Schulfachraum (Spezialraum)</t>
  </si>
  <si>
    <t>Loceaux spéciaux</t>
  </si>
  <si>
    <t>Cage d'escalier</t>
  </si>
  <si>
    <t>cuisine, cuisine du thé</t>
  </si>
  <si>
    <t>Cucina, cucina da té</t>
  </si>
  <si>
    <t>Fensteranteil, Bruttofassade</t>
  </si>
  <si>
    <t>Taux des fenêtres, faҫade nette</t>
  </si>
  <si>
    <t>Utilizzo con climatizzazione</t>
  </si>
  <si>
    <t>Ore di utilizzo notturne</t>
  </si>
  <si>
    <t>Débit d’air neuf par personne</t>
  </si>
  <si>
    <t>Acqua calda sanitaria</t>
  </si>
  <si>
    <t xml:space="preserve">Acqua e acqua calda sanitaria </t>
  </si>
  <si>
    <t>Taux d’occupation (Jours d'utilisation)</t>
  </si>
  <si>
    <t>Tasso di occupazione (Giorni di utilizzo)</t>
  </si>
  <si>
    <t>Profil de puissance des appareils (Jours d'utilisation)</t>
  </si>
  <si>
    <t>Profilio degli apparecchi (Giorni di utilizzo)</t>
  </si>
  <si>
    <t>Jour d'utilisation</t>
  </si>
  <si>
    <t>Giorni di utilizzo</t>
  </si>
  <si>
    <t>personnes-heures</t>
  </si>
  <si>
    <t>persone-ore</t>
  </si>
  <si>
    <t>appareils-heures</t>
  </si>
  <si>
    <t>apparecchi-ore</t>
  </si>
  <si>
    <t>Siège</t>
  </si>
  <si>
    <t>- Spez. Aussenluftvolumenstrom für öffentliche Parkhäuser: 6 m3/m2h</t>
  </si>
  <si>
    <t xml:space="preserve">Besoin en eau et en eau chaude utile par personne </t>
  </si>
  <si>
    <t>Fabbisogno d'acqua e d'acqua calda sanitaria a persona</t>
  </si>
  <si>
    <t>Besoin en eau et en eau chaude utile par personne, sans restaurant du personnel</t>
  </si>
  <si>
    <t>Fabbisogno d'acqua e d'acqua calda sanitaria a persona, senza ristorante aziendale</t>
  </si>
  <si>
    <t>Besoin en eau et en eau chaude utile par personne (écolier), sans restaurant universitaire et complexe sportif</t>
  </si>
  <si>
    <t>Fabbisogno d'acqua e d'acqua calda sanitaria a persona (allievo), senza mensa e impianto sportivo</t>
  </si>
  <si>
    <t>Fabbisogno d'acqua e d'acqua calda sanitaria a persona (allievo), senza mensa e impianti sportivi</t>
  </si>
  <si>
    <t>Besoin en eau et en eau chaude utile par personne (clients)</t>
  </si>
  <si>
    <t>Fabbisogno d'acqua e d'acqua calda sanitaria a persona (clienti)</t>
  </si>
  <si>
    <t>Besoin en eau et en eau chaude utile par personne (visiteur)</t>
  </si>
  <si>
    <t>Fabbisogno d'acqua e d'acqua calda sanitaria a persona (visitatore)</t>
  </si>
  <si>
    <t>Besoin en eau et en eau chaude utile par lit, sans restaurant</t>
  </si>
  <si>
    <t xml:space="preserve">- Wasser- und Warmwasserbedarf pro Person, ohne Prozesswasser </t>
  </si>
  <si>
    <t>Besoin en eau et en eau chaude utile par personne sans eau industrielle</t>
  </si>
  <si>
    <t>Fabbisogno d'acqua e d'acqua calda sanitaria a persona senza acqua industriale</t>
  </si>
  <si>
    <t>Besoin en eau et en eau chaude utile par douche pour salle de sport</t>
  </si>
  <si>
    <t>Besoin en eau et en eau chaude utile par douche sans besoin en eau du bain</t>
  </si>
  <si>
    <t>orientation ouest</t>
  </si>
  <si>
    <t>Dimensionamento di raffreddamento</t>
  </si>
  <si>
    <t>Dimensionamento di riscaldamento</t>
  </si>
  <si>
    <t>le bruit provenant de l'extérieur/le bruit provenant de l'intérieur, bruit de choc</t>
  </si>
  <si>
    <t>Rumore esterno/ rumore interno, rumore per calpestio</t>
  </si>
  <si>
    <t>surface nette de plancher par personne</t>
  </si>
  <si>
    <t>sous peine de</t>
  </si>
  <si>
    <t>valeur horaire maximale</t>
  </si>
  <si>
    <t>indice de maintenance</t>
  </si>
  <si>
    <t>hauteur = 0.75m où 0.05m</t>
  </si>
  <si>
    <t>non-fumeurs</t>
  </si>
  <si>
    <t xml:space="preserve">par surface nette de plancher </t>
  </si>
  <si>
    <t>total air fourni et air repris</t>
  </si>
  <si>
    <t>senza ventilazione tramite finestre</t>
  </si>
  <si>
    <t>Fabbisogno energetico elettrico</t>
  </si>
  <si>
    <t>Fabbisogno di potenza termica</t>
  </si>
  <si>
    <t>Leistungsbedarf, W/m2</t>
  </si>
  <si>
    <t>Energiebedarf, kWh/m2</t>
  </si>
  <si>
    <r>
      <t>W/(m</t>
    </r>
    <r>
      <rPr>
        <vertAlign val="superscript"/>
        <sz val="10"/>
        <color indexed="63"/>
        <rFont val="Arial"/>
        <family val="2"/>
      </rPr>
      <t>3</t>
    </r>
    <r>
      <rPr>
        <sz val="10"/>
        <color indexed="63"/>
        <rFont val="Arial"/>
        <family val="2"/>
      </rPr>
      <t>/h)</t>
    </r>
  </si>
  <si>
    <t>Kontrolle Resultate vorangehende Version</t>
  </si>
  <si>
    <t>Valeur standard</t>
  </si>
  <si>
    <t>Longueur</t>
  </si>
  <si>
    <t>Valeur-U des parties opaques</t>
  </si>
  <si>
    <t>Acoustique du local</t>
  </si>
  <si>
    <t>p. es. piante</t>
  </si>
  <si>
    <t>Puissance électrique des appareils</t>
  </si>
  <si>
    <t>Demande en puissance de chauffage normée</t>
  </si>
  <si>
    <t>12.10</t>
  </si>
  <si>
    <t>Quota parte vetrata della finestra</t>
  </si>
  <si>
    <t>Attività metabolica</t>
  </si>
  <si>
    <t>Flusso d’aria esterna</t>
  </si>
  <si>
    <t>Flusso d’aria esterna per infiltrazione</t>
  </si>
  <si>
    <t>Intensità luminosa</t>
  </si>
  <si>
    <r>
      <t xml:space="preserve">Niveau d’évaluation </t>
    </r>
    <r>
      <rPr>
        <sz val="10"/>
        <color theme="1"/>
        <rFont val="Arial"/>
        <family val="2"/>
      </rPr>
      <t>relatif au bruit des installations du bâtiment</t>
    </r>
  </si>
  <si>
    <t>Livello di valutazione per rumori d'impianti tecnici dell'edificio</t>
  </si>
  <si>
    <t>Potenza elettrica dell’illuminazione puntuale</t>
  </si>
  <si>
    <t>Potenza elettrica dell'illuminazione dei locali</t>
  </si>
  <si>
    <r>
      <t>Produzione d’umidità a</t>
    </r>
    <r>
      <rPr>
        <sz val="10"/>
        <color rgb="FF000000"/>
        <rFont val="Arial"/>
        <family val="2"/>
      </rPr>
      <t xml:space="preserve"> persona</t>
    </r>
  </si>
  <si>
    <t>Profilo degli apparecchi</t>
  </si>
  <si>
    <r>
      <t>Facteur de transmission</t>
    </r>
    <r>
      <rPr>
        <sz val="10"/>
        <color theme="1"/>
        <rFont val="Arial"/>
        <family val="2"/>
      </rPr>
      <t xml:space="preserve"> énergétique solaire totale</t>
    </r>
  </si>
  <si>
    <t xml:space="preserve">Coefficiente di trasmissione energetica globale </t>
  </si>
  <si>
    <t>Quota di superficie vetrata</t>
  </si>
  <si>
    <t>Facteur de surface vitrée</t>
  </si>
  <si>
    <t>Apports de chaleur internes par jour</t>
  </si>
  <si>
    <t>Apporti termici interni giornalieri</t>
  </si>
  <si>
    <t>Fraction utile annuelle de la récupération de chaleur de la ventilation</t>
  </si>
  <si>
    <t>Coefficiente di lavoro annuo del recupero di calore</t>
  </si>
  <si>
    <t>Ore annuali a pieno carico della climatizzazione dei locali</t>
  </si>
  <si>
    <t>Ore annuali a pieno carico del riscaldamento dei locali</t>
  </si>
  <si>
    <t>Ore annuali a pieno carico dell’ illuminazione puntuale</t>
  </si>
  <si>
    <r>
      <t xml:space="preserve">Demande annuelle en électricité </t>
    </r>
    <r>
      <rPr>
        <sz val="10"/>
        <color rgb="FF000000"/>
        <rFont val="Arial"/>
        <family val="2"/>
      </rPr>
      <t>des appareils</t>
    </r>
  </si>
  <si>
    <t>Fabbisogno elettrico annuale degli apparecchi</t>
  </si>
  <si>
    <t>Fabbisogno energetico annaule</t>
  </si>
  <si>
    <t>Besoins de froid pour la refroidissement par an</t>
  </si>
  <si>
    <t>Potenza nel periodo di non utilizzo</t>
  </si>
  <si>
    <t>Coefficiente di scambio termico per ventilazione</t>
  </si>
  <si>
    <t>Jours d'utilisation par an</t>
  </si>
  <si>
    <r>
      <t>Taux d’occupation</t>
    </r>
    <r>
      <rPr>
        <b/>
        <sz val="10"/>
        <color rgb="FF000000"/>
        <rFont val="Arial"/>
        <family val="2"/>
      </rPr>
      <t xml:space="preserve"> </t>
    </r>
  </si>
  <si>
    <t>Dimensions du local types</t>
  </si>
  <si>
    <t>Dimensione del locale</t>
  </si>
  <si>
    <t>Indice du local</t>
  </si>
  <si>
    <t>Taux d'humidité relative de l’air du local</t>
  </si>
  <si>
    <t>Umidità relativa dell’aria interna</t>
  </si>
  <si>
    <t>Steuerung und Regelung des Luftvolumenstroms (einstufig, zweistufig, stufenlos)</t>
  </si>
  <si>
    <t>Commande et régulation du ventilateur (1 vitesse, 2 vitesse, vitesse variable)</t>
  </si>
  <si>
    <t>Coefficient de transfer thermique par transmission</t>
  </si>
  <si>
    <t>Rapport entre eau chaude utile et eau</t>
  </si>
  <si>
    <t>Ponteza di carico interno dell'illuminazione puntuale</t>
  </si>
  <si>
    <t>Puissance de charge thermiques des appareils</t>
  </si>
  <si>
    <t>Potenza di carico interno degli apparecchi</t>
  </si>
  <si>
    <t>Potenza di carico interno dell'illuminazione dei locali</t>
  </si>
  <si>
    <r>
      <t>Puissance de charge interne par personne</t>
    </r>
    <r>
      <rPr>
        <b/>
        <sz val="10"/>
        <color rgb="FF000000"/>
        <rFont val="Arial"/>
        <family val="2"/>
      </rPr>
      <t xml:space="preserve"> </t>
    </r>
  </si>
  <si>
    <t>Potenza di carico interno delle persone</t>
  </si>
  <si>
    <t>Capacité thermique spécifique du local</t>
  </si>
  <si>
    <t>Capacità termica dei locali</t>
  </si>
  <si>
    <t>Aule speciali</t>
  </si>
  <si>
    <t>Magazzino</t>
  </si>
  <si>
    <t>Locale accessorio</t>
  </si>
  <si>
    <t>Quota parte finestra, lordo facciata</t>
  </si>
  <si>
    <t>Valore-U elementi costruttivi opachi</t>
  </si>
  <si>
    <t>Flusso d'aria esterna a persona</t>
  </si>
  <si>
    <t>Dimensioni del locale</t>
  </si>
  <si>
    <t>Propriétés physiques constructive</t>
  </si>
  <si>
    <t>Proprietà fisico costruttive</t>
  </si>
  <si>
    <t>Clima interno del locale</t>
  </si>
  <si>
    <t>Acustica del locale</t>
  </si>
  <si>
    <t>Puissance électrique du raccordement</t>
  </si>
  <si>
    <t>Potenza di allacciamento</t>
  </si>
  <si>
    <t>Humidification</t>
  </si>
  <si>
    <t>Umidificazione</t>
  </si>
  <si>
    <t>Eau et eau chaude</t>
  </si>
  <si>
    <t>Type de profil journalier</t>
  </si>
  <si>
    <t>Tipo di profilo giornaliero</t>
  </si>
  <si>
    <t>Commenti</t>
  </si>
  <si>
    <t>Esistente</t>
  </si>
  <si>
    <t>Standard, esistente</t>
  </si>
  <si>
    <t>Eté</t>
  </si>
  <si>
    <t>debole</t>
  </si>
  <si>
    <t>2-vitesse</t>
  </si>
  <si>
    <t>continue</t>
  </si>
  <si>
    <t>Modulante</t>
  </si>
  <si>
    <t>Impianto di climatizzazione (AC)</t>
  </si>
  <si>
    <t>Personne</t>
  </si>
  <si>
    <t>Persona</t>
  </si>
  <si>
    <t>Letto</t>
  </si>
  <si>
    <t>Posto</t>
  </si>
  <si>
    <t>Doccia</t>
  </si>
  <si>
    <t xml:space="preserve">Protection accrue contre le bruit dans la chambre à coucher </t>
  </si>
  <si>
    <t>Protezione fonica maggiorata nella camera da letto</t>
  </si>
  <si>
    <t xml:space="preserve">Protection accrue contre le bruit dans le bureau de la direction </t>
  </si>
  <si>
    <t>Protezione fonica maggiorata nell'ufficio di direzione</t>
  </si>
  <si>
    <t xml:space="preserve">Éclairement lumineux de 300lx dans le jardin d'enfants </t>
  </si>
  <si>
    <t>Intensità luminosa 300lx nella scuola dell'infanzia</t>
  </si>
  <si>
    <t>Éclairement lumineux de 500lx dans la zone de lecture</t>
  </si>
  <si>
    <t>Intensità luminosa 500lx nella zona di lettura</t>
  </si>
  <si>
    <t>Protection accrue contre le bruit dans la salle de musique</t>
  </si>
  <si>
    <t>Protezione fonica maggiorata nell'aula di musica</t>
  </si>
  <si>
    <t>La production industrielle du froid est comptée parmi les appareils</t>
  </si>
  <si>
    <t>Il freddo industriale è computato sotto gli apparecchi</t>
  </si>
  <si>
    <t>Espace scénique du théâtre avec exigences particulières</t>
  </si>
  <si>
    <t>Palcoscenico teatrale con esigenze particolari</t>
  </si>
  <si>
    <t>Éclairement lumineux de 300lx pour examens simples</t>
  </si>
  <si>
    <t>Intensità luminosa 300lx per visite semplici</t>
  </si>
  <si>
    <t>Zone de conditionnement avec exigences particulières</t>
  </si>
  <si>
    <t>Zone di confezionamento con esigenze particolari</t>
  </si>
  <si>
    <t>Éclairement lumineux de 500lx et renouvellement d'air accru pour sport de compétition</t>
  </si>
  <si>
    <t>Intensità luminosa 500lx e ricambio d'aria accresciuto per sport di competizione</t>
  </si>
  <si>
    <t>La température de l'air intérieur en hiver (dimensionnement du chauffage) est fonction de l'utilisation principale</t>
  </si>
  <si>
    <t>La temperatura del locale in inverno (dimensionamento riscaldamento) é riferita all'utilizzo principale</t>
  </si>
  <si>
    <t>Renouvellement de l'air variable suivant l'utilisation principale</t>
  </si>
  <si>
    <t>Ricambio d'aria differenziato a seconda dell'utilizzo principale</t>
  </si>
  <si>
    <t>Chambre frigorifique -18°C</t>
  </si>
  <si>
    <t>Camera frigorifera -18°C</t>
  </si>
  <si>
    <t>Calcul du besoin de froid pour le refroidissement: apports thermiques négatifs des meubles frigorifiques (standard: -10, valeur cible: -8, existant: -12W/m2)</t>
  </si>
  <si>
    <t>Calcolo fabbisogno di potenza per il raffreddamento: influssi negativi da unità di raffreddamento ( Standard: -10, Valore mirato: -8, Esistente: -12 W(m2)</t>
  </si>
  <si>
    <t>Niveau d'évaluation du bruit continu des installations du bâtiment en fonction de l'utilisation principale</t>
  </si>
  <si>
    <t>Livello sonoro di valutazione per rumori continui di impianti tecnici di edifici in relazione al loro uso principale</t>
  </si>
  <si>
    <t>Sans installation de ventilation dans le bâtiment existant</t>
  </si>
  <si>
    <t>Senza impianto di ventilazione nella costruzione esistente</t>
  </si>
  <si>
    <r>
      <t>Débit d'air spécifique pour garage collectif: 6 m</t>
    </r>
    <r>
      <rPr>
        <vertAlign val="superscript"/>
        <sz val="10"/>
        <color theme="1"/>
        <rFont val="Arial"/>
        <family val="2"/>
      </rPr>
      <t>3</t>
    </r>
    <r>
      <rPr>
        <sz val="10"/>
        <color theme="1"/>
        <rFont val="Arial"/>
        <family val="2"/>
      </rPr>
      <t>/m</t>
    </r>
    <r>
      <rPr>
        <vertAlign val="superscript"/>
        <sz val="10"/>
        <color theme="1"/>
        <rFont val="Arial"/>
        <family val="2"/>
      </rPr>
      <t>2</t>
    </r>
    <r>
      <rPr>
        <sz val="10"/>
        <color theme="1"/>
        <rFont val="Arial"/>
        <family val="2"/>
      </rPr>
      <t>h</t>
    </r>
  </si>
  <si>
    <r>
      <t>Portata d’aria esterna specifica par Autosilo: 6m</t>
    </r>
    <r>
      <rPr>
        <vertAlign val="superscript"/>
        <sz val="10"/>
        <color theme="1"/>
        <rFont val="Arial"/>
        <family val="2"/>
      </rPr>
      <t>3</t>
    </r>
    <r>
      <rPr>
        <sz val="10"/>
        <color theme="1"/>
        <rFont val="Arial"/>
        <family val="2"/>
      </rPr>
      <t>/m</t>
    </r>
    <r>
      <rPr>
        <vertAlign val="superscript"/>
        <sz val="10"/>
        <color theme="1"/>
        <rFont val="Arial"/>
        <family val="2"/>
      </rPr>
      <t>2</t>
    </r>
    <r>
      <rPr>
        <sz val="10"/>
        <color theme="1"/>
        <rFont val="Arial"/>
        <family val="2"/>
      </rPr>
      <t>h</t>
    </r>
  </si>
  <si>
    <t>Besoin en eau et en eau chaude utile par lit, sans cuisine et buanderie</t>
  </si>
  <si>
    <t>Fabbisogno d'acqua e d'acqua calda sanitaria per posto letto, senza cucina e lavanderia</t>
  </si>
  <si>
    <t>Besoin en eau et en eau chaude utile sont inclus dans la utilisation du local (2.1)</t>
  </si>
  <si>
    <t>Fabbisogno d'acqua e d'acqua calda sanitaria incluso nell'utilizzo del locale (2.1)</t>
  </si>
  <si>
    <t>Besoin en eau et en eau chaude utile sont inclus dans l'utilisation du local (3.1 et 3.2)</t>
  </si>
  <si>
    <t>Fabbisogno d'acqua e d'acqua calda sanitaria incluso nell'utilizzo del locale (3.1 et 3.2)</t>
  </si>
  <si>
    <t>Besoin en eau et en eau chaude utile sont inclus dans l'utilisation du local (4.1)</t>
  </si>
  <si>
    <t>Fabbisogno d'acqua e d'acqua calda sanitaria incluso nell'utilizzo del locale (4.1)</t>
  </si>
  <si>
    <t>Besoin en eau et en eau chaude utile pour les restaurants cuisine incluse, par siège</t>
  </si>
  <si>
    <t>Fabbisogno d'acqua e d'acqua calda sanitaria per i ristoranti inclusa la cucina per posto a sedere</t>
  </si>
  <si>
    <t>Fabbisogno d'acqua e d'acqua calda sanitaria per i ristoranti inclusa la cucina pro posto a sedere</t>
  </si>
  <si>
    <t>Besoin en eau et en eau chaude utile sont inclus dans l'utilisation du local (6.1)</t>
  </si>
  <si>
    <t>Fabbisogno d'acqua e d'acqua calda sanitaria incluso nell'utilizzo del locale (8.1)</t>
  </si>
  <si>
    <t>Besoin en eau et en eau chaude utile sont inclus dans l'utilisation du local (6.2)</t>
  </si>
  <si>
    <t>Fabbisogno d'acqua e d'acqua calda sanitaria per posto letto senza ristorante</t>
  </si>
  <si>
    <t>Besoin en eau et en eau chaude utile sont inclus dans l'utilisation du local (8.1)</t>
  </si>
  <si>
    <t>Fbbisogno d'acqua e d'acqua calda sanitaria incluso nell'utilizzo del locale (6.1)</t>
  </si>
  <si>
    <t>Fabbisogno d'acqua e d'acqua calda sanitaria incluso nell'utilizzo del locale (6.2)</t>
  </si>
  <si>
    <t>Fabbisogno d'acqua e d'acqua calda sanitaria per unità doccia negli impianti sportivi</t>
  </si>
  <si>
    <t>Fabbisogno d'acqua e d'acqua calda sanitaria per unità doccia per impianti sportivi</t>
  </si>
  <si>
    <t>Fabbisogno d'acqua e di acqua calda sanitaria per unità doccia senza fabbisogno d'acqua per i bagni</t>
  </si>
  <si>
    <t>Besoin en eau et en eau chaude utile sont déterminéspar l'utilisation principale</t>
  </si>
  <si>
    <t>Fabbisogno d'acqua e d'acqua calda sanitaria determinati dall'utilizzo principale del locale</t>
  </si>
  <si>
    <t>orientamento ovest</t>
  </si>
  <si>
    <t>Dimensionnement du refroidissement</t>
  </si>
  <si>
    <t>Dimensionnement du chauffage</t>
  </si>
  <si>
    <t>Dimensionnement bruits continus</t>
  </si>
  <si>
    <t>Dimensionamento di rumori continui</t>
  </si>
  <si>
    <t>avec le mobilier</t>
  </si>
  <si>
    <t>ammobiliato</t>
  </si>
  <si>
    <t xml:space="preserve">Superficie netta a persona </t>
  </si>
  <si>
    <t xml:space="preserve">in relazione a </t>
  </si>
  <si>
    <t>p. ex. des plantes</t>
  </si>
  <si>
    <t>Valore orario massimo</t>
  </si>
  <si>
    <t>Fattore di manutenzione</t>
  </si>
  <si>
    <t>Altezza = 0.75m o 0.05m</t>
  </si>
  <si>
    <t>l'éclairage et l'éclairage de valorisation</t>
  </si>
  <si>
    <t>Illuminazione dei locali e illuminazione puntuale</t>
  </si>
  <si>
    <t>Non-fumatori</t>
  </si>
  <si>
    <t>per superficie netta</t>
  </si>
  <si>
    <t>Totale immissione ed aspirazione dell'aria</t>
  </si>
  <si>
    <t>Fabbisogno di elettricità</t>
  </si>
  <si>
    <t>Solare, trasmissione, ventilazione</t>
  </si>
  <si>
    <t>Persona, apparecchi, illuminazione</t>
  </si>
  <si>
    <t>con ventilazione tramite finestre giornaliera e notturna</t>
  </si>
  <si>
    <t>con ventilazione tramite finestre nel periodo di occupazione</t>
  </si>
  <si>
    <t>Acqua calda e fredda</t>
  </si>
  <si>
    <t>Fabbisogno energetico elettrico e termico</t>
  </si>
  <si>
    <t>Fabbisogno di potenza elettrica e termica</t>
  </si>
  <si>
    <t>Fabbisogno energetico termico</t>
  </si>
  <si>
    <t>Fabbisogno di potenza elettrica</t>
  </si>
  <si>
    <r>
      <t>Demande en puissance, W/m</t>
    </r>
    <r>
      <rPr>
        <vertAlign val="superscript"/>
        <sz val="10"/>
        <color theme="1"/>
        <rFont val="Arial"/>
        <family val="2"/>
      </rPr>
      <t>2</t>
    </r>
  </si>
  <si>
    <r>
      <t>Fabbisogno di potenza, W/m</t>
    </r>
    <r>
      <rPr>
        <vertAlign val="superscript"/>
        <sz val="10"/>
        <color theme="1"/>
        <rFont val="Arial"/>
        <family val="2"/>
      </rPr>
      <t>2</t>
    </r>
  </si>
  <si>
    <r>
      <t>Demande en énergie,  kWh/m</t>
    </r>
    <r>
      <rPr>
        <vertAlign val="superscript"/>
        <sz val="10"/>
        <color theme="1"/>
        <rFont val="Arial"/>
        <family val="2"/>
      </rPr>
      <t>2</t>
    </r>
  </si>
  <si>
    <r>
      <t>Fabbisogno energetico, kWh/m</t>
    </r>
    <r>
      <rPr>
        <vertAlign val="superscript"/>
        <sz val="10"/>
        <color theme="1"/>
        <rFont val="Arial"/>
        <family val="2"/>
      </rPr>
      <t>2</t>
    </r>
  </si>
  <si>
    <t>Salle polyvalente</t>
  </si>
  <si>
    <t>puissance émise en stand-by</t>
  </si>
  <si>
    <t>Basis:</t>
  </si>
  <si>
    <t>Désination</t>
  </si>
  <si>
    <t>Base:</t>
  </si>
  <si>
    <t>Begriffe Anleitung - Verknüpft via Spalte F</t>
  </si>
  <si>
    <t>Critère de dimensionnement</t>
  </si>
  <si>
    <t>Citeri di dimmensionamento</t>
  </si>
  <si>
    <t>Anleitung - SIA 2024 Raum-Datenblätter</t>
  </si>
  <si>
    <t>Istruzioni - SIA 2024 foglio dati locali</t>
  </si>
  <si>
    <t>Instructions - SIA 2024 fichier de donner des locaux</t>
  </si>
  <si>
    <t xml:space="preserve">room </t>
  </si>
  <si>
    <t>area</t>
  </si>
  <si>
    <t>Persones</t>
  </si>
  <si>
    <t>use</t>
  </si>
  <si>
    <t>Lightning</t>
  </si>
  <si>
    <t>Devices</t>
  </si>
  <si>
    <t>Chalet</t>
  </si>
  <si>
    <t>Heat Load persones</t>
  </si>
  <si>
    <r>
      <t>[m</t>
    </r>
    <r>
      <rPr>
        <vertAlign val="superscript"/>
        <sz val="10"/>
        <rFont val="Arial"/>
        <family val="2"/>
      </rPr>
      <t>2</t>
    </r>
    <r>
      <rPr>
        <sz val="10"/>
        <rFont val="Arial"/>
        <family val="2"/>
      </rPr>
      <t>]</t>
    </r>
  </si>
  <si>
    <t>[-]</t>
  </si>
  <si>
    <t>[W]</t>
  </si>
  <si>
    <t xml:space="preserve">Time </t>
  </si>
  <si>
    <t>[h]</t>
  </si>
  <si>
    <t>Light</t>
  </si>
  <si>
    <t>Summe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</si>
</sst>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43" formatCode="_ * #,##0.00_ ;_ * \-#,##0.00_ ;_ * &quot;-&quot;??_ ;_ @_ "/>
    <numFmt numFmtId="164" formatCode="0.0"/>
    <numFmt numFmtId="165" formatCode="&quot;Höhe &quot;0.0&quot; m&quot;"/>
    <numFmt numFmtId="166" formatCode="&quot;  Nutzungsstunden&quot;\ 0.0&quot; h/d&quot;"/>
    <numFmt numFmtId="167" formatCode="&quot;≤ &quot;0"/>
    <numFmt numFmtId="168" formatCode="_-* #,##0.00\ [$€-1]_-;\-* #,##0.00\ [$€-1]_-;_-* &quot;-&quot;??\ [$€-1]_-"/>
    <numFmt numFmtId="169" formatCode="&quot;Volllaststunden&quot;\ 0.0&quot; h/d &quot;"/>
    <numFmt numFmtId="170" formatCode="_ * #,##0.0_ ;_ * \-#,##0.0_ ;_ * &quot;-&quot;??_ ;_ @_ "/>
    <numFmt numFmtId="171" formatCode="0.00000"/>
    <numFmt numFmtId="172" formatCode="0.000"/>
    <numFmt numFmtId="173" formatCode="&quot;Länge &quot;0&quot; m&quot;"/>
    <numFmt numFmtId="174" formatCode="&quot;Tiefe &quot;0&quot; m&quot;"/>
    <numFmt numFmtId="175" formatCode="_-* #,##0.00_-;\-* #,##0.00_-;_-* &quot;-&quot;??_-;_-@_-"/>
    <numFmt numFmtId="176" formatCode="#,##0.0"/>
    <numFmt numFmtId="177" formatCode="0.0000000000000"/>
    <numFmt numFmtId="178" formatCode="&quot;  Nutzungsstunden pro Tag&quot;\ 0.0&quot; h&quot;"/>
    <numFmt numFmtId="179" formatCode="&quot;Volllaststunden pro Tag&quot;\ 0.0&quot; h&quot;"/>
    <numFmt numFmtId="180" formatCode="&quot;Nutzungstage &quot;\ 0&quot; d&quot;"/>
    <numFmt numFmtId="181" formatCode="&quot;-&gt;   &quot;0&quot; W&quot;"/>
    <numFmt numFmtId="182" formatCode="&quot;-&gt;   &quot;0&quot; g/h&quot;"/>
    <numFmt numFmtId="183" formatCode="0.000000000"/>
    <numFmt numFmtId="184" formatCode="0.0&quot;°C&quot;"/>
    <numFmt numFmtId="185" formatCode="[$-F400]h:mm:ss\ AM/PM"/>
    <numFmt numFmtId="186" formatCode=";;;"/>
  </numFmts>
  <fonts count="11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4"/>
      <name val="Futura Light"/>
    </font>
    <font>
      <sz val="10"/>
      <name val="Arial"/>
      <family val="2"/>
    </font>
    <font>
      <sz val="11"/>
      <name val="Arial"/>
      <family val="2"/>
    </font>
    <font>
      <sz val="10"/>
      <name val="Futura Light"/>
    </font>
    <font>
      <b/>
      <sz val="12"/>
      <name val="Arial"/>
      <family val="2"/>
    </font>
    <font>
      <sz val="12"/>
      <name val="Futura Light"/>
    </font>
    <font>
      <b/>
      <sz val="10"/>
      <name val="Arial"/>
      <family val="2"/>
    </font>
    <font>
      <sz val="10"/>
      <color indexed="10"/>
      <name val="Arial"/>
      <family val="2"/>
    </font>
    <font>
      <sz val="10"/>
      <color indexed="17"/>
      <name val="Arial"/>
      <family val="2"/>
    </font>
    <font>
      <sz val="10"/>
      <color indexed="48"/>
      <name val="Arial"/>
      <family val="2"/>
    </font>
    <font>
      <sz val="8"/>
      <name val="Arial"/>
      <family val="2"/>
    </font>
    <font>
      <sz val="8"/>
      <color indexed="10"/>
      <name val="Arial"/>
      <family val="2"/>
    </font>
    <font>
      <i/>
      <sz val="10"/>
      <name val="Arial"/>
      <family val="2"/>
    </font>
    <font>
      <sz val="10"/>
      <color indexed="23"/>
      <name val="Arial"/>
      <family val="2"/>
    </font>
    <font>
      <sz val="11"/>
      <color indexed="63"/>
      <name val="Arial"/>
      <family val="2"/>
    </font>
    <font>
      <sz val="10"/>
      <color indexed="63"/>
      <name val="Arial"/>
      <family val="2"/>
    </font>
    <font>
      <i/>
      <vertAlign val="subscript"/>
      <sz val="10"/>
      <color indexed="63"/>
      <name val="Arial"/>
      <family val="2"/>
    </font>
    <font>
      <i/>
      <sz val="10"/>
      <color indexed="63"/>
      <name val="Arial"/>
      <family val="2"/>
    </font>
    <font>
      <vertAlign val="superscript"/>
      <sz val="10"/>
      <color indexed="63"/>
      <name val="Arial"/>
      <family val="2"/>
    </font>
    <font>
      <sz val="12"/>
      <color indexed="63"/>
      <name val="Arial"/>
      <family val="2"/>
    </font>
    <font>
      <sz val="8"/>
      <color indexed="63"/>
      <name val="Arial"/>
      <family val="2"/>
    </font>
    <font>
      <i/>
      <vertAlign val="subscript"/>
      <sz val="11"/>
      <color indexed="63"/>
      <name val="Arial"/>
      <family val="2"/>
    </font>
    <font>
      <b/>
      <sz val="10"/>
      <color indexed="63"/>
      <name val="Arial"/>
      <family val="2"/>
    </font>
    <font>
      <b/>
      <sz val="12"/>
      <color indexed="9"/>
      <name val="Arial"/>
      <family val="2"/>
    </font>
    <font>
      <b/>
      <sz val="14"/>
      <color indexed="9"/>
      <name val="Arial"/>
      <family val="2"/>
    </font>
    <font>
      <b/>
      <sz val="16"/>
      <color indexed="9"/>
      <name val="Arial"/>
      <family val="2"/>
    </font>
    <font>
      <sz val="14"/>
      <color indexed="9"/>
      <name val="Arial"/>
      <family val="2"/>
    </font>
    <font>
      <sz val="10"/>
      <name val="Arial"/>
      <family val="2"/>
    </font>
    <font>
      <sz val="12"/>
      <name val="Arial"/>
      <family val="2"/>
    </font>
    <font>
      <b/>
      <sz val="10"/>
      <color indexed="14"/>
      <name val="Arial"/>
      <family val="2"/>
    </font>
    <font>
      <b/>
      <sz val="10"/>
      <color indexed="22"/>
      <name val="Arial"/>
      <family val="2"/>
    </font>
    <font>
      <sz val="10"/>
      <color indexed="14"/>
      <name val="Arial"/>
      <family val="2"/>
    </font>
    <font>
      <sz val="10"/>
      <color indexed="22"/>
      <name val="Arial"/>
      <family val="2"/>
    </font>
    <font>
      <sz val="10"/>
      <color indexed="10"/>
      <name val="Arial"/>
      <family val="2"/>
    </font>
    <font>
      <i/>
      <sz val="14"/>
      <color indexed="9"/>
      <name val="Arial"/>
      <family val="2"/>
    </font>
    <font>
      <sz val="10"/>
      <color indexed="52"/>
      <name val="Arial"/>
      <family val="2"/>
    </font>
    <font>
      <sz val="6"/>
      <name val="Arial"/>
      <family val="2"/>
    </font>
    <font>
      <i/>
      <vertAlign val="subscript"/>
      <sz val="10"/>
      <name val="Arial"/>
      <family val="2"/>
    </font>
    <font>
      <vertAlign val="superscript"/>
      <sz val="10"/>
      <name val="Arial"/>
      <family val="2"/>
    </font>
    <font>
      <sz val="8"/>
      <color indexed="10"/>
      <name val="Futura Light"/>
    </font>
    <font>
      <sz val="14"/>
      <color indexed="10"/>
      <name val="Futura Light"/>
    </font>
    <font>
      <sz val="10"/>
      <color indexed="10"/>
      <name val="Futura Light"/>
    </font>
    <font>
      <sz val="12"/>
      <color indexed="10"/>
      <name val="Futura Light"/>
    </font>
    <font>
      <sz val="8"/>
      <color indexed="10"/>
      <name val="Arial"/>
      <family val="2"/>
    </font>
    <font>
      <sz val="6"/>
      <name val="Arial"/>
      <family val="2"/>
    </font>
    <font>
      <b/>
      <sz val="8"/>
      <name val="Arial"/>
      <family val="2"/>
    </font>
    <font>
      <sz val="8"/>
      <name val="Futura Light"/>
    </font>
    <font>
      <sz val="8"/>
      <name val="Arial"/>
      <family val="2"/>
    </font>
    <font>
      <strike/>
      <sz val="10"/>
      <name val="Arial"/>
      <family val="2"/>
    </font>
    <font>
      <sz val="10"/>
      <color indexed="9"/>
      <name val="Futura Light"/>
    </font>
    <font>
      <sz val="10"/>
      <color indexed="9"/>
      <name val="Arial"/>
      <family val="2"/>
    </font>
    <font>
      <sz val="10"/>
      <color indexed="23"/>
      <name val="Futura Light"/>
    </font>
    <font>
      <i/>
      <sz val="10"/>
      <color indexed="63"/>
      <name val="Symbol"/>
      <family val="1"/>
      <charset val="2"/>
    </font>
    <font>
      <i/>
      <sz val="11"/>
      <color indexed="63"/>
      <name val="Symbol"/>
      <family val="1"/>
      <charset val="2"/>
    </font>
    <font>
      <i/>
      <sz val="11"/>
      <name val="Arial"/>
      <family val="2"/>
    </font>
    <font>
      <i/>
      <vertAlign val="subscript"/>
      <sz val="11"/>
      <name val="Arial"/>
      <family val="2"/>
    </font>
    <font>
      <i/>
      <sz val="10"/>
      <name val="Symbol"/>
      <family val="1"/>
      <charset val="2"/>
    </font>
    <font>
      <sz val="10"/>
      <name val="Symbol"/>
      <family val="1"/>
      <charset val="2"/>
    </font>
    <font>
      <sz val="10"/>
      <color indexed="63"/>
      <name val="Symbol"/>
      <family val="1"/>
      <charset val="2"/>
    </font>
    <font>
      <i/>
      <vertAlign val="subscript"/>
      <sz val="10"/>
      <color indexed="63"/>
      <name val="Symbol"/>
      <family val="1"/>
      <charset val="2"/>
    </font>
    <font>
      <i/>
      <vertAlign val="subscript"/>
      <sz val="10"/>
      <name val="Symbol"/>
      <family val="1"/>
      <charset val="2"/>
    </font>
    <font>
      <i/>
      <sz val="10"/>
      <color indexed="9"/>
      <name val="Arial"/>
      <family val="2"/>
    </font>
    <font>
      <b/>
      <sz val="10"/>
      <color indexed="9"/>
      <name val="Arial"/>
      <family val="2"/>
    </font>
    <font>
      <vertAlign val="subscript"/>
      <sz val="10"/>
      <name val="Arial"/>
      <family val="2"/>
    </font>
    <font>
      <sz val="10"/>
      <color rgb="FF000000"/>
      <name val="Arial"/>
      <family val="2"/>
    </font>
    <font>
      <sz val="8"/>
      <color indexed="81"/>
      <name val="Tahoma"/>
      <family val="2"/>
    </font>
    <font>
      <b/>
      <sz val="8"/>
      <color indexed="81"/>
      <name val="Tahoma"/>
      <family val="2"/>
    </font>
    <font>
      <sz val="10"/>
      <color theme="0" tint="-0.499984740745262"/>
      <name val="Arial"/>
      <family val="2"/>
    </font>
    <font>
      <sz val="9"/>
      <name val="Arial"/>
      <family val="2"/>
    </font>
    <font>
      <sz val="9"/>
      <color indexed="81"/>
      <name val="Tahoma"/>
      <family val="2"/>
    </font>
    <font>
      <b/>
      <sz val="9"/>
      <color indexed="81"/>
      <name val="Tahoma"/>
      <family val="2"/>
    </font>
    <font>
      <sz val="10"/>
      <name val="Arial"/>
      <family val="2"/>
    </font>
    <font>
      <b/>
      <sz val="12"/>
      <color theme="0"/>
      <name val="Arial"/>
      <family val="2"/>
    </font>
    <font>
      <sz val="11"/>
      <color theme="1"/>
      <name val="Arial"/>
      <family val="2"/>
    </font>
    <font>
      <b/>
      <sz val="11"/>
      <color theme="1"/>
      <name val="Arial"/>
      <family val="2"/>
    </font>
    <font>
      <sz val="10"/>
      <color theme="2" tint="-0.249977111117893"/>
      <name val="Arial"/>
      <family val="2"/>
    </font>
    <font>
      <b/>
      <sz val="9"/>
      <name val="Arial"/>
      <family val="2"/>
    </font>
    <font>
      <u/>
      <sz val="18"/>
      <name val="Arial"/>
      <family val="2"/>
    </font>
    <font>
      <b/>
      <sz val="11"/>
      <name val="Arial"/>
      <family val="2"/>
    </font>
    <font>
      <b/>
      <sz val="14"/>
      <name val="Arial"/>
      <family val="2"/>
    </font>
    <font>
      <b/>
      <i/>
      <sz val="8"/>
      <name val="Arial"/>
      <family val="2"/>
    </font>
    <font>
      <b/>
      <i/>
      <sz val="12"/>
      <name val="Arial"/>
      <family val="2"/>
    </font>
    <font>
      <b/>
      <i/>
      <sz val="10"/>
      <name val="Arial"/>
      <family val="2"/>
    </font>
    <font>
      <sz val="11"/>
      <color indexed="8"/>
      <name val="Calibri"/>
      <family val="2"/>
    </font>
    <font>
      <sz val="11"/>
      <color indexed="9"/>
      <name val="Calibri"/>
      <family val="2"/>
    </font>
    <font>
      <u/>
      <sz val="10"/>
      <color indexed="12"/>
      <name val="Arial"/>
      <family val="2"/>
    </font>
    <font>
      <sz val="10"/>
      <name val="Verdana"/>
      <family val="2"/>
    </font>
    <font>
      <sz val="36"/>
      <name val="Arial"/>
      <family val="2"/>
    </font>
    <font>
      <sz val="14"/>
      <name val="Arial"/>
      <family val="2"/>
    </font>
    <font>
      <sz val="10"/>
      <name val="Cambria"/>
      <family val="1"/>
      <scheme val="major"/>
    </font>
    <font>
      <sz val="10"/>
      <color theme="1"/>
      <name val="Arial"/>
      <family val="2"/>
    </font>
    <font>
      <b/>
      <sz val="10"/>
      <color theme="0"/>
      <name val="Arial"/>
      <family val="2"/>
    </font>
    <font>
      <sz val="10"/>
      <color theme="0"/>
      <name val="Arial"/>
      <family val="2"/>
    </font>
    <font>
      <b/>
      <sz val="10"/>
      <color theme="1"/>
      <name val="Arial"/>
      <family val="2"/>
    </font>
    <font>
      <sz val="10"/>
      <color rgb="FFFF0000"/>
      <name val="Arial"/>
      <family val="2"/>
    </font>
    <font>
      <sz val="11"/>
      <color rgb="FF000000"/>
      <name val="Arial"/>
      <family val="2"/>
    </font>
    <font>
      <b/>
      <sz val="10"/>
      <color rgb="FF000000"/>
      <name val="Arial"/>
      <family val="2"/>
    </font>
    <font>
      <b/>
      <sz val="14"/>
      <color theme="0" tint="-0.499984740745262"/>
      <name val="Arial"/>
      <family val="2"/>
    </font>
    <font>
      <b/>
      <sz val="14"/>
      <color theme="0" tint="-0.34998626667073579"/>
      <name val="Arial"/>
      <family val="2"/>
    </font>
    <font>
      <sz val="10"/>
      <color theme="0" tint="-0.34998626667073579"/>
      <name val="Arial"/>
      <family val="2"/>
    </font>
    <font>
      <b/>
      <sz val="10"/>
      <color theme="0" tint="-0.34998626667073579"/>
      <name val="Arial"/>
      <family val="2"/>
    </font>
    <font>
      <vertAlign val="superscript"/>
      <sz val="10"/>
      <color theme="1"/>
      <name val="Arial"/>
      <family val="2"/>
    </font>
    <font>
      <sz val="12"/>
      <color indexed="9"/>
      <name val="Arial"/>
      <family val="2"/>
    </font>
    <font>
      <b/>
      <sz val="22"/>
      <color indexed="9"/>
      <name val="Arial"/>
      <family val="2"/>
    </font>
    <font>
      <b/>
      <sz val="18"/>
      <color rgb="FF333333"/>
      <name val="OpenSans"/>
    </font>
  </fonts>
  <fills count="48">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55"/>
        <bgColor indexed="64"/>
      </patternFill>
    </fill>
    <fill>
      <patternFill patternType="solid">
        <fgColor indexed="9"/>
        <bgColor indexed="64"/>
      </patternFill>
    </fill>
    <fill>
      <patternFill patternType="solid">
        <fgColor indexed="23"/>
        <bgColor indexed="64"/>
      </patternFill>
    </fill>
    <fill>
      <patternFill patternType="solid">
        <fgColor indexed="2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0"/>
        <bgColor indexed="64"/>
      </patternFill>
    </fill>
    <fill>
      <patternFill patternType="solid">
        <fgColor theme="2" tint="0.59999389629810485"/>
        <bgColor indexed="64"/>
      </patternFill>
    </fill>
    <fill>
      <patternFill patternType="solid">
        <fgColor indexed="26"/>
        <bgColor indexed="64"/>
      </patternFill>
    </fill>
    <fill>
      <patternFill patternType="solid">
        <fgColor theme="2"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theme="6" tint="0.59999389629810485"/>
        <bgColor indexed="64"/>
      </patternFill>
    </fill>
    <fill>
      <patternFill patternType="solid">
        <fgColor theme="0" tint="-0.34998626667073579"/>
        <bgColor indexed="64"/>
      </patternFill>
    </fill>
    <fill>
      <patternFill patternType="solid">
        <fgColor theme="6"/>
        <bgColor indexed="64"/>
      </patternFill>
    </fill>
    <fill>
      <patternFill patternType="solid">
        <fgColor rgb="FFCCFFFF"/>
        <bgColor indexed="64"/>
      </patternFill>
    </fill>
    <fill>
      <patternFill patternType="solid">
        <fgColor theme="3" tint="0.59999389629810485"/>
        <bgColor indexed="64"/>
      </patternFill>
    </fill>
    <fill>
      <patternFill patternType="solid">
        <fgColor theme="4"/>
        <bgColor indexed="64"/>
      </patternFill>
    </fill>
    <fill>
      <patternFill patternType="solid">
        <fgColor theme="7"/>
        <bgColor indexed="64"/>
      </patternFill>
    </fill>
    <fill>
      <patternFill patternType="solid">
        <fgColor rgb="FFFFFF99"/>
        <bgColor indexed="64"/>
      </patternFill>
    </fill>
  </fills>
  <borders count="95">
    <border>
      <left/>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22"/>
      </right>
      <top/>
      <bottom/>
      <diagonal/>
    </border>
    <border>
      <left/>
      <right/>
      <top style="thin">
        <color indexed="9"/>
      </top>
      <bottom style="thin">
        <color indexed="9"/>
      </bottom>
      <diagonal/>
    </border>
    <border>
      <left/>
      <right/>
      <top/>
      <bottom style="thin">
        <color indexed="9"/>
      </bottom>
      <diagonal/>
    </border>
    <border>
      <left style="thin">
        <color indexed="22"/>
      </left>
      <right style="thin">
        <color indexed="22"/>
      </right>
      <top style="thin">
        <color indexed="9"/>
      </top>
      <bottom/>
      <diagonal/>
    </border>
    <border>
      <left style="thin">
        <color indexed="22"/>
      </left>
      <right style="thin">
        <color indexed="22"/>
      </right>
      <top/>
      <bottom style="thin">
        <color indexed="9"/>
      </bottom>
      <diagonal/>
    </border>
    <border>
      <left/>
      <right style="thin">
        <color indexed="9"/>
      </right>
      <top/>
      <bottom/>
      <diagonal/>
    </border>
    <border>
      <left style="thin">
        <color indexed="9"/>
      </left>
      <right style="thin">
        <color indexed="9"/>
      </right>
      <top/>
      <bottom/>
      <diagonal/>
    </border>
    <border>
      <left style="thin">
        <color indexed="9"/>
      </left>
      <right style="thin">
        <color indexed="22"/>
      </right>
      <top/>
      <bottom/>
      <diagonal/>
    </border>
    <border>
      <left style="thin">
        <color indexed="9"/>
      </left>
      <right style="thin">
        <color indexed="22"/>
      </right>
      <top/>
      <bottom style="thin">
        <color indexed="9"/>
      </bottom>
      <diagonal/>
    </border>
    <border>
      <left/>
      <right/>
      <top style="thin">
        <color indexed="9"/>
      </top>
      <bottom/>
      <diagonal/>
    </border>
    <border>
      <left/>
      <right style="thin">
        <color indexed="22"/>
      </right>
      <top style="thin">
        <color indexed="9"/>
      </top>
      <bottom/>
      <diagonal/>
    </border>
    <border>
      <left/>
      <right style="thin">
        <color indexed="22"/>
      </right>
      <top/>
      <bottom style="thin">
        <color indexed="9"/>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22"/>
      </left>
      <right style="thin">
        <color indexed="22"/>
      </right>
      <top style="thin">
        <color indexed="9"/>
      </top>
      <bottom style="thin">
        <color indexed="9"/>
      </bottom>
      <diagonal/>
    </border>
    <border>
      <left style="thin">
        <color indexed="64"/>
      </left>
      <right style="thin">
        <color indexed="64"/>
      </right>
      <top style="thin">
        <color indexed="64"/>
      </top>
      <bottom style="thin">
        <color indexed="64"/>
      </bottom>
      <diagonal/>
    </border>
    <border>
      <left/>
      <right style="thin">
        <color indexed="9"/>
      </right>
      <top/>
      <bottom style="thin">
        <color indexed="9"/>
      </bottom>
      <diagonal/>
    </border>
    <border>
      <left style="thin">
        <color indexed="9"/>
      </left>
      <right style="thin">
        <color indexed="9"/>
      </right>
      <top/>
      <bottom style="thin">
        <color indexed="9"/>
      </bottom>
      <diagonal/>
    </border>
    <border>
      <left style="thin">
        <color indexed="64"/>
      </left>
      <right/>
      <top style="thin">
        <color indexed="22"/>
      </top>
      <bottom style="thin">
        <color indexed="22"/>
      </bottom>
      <diagonal/>
    </border>
    <border>
      <left/>
      <right style="thin">
        <color indexed="64"/>
      </right>
      <top style="thin">
        <color indexed="22"/>
      </top>
      <bottom style="thin">
        <color indexed="22"/>
      </bottom>
      <diagonal/>
    </border>
    <border>
      <left/>
      <right/>
      <top style="thin">
        <color indexed="22"/>
      </top>
      <bottom style="thin">
        <color indexed="22"/>
      </bottom>
      <diagonal/>
    </border>
    <border>
      <left style="thin">
        <color indexed="64"/>
      </left>
      <right style="thin">
        <color indexed="64"/>
      </right>
      <top style="thin">
        <color indexed="22"/>
      </top>
      <bottom style="thin">
        <color indexed="22"/>
      </bottom>
      <diagonal/>
    </border>
    <border>
      <left style="thin">
        <color indexed="64"/>
      </left>
      <right/>
      <top/>
      <bottom style="thin">
        <color indexed="22"/>
      </bottom>
      <diagonal/>
    </border>
    <border>
      <left/>
      <right/>
      <top/>
      <bottom style="thin">
        <color indexed="22"/>
      </bottom>
      <diagonal/>
    </border>
    <border>
      <left/>
      <right style="thin">
        <color indexed="64"/>
      </right>
      <top/>
      <bottom style="thin">
        <color indexed="22"/>
      </bottom>
      <diagonal/>
    </border>
    <border>
      <left style="thin">
        <color indexed="64"/>
      </left>
      <right style="thin">
        <color indexed="64"/>
      </right>
      <top/>
      <bottom style="thin">
        <color indexed="22"/>
      </bottom>
      <diagonal/>
    </border>
    <border>
      <left/>
      <right style="thin">
        <color indexed="22"/>
      </right>
      <top style="thin">
        <color indexed="22"/>
      </top>
      <bottom/>
      <diagonal/>
    </border>
    <border>
      <left/>
      <right style="thin">
        <color indexed="22"/>
      </right>
      <top style="thin">
        <color indexed="22"/>
      </top>
      <bottom style="thin">
        <color indexed="22"/>
      </bottom>
      <diagonal/>
    </border>
    <border>
      <left/>
      <right style="thin">
        <color indexed="22"/>
      </right>
      <top/>
      <bottom style="thin">
        <color indexed="64"/>
      </bottom>
      <diagonal/>
    </border>
    <border>
      <left style="thin">
        <color indexed="22"/>
      </left>
      <right/>
      <top style="thin">
        <color indexed="22"/>
      </top>
      <bottom/>
      <diagonal/>
    </border>
    <border>
      <left style="thin">
        <color indexed="22"/>
      </left>
      <right/>
      <top style="thin">
        <color indexed="22"/>
      </top>
      <bottom style="thin">
        <color indexed="22"/>
      </bottom>
      <diagonal/>
    </border>
    <border>
      <left style="thin">
        <color indexed="22"/>
      </left>
      <right/>
      <top/>
      <bottom style="thin">
        <color indexed="64"/>
      </bottom>
      <diagonal/>
    </border>
    <border>
      <left style="thin">
        <color indexed="22"/>
      </left>
      <right/>
      <top style="thin">
        <color indexed="64"/>
      </top>
      <bottom/>
      <diagonal/>
    </border>
    <border>
      <left style="thin">
        <color indexed="22"/>
      </left>
      <right/>
      <top/>
      <bottom/>
      <diagonal/>
    </border>
    <border>
      <left style="thin">
        <color indexed="22"/>
      </left>
      <right/>
      <top style="thin">
        <color indexed="64"/>
      </top>
      <bottom style="thin">
        <color indexed="64"/>
      </bottom>
      <diagonal/>
    </border>
    <border>
      <left style="thin">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64"/>
      </left>
      <right style="thin">
        <color indexed="22"/>
      </right>
      <top style="thin">
        <color indexed="22"/>
      </top>
      <bottom style="thin">
        <color indexed="22"/>
      </bottom>
      <diagonal/>
    </border>
    <border>
      <left style="thin">
        <color indexed="64"/>
      </left>
      <right style="thin">
        <color indexed="22"/>
      </right>
      <top/>
      <bottom style="thin">
        <color indexed="64"/>
      </bottom>
      <diagonal/>
    </border>
    <border>
      <left style="thin">
        <color indexed="22"/>
      </left>
      <right style="thin">
        <color indexed="22"/>
      </right>
      <top/>
      <bottom style="thin">
        <color indexed="64"/>
      </bottom>
      <diagonal/>
    </border>
    <border>
      <left style="thin">
        <color indexed="22"/>
      </left>
      <right style="thin">
        <color indexed="22"/>
      </right>
      <top style="thin">
        <color indexed="64"/>
      </top>
      <bottom/>
      <diagonal/>
    </border>
    <border>
      <left style="thin">
        <color indexed="22"/>
      </left>
      <right style="thin">
        <color indexed="22"/>
      </right>
      <top style="thin">
        <color indexed="64"/>
      </top>
      <bottom style="thin">
        <color indexed="64"/>
      </bottom>
      <diagonal/>
    </border>
    <border>
      <left style="thin">
        <color indexed="64"/>
      </left>
      <right style="thin">
        <color indexed="22"/>
      </right>
      <top style="thin">
        <color indexed="64"/>
      </top>
      <bottom/>
      <diagonal/>
    </border>
    <border>
      <left style="thin">
        <color indexed="64"/>
      </left>
      <right style="thin">
        <color indexed="22"/>
      </right>
      <top/>
      <bottom/>
      <diagonal/>
    </border>
    <border>
      <left style="thin">
        <color indexed="64"/>
      </left>
      <right style="thin">
        <color indexed="22"/>
      </right>
      <top style="thin">
        <color indexed="64"/>
      </top>
      <bottom style="thin">
        <color indexed="64"/>
      </bottom>
      <diagonal/>
    </border>
    <border>
      <left/>
      <right/>
      <top style="thin">
        <color indexed="22"/>
      </top>
      <bottom/>
      <diagonal/>
    </border>
    <border>
      <left/>
      <right style="thin">
        <color indexed="22"/>
      </right>
      <top style="thin">
        <color indexed="64"/>
      </top>
      <bottom/>
      <diagonal/>
    </border>
    <border>
      <left/>
      <right style="thin">
        <color indexed="22"/>
      </right>
      <top style="thin">
        <color indexed="64"/>
      </top>
      <bottom style="thin">
        <color indexed="64"/>
      </bottom>
      <diagonal/>
    </border>
    <border>
      <left/>
      <right style="thin">
        <color indexed="22"/>
      </right>
      <top style="thin">
        <color indexed="9"/>
      </top>
      <bottom style="thin">
        <color indexed="9"/>
      </bottom>
      <diagonal/>
    </border>
    <border>
      <left style="thin">
        <color indexed="9"/>
      </left>
      <right/>
      <top/>
      <bottom/>
      <diagonal/>
    </border>
    <border>
      <left style="thin">
        <color indexed="64"/>
      </left>
      <right/>
      <top style="thin">
        <color indexed="64"/>
      </top>
      <bottom style="thin">
        <color indexed="22"/>
      </bottom>
      <diagonal/>
    </border>
    <border>
      <left/>
      <right/>
      <top style="thin">
        <color indexed="64"/>
      </top>
      <bottom style="thin">
        <color indexed="22"/>
      </bottom>
      <diagonal/>
    </border>
    <border>
      <left style="thin">
        <color indexed="64"/>
      </left>
      <right style="thin">
        <color indexed="64"/>
      </right>
      <top style="thin">
        <color indexed="64"/>
      </top>
      <bottom style="thin">
        <color indexed="2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thin">
        <color indexed="64"/>
      </left>
      <right/>
      <top style="thin">
        <color indexed="22"/>
      </top>
      <bottom/>
      <diagonal/>
    </border>
    <border>
      <left style="thin">
        <color indexed="64"/>
      </left>
      <right style="thin">
        <color indexed="22"/>
      </right>
      <top style="thin">
        <color indexed="9"/>
      </top>
      <bottom style="thin">
        <color indexed="64"/>
      </bottom>
      <diagonal/>
    </border>
    <border>
      <left style="thin">
        <color indexed="64"/>
      </left>
      <right style="thin">
        <color indexed="64"/>
      </right>
      <top style="thin">
        <color indexed="22"/>
      </top>
      <bottom style="thin">
        <color indexed="64"/>
      </bottom>
      <diagonal/>
    </border>
    <border>
      <left style="thin">
        <color indexed="64"/>
      </left>
      <right/>
      <top style="thin">
        <color indexed="22"/>
      </top>
      <bottom style="thin">
        <color indexed="64"/>
      </bottom>
      <diagonal/>
    </border>
    <border>
      <left/>
      <right/>
      <top style="thin">
        <color indexed="22"/>
      </top>
      <bottom style="thin">
        <color indexed="64"/>
      </bottom>
      <diagonal/>
    </border>
    <border>
      <left/>
      <right style="thin">
        <color indexed="64"/>
      </right>
      <top style="thin">
        <color indexed="22"/>
      </top>
      <bottom/>
      <diagonal/>
    </border>
    <border>
      <left style="thin">
        <color indexed="22"/>
      </left>
      <right style="thin">
        <color auto="1"/>
      </right>
      <top/>
      <bottom style="thin">
        <color indexed="64"/>
      </bottom>
      <diagonal/>
    </border>
    <border>
      <left style="thin">
        <color indexed="64"/>
      </left>
      <right style="thin">
        <color indexed="64"/>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style="thin">
        <color indexed="22"/>
      </right>
      <top/>
      <bottom style="thin">
        <color indexed="22"/>
      </bottom>
      <diagonal/>
    </border>
    <border>
      <left/>
      <right/>
      <top/>
      <bottom style="thin">
        <color theme="0" tint="-0.24994659260841701"/>
      </bottom>
      <diagonal/>
    </border>
    <border>
      <left/>
      <right style="thin">
        <color theme="0" tint="-0.24994659260841701"/>
      </right>
      <top/>
      <bottom/>
      <diagonal/>
    </border>
    <border>
      <left style="thin">
        <color theme="0" tint="-0.24994659260841701"/>
      </left>
      <right style="thin">
        <color indexed="64"/>
      </right>
      <top style="thin">
        <color indexed="64"/>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6">
    <xf numFmtId="0" fontId="0" fillId="0" borderId="0"/>
    <xf numFmtId="168" fontId="8" fillId="0" borderId="0" applyFont="0" applyFill="0" applyBorder="0" applyAlignment="0" applyProtection="0"/>
    <xf numFmtId="43" fontId="8" fillId="0" borderId="0" applyFont="0" applyFill="0" applyBorder="0" applyAlignment="0" applyProtection="0"/>
    <xf numFmtId="0" fontId="8" fillId="0" borderId="0"/>
    <xf numFmtId="0" fontId="7" fillId="0" borderId="0"/>
    <xf numFmtId="9" fontId="80" fillId="0" borderId="0" applyFont="0" applyFill="0" applyBorder="0" applyAlignment="0" applyProtection="0"/>
    <xf numFmtId="0" fontId="6" fillId="0" borderId="0"/>
    <xf numFmtId="9" fontId="8" fillId="0" borderId="0" applyFont="0" applyFill="0" applyBorder="0" applyAlignment="0" applyProtection="0"/>
    <xf numFmtId="0" fontId="92" fillId="25" borderId="0" applyNumberFormat="0" applyBorder="0" applyAlignment="0" applyProtection="0"/>
    <xf numFmtId="0" fontId="92" fillId="26" borderId="0" applyNumberFormat="0" applyBorder="0" applyAlignment="0" applyProtection="0"/>
    <xf numFmtId="0" fontId="92" fillId="27" borderId="0" applyNumberFormat="0" applyBorder="0" applyAlignment="0" applyProtection="0"/>
    <xf numFmtId="0" fontId="92" fillId="28" borderId="0" applyNumberFormat="0" applyBorder="0" applyAlignment="0" applyProtection="0"/>
    <xf numFmtId="0" fontId="92" fillId="29" borderId="0" applyNumberFormat="0" applyBorder="0" applyAlignment="0" applyProtection="0"/>
    <xf numFmtId="0" fontId="92" fillId="30" borderId="0" applyNumberFormat="0" applyBorder="0" applyAlignment="0" applyProtection="0"/>
    <xf numFmtId="0" fontId="92" fillId="31" borderId="0" applyNumberFormat="0" applyBorder="0" applyAlignment="0" applyProtection="0"/>
    <xf numFmtId="0" fontId="92" fillId="32" borderId="0" applyNumberFormat="0" applyBorder="0" applyAlignment="0" applyProtection="0"/>
    <xf numFmtId="0" fontId="92" fillId="33" borderId="0" applyNumberFormat="0" applyBorder="0" applyAlignment="0" applyProtection="0"/>
    <xf numFmtId="0" fontId="92" fillId="28" borderId="0" applyNumberFormat="0" applyBorder="0" applyAlignment="0" applyProtection="0"/>
    <xf numFmtId="0" fontId="92" fillId="31" borderId="0" applyNumberFormat="0" applyBorder="0" applyAlignment="0" applyProtection="0"/>
    <xf numFmtId="0" fontId="92" fillId="34" borderId="0" applyNumberFormat="0" applyBorder="0" applyAlignment="0" applyProtection="0"/>
    <xf numFmtId="0" fontId="93" fillId="35" borderId="0" applyNumberFormat="0" applyBorder="0" applyAlignment="0" applyProtection="0"/>
    <xf numFmtId="0" fontId="93" fillId="32" borderId="0" applyNumberFormat="0" applyBorder="0" applyAlignment="0" applyProtection="0"/>
    <xf numFmtId="0" fontId="93" fillId="33" borderId="0" applyNumberFormat="0" applyBorder="0" applyAlignment="0" applyProtection="0"/>
    <xf numFmtId="0" fontId="93" fillId="36" borderId="0" applyNumberFormat="0" applyBorder="0" applyAlignment="0" applyProtection="0"/>
    <xf numFmtId="0" fontId="93" fillId="37" borderId="0" applyNumberFormat="0" applyBorder="0" applyAlignment="0" applyProtection="0"/>
    <xf numFmtId="0" fontId="93" fillId="38" borderId="0" applyNumberFormat="0" applyBorder="0" applyAlignment="0" applyProtection="0"/>
    <xf numFmtId="0" fontId="94" fillId="0" borderId="0" applyNumberFormat="0" applyFill="0" applyBorder="0" applyAlignment="0" applyProtection="0">
      <alignment vertical="top"/>
      <protection locked="0"/>
    </xf>
    <xf numFmtId="43" fontId="8" fillId="0" borderId="0" applyFont="0" applyFill="0" applyBorder="0" applyAlignment="0" applyProtection="0"/>
    <xf numFmtId="175" fontId="95" fillId="0" borderId="0" applyFont="0" applyFill="0" applyBorder="0" applyAlignment="0" applyProtection="0"/>
    <xf numFmtId="0" fontId="8" fillId="39" borderId="1" applyNumberFormat="0" applyFont="0" applyAlignment="0" applyProtection="0"/>
    <xf numFmtId="9" fontId="95" fillId="0" borderId="0" applyFont="0" applyFill="0" applyBorder="0" applyAlignment="0" applyProtection="0"/>
    <xf numFmtId="0" fontId="5" fillId="0" borderId="0"/>
    <xf numFmtId="0" fontId="4" fillId="0" borderId="0"/>
    <xf numFmtId="0" fontId="3" fillId="0" borderId="0"/>
    <xf numFmtId="0" fontId="2" fillId="0" borderId="0"/>
    <xf numFmtId="0" fontId="8" fillId="0" borderId="0"/>
  </cellStyleXfs>
  <cellXfs count="1834">
    <xf numFmtId="0" fontId="0" fillId="0" borderId="0" xfId="0"/>
    <xf numFmtId="0" fontId="10" fillId="0" borderId="0" xfId="0" applyFont="1" applyFill="1" applyBorder="1" applyAlignment="1"/>
    <xf numFmtId="0" fontId="10" fillId="0" borderId="0" xfId="0" applyFont="1" applyBorder="1"/>
    <xf numFmtId="0" fontId="10" fillId="0" borderId="0" xfId="0" applyFont="1" applyFill="1"/>
    <xf numFmtId="0" fontId="10" fillId="0" borderId="0" xfId="0" applyFont="1" applyFill="1" applyBorder="1"/>
    <xf numFmtId="0" fontId="14" fillId="0" borderId="0" xfId="0" applyFont="1" applyFill="1" applyBorder="1" applyAlignment="1"/>
    <xf numFmtId="0" fontId="11" fillId="0" borderId="0" xfId="0" applyFont="1" applyBorder="1"/>
    <xf numFmtId="0" fontId="19" fillId="0" borderId="0" xfId="0" applyFont="1" applyFill="1" applyBorder="1" applyAlignment="1">
      <alignment horizontal="left"/>
    </xf>
    <xf numFmtId="0" fontId="0" fillId="0" borderId="0" xfId="0" applyFill="1"/>
    <xf numFmtId="0" fontId="12" fillId="0" borderId="0" xfId="0" applyFont="1" applyFill="1"/>
    <xf numFmtId="0" fontId="0" fillId="0" borderId="0" xfId="0" applyFill="1" applyBorder="1"/>
    <xf numFmtId="164" fontId="11" fillId="0" borderId="0" xfId="0" applyNumberFormat="1" applyFont="1" applyBorder="1" applyAlignment="1"/>
    <xf numFmtId="0" fontId="12" fillId="0" borderId="0" xfId="0" applyFont="1" applyFill="1" applyBorder="1"/>
    <xf numFmtId="0" fontId="10" fillId="0" borderId="0" xfId="0" applyFont="1" applyFill="1" applyBorder="1" applyAlignment="1">
      <alignment vertical="center"/>
    </xf>
    <xf numFmtId="0" fontId="0" fillId="0" borderId="0" xfId="0" applyFill="1" applyAlignment="1">
      <alignment vertical="center"/>
    </xf>
    <xf numFmtId="0" fontId="12" fillId="0" borderId="0" xfId="0" applyFont="1" applyFill="1" applyBorder="1" applyAlignment="1">
      <alignment vertical="center"/>
    </xf>
    <xf numFmtId="164" fontId="24" fillId="0" borderId="0" xfId="0" applyNumberFormat="1" applyFont="1" applyFill="1" applyBorder="1" applyAlignment="1">
      <alignment vertical="center"/>
    </xf>
    <xf numFmtId="0" fontId="12" fillId="0" borderId="0" xfId="0" applyFont="1" applyFill="1" applyAlignment="1">
      <alignment vertical="center"/>
    </xf>
    <xf numFmtId="0" fontId="14" fillId="0" borderId="0" xfId="0" applyFont="1" applyFill="1" applyBorder="1" applyAlignment="1">
      <alignment vertical="center"/>
    </xf>
    <xf numFmtId="0" fontId="0" fillId="0" borderId="0" xfId="0" applyFill="1" applyBorder="1" applyAlignment="1">
      <alignment vertical="center"/>
    </xf>
    <xf numFmtId="0" fontId="18" fillId="0" borderId="0" xfId="0" applyFont="1" applyFill="1" applyBorder="1" applyAlignment="1">
      <alignment vertical="center"/>
    </xf>
    <xf numFmtId="0" fontId="24" fillId="0" borderId="0" xfId="0" applyFont="1" applyFill="1" applyBorder="1" applyAlignment="1">
      <alignment vertical="center"/>
    </xf>
    <xf numFmtId="0" fontId="8" fillId="0" borderId="0" xfId="0" applyFont="1" applyFill="1" applyAlignment="1">
      <alignment vertical="center"/>
    </xf>
    <xf numFmtId="0" fontId="24" fillId="0" borderId="0" xfId="0" applyFont="1" applyFill="1" applyAlignment="1">
      <alignment vertical="center"/>
    </xf>
    <xf numFmtId="0" fontId="9" fillId="0" borderId="0" xfId="0" applyFont="1" applyFill="1" applyAlignment="1">
      <alignment vertical="center"/>
    </xf>
    <xf numFmtId="164" fontId="10" fillId="2" borderId="2" xfId="0" applyNumberFormat="1" applyFont="1" applyFill="1" applyBorder="1" applyAlignment="1">
      <alignment horizontal="right" vertical="center"/>
    </xf>
    <xf numFmtId="0" fontId="24" fillId="2" borderId="0" xfId="0" applyFont="1" applyFill="1" applyBorder="1" applyAlignment="1">
      <alignment vertical="center"/>
    </xf>
    <xf numFmtId="164" fontId="26" fillId="2" borderId="2" xfId="0" applyNumberFormat="1" applyFont="1" applyFill="1" applyBorder="1" applyAlignment="1">
      <alignment vertical="center"/>
    </xf>
    <xf numFmtId="164" fontId="24" fillId="2" borderId="2" xfId="0" applyNumberFormat="1" applyFont="1" applyFill="1" applyBorder="1" applyAlignment="1">
      <alignment horizontal="right" vertical="center"/>
    </xf>
    <xf numFmtId="1" fontId="24" fillId="2" borderId="2" xfId="0" applyNumberFormat="1" applyFont="1" applyFill="1" applyBorder="1" applyAlignment="1">
      <alignment horizontal="right" vertical="center"/>
    </xf>
    <xf numFmtId="0" fontId="10" fillId="2" borderId="0" xfId="0" applyFont="1" applyFill="1" applyBorder="1" applyAlignment="1">
      <alignment vertical="center"/>
    </xf>
    <xf numFmtId="164" fontId="21" fillId="2" borderId="2" xfId="0" applyNumberFormat="1" applyFont="1" applyFill="1" applyBorder="1" applyAlignment="1">
      <alignment vertical="center"/>
    </xf>
    <xf numFmtId="0" fontId="28" fillId="2" borderId="0" xfId="0" applyFont="1" applyFill="1" applyBorder="1" applyAlignment="1">
      <alignment vertical="center"/>
    </xf>
    <xf numFmtId="164" fontId="24" fillId="2" borderId="2" xfId="0" applyNumberFormat="1" applyFont="1" applyFill="1" applyBorder="1" applyAlignment="1">
      <alignment vertical="center"/>
    </xf>
    <xf numFmtId="0" fontId="10" fillId="0" borderId="0" xfId="0" applyFont="1" applyFill="1" applyBorder="1" applyAlignment="1">
      <alignment horizontal="center"/>
    </xf>
    <xf numFmtId="0" fontId="13" fillId="4" borderId="0" xfId="0" applyFont="1" applyFill="1" applyBorder="1" applyAlignment="1">
      <alignment horizontal="left"/>
    </xf>
    <xf numFmtId="164" fontId="10" fillId="0" borderId="0" xfId="0" applyNumberFormat="1" applyFont="1" applyFill="1" applyBorder="1" applyAlignment="1">
      <alignment horizontal="center"/>
    </xf>
    <xf numFmtId="0" fontId="10" fillId="0" borderId="0" xfId="0" applyFont="1" applyAlignment="1">
      <alignment vertical="top" wrapText="1"/>
    </xf>
    <xf numFmtId="0" fontId="15" fillId="0" borderId="0" xfId="0" applyFont="1"/>
    <xf numFmtId="49" fontId="0" fillId="0" borderId="0" xfId="0" applyNumberFormat="1" applyAlignment="1">
      <alignment horizontal="center"/>
    </xf>
    <xf numFmtId="0" fontId="0" fillId="0" borderId="0" xfId="0" applyAlignment="1">
      <alignment horizontal="center"/>
    </xf>
    <xf numFmtId="0" fontId="9" fillId="0" borderId="0" xfId="0" applyFont="1" applyFill="1" applyBorder="1" applyAlignment="1">
      <alignment vertical="center"/>
    </xf>
    <xf numFmtId="0" fontId="17" fillId="0" borderId="0" xfId="0" applyFont="1" applyFill="1" applyBorder="1" applyAlignment="1">
      <alignment vertical="center"/>
    </xf>
    <xf numFmtId="0" fontId="15" fillId="0" borderId="3" xfId="0" applyFont="1" applyBorder="1"/>
    <xf numFmtId="0" fontId="15" fillId="0" borderId="4" xfId="0" applyFont="1" applyBorder="1"/>
    <xf numFmtId="0" fontId="15" fillId="0" borderId="5" xfId="0" applyFont="1" applyBorder="1"/>
    <xf numFmtId="0" fontId="10" fillId="0" borderId="6" xfId="0" applyFont="1" applyBorder="1" applyAlignment="1">
      <alignment vertical="top" wrapText="1"/>
    </xf>
    <xf numFmtId="0" fontId="10" fillId="0" borderId="0" xfId="0" applyFont="1" applyBorder="1" applyAlignment="1">
      <alignment vertical="top" wrapText="1"/>
    </xf>
    <xf numFmtId="0" fontId="10" fillId="0" borderId="7" xfId="0" applyFont="1" applyBorder="1" applyAlignment="1">
      <alignment vertical="top" wrapText="1"/>
    </xf>
    <xf numFmtId="0" fontId="0" fillId="0" borderId="7" xfId="0" applyBorder="1"/>
    <xf numFmtId="0" fontId="10" fillId="0" borderId="8" xfId="0" applyFont="1" applyBorder="1" applyAlignment="1">
      <alignment vertical="top" wrapText="1"/>
    </xf>
    <xf numFmtId="0" fontId="10" fillId="0" borderId="10" xfId="0" applyFont="1" applyBorder="1" applyAlignment="1">
      <alignment vertical="top" wrapText="1"/>
    </xf>
    <xf numFmtId="0" fontId="15" fillId="0" borderId="4" xfId="0" applyFont="1" applyFill="1" applyBorder="1"/>
    <xf numFmtId="164" fontId="10" fillId="0" borderId="0" xfId="0" applyNumberFormat="1" applyFont="1" applyBorder="1" applyAlignment="1">
      <alignment vertical="top" wrapText="1"/>
    </xf>
    <xf numFmtId="164" fontId="10" fillId="0" borderId="9" xfId="0" applyNumberFormat="1" applyFont="1" applyBorder="1" applyAlignment="1">
      <alignment vertical="top" wrapText="1"/>
    </xf>
    <xf numFmtId="0" fontId="10" fillId="0" borderId="0" xfId="0" applyFont="1" applyFill="1" applyBorder="1" applyAlignment="1">
      <alignment vertical="top" wrapText="1"/>
    </xf>
    <xf numFmtId="0" fontId="10" fillId="0" borderId="8" xfId="0" applyFont="1" applyFill="1" applyBorder="1" applyAlignment="1">
      <alignment vertical="top" wrapText="1"/>
    </xf>
    <xf numFmtId="49" fontId="15" fillId="0" borderId="4" xfId="0" applyNumberFormat="1" applyFont="1" applyBorder="1" applyAlignment="1">
      <alignment horizontal="center" vertical="top" wrapText="1"/>
    </xf>
    <xf numFmtId="0" fontId="15" fillId="0" borderId="4" xfId="0" applyFont="1" applyBorder="1" applyAlignment="1">
      <alignment vertical="top" wrapText="1"/>
    </xf>
    <xf numFmtId="0" fontId="10" fillId="0" borderId="0" xfId="0" applyFont="1" applyBorder="1" applyAlignment="1">
      <alignment horizontal="center" textRotation="90" wrapText="1"/>
    </xf>
    <xf numFmtId="0" fontId="10" fillId="0" borderId="9" xfId="0" applyFont="1" applyFill="1" applyBorder="1" applyAlignment="1">
      <alignment vertical="top" wrapText="1"/>
    </xf>
    <xf numFmtId="0" fontId="10" fillId="0" borderId="10" xfId="0" applyFont="1" applyFill="1" applyBorder="1" applyAlignment="1">
      <alignment vertical="top" wrapText="1"/>
    </xf>
    <xf numFmtId="164" fontId="10" fillId="0" borderId="4" xfId="0" applyNumberFormat="1" applyFont="1" applyBorder="1" applyAlignment="1">
      <alignment vertical="top" wrapText="1"/>
    </xf>
    <xf numFmtId="0" fontId="15" fillId="0" borderId="3" xfId="0" applyFont="1" applyBorder="1" applyAlignment="1">
      <alignment vertical="top"/>
    </xf>
    <xf numFmtId="0" fontId="15" fillId="0" borderId="3" xfId="0" applyFont="1" applyFill="1" applyBorder="1"/>
    <xf numFmtId="0" fontId="10" fillId="0" borderId="7" xfId="0" applyFont="1" applyFill="1" applyBorder="1"/>
    <xf numFmtId="0" fontId="10" fillId="0" borderId="7" xfId="0" applyFont="1" applyBorder="1"/>
    <xf numFmtId="0" fontId="10" fillId="0" borderId="6" xfId="0" applyFont="1" applyBorder="1"/>
    <xf numFmtId="0" fontId="10" fillId="0" borderId="6" xfId="0" applyFont="1" applyBorder="1" applyAlignment="1">
      <alignment horizontal="center" textRotation="90" wrapText="1"/>
    </xf>
    <xf numFmtId="0" fontId="10" fillId="0" borderId="6" xfId="0" applyFont="1" applyFill="1" applyBorder="1" applyAlignment="1">
      <alignment horizontal="center" textRotation="90" wrapText="1"/>
    </xf>
    <xf numFmtId="0" fontId="10" fillId="0" borderId="8" xfId="0" applyFont="1" applyBorder="1" applyAlignment="1">
      <alignment horizontal="center" textRotation="90" wrapText="1"/>
    </xf>
    <xf numFmtId="0" fontId="10" fillId="0" borderId="10" xfId="0" applyFont="1" applyBorder="1" applyAlignment="1">
      <alignment horizontal="center" textRotation="90" wrapText="1"/>
    </xf>
    <xf numFmtId="0" fontId="10" fillId="0" borderId="4" xfId="0" applyFont="1" applyFill="1" applyBorder="1" applyAlignment="1">
      <alignment vertical="top" wrapText="1"/>
    </xf>
    <xf numFmtId="0" fontId="10" fillId="0" borderId="3" xfId="0" applyFont="1" applyFill="1" applyBorder="1" applyAlignment="1">
      <alignment vertical="top" wrapText="1"/>
    </xf>
    <xf numFmtId="0" fontId="10" fillId="0" borderId="5" xfId="0" applyFont="1" applyFill="1" applyBorder="1" applyAlignment="1">
      <alignment vertical="top" wrapText="1"/>
    </xf>
    <xf numFmtId="0" fontId="10" fillId="0" borderId="3" xfId="0" applyFont="1" applyBorder="1" applyAlignment="1">
      <alignment vertical="top" wrapText="1"/>
    </xf>
    <xf numFmtId="0" fontId="10" fillId="0" borderId="5" xfId="0" applyFont="1" applyBorder="1" applyAlignment="1">
      <alignment vertical="top" wrapText="1"/>
    </xf>
    <xf numFmtId="164" fontId="0" fillId="0" borderId="0" xfId="0" applyNumberFormat="1" applyFill="1"/>
    <xf numFmtId="0" fontId="38" fillId="0" borderId="0" xfId="0" applyFont="1" applyBorder="1"/>
    <xf numFmtId="0" fontId="40" fillId="0" borderId="0" xfId="0" applyFont="1" applyFill="1"/>
    <xf numFmtId="0" fontId="12" fillId="2" borderId="0" xfId="0" applyFont="1" applyFill="1" applyBorder="1" applyAlignment="1">
      <alignment vertical="center"/>
    </xf>
    <xf numFmtId="0" fontId="22" fillId="0" borderId="0" xfId="0" applyFont="1"/>
    <xf numFmtId="164" fontId="10" fillId="0" borderId="0" xfId="0" applyNumberFormat="1" applyFont="1" applyFill="1" applyBorder="1"/>
    <xf numFmtId="0" fontId="10" fillId="0" borderId="9" xfId="0" applyFont="1" applyBorder="1"/>
    <xf numFmtId="0" fontId="10" fillId="2" borderId="0" xfId="0" applyFont="1" applyFill="1" applyBorder="1" applyAlignment="1">
      <alignment horizontal="left"/>
    </xf>
    <xf numFmtId="164" fontId="10" fillId="0" borderId="0" xfId="0" applyNumberFormat="1" applyFont="1" applyFill="1" applyBorder="1" applyAlignment="1"/>
    <xf numFmtId="0" fontId="45" fillId="0" borderId="0" xfId="0" applyFont="1" applyFill="1" applyBorder="1" applyAlignment="1">
      <alignment horizontal="right"/>
    </xf>
    <xf numFmtId="164" fontId="10" fillId="0" borderId="0" xfId="0" applyNumberFormat="1" applyFont="1" applyBorder="1" applyAlignment="1">
      <alignment horizontal="right"/>
    </xf>
    <xf numFmtId="0" fontId="16" fillId="0" borderId="0" xfId="0" applyFont="1" applyFill="1" applyBorder="1" applyAlignment="1">
      <alignment vertical="center"/>
    </xf>
    <xf numFmtId="0" fontId="16" fillId="0" borderId="0" xfId="0" applyFont="1" applyFill="1" applyAlignment="1">
      <alignment vertical="center"/>
    </xf>
    <xf numFmtId="164" fontId="20" fillId="0" borderId="0" xfId="0" applyNumberFormat="1" applyFont="1" applyFill="1" applyAlignment="1">
      <alignment vertical="center"/>
    </xf>
    <xf numFmtId="164" fontId="48" fillId="0" borderId="0" xfId="0" applyNumberFormat="1" applyFont="1" applyFill="1" applyAlignment="1">
      <alignment vertical="center"/>
    </xf>
    <xf numFmtId="2" fontId="48" fillId="0" borderId="0" xfId="0" applyNumberFormat="1" applyFont="1" applyFill="1" applyAlignment="1">
      <alignment vertical="center"/>
    </xf>
    <xf numFmtId="0" fontId="49" fillId="0" borderId="0" xfId="0" applyFont="1" applyFill="1" applyAlignment="1">
      <alignment vertical="center"/>
    </xf>
    <xf numFmtId="164" fontId="16" fillId="0" borderId="0" xfId="0" applyNumberFormat="1" applyFont="1" applyFill="1" applyBorder="1" applyAlignment="1">
      <alignment vertical="center"/>
    </xf>
    <xf numFmtId="164" fontId="48" fillId="0" borderId="0" xfId="0" applyNumberFormat="1" applyFont="1" applyFill="1" applyBorder="1" applyAlignment="1">
      <alignment vertical="center"/>
    </xf>
    <xf numFmtId="2" fontId="48" fillId="0" borderId="0" xfId="0" applyNumberFormat="1" applyFont="1" applyFill="1" applyBorder="1" applyAlignment="1">
      <alignment vertical="center"/>
    </xf>
    <xf numFmtId="0" fontId="49" fillId="0" borderId="0" xfId="0" applyFont="1" applyFill="1" applyBorder="1" applyAlignment="1">
      <alignment vertical="center"/>
    </xf>
    <xf numFmtId="0" fontId="50" fillId="0" borderId="0" xfId="0" applyFont="1" applyFill="1" applyBorder="1" applyAlignment="1">
      <alignment vertical="center"/>
    </xf>
    <xf numFmtId="0" fontId="51" fillId="0" borderId="0" xfId="0" applyFont="1" applyFill="1" applyBorder="1" applyAlignment="1">
      <alignment vertical="center"/>
    </xf>
    <xf numFmtId="164" fontId="52" fillId="0" borderId="0" xfId="0" applyNumberFormat="1" applyFont="1" applyFill="1" applyBorder="1" applyAlignment="1">
      <alignment vertical="center"/>
    </xf>
    <xf numFmtId="2" fontId="52" fillId="0" borderId="0" xfId="0" applyNumberFormat="1" applyFont="1" applyFill="1" applyBorder="1" applyAlignment="1">
      <alignment vertical="center"/>
    </xf>
    <xf numFmtId="0" fontId="42" fillId="0" borderId="0" xfId="0" applyFont="1" applyFill="1" applyBorder="1" applyAlignment="1">
      <alignment vertical="center"/>
    </xf>
    <xf numFmtId="2" fontId="20" fillId="0" borderId="0" xfId="0" applyNumberFormat="1" applyFont="1" applyFill="1" applyBorder="1" applyAlignment="1">
      <alignment vertical="center"/>
    </xf>
    <xf numFmtId="2" fontId="16" fillId="0" borderId="0" xfId="0" applyNumberFormat="1" applyFont="1" applyFill="1" applyBorder="1" applyAlignment="1">
      <alignment vertical="center"/>
    </xf>
    <xf numFmtId="0" fontId="50" fillId="0" borderId="0" xfId="0" applyFont="1" applyFill="1" applyBorder="1"/>
    <xf numFmtId="164" fontId="48" fillId="0" borderId="0" xfId="0" applyNumberFormat="1" applyFont="1" applyFill="1" applyBorder="1"/>
    <xf numFmtId="2" fontId="48" fillId="0" borderId="0" xfId="0" applyNumberFormat="1" applyFont="1" applyFill="1" applyBorder="1"/>
    <xf numFmtId="164" fontId="48" fillId="0" borderId="0" xfId="0" applyNumberFormat="1" applyFont="1" applyFill="1" applyBorder="1" applyAlignment="1"/>
    <xf numFmtId="2" fontId="48" fillId="0" borderId="0" xfId="0" applyNumberFormat="1" applyFont="1" applyFill="1" applyBorder="1" applyAlignment="1"/>
    <xf numFmtId="0" fontId="51" fillId="0" borderId="0" xfId="0" applyFont="1" applyFill="1" applyBorder="1" applyAlignment="1"/>
    <xf numFmtId="0" fontId="42" fillId="0" borderId="0" xfId="0" applyFont="1" applyFill="1" applyAlignment="1">
      <alignment vertical="center"/>
    </xf>
    <xf numFmtId="2" fontId="52" fillId="0" borderId="0" xfId="0" applyNumberFormat="1" applyFont="1" applyFill="1" applyAlignment="1">
      <alignment vertical="center"/>
    </xf>
    <xf numFmtId="164" fontId="48" fillId="0" borderId="0" xfId="0" applyNumberFormat="1" applyFont="1" applyFill="1"/>
    <xf numFmtId="2" fontId="48" fillId="0" borderId="0" xfId="0" applyNumberFormat="1" applyFont="1" applyFill="1"/>
    <xf numFmtId="0" fontId="50" fillId="0" borderId="0" xfId="0" applyFont="1" applyFill="1"/>
    <xf numFmtId="0" fontId="50" fillId="0" borderId="0" xfId="0" applyFont="1" applyFill="1" applyAlignment="1">
      <alignment vertical="center"/>
    </xf>
    <xf numFmtId="2" fontId="20" fillId="0" borderId="0" xfId="0" applyNumberFormat="1" applyFont="1" applyFill="1" applyAlignment="1">
      <alignment vertical="center"/>
    </xf>
    <xf numFmtId="164" fontId="52" fillId="0" borderId="0" xfId="0" applyNumberFormat="1" applyFont="1" applyFill="1" applyBorder="1"/>
    <xf numFmtId="2" fontId="52" fillId="0" borderId="0" xfId="0" applyNumberFormat="1" applyFont="1" applyFill="1" applyBorder="1"/>
    <xf numFmtId="0" fontId="42" fillId="0" borderId="0" xfId="0" applyFont="1" applyFill="1" applyBorder="1"/>
    <xf numFmtId="0" fontId="10" fillId="0" borderId="0" xfId="0" applyFont="1" applyFill="1" applyBorder="1" applyAlignment="1">
      <alignment horizontal="left"/>
    </xf>
    <xf numFmtId="164" fontId="10" fillId="0" borderId="0" xfId="0" applyNumberFormat="1" applyFont="1" applyFill="1" applyBorder="1" applyAlignment="1">
      <alignment horizontal="left"/>
    </xf>
    <xf numFmtId="0" fontId="31" fillId="0" borderId="0" xfId="0" applyFont="1" applyFill="1" applyBorder="1" applyAlignment="1">
      <alignment horizontal="center" vertical="center" textRotation="90"/>
    </xf>
    <xf numFmtId="0" fontId="15" fillId="0" borderId="0" xfId="0" applyFont="1" applyFill="1" applyBorder="1"/>
    <xf numFmtId="0" fontId="10" fillId="0" borderId="0" xfId="0" applyFont="1" applyFill="1" applyBorder="1" applyAlignment="1">
      <alignment horizontal="center" vertical="center"/>
    </xf>
    <xf numFmtId="164" fontId="10" fillId="0" borderId="0" xfId="0" applyNumberFormat="1" applyFont="1" applyFill="1" applyAlignment="1">
      <alignment horizontal="center" vertical="center"/>
    </xf>
    <xf numFmtId="164" fontId="10" fillId="0" borderId="0" xfId="0" applyNumberFormat="1" applyFont="1" applyFill="1" applyAlignment="1">
      <alignment vertical="center"/>
    </xf>
    <xf numFmtId="164" fontId="19" fillId="0" borderId="0" xfId="0" applyNumberFormat="1" applyFont="1" applyFill="1" applyAlignment="1">
      <alignment vertical="center"/>
    </xf>
    <xf numFmtId="0" fontId="10" fillId="0" borderId="0" xfId="0" applyFont="1" applyFill="1" applyAlignment="1">
      <alignment vertical="center"/>
    </xf>
    <xf numFmtId="1" fontId="10" fillId="0" borderId="0" xfId="0" applyNumberFormat="1" applyFont="1" applyFill="1" applyBorder="1" applyAlignment="1">
      <alignment horizontal="right" vertical="center"/>
    </xf>
    <xf numFmtId="164" fontId="10" fillId="0" borderId="0" xfId="0" applyNumberFormat="1" applyFont="1" applyFill="1" applyBorder="1" applyAlignment="1">
      <alignment vertical="center"/>
    </xf>
    <xf numFmtId="0" fontId="10" fillId="0" borderId="0" xfId="0" applyFont="1" applyFill="1" applyAlignment="1">
      <alignment horizontal="center" vertical="center"/>
    </xf>
    <xf numFmtId="0" fontId="13" fillId="0" borderId="0" xfId="0" applyFont="1" applyFill="1" applyBorder="1" applyAlignment="1">
      <alignment horizontal="left"/>
    </xf>
    <xf numFmtId="1" fontId="10" fillId="0" borderId="0" xfId="0" applyNumberFormat="1" applyFont="1" applyFill="1" applyBorder="1" applyAlignment="1">
      <alignment horizontal="left"/>
    </xf>
    <xf numFmtId="0" fontId="0" fillId="0" borderId="0" xfId="0" applyFill="1" applyBorder="1" applyAlignment="1">
      <alignment horizontal="center"/>
    </xf>
    <xf numFmtId="0" fontId="11" fillId="4" borderId="0" xfId="0" applyFont="1" applyFill="1" applyBorder="1" applyAlignment="1">
      <alignment horizontal="left"/>
    </xf>
    <xf numFmtId="164" fontId="11" fillId="4" borderId="0" xfId="0" applyNumberFormat="1" applyFont="1" applyFill="1" applyBorder="1" applyAlignment="1">
      <alignment horizontal="left"/>
    </xf>
    <xf numFmtId="164" fontId="0" fillId="4" borderId="0" xfId="0" applyNumberFormat="1" applyFill="1" applyBorder="1" applyAlignment="1">
      <alignment horizontal="left"/>
    </xf>
    <xf numFmtId="0" fontId="53" fillId="4" borderId="0" xfId="0" applyFont="1" applyFill="1" applyBorder="1" applyAlignment="1">
      <alignment horizontal="left"/>
    </xf>
    <xf numFmtId="164" fontId="10" fillId="0" borderId="0" xfId="0" applyNumberFormat="1" applyFont="1" applyBorder="1" applyAlignment="1">
      <alignment horizontal="left"/>
    </xf>
    <xf numFmtId="0" fontId="10" fillId="0" borderId="0" xfId="0" applyFont="1" applyBorder="1" applyAlignment="1">
      <alignment horizontal="left"/>
    </xf>
    <xf numFmtId="1" fontId="10" fillId="0" borderId="0" xfId="0" applyNumberFormat="1" applyFont="1" applyBorder="1" applyAlignment="1">
      <alignment horizontal="left"/>
    </xf>
    <xf numFmtId="164" fontId="19" fillId="0" borderId="0" xfId="0" applyNumberFormat="1" applyFont="1" applyBorder="1" applyAlignment="1">
      <alignment horizontal="left"/>
    </xf>
    <xf numFmtId="0" fontId="0" fillId="0" borderId="0" xfId="0" applyFill="1" applyBorder="1" applyAlignment="1">
      <alignment horizontal="left"/>
    </xf>
    <xf numFmtId="0" fontId="11" fillId="0" borderId="0" xfId="0" applyFont="1" applyBorder="1" applyAlignment="1">
      <alignment horizontal="left"/>
    </xf>
    <xf numFmtId="0" fontId="13" fillId="0" borderId="0" xfId="0" applyFont="1" applyFill="1" applyBorder="1" applyAlignment="1"/>
    <xf numFmtId="164" fontId="19" fillId="0" borderId="0" xfId="0" applyNumberFormat="1" applyFont="1" applyFill="1" applyBorder="1" applyAlignment="1" applyProtection="1">
      <alignment horizontal="left"/>
      <protection hidden="1"/>
    </xf>
    <xf numFmtId="164" fontId="19" fillId="0" borderId="0" xfId="0" applyNumberFormat="1" applyFont="1" applyFill="1" applyBorder="1" applyAlignment="1" applyProtection="1">
      <protection hidden="1"/>
    </xf>
    <xf numFmtId="164" fontId="54" fillId="0" borderId="0" xfId="0" applyNumberFormat="1" applyFont="1" applyFill="1" applyBorder="1" applyAlignment="1">
      <alignment horizontal="center"/>
    </xf>
    <xf numFmtId="164" fontId="10" fillId="0" borderId="0" xfId="0" applyNumberFormat="1" applyFont="1" applyFill="1" applyBorder="1" applyAlignment="1">
      <alignment horizontal="center" vertical="center"/>
    </xf>
    <xf numFmtId="164" fontId="55" fillId="0" borderId="0" xfId="0" applyNumberFormat="1" applyFont="1" applyFill="1" applyAlignment="1">
      <alignment vertical="center"/>
    </xf>
    <xf numFmtId="164" fontId="19" fillId="0" borderId="0" xfId="0" applyNumberFormat="1" applyFont="1" applyFill="1" applyBorder="1" applyAlignment="1">
      <alignment vertical="center"/>
    </xf>
    <xf numFmtId="164" fontId="55" fillId="0" borderId="0" xfId="0" applyNumberFormat="1" applyFont="1" applyFill="1" applyBorder="1" applyAlignment="1">
      <alignment vertical="center"/>
    </xf>
    <xf numFmtId="164" fontId="56" fillId="0" borderId="0" xfId="0" applyNumberFormat="1" applyFont="1" applyFill="1" applyBorder="1" applyAlignment="1">
      <alignment vertical="center"/>
    </xf>
    <xf numFmtId="0" fontId="36" fillId="0" borderId="0" xfId="0" applyFont="1" applyFill="1" applyBorder="1" applyAlignment="1">
      <alignment vertical="center"/>
    </xf>
    <xf numFmtId="164" fontId="19" fillId="0" borderId="0" xfId="0" applyNumberFormat="1" applyFont="1" applyFill="1" applyBorder="1"/>
    <xf numFmtId="164" fontId="55" fillId="0" borderId="0" xfId="0" applyNumberFormat="1" applyFont="1" applyFill="1" applyBorder="1"/>
    <xf numFmtId="164" fontId="19" fillId="0" borderId="0" xfId="0" applyNumberFormat="1" applyFont="1" applyFill="1" applyBorder="1" applyAlignment="1"/>
    <xf numFmtId="164" fontId="55" fillId="0" borderId="0" xfId="0" applyNumberFormat="1" applyFont="1" applyFill="1" applyBorder="1" applyAlignment="1"/>
    <xf numFmtId="0" fontId="37" fillId="0" borderId="0" xfId="0" applyFont="1" applyFill="1" applyBorder="1" applyAlignment="1"/>
    <xf numFmtId="0" fontId="37" fillId="0" borderId="0" xfId="0" applyFont="1" applyFill="1" applyBorder="1" applyAlignment="1">
      <alignment vertical="center"/>
    </xf>
    <xf numFmtId="0" fontId="10" fillId="5" borderId="0" xfId="0" applyFont="1" applyFill="1" applyBorder="1" applyAlignment="1">
      <alignment vertical="center"/>
    </xf>
    <xf numFmtId="0" fontId="36" fillId="0" borderId="0" xfId="0" applyFont="1" applyFill="1" applyAlignment="1">
      <alignment vertical="center"/>
    </xf>
    <xf numFmtId="0" fontId="10" fillId="0" borderId="0" xfId="0" applyFont="1" applyFill="1" applyAlignment="1">
      <alignment horizontal="center"/>
    </xf>
    <xf numFmtId="164" fontId="10" fillId="0" borderId="0" xfId="0" applyNumberFormat="1" applyFont="1" applyFill="1" applyAlignment="1">
      <alignment horizontal="center"/>
    </xf>
    <xf numFmtId="164" fontId="10" fillId="0" borderId="0" xfId="0" applyNumberFormat="1" applyFont="1" applyFill="1"/>
    <xf numFmtId="164" fontId="19" fillId="0" borderId="0" xfId="0" applyNumberFormat="1" applyFont="1" applyFill="1"/>
    <xf numFmtId="164" fontId="55" fillId="0" borderId="0" xfId="0" applyNumberFormat="1" applyFont="1" applyFill="1"/>
    <xf numFmtId="1" fontId="10" fillId="0" borderId="0" xfId="0" applyNumberFormat="1" applyFont="1" applyFill="1" applyAlignment="1">
      <alignment vertical="center"/>
    </xf>
    <xf numFmtId="164" fontId="56" fillId="0" borderId="0" xfId="0" applyNumberFormat="1" applyFont="1" applyFill="1" applyBorder="1"/>
    <xf numFmtId="0" fontId="44" fillId="2" borderId="0" xfId="0" applyFont="1" applyFill="1" applyBorder="1" applyAlignment="1">
      <alignment vertical="center"/>
    </xf>
    <xf numFmtId="0" fontId="31" fillId="6" borderId="0" xfId="0" applyFont="1" applyFill="1" applyBorder="1" applyAlignment="1">
      <alignment horizontal="center" vertical="center" textRotation="90"/>
    </xf>
    <xf numFmtId="164" fontId="10" fillId="0" borderId="2" xfId="0" applyNumberFormat="1" applyFont="1" applyFill="1" applyBorder="1" applyAlignment="1">
      <alignment vertical="center"/>
    </xf>
    <xf numFmtId="0" fontId="0" fillId="0" borderId="10" xfId="0" applyBorder="1"/>
    <xf numFmtId="0" fontId="10" fillId="0" borderId="0" xfId="0" applyFont="1" applyFill="1" applyBorder="1" applyAlignment="1">
      <alignment horizontal="center" textRotation="90" wrapText="1"/>
    </xf>
    <xf numFmtId="0" fontId="31" fillId="0" borderId="0" xfId="0" applyFont="1" applyFill="1" applyBorder="1" applyAlignment="1">
      <alignment vertical="center"/>
    </xf>
    <xf numFmtId="0" fontId="28" fillId="0" borderId="0" xfId="0" applyFont="1" applyFill="1" applyBorder="1" applyAlignment="1">
      <alignment vertical="center"/>
    </xf>
    <xf numFmtId="164" fontId="26" fillId="0" borderId="2" xfId="0" applyNumberFormat="1" applyFont="1" applyFill="1" applyBorder="1" applyAlignment="1">
      <alignment vertical="center"/>
    </xf>
    <xf numFmtId="0" fontId="23" fillId="0" borderId="0" xfId="0" applyFont="1" applyFill="1" applyBorder="1" applyAlignment="1">
      <alignment vertical="center"/>
    </xf>
    <xf numFmtId="164" fontId="21" fillId="0" borderId="2" xfId="0" applyNumberFormat="1" applyFont="1" applyFill="1" applyBorder="1" applyAlignment="1">
      <alignment vertical="center"/>
    </xf>
    <xf numFmtId="164" fontId="16" fillId="0" borderId="2" xfId="0" applyNumberFormat="1" applyFont="1" applyFill="1" applyBorder="1" applyAlignment="1">
      <alignment vertical="center"/>
    </xf>
    <xf numFmtId="164" fontId="10" fillId="0" borderId="2" xfId="0" applyNumberFormat="1" applyFont="1" applyFill="1" applyBorder="1" applyAlignment="1">
      <alignment horizontal="right" vertical="center"/>
    </xf>
    <xf numFmtId="164" fontId="24" fillId="0" borderId="2" xfId="0" applyNumberFormat="1" applyFont="1" applyFill="1" applyBorder="1" applyAlignment="1">
      <alignment horizontal="right" vertical="center"/>
    </xf>
    <xf numFmtId="0" fontId="24" fillId="0" borderId="0" xfId="0" applyFont="1" applyFill="1" applyBorder="1" applyAlignment="1">
      <alignment horizontal="left" vertical="center"/>
    </xf>
    <xf numFmtId="0" fontId="28" fillId="0" borderId="0" xfId="0" applyFont="1" applyFill="1" applyBorder="1" applyAlignment="1">
      <alignment horizontal="left" vertical="center"/>
    </xf>
    <xf numFmtId="0" fontId="15" fillId="0" borderId="0" xfId="0" applyFont="1" applyFill="1" applyBorder="1" applyAlignment="1">
      <alignment horizontal="left" vertical="center" textRotation="90" wrapText="1"/>
    </xf>
    <xf numFmtId="1" fontId="24" fillId="0" borderId="2" xfId="0" applyNumberFormat="1" applyFont="1" applyFill="1" applyBorder="1" applyAlignment="1">
      <alignment horizontal="right" vertical="center"/>
    </xf>
    <xf numFmtId="164" fontId="24" fillId="0" borderId="2" xfId="0" applyNumberFormat="1" applyFont="1" applyFill="1" applyBorder="1" applyAlignment="1">
      <alignment vertical="center"/>
    </xf>
    <xf numFmtId="0" fontId="33" fillId="6" borderId="0" xfId="0" applyFont="1" applyFill="1" applyBorder="1" applyAlignment="1">
      <alignment vertical="center"/>
    </xf>
    <xf numFmtId="164" fontId="43" fillId="6" borderId="0" xfId="0" applyNumberFormat="1" applyFont="1" applyFill="1" applyBorder="1" applyAlignment="1">
      <alignment vertical="center"/>
    </xf>
    <xf numFmtId="164" fontId="35" fillId="6" borderId="0" xfId="0" applyNumberFormat="1" applyFont="1" applyFill="1" applyBorder="1" applyAlignment="1">
      <alignment vertical="center"/>
    </xf>
    <xf numFmtId="164" fontId="35" fillId="6" borderId="0" xfId="0" applyNumberFormat="1" applyFont="1" applyFill="1" applyBorder="1" applyAlignment="1">
      <alignment horizontal="right" vertical="center"/>
    </xf>
    <xf numFmtId="0" fontId="35" fillId="6" borderId="0" xfId="0" applyFont="1" applyFill="1" applyBorder="1" applyAlignment="1">
      <alignment horizontal="right" vertical="center"/>
    </xf>
    <xf numFmtId="0" fontId="33" fillId="6" borderId="0" xfId="0" applyFont="1" applyFill="1" applyBorder="1" applyAlignment="1">
      <alignment horizontal="right" vertical="center"/>
    </xf>
    <xf numFmtId="0" fontId="32" fillId="6" borderId="0" xfId="0" applyFont="1" applyFill="1" applyBorder="1" applyAlignment="1">
      <alignment vertical="center"/>
    </xf>
    <xf numFmtId="0" fontId="24" fillId="0" borderId="11" xfId="0" applyFont="1" applyFill="1" applyBorder="1" applyAlignment="1">
      <alignment vertical="center"/>
    </xf>
    <xf numFmtId="164" fontId="33" fillId="6" borderId="0" xfId="0" applyNumberFormat="1" applyFont="1" applyFill="1" applyBorder="1" applyAlignment="1">
      <alignment vertical="center"/>
    </xf>
    <xf numFmtId="0" fontId="12" fillId="6" borderId="12" xfId="0" applyFont="1" applyFill="1" applyBorder="1"/>
    <xf numFmtId="0" fontId="12" fillId="6" borderId="12" xfId="0" applyFont="1" applyFill="1" applyBorder="1" applyAlignment="1"/>
    <xf numFmtId="0" fontId="10" fillId="6" borderId="12" xfId="0" applyFont="1" applyFill="1" applyBorder="1"/>
    <xf numFmtId="164" fontId="22" fillId="6" borderId="12" xfId="0" applyNumberFormat="1" applyFont="1" applyFill="1" applyBorder="1" applyAlignment="1"/>
    <xf numFmtId="164" fontId="22" fillId="6" borderId="12" xfId="0" applyNumberFormat="1" applyFont="1" applyFill="1" applyBorder="1" applyAlignment="1">
      <alignment horizontal="right"/>
    </xf>
    <xf numFmtId="0" fontId="58" fillId="6" borderId="12" xfId="0" applyFont="1" applyFill="1" applyBorder="1" applyAlignment="1">
      <alignment vertical="center"/>
    </xf>
    <xf numFmtId="0" fontId="59" fillId="6" borderId="12" xfId="0" applyFont="1" applyFill="1" applyBorder="1" applyAlignment="1">
      <alignment vertical="center"/>
    </xf>
    <xf numFmtId="164" fontId="59" fillId="6" borderId="12" xfId="0" applyNumberFormat="1" applyFont="1" applyFill="1" applyBorder="1" applyAlignment="1">
      <alignment vertical="center"/>
    </xf>
    <xf numFmtId="164" fontId="22" fillId="6" borderId="13" xfId="0" applyNumberFormat="1" applyFont="1" applyFill="1" applyBorder="1" applyAlignment="1"/>
    <xf numFmtId="0" fontId="10" fillId="6" borderId="13" xfId="0" applyFont="1" applyFill="1" applyBorder="1"/>
    <xf numFmtId="164" fontId="22" fillId="6" borderId="13" xfId="0" applyNumberFormat="1" applyFont="1" applyFill="1" applyBorder="1" applyAlignment="1">
      <alignment horizontal="right"/>
    </xf>
    <xf numFmtId="164" fontId="26" fillId="0" borderId="14" xfId="0" applyNumberFormat="1" applyFont="1" applyFill="1" applyBorder="1" applyAlignment="1">
      <alignment vertical="center"/>
    </xf>
    <xf numFmtId="164" fontId="24" fillId="0" borderId="14" xfId="0" applyNumberFormat="1" applyFont="1" applyFill="1" applyBorder="1" applyAlignment="1">
      <alignment vertical="center"/>
    </xf>
    <xf numFmtId="164" fontId="26" fillId="0" borderId="15" xfId="0" applyNumberFormat="1" applyFont="1" applyFill="1" applyBorder="1" applyAlignment="1">
      <alignment vertical="center"/>
    </xf>
    <xf numFmtId="164" fontId="24" fillId="0" borderId="15" xfId="0" applyNumberFormat="1" applyFont="1" applyFill="1" applyBorder="1" applyAlignment="1">
      <alignment vertical="center"/>
    </xf>
    <xf numFmtId="164" fontId="10" fillId="2" borderId="2" xfId="0" applyNumberFormat="1" applyFont="1" applyFill="1" applyBorder="1" applyAlignment="1">
      <alignment horizontal="right"/>
    </xf>
    <xf numFmtId="164" fontId="16" fillId="0" borderId="15" xfId="0" applyNumberFormat="1" applyFont="1" applyFill="1" applyBorder="1" applyAlignment="1">
      <alignment horizontal="right" vertical="center"/>
    </xf>
    <xf numFmtId="164" fontId="21" fillId="0" borderId="15" xfId="0" applyNumberFormat="1" applyFont="1" applyFill="1" applyBorder="1" applyAlignment="1">
      <alignment vertical="center"/>
    </xf>
    <xf numFmtId="164" fontId="15" fillId="0" borderId="18" xfId="0" applyNumberFormat="1" applyFont="1" applyFill="1" applyBorder="1" applyAlignment="1">
      <alignment wrapText="1"/>
    </xf>
    <xf numFmtId="164" fontId="15" fillId="0" borderId="19" xfId="0" applyNumberFormat="1" applyFont="1" applyFill="1" applyBorder="1" applyAlignment="1">
      <alignment wrapText="1"/>
    </xf>
    <xf numFmtId="0" fontId="24" fillId="0" borderId="20" xfId="0" applyFont="1" applyFill="1" applyBorder="1" applyAlignment="1">
      <alignment horizontal="left" vertical="center"/>
    </xf>
    <xf numFmtId="0" fontId="24" fillId="0" borderId="21" xfId="0" applyFont="1" applyFill="1" applyBorder="1" applyAlignment="1">
      <alignment horizontal="left" vertical="center"/>
    </xf>
    <xf numFmtId="0" fontId="24" fillId="0" borderId="22" xfId="0" applyFont="1" applyFill="1" applyBorder="1" applyAlignment="1">
      <alignment vertical="center"/>
    </xf>
    <xf numFmtId="0" fontId="24" fillId="0" borderId="21" xfId="0" applyFont="1" applyFill="1" applyBorder="1" applyAlignment="1">
      <alignment vertical="center"/>
    </xf>
    <xf numFmtId="0" fontId="33" fillId="6" borderId="23" xfId="0" applyFont="1" applyFill="1" applyBorder="1" applyAlignment="1">
      <alignment vertical="center"/>
    </xf>
    <xf numFmtId="0" fontId="34" fillId="6" borderId="24" xfId="0" applyFont="1" applyFill="1" applyBorder="1" applyAlignment="1" applyProtection="1">
      <alignment vertical="center"/>
      <protection locked="0"/>
    </xf>
    <xf numFmtId="0" fontId="33" fillId="6" borderId="24" xfId="0" applyFont="1" applyFill="1" applyBorder="1" applyAlignment="1">
      <alignment vertical="center"/>
    </xf>
    <xf numFmtId="164" fontId="33" fillId="6" borderId="24" xfId="0" applyNumberFormat="1" applyFont="1" applyFill="1" applyBorder="1" applyAlignment="1">
      <alignment vertical="center"/>
    </xf>
    <xf numFmtId="164" fontId="35" fillId="6" borderId="24" xfId="0" applyNumberFormat="1" applyFont="1" applyFill="1" applyBorder="1" applyAlignment="1">
      <alignment vertical="center"/>
    </xf>
    <xf numFmtId="164" fontId="35" fillId="6" borderId="24" xfId="0" applyNumberFormat="1" applyFont="1" applyFill="1" applyBorder="1" applyAlignment="1">
      <alignment horizontal="right" vertical="center"/>
    </xf>
    <xf numFmtId="0" fontId="35" fillId="6" borderId="24" xfId="0" applyFont="1" applyFill="1" applyBorder="1" applyAlignment="1">
      <alignment horizontal="right" vertical="center"/>
    </xf>
    <xf numFmtId="0" fontId="35" fillId="6" borderId="25" xfId="0" applyFont="1" applyFill="1" applyBorder="1" applyAlignment="1">
      <alignment horizontal="right" vertical="center"/>
    </xf>
    <xf numFmtId="0" fontId="22" fillId="6" borderId="12" xfId="0" applyFont="1" applyFill="1" applyBorder="1"/>
    <xf numFmtId="0" fontId="45" fillId="4" borderId="0" xfId="0" applyFont="1" applyFill="1" applyBorder="1" applyAlignment="1">
      <alignment horizontal="left"/>
    </xf>
    <xf numFmtId="1" fontId="10" fillId="0" borderId="0" xfId="0" applyNumberFormat="1" applyFont="1" applyFill="1" applyBorder="1" applyAlignment="1">
      <alignment horizontal="center"/>
    </xf>
    <xf numFmtId="0" fontId="12" fillId="6" borderId="0" xfId="0" applyFont="1" applyFill="1" applyBorder="1"/>
    <xf numFmtId="0" fontId="22" fillId="6" borderId="0" xfId="0" applyFont="1" applyFill="1" applyBorder="1"/>
    <xf numFmtId="0" fontId="10" fillId="6" borderId="0" xfId="0" applyFont="1" applyFill="1" applyBorder="1"/>
    <xf numFmtId="164" fontId="22" fillId="6" borderId="0" xfId="0" applyNumberFormat="1" applyFont="1" applyFill="1" applyBorder="1" applyAlignment="1"/>
    <xf numFmtId="164" fontId="22" fillId="6" borderId="0" xfId="0" applyNumberFormat="1" applyFont="1" applyFill="1" applyBorder="1" applyAlignment="1">
      <alignment horizontal="right"/>
    </xf>
    <xf numFmtId="0" fontId="22" fillId="6" borderId="0" xfId="0" applyFont="1" applyFill="1" applyBorder="1" applyAlignment="1">
      <alignment horizontal="center"/>
    </xf>
    <xf numFmtId="164" fontId="61" fillId="0" borderId="2" xfId="0" applyNumberFormat="1" applyFont="1" applyFill="1" applyBorder="1" applyAlignment="1">
      <alignment vertical="center"/>
    </xf>
    <xf numFmtId="164" fontId="10" fillId="0" borderId="4" xfId="0" applyNumberFormat="1" applyFont="1" applyFill="1" applyBorder="1" applyAlignment="1">
      <alignment vertical="top" wrapText="1"/>
    </xf>
    <xf numFmtId="164" fontId="10" fillId="0" borderId="0" xfId="0" applyNumberFormat="1" applyFont="1" applyFill="1" applyBorder="1" applyAlignment="1">
      <alignment vertical="top" wrapText="1"/>
    </xf>
    <xf numFmtId="0" fontId="60" fillId="6" borderId="0" xfId="0" applyFont="1" applyFill="1" applyBorder="1"/>
    <xf numFmtId="0" fontId="15" fillId="0" borderId="0" xfId="0" applyFont="1" applyFill="1" applyBorder="1" applyAlignment="1">
      <alignment vertical="top"/>
    </xf>
    <xf numFmtId="49" fontId="15" fillId="0" borderId="0" xfId="0" applyNumberFormat="1" applyFont="1" applyFill="1" applyBorder="1" applyAlignment="1">
      <alignment horizontal="center" vertical="top" wrapText="1"/>
    </xf>
    <xf numFmtId="0" fontId="15" fillId="0" borderId="0" xfId="0" applyFont="1" applyFill="1" applyBorder="1" applyAlignment="1">
      <alignment vertical="top" wrapText="1"/>
    </xf>
    <xf numFmtId="0" fontId="15" fillId="0" borderId="0" xfId="0" applyFont="1" applyFill="1" applyBorder="1" applyAlignment="1">
      <alignment horizontal="center" vertical="top"/>
    </xf>
    <xf numFmtId="49" fontId="10" fillId="0" borderId="0" xfId="0" applyNumberFormat="1" applyFont="1" applyFill="1" applyBorder="1" applyAlignment="1">
      <alignment horizontal="center" vertical="top" wrapText="1"/>
    </xf>
    <xf numFmtId="49" fontId="10" fillId="0" borderId="0" xfId="0" applyNumberFormat="1" applyFont="1" applyFill="1" applyBorder="1" applyAlignment="1">
      <alignment horizontal="center" textRotation="90" wrapText="1"/>
    </xf>
    <xf numFmtId="0" fontId="10" fillId="0" borderId="0" xfId="0" applyFont="1" applyFill="1" applyBorder="1" applyAlignment="1">
      <alignment horizontal="center" vertical="top" wrapText="1"/>
    </xf>
    <xf numFmtId="49" fontId="10" fillId="0" borderId="0" xfId="0" applyNumberFormat="1" applyFont="1" applyFill="1" applyBorder="1" applyAlignment="1">
      <alignment horizontal="center"/>
    </xf>
    <xf numFmtId="49" fontId="10" fillId="0" borderId="0" xfId="0" quotePrefix="1" applyNumberFormat="1" applyFont="1" applyFill="1" applyBorder="1" applyAlignment="1">
      <alignment horizontal="center" vertical="top" wrapText="1"/>
    </xf>
    <xf numFmtId="49" fontId="0" fillId="0" borderId="0" xfId="0" applyNumberFormat="1" applyFill="1" applyAlignment="1">
      <alignment horizontal="center"/>
    </xf>
    <xf numFmtId="0" fontId="0" fillId="0" borderId="0" xfId="0" applyFill="1" applyAlignment="1">
      <alignment horizontal="center"/>
    </xf>
    <xf numFmtId="49" fontId="10" fillId="0" borderId="0" xfId="0" quotePrefix="1" applyNumberFormat="1" applyFont="1" applyFill="1" applyBorder="1" applyAlignment="1">
      <alignment vertical="top" wrapText="1"/>
    </xf>
    <xf numFmtId="1" fontId="10" fillId="0" borderId="0" xfId="0" applyNumberFormat="1" applyFont="1" applyFill="1" applyBorder="1"/>
    <xf numFmtId="49" fontId="10" fillId="0" borderId="0" xfId="0" quotePrefix="1" applyNumberFormat="1" applyFont="1" applyFill="1" applyBorder="1"/>
    <xf numFmtId="49" fontId="10" fillId="0" borderId="0" xfId="0" quotePrefix="1" applyNumberFormat="1" applyFont="1" applyFill="1" applyBorder="1" applyAlignment="1">
      <alignment horizontal="center"/>
    </xf>
    <xf numFmtId="0" fontId="10" fillId="0" borderId="0" xfId="0" applyNumberFormat="1" applyFont="1" applyFill="1" applyBorder="1"/>
    <xf numFmtId="49" fontId="10" fillId="0" borderId="0" xfId="0" applyNumberFormat="1" applyFont="1" applyFill="1" applyBorder="1"/>
    <xf numFmtId="1" fontId="10" fillId="0" borderId="0" xfId="0" applyNumberFormat="1" applyFont="1" applyFill="1" applyBorder="1" applyAlignment="1"/>
    <xf numFmtId="164" fontId="62" fillId="0" borderId="2" xfId="0" applyNumberFormat="1" applyFont="1" applyFill="1" applyBorder="1" applyAlignment="1">
      <alignment vertical="center"/>
    </xf>
    <xf numFmtId="164" fontId="61" fillId="0" borderId="14" xfId="0" applyNumberFormat="1" applyFont="1" applyFill="1" applyBorder="1" applyAlignment="1">
      <alignment vertical="center"/>
    </xf>
    <xf numFmtId="164" fontId="10" fillId="0" borderId="3" xfId="0" applyNumberFormat="1" applyFont="1" applyFill="1" applyBorder="1" applyAlignment="1">
      <alignment vertical="top" wrapText="1"/>
    </xf>
    <xf numFmtId="1" fontId="16" fillId="0" borderId="2" xfId="0" applyNumberFormat="1" applyFont="1" applyFill="1" applyBorder="1" applyAlignment="1">
      <alignment horizontal="right" vertical="center"/>
    </xf>
    <xf numFmtId="164" fontId="15" fillId="0" borderId="2" xfId="0" applyNumberFormat="1" applyFont="1" applyFill="1" applyBorder="1" applyAlignment="1">
      <alignment horizontal="right" vertical="center"/>
    </xf>
    <xf numFmtId="1" fontId="15" fillId="0" borderId="2" xfId="0" applyNumberFormat="1" applyFont="1" applyFill="1" applyBorder="1" applyAlignment="1">
      <alignment horizontal="right" vertical="center"/>
    </xf>
    <xf numFmtId="164" fontId="36" fillId="4" borderId="0" xfId="0" applyNumberFormat="1" applyFont="1" applyFill="1" applyBorder="1" applyAlignment="1">
      <alignment horizontal="left"/>
    </xf>
    <xf numFmtId="1" fontId="10" fillId="0" borderId="0" xfId="0" applyNumberFormat="1" applyFont="1" applyFill="1" applyAlignment="1">
      <alignment horizontal="center"/>
    </xf>
    <xf numFmtId="164" fontId="31" fillId="0" borderId="2" xfId="0" applyNumberFormat="1" applyFont="1" applyFill="1" applyBorder="1" applyAlignment="1">
      <alignment horizontal="right" vertical="center"/>
    </xf>
    <xf numFmtId="164" fontId="15" fillId="0" borderId="2" xfId="0" applyNumberFormat="1" applyFont="1" applyFill="1" applyBorder="1" applyAlignment="1">
      <alignment wrapText="1"/>
    </xf>
    <xf numFmtId="164" fontId="26" fillId="0" borderId="29" xfId="0" applyNumberFormat="1" applyFont="1" applyFill="1" applyBorder="1" applyAlignment="1">
      <alignment vertical="center"/>
    </xf>
    <xf numFmtId="164" fontId="24" fillId="0" borderId="29" xfId="0" applyNumberFormat="1" applyFont="1" applyFill="1" applyBorder="1" applyAlignment="1">
      <alignment vertical="center"/>
    </xf>
    <xf numFmtId="164" fontId="24" fillId="0" borderId="29" xfId="0" applyNumberFormat="1" applyFont="1" applyFill="1" applyBorder="1" applyAlignment="1">
      <alignment horizontal="right" vertical="center"/>
    </xf>
    <xf numFmtId="0" fontId="10" fillId="0" borderId="0" xfId="0" applyFont="1" applyAlignment="1">
      <alignment horizontal="center" textRotation="90" wrapText="1"/>
    </xf>
    <xf numFmtId="164" fontId="63" fillId="0" borderId="2" xfId="0" applyNumberFormat="1" applyFont="1" applyFill="1" applyBorder="1" applyAlignment="1">
      <alignment vertical="center"/>
    </xf>
    <xf numFmtId="171" fontId="54" fillId="0" borderId="0" xfId="0" applyNumberFormat="1" applyFont="1" applyFill="1" applyBorder="1" applyAlignment="1">
      <alignment horizontal="center"/>
    </xf>
    <xf numFmtId="164" fontId="10" fillId="6" borderId="13" xfId="0" applyNumberFormat="1" applyFont="1" applyFill="1" applyBorder="1" applyAlignment="1"/>
    <xf numFmtId="164" fontId="10" fillId="6" borderId="12" xfId="0" applyNumberFormat="1" applyFont="1" applyFill="1" applyBorder="1" applyAlignment="1"/>
    <xf numFmtId="164" fontId="65" fillId="0" borderId="14" xfId="0" applyNumberFormat="1" applyFont="1" applyFill="1" applyBorder="1" applyAlignment="1">
      <alignment vertical="center"/>
    </xf>
    <xf numFmtId="164" fontId="10" fillId="0" borderId="6" xfId="0" applyNumberFormat="1" applyFont="1" applyFill="1" applyBorder="1"/>
    <xf numFmtId="164" fontId="10" fillId="0" borderId="8" xfId="0" applyNumberFormat="1" applyFont="1" applyFill="1" applyBorder="1"/>
    <xf numFmtId="164" fontId="10" fillId="0" borderId="9" xfId="0" applyNumberFormat="1" applyFont="1" applyFill="1" applyBorder="1"/>
    <xf numFmtId="0" fontId="10" fillId="0" borderId="9" xfId="0" applyFont="1" applyFill="1" applyBorder="1"/>
    <xf numFmtId="0" fontId="10" fillId="0" borderId="8" xfId="0" applyFont="1" applyBorder="1"/>
    <xf numFmtId="0" fontId="10" fillId="0" borderId="4" xfId="0" applyFont="1" applyFill="1" applyBorder="1"/>
    <xf numFmtId="0" fontId="15" fillId="0" borderId="3" xfId="0" applyFont="1" applyFill="1" applyBorder="1" applyAlignment="1">
      <alignment vertical="top"/>
    </xf>
    <xf numFmtId="0" fontId="15" fillId="0" borderId="4" xfId="0" applyFont="1" applyFill="1" applyBorder="1" applyAlignment="1">
      <alignment vertical="top" wrapText="1"/>
    </xf>
    <xf numFmtId="0" fontId="10" fillId="0" borderId="5" xfId="0" applyFont="1" applyFill="1" applyBorder="1"/>
    <xf numFmtId="164" fontId="10" fillId="0" borderId="9" xfId="0" applyNumberFormat="1" applyFont="1" applyFill="1" applyBorder="1" applyAlignment="1">
      <alignment vertical="top" wrapText="1"/>
    </xf>
    <xf numFmtId="164" fontId="10" fillId="0" borderId="8" xfId="0" applyNumberFormat="1" applyFont="1" applyBorder="1" applyAlignment="1">
      <alignment vertical="top" wrapText="1"/>
    </xf>
    <xf numFmtId="164" fontId="10" fillId="0" borderId="3" xfId="0" applyNumberFormat="1" applyFont="1" applyFill="1" applyBorder="1"/>
    <xf numFmtId="164" fontId="10" fillId="0" borderId="4" xfId="0" applyNumberFormat="1" applyFont="1" applyFill="1" applyBorder="1"/>
    <xf numFmtId="0" fontId="10" fillId="0" borderId="4" xfId="0" applyFont="1" applyBorder="1"/>
    <xf numFmtId="0" fontId="10" fillId="0" borderId="3" xfId="0" applyFont="1" applyBorder="1"/>
    <xf numFmtId="2" fontId="10" fillId="0" borderId="10" xfId="0" applyNumberFormat="1" applyFont="1" applyBorder="1" applyAlignment="1">
      <alignment vertical="top" wrapText="1"/>
    </xf>
    <xf numFmtId="2" fontId="10" fillId="0" borderId="7" xfId="0" applyNumberFormat="1" applyFont="1" applyBorder="1" applyAlignment="1">
      <alignment vertical="top" wrapText="1"/>
    </xf>
    <xf numFmtId="1" fontId="24" fillId="2" borderId="0" xfId="0" applyNumberFormat="1" applyFont="1" applyFill="1" applyBorder="1" applyAlignment="1">
      <alignment vertical="center"/>
    </xf>
    <xf numFmtId="1" fontId="10" fillId="0" borderId="0" xfId="0" applyNumberFormat="1" applyFont="1" applyFill="1" applyBorder="1" applyAlignment="1">
      <alignment vertical="center"/>
    </xf>
    <xf numFmtId="1" fontId="10" fillId="0" borderId="0" xfId="0" applyNumberFormat="1" applyFont="1" applyFill="1" applyBorder="1" applyAlignment="1">
      <alignment horizontal="center" vertical="center"/>
    </xf>
    <xf numFmtId="1" fontId="14" fillId="0" borderId="0" xfId="0" applyNumberFormat="1" applyFont="1" applyFill="1" applyBorder="1" applyAlignment="1">
      <alignment vertical="center"/>
    </xf>
    <xf numFmtId="1" fontId="12" fillId="0" borderId="0" xfId="0" applyNumberFormat="1" applyFont="1" applyFill="1" applyBorder="1"/>
    <xf numFmtId="1" fontId="14" fillId="0" borderId="0" xfId="0" applyNumberFormat="1" applyFont="1" applyFill="1" applyBorder="1" applyAlignment="1"/>
    <xf numFmtId="1" fontId="15" fillId="0" borderId="0" xfId="0" applyNumberFormat="1" applyFont="1" applyFill="1" applyBorder="1"/>
    <xf numFmtId="1" fontId="10" fillId="0" borderId="0" xfId="0" applyNumberFormat="1" applyFont="1" applyFill="1" applyBorder="1" applyAlignment="1">
      <alignment horizontal="center" textRotation="90"/>
    </xf>
    <xf numFmtId="1" fontId="10" fillId="0" borderId="0" xfId="0" applyNumberFormat="1" applyFont="1" applyFill="1" applyBorder="1" applyAlignment="1">
      <alignment horizontal="center" vertical="center" textRotation="90"/>
    </xf>
    <xf numFmtId="1" fontId="10" fillId="0" borderId="0" xfId="0" applyNumberFormat="1" applyFont="1" applyFill="1" applyAlignment="1">
      <alignment horizontal="center" vertical="center"/>
    </xf>
    <xf numFmtId="1" fontId="10" fillId="0" borderId="0" xfId="0" applyNumberFormat="1" applyFont="1" applyFill="1"/>
    <xf numFmtId="1" fontId="10" fillId="0" borderId="0" xfId="0" applyNumberFormat="1" applyFont="1" applyFill="1" applyAlignment="1">
      <alignment horizontal="left" vertical="center"/>
    </xf>
    <xf numFmtId="164" fontId="28" fillId="2" borderId="0" xfId="0" applyNumberFormat="1" applyFont="1" applyFill="1" applyBorder="1" applyAlignment="1">
      <alignment vertical="center"/>
    </xf>
    <xf numFmtId="164" fontId="14" fillId="0" borderId="0" xfId="0" applyNumberFormat="1" applyFont="1" applyFill="1" applyBorder="1" applyAlignment="1">
      <alignment vertical="center"/>
    </xf>
    <xf numFmtId="164" fontId="12" fillId="0" borderId="0" xfId="0" applyNumberFormat="1" applyFont="1" applyFill="1" applyBorder="1"/>
    <xf numFmtId="164" fontId="14" fillId="0" borderId="0" xfId="0" applyNumberFormat="1" applyFont="1" applyFill="1" applyBorder="1" applyAlignment="1"/>
    <xf numFmtId="164" fontId="10" fillId="0" borderId="0" xfId="0" applyNumberFormat="1" applyFont="1" applyFill="1" applyAlignment="1">
      <alignment horizontal="left" vertical="center"/>
    </xf>
    <xf numFmtId="2" fontId="24" fillId="0" borderId="2" xfId="0" applyNumberFormat="1" applyFont="1" applyFill="1" applyBorder="1" applyAlignment="1">
      <alignment horizontal="right" vertical="center"/>
    </xf>
    <xf numFmtId="164" fontId="16" fillId="0" borderId="14" xfId="0" applyNumberFormat="1" applyFont="1" applyFill="1" applyBorder="1" applyAlignment="1">
      <alignment horizontal="right" vertical="center"/>
    </xf>
    <xf numFmtId="173" fontId="15" fillId="0" borderId="0" xfId="0" applyNumberFormat="1" applyFont="1" applyFill="1" applyBorder="1" applyAlignment="1">
      <alignment horizontal="right" vertical="center"/>
    </xf>
    <xf numFmtId="174" fontId="15" fillId="0" borderId="0" xfId="0" applyNumberFormat="1" applyFont="1" applyFill="1" applyBorder="1" applyAlignment="1">
      <alignment horizontal="right" vertical="center"/>
    </xf>
    <xf numFmtId="165" fontId="15" fillId="0" borderId="0" xfId="0" applyNumberFormat="1" applyFont="1" applyFill="1" applyBorder="1" applyAlignment="1">
      <alignment horizontal="center" vertical="center"/>
    </xf>
    <xf numFmtId="0" fontId="10" fillId="0" borderId="2" xfId="0" applyFont="1" applyFill="1" applyBorder="1" applyAlignment="1">
      <alignment vertical="center"/>
    </xf>
    <xf numFmtId="0" fontId="16" fillId="0" borderId="2" xfId="0" applyFont="1" applyFill="1" applyBorder="1" applyAlignment="1">
      <alignment vertical="center"/>
    </xf>
    <xf numFmtId="0" fontId="16" fillId="0" borderId="15" xfId="0" applyFont="1" applyFill="1" applyBorder="1" applyAlignment="1">
      <alignment horizontal="right" vertical="center"/>
    </xf>
    <xf numFmtId="0" fontId="16" fillId="0" borderId="15" xfId="0" applyFont="1" applyFill="1" applyBorder="1" applyAlignment="1">
      <alignment horizontal="left" vertical="center"/>
    </xf>
    <xf numFmtId="0" fontId="24" fillId="0" borderId="2" xfId="0" applyFont="1" applyFill="1" applyBorder="1" applyAlignment="1">
      <alignment horizontal="right" vertical="center"/>
    </xf>
    <xf numFmtId="0" fontId="24" fillId="0" borderId="2" xfId="0" applyFont="1" applyFill="1" applyBorder="1" applyAlignment="1">
      <alignment horizontal="left" vertical="center"/>
    </xf>
    <xf numFmtId="0" fontId="18" fillId="0" borderId="2" xfId="0" applyFont="1" applyFill="1" applyBorder="1" applyAlignment="1">
      <alignment horizontal="right" vertical="center"/>
    </xf>
    <xf numFmtId="0" fontId="18" fillId="0" borderId="2" xfId="0" applyFont="1" applyFill="1" applyBorder="1" applyAlignment="1">
      <alignment horizontal="left" vertical="center"/>
    </xf>
    <xf numFmtId="0" fontId="11" fillId="0" borderId="0" xfId="0" applyFont="1" applyFill="1" applyBorder="1" applyAlignment="1">
      <alignment vertical="center"/>
    </xf>
    <xf numFmtId="170" fontId="10" fillId="0" borderId="2" xfId="2" applyNumberFormat="1" applyFont="1" applyFill="1" applyBorder="1" applyAlignment="1">
      <alignment horizontal="right" vertical="center"/>
    </xf>
    <xf numFmtId="0" fontId="10" fillId="0" borderId="0" xfId="0" applyFont="1" applyFill="1" applyBorder="1" applyAlignment="1">
      <alignment horizontal="right"/>
    </xf>
    <xf numFmtId="164" fontId="15" fillId="0" borderId="0" xfId="0" applyNumberFormat="1" applyFont="1" applyFill="1" applyBorder="1" applyAlignment="1">
      <alignment wrapText="1"/>
    </xf>
    <xf numFmtId="0" fontId="10" fillId="0" borderId="17" xfId="0" applyFont="1" applyFill="1" applyBorder="1" applyAlignment="1"/>
    <xf numFmtId="0" fontId="10" fillId="0" borderId="17" xfId="0" applyFont="1" applyFill="1" applyBorder="1" applyAlignment="1">
      <alignment horizontal="right"/>
    </xf>
    <xf numFmtId="0" fontId="37" fillId="0" borderId="17" xfId="0" applyFont="1" applyFill="1" applyBorder="1" applyAlignment="1"/>
    <xf numFmtId="0" fontId="15" fillId="0" borderId="31" xfId="0" applyFont="1" applyFill="1" applyBorder="1" applyAlignment="1">
      <alignment horizontal="center" vertical="top" textRotation="90"/>
    </xf>
    <xf numFmtId="0" fontId="10" fillId="0" borderId="32" xfId="0" applyFont="1" applyFill="1" applyBorder="1" applyAlignment="1"/>
    <xf numFmtId="0" fontId="10" fillId="0" borderId="32" xfId="0" applyFont="1" applyFill="1" applyBorder="1" applyAlignment="1">
      <alignment horizontal="right"/>
    </xf>
    <xf numFmtId="0" fontId="37" fillId="0" borderId="32" xfId="0" applyFont="1" applyFill="1" applyBorder="1" applyAlignment="1"/>
    <xf numFmtId="0" fontId="14" fillId="0" borderId="12" xfId="0" applyFont="1" applyFill="1" applyBorder="1" applyAlignment="1">
      <alignment vertical="center"/>
    </xf>
    <xf numFmtId="0" fontId="37" fillId="0" borderId="2" xfId="0" applyFont="1" applyFill="1" applyBorder="1" applyAlignment="1"/>
    <xf numFmtId="0" fontId="10" fillId="0" borderId="2" xfId="0" applyFont="1" applyFill="1" applyBorder="1" applyAlignment="1"/>
    <xf numFmtId="0" fontId="10" fillId="0" borderId="2" xfId="0" applyFont="1" applyFill="1" applyBorder="1" applyAlignment="1">
      <alignment horizontal="right"/>
    </xf>
    <xf numFmtId="164" fontId="22" fillId="0" borderId="2" xfId="0" applyNumberFormat="1" applyFont="1" applyFill="1" applyBorder="1" applyAlignment="1">
      <alignment horizontal="right" vertical="center"/>
    </xf>
    <xf numFmtId="2" fontId="20" fillId="0" borderId="2" xfId="0" applyNumberFormat="1" applyFont="1" applyFill="1" applyBorder="1" applyAlignment="1">
      <alignment horizontal="right" vertical="center"/>
    </xf>
    <xf numFmtId="0" fontId="23" fillId="0" borderId="11" xfId="0" applyFont="1" applyFill="1" applyBorder="1" applyAlignment="1">
      <alignment vertical="center"/>
    </xf>
    <xf numFmtId="2" fontId="16" fillId="0" borderId="2" xfId="0" applyNumberFormat="1" applyFont="1" applyFill="1" applyBorder="1" applyAlignment="1">
      <alignment horizontal="right" vertical="center"/>
    </xf>
    <xf numFmtId="0" fontId="23" fillId="2" borderId="0" xfId="0" applyFont="1" applyFill="1" applyBorder="1" applyAlignment="1">
      <alignment vertical="center"/>
    </xf>
    <xf numFmtId="2" fontId="24" fillId="2" borderId="2" xfId="0" applyNumberFormat="1" applyFont="1" applyFill="1" applyBorder="1" applyAlignment="1">
      <alignment horizontal="right" vertical="center"/>
    </xf>
    <xf numFmtId="164" fontId="17" fillId="2" borderId="2" xfId="0" applyNumberFormat="1" applyFont="1" applyFill="1" applyBorder="1" applyAlignment="1">
      <alignment horizontal="right" vertical="center"/>
    </xf>
    <xf numFmtId="2" fontId="10" fillId="2" borderId="2" xfId="0" applyNumberFormat="1" applyFont="1" applyFill="1" applyBorder="1" applyAlignment="1">
      <alignment horizontal="right" vertical="center"/>
    </xf>
    <xf numFmtId="164" fontId="18" fillId="2" borderId="2" xfId="0" applyNumberFormat="1" applyFont="1" applyFill="1" applyBorder="1" applyAlignment="1">
      <alignment horizontal="right" vertical="center"/>
    </xf>
    <xf numFmtId="164" fontId="70" fillId="6" borderId="12" xfId="0" applyNumberFormat="1" applyFont="1" applyFill="1" applyBorder="1" applyAlignment="1">
      <alignment vertical="center"/>
    </xf>
    <xf numFmtId="0" fontId="8" fillId="0" borderId="2" xfId="0" applyFont="1" applyFill="1" applyBorder="1" applyAlignment="1">
      <alignment vertical="center"/>
    </xf>
    <xf numFmtId="0" fontId="8" fillId="2" borderId="2" xfId="0" applyFont="1" applyFill="1" applyBorder="1" applyAlignment="1">
      <alignment vertical="center"/>
    </xf>
    <xf numFmtId="0" fontId="10" fillId="2" borderId="2" xfId="0" applyFont="1" applyFill="1" applyBorder="1"/>
    <xf numFmtId="0" fontId="10" fillId="0" borderId="10" xfId="0" applyFont="1" applyBorder="1"/>
    <xf numFmtId="0" fontId="13" fillId="0" borderId="0" xfId="0" applyFont="1" applyFill="1" applyBorder="1"/>
    <xf numFmtId="0" fontId="10" fillId="0" borderId="10" xfId="0" applyFont="1" applyFill="1" applyBorder="1"/>
    <xf numFmtId="0" fontId="10" fillId="0" borderId="5" xfId="0" applyFont="1" applyBorder="1"/>
    <xf numFmtId="0" fontId="10" fillId="0" borderId="33" xfId="0" applyFont="1" applyBorder="1" applyAlignment="1">
      <alignment horizontal="center" textRotation="90" wrapText="1"/>
    </xf>
    <xf numFmtId="0" fontId="10" fillId="0" borderId="34" xfId="0" applyFont="1" applyBorder="1" applyAlignment="1">
      <alignment horizontal="center" textRotation="90" wrapText="1"/>
    </xf>
    <xf numFmtId="0" fontId="10" fillId="0" borderId="35" xfId="0" applyFont="1" applyBorder="1" applyAlignment="1">
      <alignment horizontal="center" textRotation="90" wrapText="1"/>
    </xf>
    <xf numFmtId="0" fontId="10" fillId="0" borderId="35" xfId="0" applyFont="1" applyFill="1" applyBorder="1" applyAlignment="1">
      <alignment horizontal="center" textRotation="90" wrapText="1"/>
    </xf>
    <xf numFmtId="0" fontId="10" fillId="0" borderId="33" xfId="0" applyFont="1" applyFill="1" applyBorder="1" applyAlignment="1">
      <alignment horizontal="center" textRotation="90" wrapText="1"/>
    </xf>
    <xf numFmtId="0" fontId="10" fillId="0" borderId="37" xfId="0" applyFont="1" applyBorder="1" applyAlignment="1">
      <alignment vertical="top" wrapText="1"/>
    </xf>
    <xf numFmtId="49" fontId="10" fillId="0" borderId="38" xfId="0" applyNumberFormat="1" applyFont="1" applyBorder="1" applyAlignment="1">
      <alignment horizontal="center" vertical="top" wrapText="1"/>
    </xf>
    <xf numFmtId="0" fontId="10" fillId="0" borderId="38" xfId="0" applyFont="1" applyBorder="1" applyAlignment="1">
      <alignment vertical="top" wrapText="1"/>
    </xf>
    <xf numFmtId="0" fontId="10" fillId="0" borderId="37" xfId="0" applyFont="1" applyFill="1" applyBorder="1"/>
    <xf numFmtId="0" fontId="10" fillId="0" borderId="38" xfId="0" applyFont="1" applyFill="1" applyBorder="1"/>
    <xf numFmtId="0" fontId="10" fillId="0" borderId="38" xfId="0" applyFont="1" applyBorder="1"/>
    <xf numFmtId="0" fontId="10" fillId="0" borderId="39" xfId="0" applyFont="1" applyBorder="1"/>
    <xf numFmtId="0" fontId="10" fillId="0" borderId="37" xfId="0" applyFont="1" applyBorder="1"/>
    <xf numFmtId="0" fontId="10" fillId="0" borderId="40" xfId="0" applyFont="1" applyBorder="1"/>
    <xf numFmtId="0" fontId="10" fillId="0" borderId="50" xfId="0" applyFont="1" applyBorder="1" applyAlignment="1">
      <alignment horizontal="center" textRotation="90" wrapText="1"/>
    </xf>
    <xf numFmtId="49" fontId="10" fillId="0" borderId="51" xfId="0" applyNumberFormat="1" applyFont="1" applyBorder="1" applyAlignment="1">
      <alignment horizontal="center" textRotation="90" wrapText="1"/>
    </xf>
    <xf numFmtId="0" fontId="10" fillId="0" borderId="52" xfId="0" applyFont="1" applyBorder="1" applyAlignment="1">
      <alignment horizontal="center" textRotation="90" wrapText="1"/>
    </xf>
    <xf numFmtId="49" fontId="10" fillId="0" borderId="1" xfId="0" applyNumberFormat="1" applyFont="1" applyBorder="1" applyAlignment="1">
      <alignment horizontal="center" textRotation="90" wrapText="1"/>
    </xf>
    <xf numFmtId="0" fontId="10" fillId="0" borderId="53" xfId="0" applyFont="1" applyBorder="1" applyAlignment="1">
      <alignment horizontal="center" textRotation="90" wrapText="1"/>
    </xf>
    <xf numFmtId="0" fontId="10" fillId="0" borderId="54" xfId="0" applyFont="1" applyBorder="1" applyAlignment="1">
      <alignment horizontal="center" textRotation="90" wrapText="1"/>
    </xf>
    <xf numFmtId="49" fontId="10" fillId="0" borderId="55" xfId="0" applyNumberFormat="1" applyFont="1" applyBorder="1" applyAlignment="1">
      <alignment horizontal="center" vertical="top" wrapText="1"/>
    </xf>
    <xf numFmtId="49" fontId="10" fillId="0" borderId="55" xfId="0" quotePrefix="1" applyNumberFormat="1" applyFont="1" applyBorder="1" applyAlignment="1">
      <alignment horizontal="center" vertical="top" wrapText="1"/>
    </xf>
    <xf numFmtId="49" fontId="10" fillId="0" borderId="54" xfId="0" quotePrefix="1" applyNumberFormat="1" applyFont="1" applyBorder="1" applyAlignment="1">
      <alignment horizontal="center" vertical="top" wrapText="1"/>
    </xf>
    <xf numFmtId="49" fontId="10" fillId="0" borderId="55" xfId="0" quotePrefix="1" applyNumberFormat="1" applyFont="1" applyBorder="1" applyAlignment="1">
      <alignment horizontal="center"/>
    </xf>
    <xf numFmtId="49" fontId="10" fillId="0" borderId="2" xfId="0" quotePrefix="1" applyNumberFormat="1" applyFont="1" applyBorder="1" applyAlignment="1">
      <alignment horizontal="center"/>
    </xf>
    <xf numFmtId="49" fontId="10" fillId="0" borderId="54" xfId="0" quotePrefix="1" applyNumberFormat="1" applyFont="1" applyBorder="1" applyAlignment="1">
      <alignment horizontal="center"/>
    </xf>
    <xf numFmtId="49" fontId="10" fillId="0" borderId="55" xfId="0" applyNumberFormat="1" applyFont="1" applyBorder="1" applyAlignment="1">
      <alignment horizontal="center"/>
    </xf>
    <xf numFmtId="49" fontId="10" fillId="0" borderId="2" xfId="0" applyNumberFormat="1" applyFont="1" applyBorder="1" applyAlignment="1">
      <alignment horizontal="center"/>
    </xf>
    <xf numFmtId="49" fontId="10" fillId="0" borderId="54" xfId="0" applyNumberFormat="1" applyFont="1" applyBorder="1" applyAlignment="1">
      <alignment horizontal="center"/>
    </xf>
    <xf numFmtId="49" fontId="10" fillId="0" borderId="57" xfId="0" quotePrefix="1" applyNumberFormat="1" applyFont="1" applyBorder="1" applyAlignment="1">
      <alignment horizontal="center" vertical="top" wrapText="1"/>
    </xf>
    <xf numFmtId="49" fontId="10" fillId="0" borderId="53" xfId="0" quotePrefix="1" applyNumberFormat="1" applyFont="1" applyBorder="1" applyAlignment="1">
      <alignment horizontal="center" vertical="top" wrapText="1"/>
    </xf>
    <xf numFmtId="49" fontId="10" fillId="0" borderId="57" xfId="0" quotePrefix="1" applyNumberFormat="1" applyFont="1" applyBorder="1" applyAlignment="1">
      <alignment horizontal="center"/>
    </xf>
    <xf numFmtId="49" fontId="10" fillId="0" borderId="58" xfId="0" quotePrefix="1" applyNumberFormat="1" applyFont="1" applyBorder="1" applyAlignment="1">
      <alignment horizontal="center"/>
    </xf>
    <xf numFmtId="49" fontId="10" fillId="0" borderId="53" xfId="0" quotePrefix="1" applyNumberFormat="1" applyFont="1" applyBorder="1" applyAlignment="1">
      <alignment horizontal="center"/>
    </xf>
    <xf numFmtId="49" fontId="10" fillId="0" borderId="58" xfId="0" applyNumberFormat="1" applyFont="1" applyBorder="1" applyAlignment="1">
      <alignment horizontal="center"/>
    </xf>
    <xf numFmtId="49" fontId="10" fillId="0" borderId="53" xfId="0" applyNumberFormat="1" applyFont="1" applyBorder="1" applyAlignment="1">
      <alignment horizontal="center"/>
    </xf>
    <xf numFmtId="49" fontId="10" fillId="0" borderId="57" xfId="0" applyNumberFormat="1" applyFont="1" applyBorder="1" applyAlignment="1">
      <alignment horizontal="center"/>
    </xf>
    <xf numFmtId="0" fontId="15" fillId="0" borderId="0" xfId="0" applyFont="1" applyFill="1"/>
    <xf numFmtId="0" fontId="15" fillId="0" borderId="0" xfId="0" applyFont="1" applyFill="1" applyBorder="1" applyAlignment="1">
      <alignment horizontal="left"/>
    </xf>
    <xf numFmtId="2" fontId="15" fillId="0" borderId="5" xfId="0" applyNumberFormat="1" applyFont="1" applyBorder="1" applyAlignment="1">
      <alignment vertical="top" wrapText="1"/>
    </xf>
    <xf numFmtId="2" fontId="15" fillId="0" borderId="10" xfId="0" applyNumberFormat="1" applyFont="1" applyBorder="1" applyAlignment="1">
      <alignment vertical="top" wrapText="1"/>
    </xf>
    <xf numFmtId="2" fontId="15" fillId="0" borderId="7" xfId="0" applyNumberFormat="1" applyFont="1" applyBorder="1" applyAlignment="1">
      <alignment vertical="top" wrapText="1"/>
    </xf>
    <xf numFmtId="0" fontId="15" fillId="0" borderId="7" xfId="0" applyFont="1" applyBorder="1" applyAlignment="1">
      <alignment horizontal="center" textRotation="90" wrapText="1"/>
    </xf>
    <xf numFmtId="0" fontId="15" fillId="0" borderId="34" xfId="0" applyFont="1" applyBorder="1" applyAlignment="1">
      <alignment horizontal="center" textRotation="90" wrapText="1"/>
    </xf>
    <xf numFmtId="0" fontId="15" fillId="0" borderId="65" xfId="0" applyFont="1" applyBorder="1" applyAlignment="1">
      <alignment horizontal="center" wrapText="1"/>
    </xf>
    <xf numFmtId="0" fontId="15" fillId="0" borderId="65" xfId="0" applyFont="1" applyBorder="1" applyAlignment="1">
      <alignment horizontal="center"/>
    </xf>
    <xf numFmtId="0" fontId="15" fillId="0" borderId="66" xfId="0" applyFont="1" applyBorder="1" applyAlignment="1">
      <alignment horizontal="center"/>
    </xf>
    <xf numFmtId="0" fontId="15" fillId="0" borderId="4" xfId="0" applyFont="1" applyBorder="1" applyAlignment="1">
      <alignment horizontal="center"/>
    </xf>
    <xf numFmtId="0" fontId="15" fillId="0" borderId="67" xfId="0" applyFont="1" applyBorder="1" applyAlignment="1">
      <alignment horizontal="center" wrapText="1"/>
    </xf>
    <xf numFmtId="0" fontId="15" fillId="0" borderId="27" xfId="0" applyFont="1" applyBorder="1" applyAlignment="1">
      <alignment horizontal="center" textRotation="90" wrapText="1"/>
    </xf>
    <xf numFmtId="0" fontId="15" fillId="0" borderId="36" xfId="0" applyFont="1" applyBorder="1" applyAlignment="1">
      <alignment horizontal="center" textRotation="90" wrapText="1"/>
    </xf>
    <xf numFmtId="2" fontId="15" fillId="0" borderId="27" xfId="0" applyNumberFormat="1" applyFont="1" applyBorder="1" applyAlignment="1">
      <alignment vertical="top" wrapText="1"/>
    </xf>
    <xf numFmtId="2" fontId="15" fillId="0" borderId="28" xfId="0" applyNumberFormat="1" applyFont="1" applyBorder="1" applyAlignment="1">
      <alignment vertical="top" wrapText="1"/>
    </xf>
    <xf numFmtId="2" fontId="15" fillId="0" borderId="26" xfId="0" applyNumberFormat="1" applyFont="1" applyBorder="1" applyAlignment="1">
      <alignment vertical="top" wrapText="1"/>
    </xf>
    <xf numFmtId="0" fontId="15" fillId="8" borderId="0" xfId="0" applyFont="1" applyFill="1"/>
    <xf numFmtId="49" fontId="10" fillId="0" borderId="2" xfId="0" applyNumberFormat="1" applyFont="1" applyBorder="1" applyAlignment="1">
      <alignment horizontal="center" vertical="top" wrapText="1"/>
    </xf>
    <xf numFmtId="0" fontId="10" fillId="0" borderId="0" xfId="0" applyFont="1" applyFill="1" applyBorder="1" applyAlignment="1">
      <alignment horizontal="center"/>
    </xf>
    <xf numFmtId="0" fontId="8" fillId="2" borderId="0" xfId="0" applyFont="1" applyFill="1" applyBorder="1" applyAlignment="1">
      <alignment vertical="center"/>
    </xf>
    <xf numFmtId="1" fontId="8" fillId="0" borderId="0" xfId="0" applyNumberFormat="1" applyFont="1" applyFill="1" applyBorder="1" applyAlignment="1"/>
    <xf numFmtId="0" fontId="24" fillId="10" borderId="0" xfId="0" applyFont="1" applyFill="1" applyBorder="1" applyAlignment="1">
      <alignment vertical="center"/>
    </xf>
    <xf numFmtId="0" fontId="24" fillId="10" borderId="0" xfId="0" applyFont="1" applyFill="1" applyAlignment="1">
      <alignment vertical="center"/>
    </xf>
    <xf numFmtId="2" fontId="24" fillId="0" borderId="0" xfId="0" applyNumberFormat="1" applyFont="1" applyFill="1" applyAlignment="1">
      <alignment vertical="center"/>
    </xf>
    <xf numFmtId="49" fontId="8" fillId="0" borderId="57" xfId="0" quotePrefix="1" applyNumberFormat="1" applyFont="1" applyBorder="1" applyAlignment="1">
      <alignment horizontal="center" vertical="top" wrapText="1"/>
    </xf>
    <xf numFmtId="0" fontId="8" fillId="0" borderId="7" xfId="0" applyFont="1" applyBorder="1" applyAlignment="1">
      <alignment horizontal="center" vertical="top" wrapText="1"/>
    </xf>
    <xf numFmtId="0" fontId="10" fillId="0" borderId="3" xfId="0" applyFont="1" applyFill="1" applyBorder="1"/>
    <xf numFmtId="0" fontId="8" fillId="0" borderId="7" xfId="0" applyFont="1" applyBorder="1" applyAlignment="1">
      <alignment horizontal="center"/>
    </xf>
    <xf numFmtId="0" fontId="10" fillId="0" borderId="6" xfId="0" applyFont="1" applyFill="1" applyBorder="1"/>
    <xf numFmtId="0" fontId="10" fillId="0" borderId="8" xfId="0" applyFont="1" applyFill="1" applyBorder="1"/>
    <xf numFmtId="0" fontId="8" fillId="0" borderId="10" xfId="0" applyFont="1" applyBorder="1" applyAlignment="1">
      <alignment horizontal="center" vertical="top" wrapText="1"/>
    </xf>
    <xf numFmtId="0" fontId="8" fillId="0" borderId="10" xfId="0" applyFont="1" applyBorder="1" applyAlignment="1">
      <alignment horizontal="center"/>
    </xf>
    <xf numFmtId="0" fontId="8" fillId="0" borderId="5" xfId="0" applyFont="1" applyBorder="1" applyAlignment="1">
      <alignment horizontal="center"/>
    </xf>
    <xf numFmtId="0" fontId="0" fillId="0" borderId="5" xfId="0" applyBorder="1"/>
    <xf numFmtId="0" fontId="0" fillId="0" borderId="7" xfId="0" applyBorder="1" applyAlignment="1">
      <alignment horizontal="center"/>
    </xf>
    <xf numFmtId="0" fontId="0" fillId="0" borderId="10" xfId="0" applyBorder="1" applyAlignment="1">
      <alignment horizontal="center"/>
    </xf>
    <xf numFmtId="0" fontId="15" fillId="0" borderId="38" xfId="0" applyFont="1" applyBorder="1"/>
    <xf numFmtId="0" fontId="15" fillId="0" borderId="0" xfId="0" applyFont="1" applyBorder="1" applyAlignment="1">
      <alignment horizontal="center" textRotation="90" wrapText="1"/>
    </xf>
    <xf numFmtId="0" fontId="15" fillId="0" borderId="35" xfId="0" applyFont="1" applyBorder="1" applyAlignment="1">
      <alignment horizontal="center" textRotation="90" wrapText="1"/>
    </xf>
    <xf numFmtId="0" fontId="8" fillId="0" borderId="7" xfId="0" applyFont="1" applyFill="1" applyBorder="1" applyAlignment="1">
      <alignment horizontal="center" textRotation="90" wrapText="1"/>
    </xf>
    <xf numFmtId="2" fontId="10" fillId="0" borderId="7" xfId="0" applyNumberFormat="1" applyFont="1" applyFill="1" applyBorder="1" applyAlignment="1">
      <alignment vertical="top" wrapText="1"/>
    </xf>
    <xf numFmtId="2" fontId="10" fillId="0" borderId="10" xfId="0" applyNumberFormat="1" applyFont="1" applyFill="1" applyBorder="1" applyAlignment="1">
      <alignment vertical="top" wrapText="1"/>
    </xf>
    <xf numFmtId="0" fontId="15" fillId="0" borderId="3" xfId="0" applyFont="1" applyBorder="1" applyAlignment="1">
      <alignment horizontal="center"/>
    </xf>
    <xf numFmtId="0" fontId="15" fillId="0" borderId="5" xfId="0" applyFont="1" applyBorder="1" applyAlignment="1">
      <alignment horizontal="center"/>
    </xf>
    <xf numFmtId="0" fontId="10" fillId="0" borderId="37" xfId="0" applyFont="1" applyBorder="1" applyAlignment="1">
      <alignment horizontal="center"/>
    </xf>
    <xf numFmtId="0" fontId="10" fillId="0" borderId="39" xfId="0" applyFont="1" applyBorder="1" applyAlignment="1">
      <alignment horizontal="center"/>
    </xf>
    <xf numFmtId="0" fontId="8" fillId="0" borderId="6" xfId="0" applyFont="1" applyFill="1" applyBorder="1" applyAlignment="1">
      <alignment horizontal="center" textRotation="90" wrapText="1"/>
    </xf>
    <xf numFmtId="2" fontId="24" fillId="13" borderId="0" xfId="0" applyNumberFormat="1" applyFont="1" applyFill="1" applyAlignment="1">
      <alignment vertical="center"/>
    </xf>
    <xf numFmtId="0" fontId="8" fillId="0" borderId="0" xfId="3"/>
    <xf numFmtId="0" fontId="15" fillId="0" borderId="0" xfId="3" applyFont="1"/>
    <xf numFmtId="0" fontId="8" fillId="0" borderId="0" xfId="3" applyAlignment="1">
      <alignment horizontal="left"/>
    </xf>
    <xf numFmtId="0" fontId="77" fillId="0" borderId="0" xfId="3" applyFont="1" applyAlignment="1">
      <alignment horizontal="right"/>
    </xf>
    <xf numFmtId="172" fontId="77" fillId="0" borderId="0" xfId="3" applyNumberFormat="1" applyFont="1" applyAlignment="1">
      <alignment horizontal="center"/>
    </xf>
    <xf numFmtId="0" fontId="13" fillId="4" borderId="0" xfId="3" applyFont="1" applyFill="1" applyAlignment="1">
      <alignment horizontal="left"/>
    </xf>
    <xf numFmtId="0" fontId="19" fillId="4" borderId="0" xfId="3" applyFont="1" applyFill="1" applyAlignment="1">
      <alignment horizontal="left"/>
    </xf>
    <xf numFmtId="0" fontId="8" fillId="0" borderId="0" xfId="3" applyFont="1" applyFill="1" applyBorder="1"/>
    <xf numFmtId="164" fontId="8" fillId="0" borderId="0" xfId="3" applyNumberFormat="1" applyFont="1" applyFill="1" applyBorder="1" applyAlignment="1">
      <alignment horizontal="center"/>
    </xf>
    <xf numFmtId="164" fontId="54" fillId="0" borderId="0" xfId="3" applyNumberFormat="1" applyFont="1" applyFill="1" applyBorder="1" applyAlignment="1">
      <alignment horizontal="center"/>
    </xf>
    <xf numFmtId="0" fontId="8" fillId="0" borderId="0" xfId="3" applyFont="1"/>
    <xf numFmtId="0" fontId="8" fillId="0" borderId="0" xfId="3" applyFont="1" applyFill="1" applyBorder="1" applyAlignment="1">
      <alignment vertical="top" wrapText="1"/>
    </xf>
    <xf numFmtId="164" fontId="8" fillId="3" borderId="0" xfId="3" applyNumberFormat="1" applyFont="1" applyFill="1" applyBorder="1" applyAlignment="1">
      <alignment horizontal="center" vertical="center"/>
    </xf>
    <xf numFmtId="0" fontId="8" fillId="3" borderId="0" xfId="3" applyFont="1" applyFill="1" applyBorder="1" applyAlignment="1">
      <alignment horizontal="center"/>
    </xf>
    <xf numFmtId="164" fontId="8" fillId="0" borderId="0" xfId="3" applyNumberFormat="1" applyFont="1" applyFill="1" applyBorder="1" applyAlignment="1"/>
    <xf numFmtId="0" fontId="19" fillId="0" borderId="0" xfId="3" applyFont="1" applyFill="1" applyAlignment="1">
      <alignment horizontal="left"/>
    </xf>
    <xf numFmtId="164" fontId="8" fillId="0" borderId="0" xfId="3" applyNumberFormat="1"/>
    <xf numFmtId="0" fontId="13" fillId="4" borderId="0" xfId="3" applyFont="1" applyFill="1" applyAlignment="1"/>
    <xf numFmtId="0" fontId="13" fillId="4" borderId="0" xfId="3" applyFont="1" applyFill="1" applyAlignment="1">
      <alignment horizontal="right"/>
    </xf>
    <xf numFmtId="0" fontId="8" fillId="0" borderId="0" xfId="3" applyFont="1" applyFill="1" applyBorder="1" applyAlignment="1">
      <alignment horizontal="left"/>
    </xf>
    <xf numFmtId="171" fontId="54" fillId="0" borderId="0" xfId="3" applyNumberFormat="1" applyFont="1" applyFill="1" applyBorder="1" applyAlignment="1">
      <alignment horizontal="center"/>
    </xf>
    <xf numFmtId="1" fontId="19" fillId="0" borderId="0" xfId="3" applyNumberFormat="1" applyFont="1" applyFill="1" applyAlignment="1">
      <alignment horizontal="left"/>
    </xf>
    <xf numFmtId="0" fontId="8" fillId="7" borderId="0" xfId="3" applyFont="1" applyFill="1" applyBorder="1" applyAlignment="1">
      <alignment horizontal="center"/>
    </xf>
    <xf numFmtId="164" fontId="8" fillId="0" borderId="0" xfId="3" applyNumberFormat="1" applyFont="1" applyFill="1" applyBorder="1" applyAlignment="1">
      <alignment horizontal="center" wrapText="1"/>
    </xf>
    <xf numFmtId="0" fontId="24" fillId="0" borderId="0" xfId="0" applyFont="1" applyFill="1" applyBorder="1" applyAlignment="1">
      <alignment vertical="center" wrapText="1"/>
    </xf>
    <xf numFmtId="0" fontId="24" fillId="0" borderId="0" xfId="0" applyFont="1" applyFill="1" applyAlignment="1">
      <alignment vertical="center" wrapText="1"/>
    </xf>
    <xf numFmtId="0" fontId="10" fillId="0" borderId="0" xfId="0" applyFont="1" applyFill="1" applyBorder="1" applyAlignment="1">
      <alignment horizontal="left" wrapText="1"/>
    </xf>
    <xf numFmtId="0" fontId="8" fillId="10" borderId="0" xfId="3" applyFont="1" applyFill="1" applyBorder="1"/>
    <xf numFmtId="0" fontId="13" fillId="0" borderId="0" xfId="3" applyFont="1" applyFill="1" applyAlignment="1">
      <alignment horizontal="left"/>
    </xf>
    <xf numFmtId="0" fontId="8" fillId="7" borderId="0" xfId="3" applyFont="1" applyFill="1" applyBorder="1" applyAlignment="1">
      <alignment horizontal="center"/>
    </xf>
    <xf numFmtId="0" fontId="8" fillId="4" borderId="0" xfId="3" applyFont="1" applyFill="1" applyAlignment="1"/>
    <xf numFmtId="164" fontId="8" fillId="10" borderId="0" xfId="3" applyNumberFormat="1" applyFill="1"/>
    <xf numFmtId="0" fontId="15" fillId="4" borderId="0" xfId="3" applyFont="1" applyFill="1" applyAlignment="1"/>
    <xf numFmtId="0" fontId="15" fillId="7" borderId="0" xfId="3" applyFont="1" applyFill="1" applyBorder="1" applyAlignment="1">
      <alignment horizontal="center"/>
    </xf>
    <xf numFmtId="1" fontId="8" fillId="3" borderId="0" xfId="3" applyNumberFormat="1" applyFont="1" applyFill="1" applyBorder="1" applyAlignment="1">
      <alignment horizontal="center" vertical="center"/>
    </xf>
    <xf numFmtId="1" fontId="8" fillId="0" borderId="0" xfId="3" applyNumberFormat="1" applyFont="1" applyFill="1" applyBorder="1" applyAlignment="1">
      <alignment horizontal="center"/>
    </xf>
    <xf numFmtId="0" fontId="8" fillId="0" borderId="0" xfId="3" applyFont="1" applyFill="1" applyAlignment="1"/>
    <xf numFmtId="0" fontId="8" fillId="0" borderId="0" xfId="3" applyFill="1"/>
    <xf numFmtId="0" fontId="8" fillId="16" borderId="0" xfId="3" applyFill="1"/>
    <xf numFmtId="164" fontId="8" fillId="0" borderId="0" xfId="3" applyNumberFormat="1" applyFill="1"/>
    <xf numFmtId="0" fontId="8" fillId="0" borderId="0" xfId="3" applyFont="1" applyFill="1" applyBorder="1" applyAlignment="1">
      <alignment horizontal="center"/>
    </xf>
    <xf numFmtId="0" fontId="8" fillId="10" borderId="0" xfId="3" applyFont="1" applyFill="1"/>
    <xf numFmtId="0" fontId="15" fillId="15" borderId="0" xfId="3" applyFont="1" applyFill="1"/>
    <xf numFmtId="0" fontId="15" fillId="0" borderId="23" xfId="3" applyFont="1" applyBorder="1"/>
    <xf numFmtId="1" fontId="15" fillId="10" borderId="24" xfId="3" applyNumberFormat="1" applyFont="1" applyFill="1" applyBorder="1"/>
    <xf numFmtId="1" fontId="15" fillId="0" borderId="24" xfId="3" applyNumberFormat="1" applyFont="1" applyBorder="1"/>
    <xf numFmtId="1" fontId="15" fillId="0" borderId="24" xfId="3" applyNumberFormat="1" applyFont="1" applyFill="1" applyBorder="1" applyAlignment="1">
      <alignment horizontal="center"/>
    </xf>
    <xf numFmtId="1" fontId="15" fillId="10" borderId="25" xfId="3" applyNumberFormat="1" applyFont="1" applyFill="1" applyBorder="1"/>
    <xf numFmtId="0" fontId="8" fillId="0" borderId="0" xfId="0" applyFont="1" applyFill="1" applyBorder="1" applyAlignment="1">
      <alignment vertical="center"/>
    </xf>
    <xf numFmtId="164" fontId="8" fillId="0" borderId="0" xfId="0" applyNumberFormat="1" applyFont="1" applyFill="1" applyBorder="1" applyAlignment="1">
      <alignment vertical="center"/>
    </xf>
    <xf numFmtId="0" fontId="8" fillId="0" borderId="0" xfId="0" applyFont="1" applyBorder="1" applyAlignment="1">
      <alignment horizontal="center" textRotation="90" wrapText="1"/>
    </xf>
    <xf numFmtId="164" fontId="8" fillId="0" borderId="0" xfId="0" applyNumberFormat="1" applyFont="1" applyFill="1" applyAlignment="1">
      <alignment vertical="center"/>
    </xf>
    <xf numFmtId="2" fontId="24" fillId="0" borderId="0" xfId="0" applyNumberFormat="1" applyFont="1" applyFill="1" applyBorder="1" applyAlignment="1">
      <alignment vertical="center"/>
    </xf>
    <xf numFmtId="0" fontId="8" fillId="17" borderId="0" xfId="0" applyFont="1" applyFill="1" applyAlignment="1">
      <alignment vertical="center"/>
    </xf>
    <xf numFmtId="2" fontId="15" fillId="18" borderId="7" xfId="0" applyNumberFormat="1" applyFont="1" applyFill="1" applyBorder="1" applyAlignment="1">
      <alignment vertical="top" wrapText="1"/>
    </xf>
    <xf numFmtId="2" fontId="15" fillId="18" borderId="10" xfId="0" applyNumberFormat="1" applyFont="1" applyFill="1" applyBorder="1" applyAlignment="1">
      <alignment vertical="top" wrapText="1"/>
    </xf>
    <xf numFmtId="2" fontId="15" fillId="18" borderId="5" xfId="0" applyNumberFormat="1" applyFont="1" applyFill="1" applyBorder="1" applyAlignment="1">
      <alignment vertical="top" wrapText="1"/>
    </xf>
    <xf numFmtId="2" fontId="15" fillId="18" borderId="27" xfId="0" applyNumberFormat="1" applyFont="1" applyFill="1" applyBorder="1" applyAlignment="1">
      <alignment vertical="top" wrapText="1"/>
    </xf>
    <xf numFmtId="2" fontId="15" fillId="18" borderId="26" xfId="0" applyNumberFormat="1" applyFont="1" applyFill="1" applyBorder="1" applyAlignment="1">
      <alignment vertical="top" wrapText="1"/>
    </xf>
    <xf numFmtId="0" fontId="8" fillId="19" borderId="0" xfId="3" applyFill="1"/>
    <xf numFmtId="0" fontId="8" fillId="19" borderId="0" xfId="3" applyFill="1" applyBorder="1"/>
    <xf numFmtId="0" fontId="33" fillId="19" borderId="0" xfId="0" applyFont="1" applyFill="1" applyBorder="1" applyAlignment="1">
      <alignment vertical="center"/>
    </xf>
    <xf numFmtId="0" fontId="34" fillId="19" borderId="0" xfId="0" applyFont="1" applyFill="1" applyBorder="1" applyAlignment="1" applyProtection="1">
      <alignment vertical="center"/>
      <protection locked="0"/>
    </xf>
    <xf numFmtId="0" fontId="13" fillId="19" borderId="0" xfId="3" applyFont="1" applyFill="1" applyBorder="1"/>
    <xf numFmtId="0" fontId="81" fillId="19" borderId="0" xfId="3" applyFont="1" applyFill="1" applyBorder="1"/>
    <xf numFmtId="0" fontId="81" fillId="0" borderId="0" xfId="3" applyFont="1" applyFill="1" applyBorder="1"/>
    <xf numFmtId="0" fontId="8" fillId="0" borderId="0" xfId="3" applyFill="1" applyBorder="1"/>
    <xf numFmtId="0" fontId="8" fillId="0" borderId="35" xfId="0" applyFont="1" applyFill="1" applyBorder="1" applyAlignment="1">
      <alignment horizontal="center" textRotation="90" wrapText="1"/>
    </xf>
    <xf numFmtId="0" fontId="8" fillId="0" borderId="33" xfId="0" applyFont="1" applyFill="1" applyBorder="1" applyAlignment="1">
      <alignment horizontal="center" textRotation="90" wrapText="1"/>
    </xf>
    <xf numFmtId="0" fontId="8" fillId="0" borderId="34" xfId="0" applyFont="1" applyFill="1" applyBorder="1" applyAlignment="1">
      <alignment horizontal="center" textRotation="90" wrapText="1"/>
    </xf>
    <xf numFmtId="0" fontId="15" fillId="0" borderId="3" xfId="0" applyFont="1" applyFill="1" applyBorder="1" applyAlignment="1">
      <alignment vertical="center"/>
    </xf>
    <xf numFmtId="0" fontId="15" fillId="0" borderId="3" xfId="0" applyFont="1" applyBorder="1" applyAlignment="1">
      <alignment vertical="center"/>
    </xf>
    <xf numFmtId="0" fontId="15" fillId="0" borderId="4" xfId="0" applyFont="1" applyFill="1" applyBorder="1" applyAlignment="1">
      <alignment vertical="center"/>
    </xf>
    <xf numFmtId="0" fontId="15" fillId="0" borderId="5" xfId="0" applyFont="1" applyFill="1" applyBorder="1" applyAlignment="1">
      <alignment vertical="center"/>
    </xf>
    <xf numFmtId="0" fontId="8" fillId="2" borderId="0" xfId="0" applyFont="1" applyFill="1" applyBorder="1" applyAlignment="1">
      <alignment horizontal="left"/>
    </xf>
    <xf numFmtId="0" fontId="8" fillId="0" borderId="9" xfId="0" applyFont="1" applyFill="1" applyBorder="1" applyAlignment="1">
      <alignment horizontal="center" textRotation="90" wrapText="1"/>
    </xf>
    <xf numFmtId="0" fontId="8" fillId="7" borderId="0" xfId="3" applyFont="1" applyFill="1" applyBorder="1" applyAlignment="1"/>
    <xf numFmtId="164" fontId="8" fillId="0" borderId="0" xfId="3" applyNumberFormat="1" applyFont="1" applyFill="1" applyBorder="1" applyAlignment="1">
      <alignment horizontal="center" vertical="top" wrapText="1"/>
    </xf>
    <xf numFmtId="0" fontId="8" fillId="0" borderId="0" xfId="0" applyFont="1" applyAlignment="1">
      <alignment vertical="top"/>
    </xf>
    <xf numFmtId="0" fontId="8" fillId="0" borderId="0" xfId="3" applyAlignment="1">
      <alignment vertical="top"/>
    </xf>
    <xf numFmtId="0" fontId="8" fillId="0" borderId="0" xfId="3" applyFont="1" applyAlignment="1">
      <alignment vertical="top"/>
    </xf>
    <xf numFmtId="0" fontId="8" fillId="0" borderId="0" xfId="3" applyFont="1" applyAlignment="1">
      <alignment horizontal="center" vertical="top"/>
    </xf>
    <xf numFmtId="0" fontId="8" fillId="0" borderId="0" xfId="3" applyAlignment="1">
      <alignment horizontal="center" vertical="top"/>
    </xf>
    <xf numFmtId="0" fontId="13" fillId="7" borderId="0" xfId="3" applyFont="1" applyFill="1" applyBorder="1" applyAlignment="1"/>
    <xf numFmtId="0" fontId="0" fillId="0" borderId="0" xfId="0" applyAlignment="1">
      <alignment horizontal="center" vertical="top"/>
    </xf>
    <xf numFmtId="164" fontId="8" fillId="0" borderId="0" xfId="3" applyNumberFormat="1" applyAlignment="1">
      <alignment horizontal="center" vertical="top"/>
    </xf>
    <xf numFmtId="1" fontId="8" fillId="0" borderId="0" xfId="3" applyNumberFormat="1" applyAlignment="1">
      <alignment vertical="top"/>
    </xf>
    <xf numFmtId="164" fontId="10" fillId="8" borderId="0" xfId="0" applyNumberFormat="1" applyFont="1" applyFill="1" applyBorder="1" applyAlignment="1">
      <alignment horizontal="center" vertical="center"/>
    </xf>
    <xf numFmtId="0" fontId="8" fillId="0" borderId="0" xfId="0" applyFont="1" applyFill="1" applyBorder="1" applyAlignment="1">
      <alignment horizontal="left"/>
    </xf>
    <xf numFmtId="0" fontId="82" fillId="0" borderId="0" xfId="6" applyFont="1"/>
    <xf numFmtId="0" fontId="82" fillId="0" borderId="0" xfId="6" applyFont="1" applyAlignment="1">
      <alignment horizontal="center"/>
    </xf>
    <xf numFmtId="0" fontId="82" fillId="0" borderId="0" xfId="6" applyFont="1" applyAlignment="1">
      <alignment horizontal="left"/>
    </xf>
    <xf numFmtId="0" fontId="82" fillId="0" borderId="3" xfId="6" applyFont="1" applyBorder="1"/>
    <xf numFmtId="0" fontId="83" fillId="0" borderId="4" xfId="6" applyFont="1" applyBorder="1" applyAlignment="1">
      <alignment horizontal="left"/>
    </xf>
    <xf numFmtId="0" fontId="83" fillId="0" borderId="3" xfId="6" applyFont="1" applyBorder="1" applyAlignment="1">
      <alignment horizontal="left"/>
    </xf>
    <xf numFmtId="0" fontId="83" fillId="0" borderId="5" xfId="6" applyFont="1" applyBorder="1" applyAlignment="1">
      <alignment horizontal="left"/>
    </xf>
    <xf numFmtId="0" fontId="82" fillId="0" borderId="6" xfId="6" applyFont="1" applyBorder="1"/>
    <xf numFmtId="0" fontId="82" fillId="0" borderId="27" xfId="6" applyFont="1" applyBorder="1" applyAlignment="1">
      <alignment horizontal="center" wrapText="1"/>
    </xf>
    <xf numFmtId="0" fontId="82" fillId="0" borderId="0" xfId="6" applyFont="1" applyBorder="1" applyAlignment="1">
      <alignment horizontal="center" wrapText="1"/>
    </xf>
    <xf numFmtId="0" fontId="82" fillId="0" borderId="7" xfId="6" applyFont="1" applyBorder="1" applyAlignment="1">
      <alignment horizontal="center" wrapText="1"/>
    </xf>
    <xf numFmtId="0" fontId="82" fillId="0" borderId="27" xfId="6" applyFont="1" applyBorder="1" applyAlignment="1">
      <alignment horizontal="center"/>
    </xf>
    <xf numFmtId="0" fontId="82" fillId="0" borderId="0" xfId="6" applyFont="1" applyBorder="1" applyAlignment="1">
      <alignment horizontal="center"/>
    </xf>
    <xf numFmtId="0" fontId="82" fillId="0" borderId="7" xfId="6" applyFont="1" applyBorder="1" applyAlignment="1">
      <alignment horizontal="center"/>
    </xf>
    <xf numFmtId="0" fontId="82" fillId="0" borderId="23" xfId="6" applyFont="1" applyBorder="1"/>
    <xf numFmtId="0" fontId="82" fillId="0" borderId="30" xfId="6" applyFont="1" applyBorder="1" applyAlignment="1">
      <alignment horizontal="center"/>
    </xf>
    <xf numFmtId="0" fontId="82" fillId="0" borderId="24" xfId="6" applyFont="1" applyBorder="1" applyAlignment="1">
      <alignment horizontal="center"/>
    </xf>
    <xf numFmtId="0" fontId="82" fillId="0" borderId="25" xfId="6" applyFont="1" applyBorder="1" applyAlignment="1">
      <alignment horizontal="center"/>
    </xf>
    <xf numFmtId="1" fontId="82" fillId="0" borderId="27" xfId="6" applyNumberFormat="1" applyFont="1" applyBorder="1" applyAlignment="1">
      <alignment horizontal="center"/>
    </xf>
    <xf numFmtId="1" fontId="82" fillId="0" borderId="26" xfId="6" applyNumberFormat="1" applyFont="1" applyBorder="1" applyAlignment="1">
      <alignment horizontal="center"/>
    </xf>
    <xf numFmtId="1" fontId="82" fillId="0" borderId="28" xfId="6" applyNumberFormat="1" applyFont="1" applyBorder="1" applyAlignment="1">
      <alignment horizontal="center"/>
    </xf>
    <xf numFmtId="1" fontId="82" fillId="0" borderId="30" xfId="6" applyNumberFormat="1" applyFont="1" applyBorder="1" applyAlignment="1">
      <alignment horizontal="center"/>
    </xf>
    <xf numFmtId="0" fontId="83" fillId="0" borderId="0" xfId="6" applyFont="1"/>
    <xf numFmtId="164" fontId="11" fillId="0" borderId="57" xfId="0" quotePrefix="1" applyNumberFormat="1" applyFont="1" applyFill="1" applyBorder="1" applyAlignment="1">
      <alignment horizontal="center" vertical="top" wrapText="1"/>
    </xf>
    <xf numFmtId="0" fontId="11" fillId="0" borderId="4" xfId="0" applyFont="1" applyFill="1" applyBorder="1" applyAlignment="1">
      <alignment vertical="top" wrapText="1"/>
    </xf>
    <xf numFmtId="164" fontId="11" fillId="0" borderId="53" xfId="0" quotePrefix="1" applyNumberFormat="1" applyFont="1" applyFill="1" applyBorder="1" applyAlignment="1">
      <alignment horizontal="center" vertical="top" wrapText="1"/>
    </xf>
    <xf numFmtId="0" fontId="11" fillId="0" borderId="9" xfId="0" applyFont="1" applyFill="1" applyBorder="1" applyAlignment="1">
      <alignment vertical="top" wrapText="1"/>
    </xf>
    <xf numFmtId="164" fontId="11" fillId="0" borderId="58" xfId="0" quotePrefix="1" applyNumberFormat="1" applyFont="1" applyFill="1" applyBorder="1" applyAlignment="1">
      <alignment horizontal="center"/>
    </xf>
    <xf numFmtId="0" fontId="11" fillId="0" borderId="0" xfId="0" applyFont="1" applyFill="1" applyBorder="1"/>
    <xf numFmtId="164" fontId="11" fillId="0" borderId="57" xfId="0" quotePrefix="1" applyNumberFormat="1" applyFont="1" applyFill="1" applyBorder="1" applyAlignment="1">
      <alignment horizontal="center"/>
    </xf>
    <xf numFmtId="0" fontId="11" fillId="0" borderId="4" xfId="0" applyFont="1" applyFill="1" applyBorder="1"/>
    <xf numFmtId="164" fontId="11" fillId="0" borderId="53" xfId="0" quotePrefix="1" applyNumberFormat="1" applyFont="1" applyFill="1" applyBorder="1" applyAlignment="1">
      <alignment horizontal="center"/>
    </xf>
    <xf numFmtId="0" fontId="11" fillId="0" borderId="9" xfId="0" applyFont="1" applyFill="1" applyBorder="1"/>
    <xf numFmtId="164" fontId="11" fillId="0" borderId="3" xfId="0" quotePrefix="1" applyNumberFormat="1" applyFont="1" applyFill="1" applyBorder="1" applyAlignment="1">
      <alignment horizontal="center"/>
    </xf>
    <xf numFmtId="0" fontId="11" fillId="0" borderId="5" xfId="0" applyFont="1" applyFill="1" applyBorder="1"/>
    <xf numFmtId="164" fontId="11" fillId="0" borderId="58" xfId="0" applyNumberFormat="1" applyFont="1" applyFill="1" applyBorder="1" applyAlignment="1">
      <alignment horizontal="center"/>
    </xf>
    <xf numFmtId="164" fontId="11" fillId="0" borderId="57" xfId="0" applyNumberFormat="1" applyFont="1" applyFill="1" applyBorder="1" applyAlignment="1">
      <alignment horizontal="center"/>
    </xf>
    <xf numFmtId="164" fontId="11" fillId="0" borderId="53" xfId="0" applyNumberFormat="1" applyFont="1" applyFill="1" applyBorder="1" applyAlignment="1">
      <alignment horizontal="center"/>
    </xf>
    <xf numFmtId="164" fontId="11" fillId="0" borderId="59" xfId="0" applyNumberFormat="1" applyFont="1" applyFill="1" applyBorder="1" applyAlignment="1">
      <alignment horizontal="center"/>
    </xf>
    <xf numFmtId="0" fontId="11" fillId="0" borderId="25" xfId="0" applyFont="1" applyFill="1" applyBorder="1"/>
    <xf numFmtId="164" fontId="59" fillId="6" borderId="12" xfId="0" applyNumberFormat="1" applyFont="1" applyFill="1" applyBorder="1" applyAlignment="1">
      <alignment horizontal="center" vertical="center"/>
    </xf>
    <xf numFmtId="49" fontId="8" fillId="0" borderId="53" xfId="0" applyNumberFormat="1" applyFont="1" applyBorder="1" applyAlignment="1">
      <alignment horizontal="center"/>
    </xf>
    <xf numFmtId="164" fontId="8" fillId="0" borderId="0" xfId="0" applyNumberFormat="1" applyFont="1" applyFill="1" applyBorder="1" applyAlignment="1">
      <alignment horizontal="left"/>
    </xf>
    <xf numFmtId="164" fontId="8" fillId="0" borderId="0" xfId="0" applyNumberFormat="1" applyFont="1" applyBorder="1" applyAlignment="1">
      <alignment horizontal="left" wrapText="1"/>
    </xf>
    <xf numFmtId="164" fontId="8" fillId="0" borderId="0" xfId="0" applyNumberFormat="1" applyFont="1" applyBorder="1" applyAlignment="1">
      <alignment horizontal="left"/>
    </xf>
    <xf numFmtId="0" fontId="10" fillId="0" borderId="2" xfId="0" applyFont="1" applyFill="1" applyBorder="1" applyAlignment="1">
      <alignment horizontal="right" vertical="center"/>
    </xf>
    <xf numFmtId="0" fontId="10" fillId="0" borderId="2" xfId="0" applyFont="1" applyFill="1" applyBorder="1" applyAlignment="1">
      <alignment horizontal="left" vertical="center"/>
    </xf>
    <xf numFmtId="164" fontId="31" fillId="0" borderId="0" xfId="0" applyNumberFormat="1" applyFont="1" applyFill="1" applyBorder="1" applyAlignment="1">
      <alignment horizontal="center" vertical="center"/>
    </xf>
    <xf numFmtId="0" fontId="10" fillId="0" borderId="2" xfId="0" applyFont="1" applyFill="1" applyBorder="1"/>
    <xf numFmtId="164" fontId="10" fillId="0" borderId="2" xfId="0" applyNumberFormat="1" applyFont="1" applyFill="1" applyBorder="1" applyAlignment="1">
      <alignment horizontal="right"/>
    </xf>
    <xf numFmtId="1" fontId="10" fillId="0" borderId="2" xfId="0" applyNumberFormat="1" applyFont="1" applyFill="1" applyBorder="1" applyAlignment="1">
      <alignment horizontal="right"/>
    </xf>
    <xf numFmtId="0" fontId="8" fillId="5" borderId="0" xfId="3" applyFont="1" applyFill="1" applyBorder="1"/>
    <xf numFmtId="0" fontId="8" fillId="5" borderId="0" xfId="3" applyFont="1" applyFill="1" applyBorder="1" applyAlignment="1">
      <alignment horizontal="right"/>
    </xf>
    <xf numFmtId="0" fontId="8" fillId="20" borderId="0" xfId="3" applyFont="1" applyFill="1" applyBorder="1"/>
    <xf numFmtId="164" fontId="8" fillId="5" borderId="0" xfId="3" applyNumberFormat="1" applyFont="1" applyFill="1" applyBorder="1"/>
    <xf numFmtId="0" fontId="8" fillId="5" borderId="9" xfId="3" applyFont="1" applyFill="1" applyBorder="1"/>
    <xf numFmtId="164" fontId="8" fillId="5" borderId="9" xfId="3" applyNumberFormat="1" applyFont="1" applyFill="1" applyBorder="1"/>
    <xf numFmtId="0" fontId="84" fillId="5" borderId="0" xfId="3" applyFont="1" applyFill="1" applyBorder="1" applyAlignment="1">
      <alignment horizontal="left"/>
    </xf>
    <xf numFmtId="0" fontId="84" fillId="5" borderId="0" xfId="3" applyFont="1" applyFill="1" applyBorder="1"/>
    <xf numFmtId="0" fontId="84" fillId="21" borderId="0" xfId="3" applyFont="1" applyFill="1" applyBorder="1" applyAlignment="1">
      <alignment horizontal="center"/>
    </xf>
    <xf numFmtId="2" fontId="84" fillId="0" borderId="0" xfId="3" applyNumberFormat="1" applyFont="1" applyFill="1" applyBorder="1" applyAlignment="1" applyProtection="1">
      <alignment horizontal="center"/>
    </xf>
    <xf numFmtId="0" fontId="15" fillId="23" borderId="3" xfId="3" applyFont="1" applyFill="1" applyBorder="1" applyProtection="1"/>
    <xf numFmtId="0" fontId="15" fillId="23" borderId="4" xfId="3" applyFont="1" applyFill="1" applyBorder="1" applyProtection="1"/>
    <xf numFmtId="0" fontId="19" fillId="23" borderId="4" xfId="3" applyFont="1" applyFill="1" applyBorder="1" applyProtection="1"/>
    <xf numFmtId="0" fontId="19" fillId="23" borderId="5" xfId="3" applyFont="1" applyFill="1" applyBorder="1" applyProtection="1"/>
    <xf numFmtId="0" fontId="15" fillId="23" borderId="3" xfId="3" applyFont="1" applyFill="1" applyBorder="1" applyAlignment="1" applyProtection="1">
      <alignment horizontal="left"/>
    </xf>
    <xf numFmtId="0" fontId="15" fillId="23" borderId="4" xfId="3" applyFont="1" applyFill="1" applyBorder="1" applyAlignment="1" applyProtection="1">
      <alignment horizontal="center"/>
    </xf>
    <xf numFmtId="0" fontId="85" fillId="7" borderId="68" xfId="3" applyFont="1" applyFill="1" applyBorder="1" applyAlignment="1" applyProtection="1">
      <alignment horizontal="left"/>
    </xf>
    <xf numFmtId="0" fontId="19" fillId="23" borderId="0" xfId="3" applyFont="1" applyFill="1" applyBorder="1" applyProtection="1"/>
    <xf numFmtId="0" fontId="19" fillId="23" borderId="7" xfId="3" applyFont="1" applyFill="1" applyBorder="1" applyProtection="1"/>
    <xf numFmtId="0" fontId="15" fillId="23" borderId="0" xfId="3" applyFont="1" applyFill="1" applyBorder="1" applyAlignment="1" applyProtection="1">
      <alignment horizontal="center"/>
    </xf>
    <xf numFmtId="0" fontId="8" fillId="23" borderId="6" xfId="3" applyFont="1" applyFill="1" applyBorder="1" applyProtection="1"/>
    <xf numFmtId="0" fontId="8" fillId="23" borderId="0" xfId="3" applyFont="1" applyFill="1" applyBorder="1" applyProtection="1"/>
    <xf numFmtId="0" fontId="15" fillId="23" borderId="0" xfId="3" applyFont="1" applyFill="1" applyBorder="1" applyAlignment="1" applyProtection="1"/>
    <xf numFmtId="0" fontId="8" fillId="23" borderId="6" xfId="3" applyFont="1" applyFill="1" applyBorder="1" applyAlignment="1" applyProtection="1"/>
    <xf numFmtId="0" fontId="15" fillId="7" borderId="68" xfId="3" applyFont="1" applyFill="1" applyBorder="1"/>
    <xf numFmtId="0" fontId="15" fillId="7" borderId="69" xfId="3" applyFont="1" applyFill="1" applyBorder="1"/>
    <xf numFmtId="0" fontId="15" fillId="21" borderId="73" xfId="3" applyFont="1" applyFill="1" applyBorder="1"/>
    <xf numFmtId="0" fontId="8" fillId="23" borderId="8" xfId="3" applyFont="1" applyFill="1" applyBorder="1" applyProtection="1"/>
    <xf numFmtId="0" fontId="8" fillId="23" borderId="9" xfId="3" applyFont="1" applyFill="1" applyBorder="1" applyProtection="1"/>
    <xf numFmtId="0" fontId="8" fillId="0" borderId="71" xfId="3" applyFont="1" applyFill="1" applyBorder="1"/>
    <xf numFmtId="0" fontId="8" fillId="5" borderId="71" xfId="3" applyFont="1" applyFill="1" applyBorder="1"/>
    <xf numFmtId="0" fontId="15" fillId="23" borderId="4" xfId="3" applyFont="1" applyFill="1" applyBorder="1" applyAlignment="1" applyProtection="1">
      <alignment horizontal="left"/>
    </xf>
    <xf numFmtId="0" fontId="15" fillId="23" borderId="30" xfId="3" applyFont="1" applyFill="1" applyBorder="1" applyAlignment="1" applyProtection="1">
      <alignment horizontal="center"/>
    </xf>
    <xf numFmtId="0" fontId="84" fillId="5" borderId="71" xfId="3" applyFont="1" applyFill="1" applyBorder="1"/>
    <xf numFmtId="0" fontId="19" fillId="23" borderId="3" xfId="3" applyFont="1" applyFill="1" applyBorder="1" applyAlignment="1" applyProtection="1">
      <alignment horizontal="center"/>
    </xf>
    <xf numFmtId="0" fontId="19" fillId="23" borderId="26" xfId="3" applyFont="1" applyFill="1" applyBorder="1" applyAlignment="1" applyProtection="1">
      <alignment horizontal="center"/>
    </xf>
    <xf numFmtId="0" fontId="19" fillId="23" borderId="4" xfId="3" applyFont="1" applyFill="1" applyBorder="1" applyAlignment="1" applyProtection="1">
      <alignment horizontal="center"/>
    </xf>
    <xf numFmtId="0" fontId="19" fillId="23" borderId="6" xfId="3" applyFont="1" applyFill="1" applyBorder="1" applyAlignment="1" applyProtection="1">
      <alignment horizontal="center"/>
    </xf>
    <xf numFmtId="0" fontId="19" fillId="23" borderId="27" xfId="3" applyFont="1" applyFill="1" applyBorder="1" applyAlignment="1" applyProtection="1">
      <alignment horizontal="center"/>
    </xf>
    <xf numFmtId="0" fontId="19" fillId="23" borderId="0" xfId="3" applyFont="1" applyFill="1" applyBorder="1" applyAlignment="1" applyProtection="1">
      <alignment horizontal="center"/>
    </xf>
    <xf numFmtId="0" fontId="84" fillId="0" borderId="71" xfId="3" applyFont="1" applyFill="1" applyBorder="1"/>
    <xf numFmtId="0" fontId="19" fillId="23" borderId="8" xfId="3" applyFont="1" applyFill="1" applyBorder="1" applyAlignment="1" applyProtection="1">
      <alignment horizontal="center"/>
    </xf>
    <xf numFmtId="0" fontId="19" fillId="23" borderId="28" xfId="3" applyFont="1" applyFill="1" applyBorder="1" applyAlignment="1" applyProtection="1">
      <alignment horizontal="center"/>
    </xf>
    <xf numFmtId="0" fontId="19" fillId="23" borderId="9" xfId="3" applyFont="1" applyFill="1" applyBorder="1" applyAlignment="1" applyProtection="1">
      <alignment horizontal="center"/>
    </xf>
    <xf numFmtId="0" fontId="15" fillId="20" borderId="71" xfId="3" applyFont="1" applyFill="1" applyBorder="1"/>
    <xf numFmtId="0" fontId="8" fillId="23" borderId="26" xfId="3" applyFont="1" applyFill="1" applyBorder="1" applyAlignment="1" applyProtection="1">
      <alignment horizontal="center"/>
    </xf>
    <xf numFmtId="0" fontId="15" fillId="5" borderId="71" xfId="3" applyFont="1" applyFill="1" applyBorder="1"/>
    <xf numFmtId="0" fontId="8" fillId="23" borderId="27" xfId="3" applyFont="1" applyFill="1" applyBorder="1" applyAlignment="1" applyProtection="1">
      <alignment horizontal="center"/>
    </xf>
    <xf numFmtId="0" fontId="8" fillId="23" borderId="28" xfId="3" applyFont="1" applyFill="1" applyBorder="1" applyAlignment="1" applyProtection="1">
      <alignment horizontal="center"/>
    </xf>
    <xf numFmtId="0" fontId="86" fillId="0" borderId="0" xfId="3" applyFont="1" applyFill="1" applyAlignment="1" applyProtection="1">
      <alignment horizontal="left"/>
    </xf>
    <xf numFmtId="0" fontId="15" fillId="21" borderId="71" xfId="3" applyFont="1" applyFill="1" applyBorder="1"/>
    <xf numFmtId="0" fontId="87" fillId="23" borderId="0" xfId="3" applyFont="1" applyFill="1" applyBorder="1" applyAlignment="1" applyProtection="1">
      <alignment horizontal="left"/>
    </xf>
    <xf numFmtId="0" fontId="15" fillId="23" borderId="0" xfId="3" applyFont="1" applyFill="1" applyBorder="1" applyAlignment="1" applyProtection="1">
      <alignment horizontal="left"/>
    </xf>
    <xf numFmtId="0" fontId="86" fillId="23" borderId="0" xfId="3" applyFont="1" applyFill="1" applyAlignment="1" applyProtection="1">
      <alignment horizontal="left"/>
    </xf>
    <xf numFmtId="0" fontId="15" fillId="23" borderId="8" xfId="3" applyFont="1" applyFill="1" applyBorder="1" applyAlignment="1" applyProtection="1">
      <alignment horizontal="left"/>
    </xf>
    <xf numFmtId="0" fontId="15" fillId="23" borderId="6" xfId="3" applyFont="1" applyFill="1" applyBorder="1" applyAlignment="1" applyProtection="1">
      <alignment horizontal="center"/>
    </xf>
    <xf numFmtId="0" fontId="15" fillId="23" borderId="10" xfId="3" applyFont="1" applyFill="1" applyBorder="1" applyAlignment="1" applyProtection="1">
      <alignment horizontal="center"/>
    </xf>
    <xf numFmtId="164" fontId="8" fillId="20" borderId="71" xfId="3" applyNumberFormat="1" applyFont="1" applyFill="1" applyBorder="1" applyAlignment="1">
      <alignment horizontal="center"/>
    </xf>
    <xf numFmtId="0" fontId="8" fillId="3" borderId="7" xfId="3" applyFont="1" applyFill="1" applyBorder="1" applyAlignment="1" applyProtection="1">
      <alignment horizontal="center"/>
    </xf>
    <xf numFmtId="0" fontId="59" fillId="23" borderId="6" xfId="3" applyFont="1" applyFill="1" applyBorder="1" applyAlignment="1" applyProtection="1">
      <alignment horizontal="center"/>
    </xf>
    <xf numFmtId="0" fontId="15" fillId="5" borderId="75" xfId="3" applyFont="1" applyFill="1" applyBorder="1"/>
    <xf numFmtId="0" fontId="8" fillId="3" borderId="10" xfId="3" applyFont="1" applyFill="1" applyBorder="1" applyAlignment="1" applyProtection="1">
      <alignment horizontal="center"/>
    </xf>
    <xf numFmtId="0" fontId="59" fillId="23" borderId="8" xfId="3" applyFont="1" applyFill="1" applyBorder="1" applyAlignment="1" applyProtection="1">
      <alignment horizontal="center"/>
    </xf>
    <xf numFmtId="0" fontId="8" fillId="20" borderId="68" xfId="3" applyFont="1" applyFill="1" applyBorder="1"/>
    <xf numFmtId="0" fontId="59" fillId="23" borderId="26" xfId="3" applyFont="1" applyFill="1" applyBorder="1" applyAlignment="1" applyProtection="1">
      <alignment horizontal="center"/>
    </xf>
    <xf numFmtId="0" fontId="8" fillId="5" borderId="68" xfId="3" applyFont="1" applyFill="1" applyBorder="1"/>
    <xf numFmtId="0" fontId="59" fillId="23" borderId="28" xfId="3" applyFont="1" applyFill="1" applyBorder="1" applyAlignment="1" applyProtection="1">
      <alignment horizontal="center"/>
    </xf>
    <xf numFmtId="0" fontId="13" fillId="0" borderId="0" xfId="3" applyFont="1" applyFill="1" applyProtection="1"/>
    <xf numFmtId="0" fontId="15" fillId="5" borderId="73" xfId="3" applyFont="1" applyFill="1" applyBorder="1"/>
    <xf numFmtId="0" fontId="15" fillId="3" borderId="8" xfId="3" applyFont="1" applyFill="1" applyBorder="1" applyAlignment="1" applyProtection="1">
      <alignment horizontal="left"/>
    </xf>
    <xf numFmtId="0" fontId="15" fillId="3" borderId="6" xfId="3" applyFont="1" applyFill="1" applyBorder="1" applyAlignment="1" applyProtection="1">
      <alignment horizontal="center"/>
    </xf>
    <xf numFmtId="0" fontId="15" fillId="3" borderId="10" xfId="3" applyFont="1" applyFill="1" applyBorder="1" applyAlignment="1" applyProtection="1">
      <alignment horizontal="center"/>
    </xf>
    <xf numFmtId="0" fontId="15" fillId="24" borderId="71" xfId="3" applyFont="1" applyFill="1" applyBorder="1"/>
    <xf numFmtId="164" fontId="8" fillId="24" borderId="71" xfId="3" applyNumberFormat="1" applyFont="1" applyFill="1" applyBorder="1" applyAlignment="1">
      <alignment horizontal="center"/>
    </xf>
    <xf numFmtId="1" fontId="16" fillId="23" borderId="8" xfId="3" applyNumberFormat="1" applyFont="1" applyFill="1" applyBorder="1" applyAlignment="1" applyProtection="1">
      <alignment horizontal="center"/>
    </xf>
    <xf numFmtId="0" fontId="16" fillId="5" borderId="0" xfId="3" applyFont="1" applyFill="1" applyBorder="1"/>
    <xf numFmtId="0" fontId="16" fillId="5" borderId="0" xfId="3" applyFont="1" applyFill="1" applyBorder="1" applyAlignment="1">
      <alignment horizontal="center"/>
    </xf>
    <xf numFmtId="0" fontId="16" fillId="5" borderId="72" xfId="3" applyFont="1" applyFill="1" applyBorder="1" applyAlignment="1">
      <alignment horizontal="center"/>
    </xf>
    <xf numFmtId="164" fontId="16" fillId="5" borderId="71" xfId="3" applyNumberFormat="1" applyFont="1" applyFill="1" applyBorder="1" applyAlignment="1">
      <alignment horizontal="center"/>
    </xf>
    <xf numFmtId="0" fontId="16" fillId="5" borderId="72" xfId="3" applyFont="1" applyFill="1" applyBorder="1"/>
    <xf numFmtId="0" fontId="8" fillId="24" borderId="71" xfId="3" applyFont="1" applyFill="1" applyBorder="1"/>
    <xf numFmtId="164" fontId="8" fillId="5" borderId="0" xfId="3" applyNumberFormat="1" applyFont="1" applyFill="1" applyBorder="1" applyAlignment="1">
      <alignment horizontal="center"/>
    </xf>
    <xf numFmtId="0" fontId="8" fillId="5" borderId="72" xfId="3" applyFont="1" applyFill="1" applyBorder="1"/>
    <xf numFmtId="0" fontId="8" fillId="24" borderId="68" xfId="3" applyFont="1" applyFill="1" applyBorder="1"/>
    <xf numFmtId="0" fontId="88" fillId="5" borderId="0" xfId="3" applyFont="1" applyFill="1" applyBorder="1"/>
    <xf numFmtId="0" fontId="33" fillId="21" borderId="0" xfId="3" applyFont="1" applyFill="1" applyBorder="1" applyProtection="1"/>
    <xf numFmtId="0" fontId="8" fillId="5" borderId="3" xfId="3" applyFont="1" applyFill="1" applyBorder="1"/>
    <xf numFmtId="0" fontId="8" fillId="5" borderId="4" xfId="3" applyFont="1" applyFill="1" applyBorder="1"/>
    <xf numFmtId="0" fontId="89" fillId="5" borderId="26" xfId="3" applyFont="1" applyFill="1" applyBorder="1"/>
    <xf numFmtId="0" fontId="88" fillId="21" borderId="0" xfId="3" applyFont="1" applyFill="1" applyBorder="1" applyProtection="1"/>
    <xf numFmtId="0" fontId="54" fillId="21" borderId="0" xfId="3" applyFont="1" applyFill="1" applyBorder="1" applyAlignment="1" applyProtection="1"/>
    <xf numFmtId="0" fontId="54" fillId="21" borderId="0" xfId="3" applyFont="1" applyFill="1" applyBorder="1" applyAlignment="1" applyProtection="1">
      <alignment horizontal="center"/>
    </xf>
    <xf numFmtId="0" fontId="90" fillId="5" borderId="8" xfId="3" applyFont="1" applyFill="1" applyBorder="1"/>
    <xf numFmtId="0" fontId="89" fillId="5" borderId="28" xfId="3" applyFont="1" applyFill="1" applyBorder="1"/>
    <xf numFmtId="0" fontId="89" fillId="5" borderId="28" xfId="3" applyFont="1" applyFill="1" applyBorder="1" applyAlignment="1">
      <alignment horizontal="center"/>
    </xf>
    <xf numFmtId="0" fontId="89" fillId="5" borderId="10" xfId="3" applyFont="1" applyFill="1" applyBorder="1" applyAlignment="1">
      <alignment horizontal="center"/>
    </xf>
    <xf numFmtId="0" fontId="89" fillId="5" borderId="27" xfId="3" applyFont="1" applyFill="1" applyBorder="1" applyAlignment="1">
      <alignment horizontal="center"/>
    </xf>
    <xf numFmtId="0" fontId="8" fillId="21" borderId="0" xfId="3" applyFont="1" applyFill="1" applyBorder="1" applyAlignment="1" applyProtection="1">
      <alignment horizontal="center"/>
      <protection locked="0"/>
    </xf>
    <xf numFmtId="0" fontId="8" fillId="21" borderId="0" xfId="3" applyFont="1" applyFill="1" applyBorder="1" applyProtection="1"/>
    <xf numFmtId="0" fontId="19" fillId="21" borderId="0" xfId="3" applyFont="1" applyFill="1" applyBorder="1" applyAlignment="1" applyProtection="1"/>
    <xf numFmtId="0" fontId="19" fillId="21" borderId="0" xfId="3" applyFont="1" applyFill="1" applyBorder="1" applyAlignment="1" applyProtection="1">
      <alignment horizontal="center"/>
    </xf>
    <xf numFmtId="0" fontId="8" fillId="21" borderId="0" xfId="3" applyFont="1" applyFill="1" applyBorder="1" applyAlignment="1" applyProtection="1">
      <alignment horizontal="center"/>
    </xf>
    <xf numFmtId="9" fontId="8" fillId="21" borderId="0" xfId="7" applyFont="1" applyFill="1" applyBorder="1" applyAlignment="1" applyProtection="1">
      <protection locked="0"/>
    </xf>
    <xf numFmtId="0" fontId="20" fillId="21" borderId="0" xfId="7" applyNumberFormat="1" applyFont="1" applyFill="1" applyBorder="1" applyAlignment="1" applyProtection="1">
      <alignment horizontal="center"/>
    </xf>
    <xf numFmtId="9" fontId="8" fillId="21" borderId="0" xfId="7" applyFont="1" applyFill="1" applyBorder="1" applyAlignment="1" applyProtection="1">
      <alignment horizontal="center"/>
      <protection locked="0"/>
    </xf>
    <xf numFmtId="0" fontId="19" fillId="21" borderId="0" xfId="7" applyNumberFormat="1" applyFont="1" applyFill="1" applyBorder="1" applyAlignment="1" applyProtection="1">
      <alignment horizontal="center"/>
    </xf>
    <xf numFmtId="0" fontId="19" fillId="21" borderId="0" xfId="3" applyFont="1" applyFill="1" applyBorder="1" applyAlignment="1" applyProtection="1">
      <alignment horizontal="center"/>
      <protection locked="0"/>
    </xf>
    <xf numFmtId="0" fontId="71" fillId="21" borderId="0" xfId="3" applyFont="1" applyFill="1" applyBorder="1" applyProtection="1"/>
    <xf numFmtId="9" fontId="15" fillId="21" borderId="0" xfId="7" applyFont="1" applyFill="1" applyBorder="1" applyAlignment="1" applyProtection="1"/>
    <xf numFmtId="9" fontId="15" fillId="21" borderId="0" xfId="7" applyFont="1" applyFill="1" applyBorder="1" applyAlignment="1" applyProtection="1">
      <alignment horizontal="center"/>
    </xf>
    <xf numFmtId="0" fontId="59" fillId="21" borderId="0" xfId="3" applyFont="1" applyFill="1" applyBorder="1" applyProtection="1"/>
    <xf numFmtId="0" fontId="89" fillId="5" borderId="23" xfId="3" applyFont="1" applyFill="1" applyBorder="1"/>
    <xf numFmtId="0" fontId="91" fillId="5" borderId="25" xfId="3" applyFont="1" applyFill="1" applyBorder="1" applyAlignment="1">
      <alignment horizontal="left"/>
    </xf>
    <xf numFmtId="0" fontId="89" fillId="5" borderId="30" xfId="3" applyFont="1" applyFill="1" applyBorder="1" applyAlignment="1">
      <alignment horizontal="center"/>
    </xf>
    <xf numFmtId="0" fontId="89" fillId="5" borderId="25" xfId="3" applyFont="1" applyFill="1" applyBorder="1" applyAlignment="1">
      <alignment horizontal="center"/>
    </xf>
    <xf numFmtId="0" fontId="8" fillId="5" borderId="6" xfId="3" applyFont="1" applyFill="1" applyBorder="1"/>
    <xf numFmtId="0" fontId="96" fillId="5" borderId="0" xfId="3" applyFont="1" applyFill="1" applyBorder="1"/>
    <xf numFmtId="0" fontId="8" fillId="21" borderId="0" xfId="3" applyFont="1" applyFill="1" applyBorder="1"/>
    <xf numFmtId="0" fontId="97" fillId="5" borderId="9" xfId="3" applyFont="1" applyFill="1" applyBorder="1"/>
    <xf numFmtId="0" fontId="8" fillId="21" borderId="9" xfId="3" applyFont="1" applyFill="1" applyBorder="1"/>
    <xf numFmtId="0" fontId="8" fillId="5" borderId="0" xfId="3" applyFont="1" applyFill="1" applyBorder="1" applyAlignment="1">
      <alignment horizontal="left"/>
    </xf>
    <xf numFmtId="0" fontId="8" fillId="21" borderId="0" xfId="3" applyFont="1" applyFill="1" applyBorder="1" applyAlignment="1">
      <alignment horizontal="center"/>
    </xf>
    <xf numFmtId="0" fontId="37" fillId="5" borderId="0" xfId="3" applyFont="1" applyFill="1" applyBorder="1"/>
    <xf numFmtId="0" fontId="37" fillId="5" borderId="0" xfId="3" applyFont="1" applyFill="1" applyBorder="1" applyAlignment="1">
      <alignment horizontal="left"/>
    </xf>
    <xf numFmtId="0" fontId="37" fillId="5" borderId="0" xfId="3" applyFont="1" applyFill="1" applyBorder="1" applyAlignment="1">
      <alignment horizontal="center"/>
    </xf>
    <xf numFmtId="0" fontId="8" fillId="5" borderId="0" xfId="3" applyFont="1" applyFill="1" applyBorder="1" applyAlignment="1">
      <alignment horizontal="center"/>
    </xf>
    <xf numFmtId="2" fontId="8" fillId="5" borderId="0" xfId="3" applyNumberFormat="1" applyFont="1" applyFill="1" applyBorder="1" applyAlignment="1">
      <alignment horizontal="center"/>
    </xf>
    <xf numFmtId="0" fontId="11" fillId="5" borderId="0" xfId="3" applyFont="1" applyFill="1" applyBorder="1" applyAlignment="1">
      <alignment horizontal="left"/>
    </xf>
    <xf numFmtId="0" fontId="8" fillId="0" borderId="0" xfId="3" applyFont="1" applyAlignment="1" applyProtection="1">
      <alignment horizontal="left"/>
    </xf>
    <xf numFmtId="0" fontId="8" fillId="22" borderId="0" xfId="3" applyFont="1" applyFill="1" applyBorder="1" applyAlignment="1" applyProtection="1">
      <alignment horizontal="center"/>
    </xf>
    <xf numFmtId="0" fontId="8" fillId="22" borderId="0" xfId="3" applyFont="1" applyFill="1" applyBorder="1" applyAlignment="1">
      <alignment horizontal="center"/>
    </xf>
    <xf numFmtId="0" fontId="11" fillId="5" borderId="0" xfId="3" applyFont="1" applyFill="1" applyBorder="1"/>
    <xf numFmtId="0" fontId="8" fillId="11" borderId="0" xfId="3" applyFont="1" applyFill="1" applyBorder="1"/>
    <xf numFmtId="0" fontId="8" fillId="22" borderId="0" xfId="3" applyFont="1" applyFill="1" applyBorder="1"/>
    <xf numFmtId="0" fontId="8" fillId="5" borderId="9" xfId="3" applyFont="1" applyFill="1" applyBorder="1" applyAlignment="1">
      <alignment horizontal="left"/>
    </xf>
    <xf numFmtId="0" fontId="8" fillId="21" borderId="9" xfId="3" applyFont="1" applyFill="1" applyBorder="1" applyAlignment="1">
      <alignment horizontal="center"/>
    </xf>
    <xf numFmtId="0" fontId="8" fillId="0" borderId="0" xfId="3" applyFont="1" applyAlignment="1">
      <alignment horizontal="left"/>
    </xf>
    <xf numFmtId="0" fontId="8" fillId="23" borderId="4" xfId="3" applyFont="1" applyFill="1" applyBorder="1" applyAlignment="1" applyProtection="1">
      <alignment horizontal="center"/>
    </xf>
    <xf numFmtId="0" fontId="8" fillId="23" borderId="5" xfId="3" applyFont="1" applyFill="1" applyBorder="1" applyAlignment="1" applyProtection="1">
      <alignment horizontal="center"/>
    </xf>
    <xf numFmtId="0" fontId="8" fillId="7" borderId="69" xfId="3" applyFont="1" applyFill="1" applyBorder="1"/>
    <xf numFmtId="0" fontId="8" fillId="7" borderId="69" xfId="3" applyFont="1" applyFill="1" applyBorder="1" applyAlignment="1">
      <alignment horizontal="center"/>
    </xf>
    <xf numFmtId="0" fontId="8" fillId="7" borderId="70" xfId="3" applyFont="1" applyFill="1" applyBorder="1" applyAlignment="1">
      <alignment horizontal="center"/>
    </xf>
    <xf numFmtId="0" fontId="8" fillId="7" borderId="70" xfId="3" applyFont="1" applyFill="1" applyBorder="1"/>
    <xf numFmtId="0" fontId="8" fillId="23" borderId="6" xfId="3" applyFont="1" applyFill="1" applyBorder="1" applyAlignment="1" applyProtection="1">
      <alignment horizontal="left"/>
    </xf>
    <xf numFmtId="0" fontId="8" fillId="23" borderId="0" xfId="3" applyFont="1" applyFill="1" applyBorder="1" applyAlignment="1" applyProtection="1">
      <alignment horizontal="left"/>
    </xf>
    <xf numFmtId="0" fontId="8" fillId="23" borderId="0" xfId="3" applyFont="1" applyFill="1" applyBorder="1" applyAlignment="1" applyProtection="1">
      <alignment horizontal="center"/>
    </xf>
    <xf numFmtId="0" fontId="8" fillId="23" borderId="6" xfId="3" applyFont="1" applyFill="1" applyBorder="1" applyAlignment="1" applyProtection="1">
      <alignment horizontal="center"/>
    </xf>
    <xf numFmtId="0" fontId="8" fillId="23" borderId="7" xfId="3" applyFont="1" applyFill="1" applyBorder="1" applyAlignment="1" applyProtection="1">
      <alignment horizontal="center"/>
    </xf>
    <xf numFmtId="0" fontId="8" fillId="5" borderId="72" xfId="3" applyFont="1" applyFill="1" applyBorder="1" applyAlignment="1">
      <alignment horizontal="center"/>
    </xf>
    <xf numFmtId="0" fontId="8" fillId="5" borderId="73" xfId="3" applyFont="1" applyFill="1" applyBorder="1"/>
    <xf numFmtId="0" fontId="8" fillId="5" borderId="74" xfId="3" applyFont="1" applyFill="1" applyBorder="1"/>
    <xf numFmtId="0" fontId="8" fillId="23" borderId="0" xfId="3" applyFont="1" applyFill="1" applyAlignment="1" applyProtection="1">
      <alignment horizontal="left"/>
    </xf>
    <xf numFmtId="0" fontId="8" fillId="23" borderId="7" xfId="3" applyFont="1" applyFill="1" applyBorder="1" applyAlignment="1" applyProtection="1">
      <alignment horizontal="left"/>
    </xf>
    <xf numFmtId="0" fontId="8" fillId="23" borderId="0" xfId="3" applyFont="1" applyFill="1" applyBorder="1" applyAlignment="1" applyProtection="1"/>
    <xf numFmtId="0" fontId="8" fillId="23" borderId="7" xfId="3" applyFont="1" applyFill="1" applyBorder="1" applyAlignment="1" applyProtection="1"/>
    <xf numFmtId="0" fontId="8" fillId="5" borderId="71" xfId="3" applyFont="1" applyFill="1" applyBorder="1" applyAlignment="1">
      <alignment horizontal="left"/>
    </xf>
    <xf numFmtId="0" fontId="8" fillId="5" borderId="71" xfId="3" applyFont="1" applyFill="1" applyBorder="1" applyAlignment="1">
      <alignment horizontal="center"/>
    </xf>
    <xf numFmtId="4" fontId="8" fillId="23" borderId="0" xfId="3" applyNumberFormat="1" applyFont="1" applyFill="1" applyAlignment="1" applyProtection="1">
      <alignment horizontal="center"/>
    </xf>
    <xf numFmtId="4" fontId="8" fillId="23" borderId="0" xfId="3" applyNumberFormat="1" applyFont="1" applyFill="1" applyBorder="1" applyAlignment="1" applyProtection="1">
      <alignment horizontal="center"/>
    </xf>
    <xf numFmtId="4" fontId="8" fillId="23" borderId="7" xfId="3" applyNumberFormat="1" applyFont="1" applyFill="1" applyBorder="1" applyAlignment="1" applyProtection="1">
      <alignment horizontal="center"/>
    </xf>
    <xf numFmtId="4" fontId="8" fillId="23" borderId="0" xfId="3" applyNumberFormat="1" applyFont="1" applyFill="1" applyBorder="1" applyAlignment="1" applyProtection="1"/>
    <xf numFmtId="4" fontId="8" fillId="23" borderId="7" xfId="3" applyNumberFormat="1" applyFont="1" applyFill="1" applyBorder="1" applyAlignment="1" applyProtection="1"/>
    <xf numFmtId="0" fontId="8" fillId="5" borderId="75" xfId="3" applyFont="1" applyFill="1" applyBorder="1" applyAlignment="1">
      <alignment horizontal="left"/>
    </xf>
    <xf numFmtId="0" fontId="8" fillId="5" borderId="76" xfId="3" applyFont="1" applyFill="1" applyBorder="1"/>
    <xf numFmtId="0" fontId="8" fillId="5" borderId="76" xfId="3" applyFont="1" applyFill="1" applyBorder="1" applyAlignment="1">
      <alignment horizontal="center"/>
    </xf>
    <xf numFmtId="0" fontId="8" fillId="5" borderId="77" xfId="3" applyFont="1" applyFill="1" applyBorder="1" applyAlignment="1">
      <alignment horizontal="center"/>
    </xf>
    <xf numFmtId="0" fontId="8" fillId="5" borderId="75" xfId="3" applyFont="1" applyFill="1" applyBorder="1" applyAlignment="1">
      <alignment horizontal="center"/>
    </xf>
    <xf numFmtId="0" fontId="8" fillId="5" borderId="77" xfId="3" applyFont="1" applyFill="1" applyBorder="1"/>
    <xf numFmtId="0" fontId="8" fillId="5" borderId="78" xfId="3" applyFont="1" applyFill="1" applyBorder="1"/>
    <xf numFmtId="164" fontId="8" fillId="5" borderId="71" xfId="3" applyNumberFormat="1" applyFont="1" applyFill="1" applyBorder="1" applyAlignment="1">
      <alignment horizontal="center"/>
    </xf>
    <xf numFmtId="0" fontId="8" fillId="23" borderId="9" xfId="3" applyFont="1" applyFill="1" applyBorder="1" applyAlignment="1" applyProtection="1">
      <alignment horizontal="center"/>
    </xf>
    <xf numFmtId="0" fontId="8" fillId="23" borderId="10" xfId="3" applyFont="1" applyFill="1" applyBorder="1" applyAlignment="1" applyProtection="1">
      <alignment horizontal="center"/>
    </xf>
    <xf numFmtId="0" fontId="8" fillId="23" borderId="8" xfId="3" applyFont="1" applyFill="1" applyBorder="1" applyAlignment="1" applyProtection="1"/>
    <xf numFmtId="0" fontId="8" fillId="23" borderId="9" xfId="3" applyFont="1" applyFill="1" applyBorder="1" applyAlignment="1" applyProtection="1"/>
    <xf numFmtId="0" fontId="8" fillId="23" borderId="10" xfId="3" applyFont="1" applyFill="1" applyBorder="1" applyAlignment="1" applyProtection="1"/>
    <xf numFmtId="0" fontId="8" fillId="23" borderId="4" xfId="3" applyFont="1" applyFill="1" applyBorder="1" applyAlignment="1" applyProtection="1">
      <alignment horizontal="left"/>
    </xf>
    <xf numFmtId="0" fontId="8" fillId="23" borderId="30" xfId="3" applyFont="1" applyFill="1" applyBorder="1" applyAlignment="1" applyProtection="1">
      <alignment horizontal="left"/>
    </xf>
    <xf numFmtId="0" fontId="8" fillId="23" borderId="3" xfId="3" applyFont="1" applyFill="1" applyBorder="1" applyAlignment="1" applyProtection="1">
      <alignment horizontal="left"/>
    </xf>
    <xf numFmtId="0" fontId="8" fillId="23" borderId="5" xfId="3" applyFont="1" applyFill="1" applyBorder="1" applyAlignment="1" applyProtection="1">
      <alignment horizontal="left"/>
    </xf>
    <xf numFmtId="0" fontId="8" fillId="23" borderId="26" xfId="3" applyFont="1" applyFill="1" applyBorder="1" applyAlignment="1" applyProtection="1">
      <alignment horizontal="left"/>
    </xf>
    <xf numFmtId="0" fontId="8" fillId="23" borderId="27" xfId="3" applyFont="1" applyFill="1" applyBorder="1" applyAlignment="1" applyProtection="1">
      <alignment horizontal="left"/>
    </xf>
    <xf numFmtId="0" fontId="8" fillId="23" borderId="8" xfId="3" applyFont="1" applyFill="1" applyBorder="1" applyAlignment="1" applyProtection="1">
      <alignment horizontal="left"/>
    </xf>
    <xf numFmtId="0" fontId="8" fillId="23" borderId="9" xfId="3" applyFont="1" applyFill="1" applyBorder="1" applyAlignment="1" applyProtection="1">
      <alignment horizontal="left"/>
    </xf>
    <xf numFmtId="0" fontId="8" fillId="23" borderId="10" xfId="3" applyFont="1" applyFill="1" applyBorder="1" applyAlignment="1" applyProtection="1">
      <alignment horizontal="left"/>
    </xf>
    <xf numFmtId="0" fontId="8" fillId="23" borderId="28" xfId="3" applyFont="1" applyFill="1" applyBorder="1" applyAlignment="1" applyProtection="1">
      <alignment horizontal="left"/>
    </xf>
    <xf numFmtId="0" fontId="8" fillId="20" borderId="71" xfId="3" applyFont="1" applyFill="1" applyBorder="1"/>
    <xf numFmtId="164" fontId="8" fillId="23" borderId="0" xfId="3" applyNumberFormat="1" applyFont="1" applyFill="1" applyBorder="1" applyAlignment="1" applyProtection="1">
      <alignment horizontal="center"/>
    </xf>
    <xf numFmtId="164" fontId="8" fillId="23" borderId="27" xfId="3" applyNumberFormat="1" applyFont="1" applyFill="1" applyBorder="1" applyAlignment="1" applyProtection="1">
      <alignment horizontal="center"/>
    </xf>
    <xf numFmtId="0" fontId="8" fillId="23" borderId="8" xfId="3" applyFont="1" applyFill="1" applyBorder="1" applyAlignment="1" applyProtection="1">
      <alignment horizontal="center"/>
    </xf>
    <xf numFmtId="0" fontId="8" fillId="0" borderId="0" xfId="3" applyFont="1" applyFill="1" applyAlignment="1" applyProtection="1">
      <alignment horizontal="center"/>
    </xf>
    <xf numFmtId="0" fontId="8" fillId="23" borderId="0" xfId="3" applyFont="1" applyFill="1" applyAlignment="1" applyProtection="1">
      <alignment horizontal="center"/>
    </xf>
    <xf numFmtId="164" fontId="8" fillId="0" borderId="71" xfId="3" applyNumberFormat="1" applyFont="1" applyFill="1" applyBorder="1" applyAlignment="1">
      <alignment horizontal="center"/>
    </xf>
    <xf numFmtId="2" fontId="8" fillId="5" borderId="71" xfId="3" applyNumberFormat="1" applyFont="1" applyFill="1" applyBorder="1" applyAlignment="1">
      <alignment horizontal="center"/>
    </xf>
    <xf numFmtId="0" fontId="8" fillId="3" borderId="6" xfId="3" applyFont="1" applyFill="1" applyBorder="1" applyAlignment="1" applyProtection="1">
      <alignment horizontal="center"/>
    </xf>
    <xf numFmtId="0" fontId="8" fillId="3" borderId="0" xfId="3" applyFont="1" applyFill="1" applyBorder="1" applyAlignment="1" applyProtection="1">
      <alignment horizontal="center"/>
    </xf>
    <xf numFmtId="0" fontId="8" fillId="3" borderId="26" xfId="3" applyFont="1" applyFill="1" applyBorder="1" applyAlignment="1" applyProtection="1">
      <alignment horizontal="center"/>
    </xf>
    <xf numFmtId="164" fontId="8" fillId="5" borderId="76" xfId="3" applyNumberFormat="1" applyFont="1" applyFill="1" applyBorder="1" applyAlignment="1">
      <alignment horizontal="center"/>
    </xf>
    <xf numFmtId="164" fontId="8" fillId="5" borderId="77" xfId="3" applyNumberFormat="1" applyFont="1" applyFill="1" applyBorder="1" applyAlignment="1">
      <alignment horizontal="center"/>
    </xf>
    <xf numFmtId="1" fontId="8" fillId="5" borderId="75" xfId="3" applyNumberFormat="1" applyFont="1" applyFill="1" applyBorder="1" applyAlignment="1">
      <alignment horizontal="center"/>
    </xf>
    <xf numFmtId="0" fontId="8" fillId="3" borderId="8" xfId="3" applyFont="1" applyFill="1" applyBorder="1" applyAlignment="1" applyProtection="1">
      <alignment horizontal="center"/>
    </xf>
    <xf numFmtId="0" fontId="8" fillId="3" borderId="9" xfId="3" applyFont="1" applyFill="1" applyBorder="1" applyAlignment="1" applyProtection="1">
      <alignment horizontal="center"/>
    </xf>
    <xf numFmtId="0" fontId="8" fillId="3" borderId="28" xfId="3" applyFont="1" applyFill="1" applyBorder="1" applyAlignment="1" applyProtection="1">
      <alignment horizontal="center"/>
    </xf>
    <xf numFmtId="0" fontId="8" fillId="5" borderId="69" xfId="3" applyFont="1" applyFill="1" applyBorder="1"/>
    <xf numFmtId="164" fontId="8" fillId="5" borderId="69" xfId="3" applyNumberFormat="1" applyFont="1" applyFill="1" applyBorder="1" applyAlignment="1">
      <alignment horizontal="center"/>
    </xf>
    <xf numFmtId="1" fontId="8" fillId="20" borderId="68" xfId="3" applyNumberFormat="1" applyFont="1" applyFill="1" applyBorder="1" applyAlignment="1">
      <alignment horizontal="center"/>
    </xf>
    <xf numFmtId="0" fontId="8" fillId="5" borderId="70" xfId="3" applyFont="1" applyFill="1" applyBorder="1"/>
    <xf numFmtId="0" fontId="8" fillId="3" borderId="3" xfId="3" applyFont="1" applyFill="1" applyBorder="1" applyAlignment="1" applyProtection="1">
      <alignment horizontal="center"/>
    </xf>
    <xf numFmtId="0" fontId="8" fillId="3" borderId="4" xfId="3" applyFont="1" applyFill="1" applyBorder="1" applyAlignment="1" applyProtection="1">
      <alignment horizontal="center"/>
    </xf>
    <xf numFmtId="0" fontId="8" fillId="3" borderId="26" xfId="3" quotePrefix="1" applyFont="1" applyFill="1" applyBorder="1" applyAlignment="1" applyProtection="1">
      <alignment horizontal="center"/>
    </xf>
    <xf numFmtId="164" fontId="8" fillId="5" borderId="70" xfId="3" applyNumberFormat="1" applyFont="1" applyFill="1" applyBorder="1" applyAlignment="1">
      <alignment horizontal="center"/>
    </xf>
    <xf numFmtId="1" fontId="8" fillId="5" borderId="68" xfId="3" applyNumberFormat="1" applyFont="1" applyFill="1" applyBorder="1" applyAlignment="1">
      <alignment horizontal="center"/>
    </xf>
    <xf numFmtId="0" fontId="8" fillId="3" borderId="6" xfId="3" applyFont="1" applyFill="1" applyBorder="1" applyAlignment="1" applyProtection="1">
      <alignment horizontal="left"/>
    </xf>
    <xf numFmtId="164" fontId="8" fillId="23" borderId="6" xfId="3" applyNumberFormat="1" applyFont="1" applyFill="1" applyBorder="1" applyAlignment="1" applyProtection="1">
      <alignment horizontal="center"/>
    </xf>
    <xf numFmtId="0" fontId="8" fillId="3" borderId="8" xfId="3" applyFont="1" applyFill="1" applyBorder="1" applyAlignment="1" applyProtection="1">
      <alignment horizontal="left"/>
    </xf>
    <xf numFmtId="164" fontId="8" fillId="23" borderId="8" xfId="3" applyNumberFormat="1" applyFont="1" applyFill="1" applyBorder="1" applyAlignment="1" applyProtection="1">
      <alignment horizontal="center"/>
    </xf>
    <xf numFmtId="0" fontId="8" fillId="3" borderId="9" xfId="3" applyFont="1" applyFill="1" applyBorder="1" applyAlignment="1" applyProtection="1">
      <alignment horizontal="left"/>
    </xf>
    <xf numFmtId="0" fontId="8" fillId="5" borderId="7" xfId="3" applyFont="1" applyFill="1" applyBorder="1"/>
    <xf numFmtId="0" fontId="8" fillId="5" borderId="4" xfId="3" applyFont="1" applyFill="1" applyBorder="1" applyAlignment="1">
      <alignment horizontal="left"/>
    </xf>
    <xf numFmtId="0" fontId="8" fillId="24" borderId="4" xfId="3" applyFont="1" applyFill="1" applyBorder="1" applyAlignment="1">
      <alignment horizontal="left"/>
    </xf>
    <xf numFmtId="0" fontId="8" fillId="5" borderId="27" xfId="3" applyFont="1" applyFill="1" applyBorder="1" applyAlignment="1">
      <alignment horizontal="center"/>
    </xf>
    <xf numFmtId="0" fontId="8" fillId="5" borderId="26" xfId="3" applyFont="1" applyFill="1" applyBorder="1" applyAlignment="1">
      <alignment horizontal="center"/>
    </xf>
    <xf numFmtId="164" fontId="8" fillId="5" borderId="26" xfId="3" applyNumberFormat="1" applyFont="1" applyFill="1" applyBorder="1" applyAlignment="1">
      <alignment horizontal="center"/>
    </xf>
    <xf numFmtId="9" fontId="8" fillId="24" borderId="26" xfId="3" applyNumberFormat="1" applyFont="1" applyFill="1" applyBorder="1" applyAlignment="1">
      <alignment horizontal="center"/>
    </xf>
    <xf numFmtId="9" fontId="8" fillId="24" borderId="5" xfId="3" applyNumberFormat="1" applyFont="1" applyFill="1" applyBorder="1" applyAlignment="1">
      <alignment horizontal="center"/>
    </xf>
    <xf numFmtId="164" fontId="8" fillId="20" borderId="26" xfId="3" applyNumberFormat="1" applyFont="1" applyFill="1" applyBorder="1" applyAlignment="1">
      <alignment horizontal="center"/>
    </xf>
    <xf numFmtId="0" fontId="8" fillId="24" borderId="7" xfId="3" applyFont="1" applyFill="1" applyBorder="1" applyAlignment="1">
      <alignment horizontal="left"/>
    </xf>
    <xf numFmtId="164" fontId="8" fillId="5" borderId="27" xfId="3" applyNumberFormat="1" applyFont="1" applyFill="1" applyBorder="1" applyAlignment="1">
      <alignment horizontal="center"/>
    </xf>
    <xf numFmtId="9" fontId="8" fillId="24" borderId="27" xfId="3" applyNumberFormat="1" applyFont="1" applyFill="1" applyBorder="1" applyAlignment="1">
      <alignment horizontal="center"/>
    </xf>
    <xf numFmtId="9" fontId="8" fillId="24" borderId="7" xfId="3" applyNumberFormat="1" applyFont="1" applyFill="1" applyBorder="1" applyAlignment="1">
      <alignment horizontal="center"/>
    </xf>
    <xf numFmtId="164" fontId="8" fillId="20" borderId="27" xfId="3" applyNumberFormat="1" applyFont="1" applyFill="1" applyBorder="1" applyAlignment="1">
      <alignment horizontal="center"/>
    </xf>
    <xf numFmtId="0" fontId="8" fillId="5" borderId="6" xfId="3" applyFont="1" applyFill="1" applyBorder="1" applyAlignment="1">
      <alignment horizontal="left"/>
    </xf>
    <xf numFmtId="0" fontId="8" fillId="5" borderId="8" xfId="3" applyFont="1" applyFill="1" applyBorder="1" applyAlignment="1">
      <alignment horizontal="left"/>
    </xf>
    <xf numFmtId="0" fontId="8" fillId="24" borderId="10" xfId="3" applyFont="1" applyFill="1" applyBorder="1" applyAlignment="1">
      <alignment horizontal="left"/>
    </xf>
    <xf numFmtId="0" fontId="8" fillId="5" borderId="28" xfId="3" applyFont="1" applyFill="1" applyBorder="1" applyAlignment="1">
      <alignment horizontal="center"/>
    </xf>
    <xf numFmtId="164" fontId="8" fillId="5" borderId="28" xfId="3" applyNumberFormat="1" applyFont="1" applyFill="1" applyBorder="1" applyAlignment="1">
      <alignment horizontal="center"/>
    </xf>
    <xf numFmtId="9" fontId="8" fillId="24" borderId="28" xfId="3" applyNumberFormat="1" applyFont="1" applyFill="1" applyBorder="1" applyAlignment="1">
      <alignment horizontal="center"/>
    </xf>
    <xf numFmtId="9" fontId="8" fillId="24" borderId="10" xfId="3" applyNumberFormat="1" applyFont="1" applyFill="1" applyBorder="1" applyAlignment="1">
      <alignment horizontal="center"/>
    </xf>
    <xf numFmtId="164" fontId="8" fillId="20" borderId="28" xfId="3" applyNumberFormat="1" applyFont="1" applyFill="1" applyBorder="1" applyAlignment="1">
      <alignment horizontal="center"/>
    </xf>
    <xf numFmtId="164" fontId="8" fillId="20" borderId="30" xfId="3" applyNumberFormat="1" applyFont="1" applyFill="1" applyBorder="1" applyAlignment="1">
      <alignment horizontal="center"/>
    </xf>
    <xf numFmtId="0" fontId="8" fillId="5" borderId="0" xfId="3" applyFont="1" applyFill="1"/>
    <xf numFmtId="0" fontId="8" fillId="5" borderId="7" xfId="3" applyFont="1" applyFill="1" applyBorder="1" applyAlignment="1">
      <alignment horizontal="left"/>
    </xf>
    <xf numFmtId="0" fontId="8" fillId="5" borderId="7" xfId="3" applyFont="1" applyFill="1" applyBorder="1" applyAlignment="1">
      <alignment horizontal="center"/>
    </xf>
    <xf numFmtId="0" fontId="8" fillId="5" borderId="0" xfId="3" applyFont="1" applyFill="1" applyAlignment="1">
      <alignment horizontal="left"/>
    </xf>
    <xf numFmtId="0" fontId="8" fillId="5" borderId="8" xfId="3" applyFont="1" applyFill="1" applyBorder="1"/>
    <xf numFmtId="0" fontId="8" fillId="5" borderId="10" xfId="3" applyFont="1" applyFill="1" applyBorder="1" applyAlignment="1">
      <alignment horizontal="center"/>
    </xf>
    <xf numFmtId="3" fontId="8" fillId="41" borderId="0" xfId="3" applyNumberFormat="1" applyFont="1" applyFill="1" applyBorder="1" applyAlignment="1">
      <alignment horizontal="center"/>
    </xf>
    <xf numFmtId="2" fontId="8" fillId="40" borderId="0" xfId="3" applyNumberFormat="1" applyFont="1" applyFill="1" applyBorder="1" applyAlignment="1">
      <alignment horizontal="center"/>
    </xf>
    <xf numFmtId="176" fontId="8" fillId="40" borderId="0" xfId="3" applyNumberFormat="1" applyFont="1" applyFill="1" applyBorder="1" applyAlignment="1">
      <alignment horizontal="center"/>
    </xf>
    <xf numFmtId="0" fontId="8" fillId="41" borderId="0" xfId="3" applyFont="1" applyFill="1" applyBorder="1" applyAlignment="1">
      <alignment horizontal="center"/>
    </xf>
    <xf numFmtId="0" fontId="8" fillId="42" borderId="0" xfId="3" applyFont="1" applyFill="1" applyBorder="1" applyAlignment="1">
      <alignment horizontal="center"/>
    </xf>
    <xf numFmtId="164" fontId="8" fillId="42" borderId="0" xfId="3" applyNumberFormat="1" applyFont="1" applyFill="1" applyBorder="1" applyAlignment="1">
      <alignment horizontal="center"/>
    </xf>
    <xf numFmtId="176" fontId="8" fillId="42" borderId="0" xfId="3" applyNumberFormat="1" applyFont="1" applyFill="1" applyBorder="1" applyAlignment="1">
      <alignment horizontal="center"/>
    </xf>
    <xf numFmtId="2" fontId="8" fillId="14" borderId="0" xfId="3" applyNumberFormat="1" applyFont="1" applyFill="1" applyBorder="1" applyAlignment="1">
      <alignment horizontal="center"/>
    </xf>
    <xf numFmtId="0" fontId="8" fillId="0" borderId="0" xfId="0" applyFont="1" applyFill="1" applyBorder="1" applyAlignment="1">
      <alignment horizontal="center" textRotation="90" wrapText="1"/>
    </xf>
    <xf numFmtId="1" fontId="8" fillId="21" borderId="0" xfId="3" applyNumberFormat="1" applyFont="1" applyFill="1" applyBorder="1" applyAlignment="1">
      <alignment horizontal="center"/>
    </xf>
    <xf numFmtId="0" fontId="98" fillId="40" borderId="0" xfId="3" applyFont="1" applyFill="1" applyBorder="1" applyAlignment="1">
      <alignment horizontal="center"/>
    </xf>
    <xf numFmtId="164" fontId="8" fillId="14" borderId="0" xfId="3" applyNumberFormat="1" applyFont="1" applyFill="1" applyBorder="1" applyAlignment="1">
      <alignment horizontal="center"/>
    </xf>
    <xf numFmtId="0" fontId="8" fillId="40" borderId="0" xfId="3" applyFont="1" applyFill="1" applyBorder="1" applyAlignment="1">
      <alignment horizontal="center"/>
    </xf>
    <xf numFmtId="0" fontId="8" fillId="14" borderId="0" xfId="3" applyFont="1" applyFill="1" applyBorder="1"/>
    <xf numFmtId="0" fontId="8" fillId="42" borderId="0" xfId="3" applyFont="1" applyFill="1" applyBorder="1"/>
    <xf numFmtId="0" fontId="8" fillId="40" borderId="0" xfId="3" applyFont="1" applyFill="1" applyBorder="1"/>
    <xf numFmtId="0" fontId="8" fillId="41" borderId="0" xfId="3" applyFont="1" applyFill="1" applyBorder="1"/>
    <xf numFmtId="0" fontId="15" fillId="8" borderId="0" xfId="3" applyFont="1" applyFill="1" applyBorder="1"/>
    <xf numFmtId="164" fontId="15" fillId="8" borderId="0" xfId="3" applyNumberFormat="1" applyFont="1" applyFill="1" applyBorder="1"/>
    <xf numFmtId="0" fontId="8" fillId="0" borderId="10" xfId="0" applyFont="1" applyBorder="1"/>
    <xf numFmtId="0" fontId="15" fillId="11" borderId="68" xfId="3" applyFont="1" applyFill="1" applyBorder="1"/>
    <xf numFmtId="2" fontId="8" fillId="14" borderId="0" xfId="3" applyNumberFormat="1" applyFont="1" applyFill="1" applyBorder="1" applyAlignment="1">
      <alignment horizontal="left"/>
    </xf>
    <xf numFmtId="0" fontId="15" fillId="14" borderId="69" xfId="3" applyFont="1" applyFill="1" applyBorder="1"/>
    <xf numFmtId="1" fontId="8" fillId="14" borderId="68" xfId="3" applyNumberFormat="1" applyFont="1" applyFill="1" applyBorder="1" applyAlignment="1">
      <alignment horizontal="center"/>
    </xf>
    <xf numFmtId="0" fontId="15" fillId="14" borderId="0" xfId="3" applyFont="1" applyFill="1" applyBorder="1" applyAlignment="1">
      <alignment horizontal="left"/>
    </xf>
    <xf numFmtId="1" fontId="82" fillId="0" borderId="27" xfId="6" applyNumberFormat="1" applyFont="1" applyFill="1" applyBorder="1" applyAlignment="1">
      <alignment horizontal="center"/>
    </xf>
    <xf numFmtId="1" fontId="82" fillId="0" borderId="30" xfId="6" applyNumberFormat="1" applyFont="1" applyFill="1" applyBorder="1" applyAlignment="1">
      <alignment horizontal="center"/>
    </xf>
    <xf numFmtId="1" fontId="8" fillId="14" borderId="0" xfId="3" applyNumberFormat="1" applyFont="1" applyFill="1" applyBorder="1" applyAlignment="1">
      <alignment horizontal="center"/>
    </xf>
    <xf numFmtId="1" fontId="8" fillId="14" borderId="0" xfId="3" applyNumberFormat="1" applyFont="1" applyFill="1" applyBorder="1" applyAlignment="1">
      <alignment horizontal="left"/>
    </xf>
    <xf numFmtId="164" fontId="98" fillId="14" borderId="0" xfId="3" applyNumberFormat="1" applyFont="1" applyFill="1" applyBorder="1" applyAlignment="1">
      <alignment horizontal="center"/>
    </xf>
    <xf numFmtId="164" fontId="11" fillId="0" borderId="3" xfId="0" applyNumberFormat="1" applyFont="1" applyFill="1" applyBorder="1" applyAlignment="1">
      <alignment horizontal="center"/>
    </xf>
    <xf numFmtId="164" fontId="11" fillId="0" borderId="6" xfId="0" applyNumberFormat="1" applyFont="1" applyFill="1" applyBorder="1" applyAlignment="1">
      <alignment horizontal="center"/>
    </xf>
    <xf numFmtId="0" fontId="11" fillId="0" borderId="7" xfId="0" applyFont="1" applyFill="1" applyBorder="1"/>
    <xf numFmtId="164" fontId="11" fillId="0" borderId="8" xfId="0" applyNumberFormat="1" applyFont="1" applyFill="1" applyBorder="1" applyAlignment="1">
      <alignment horizontal="center"/>
    </xf>
    <xf numFmtId="0" fontId="11" fillId="0" borderId="10" xfId="0" applyFont="1" applyFill="1" applyBorder="1"/>
    <xf numFmtId="1" fontId="11" fillId="0" borderId="3" xfId="0" applyNumberFormat="1" applyFont="1" applyFill="1" applyBorder="1" applyAlignment="1">
      <alignment horizontal="center"/>
    </xf>
    <xf numFmtId="1" fontId="11" fillId="0" borderId="6" xfId="0" applyNumberFormat="1" applyFont="1" applyFill="1" applyBorder="1" applyAlignment="1">
      <alignment horizontal="center"/>
    </xf>
    <xf numFmtId="1" fontId="11" fillId="0" borderId="8" xfId="0" applyNumberFormat="1" applyFont="1" applyFill="1" applyBorder="1" applyAlignment="1">
      <alignment horizontal="center"/>
    </xf>
    <xf numFmtId="49" fontId="10" fillId="0" borderId="58" xfId="0" quotePrefix="1" applyNumberFormat="1" applyFont="1" applyBorder="1" applyAlignment="1">
      <alignment horizontal="center" vertical="top" wrapText="1"/>
    </xf>
    <xf numFmtId="0" fontId="13" fillId="0" borderId="0" xfId="0" applyFont="1" applyFill="1" applyAlignment="1"/>
    <xf numFmtId="0" fontId="13" fillId="0" borderId="0" xfId="0" applyFont="1" applyFill="1" applyAlignment="1">
      <alignment horizontal="right"/>
    </xf>
    <xf numFmtId="164" fontId="8" fillId="0" borderId="2" xfId="0" applyNumberFormat="1" applyFont="1" applyFill="1" applyBorder="1" applyAlignment="1">
      <alignment vertical="center"/>
    </xf>
    <xf numFmtId="164" fontId="8" fillId="0" borderId="0" xfId="0" applyNumberFormat="1" applyFont="1" applyFill="1" applyBorder="1" applyAlignment="1">
      <alignment horizontal="right" vertical="center"/>
    </xf>
    <xf numFmtId="0" fontId="8" fillId="0" borderId="0" xfId="0" applyFont="1" applyFill="1" applyBorder="1"/>
    <xf numFmtId="0" fontId="8" fillId="0" borderId="4" xfId="0" applyFont="1" applyFill="1" applyBorder="1" applyAlignment="1">
      <alignment vertical="center"/>
    </xf>
    <xf numFmtId="0" fontId="8" fillId="0" borderId="52" xfId="0" applyFont="1" applyFill="1" applyBorder="1" applyAlignment="1">
      <alignment horizontal="center" textRotation="90" wrapText="1"/>
    </xf>
    <xf numFmtId="0" fontId="8" fillId="0" borderId="33" xfId="0" applyFont="1" applyFill="1" applyBorder="1" applyAlignment="1">
      <alignment horizontal="center" textRotation="90"/>
    </xf>
    <xf numFmtId="0" fontId="8" fillId="0" borderId="35" xfId="0" applyFont="1" applyFill="1" applyBorder="1" applyAlignment="1">
      <alignment horizontal="center" textRotation="90"/>
    </xf>
    <xf numFmtId="164" fontId="8" fillId="0" borderId="57" xfId="0" quotePrefix="1" applyNumberFormat="1" applyFont="1" applyFill="1" applyBorder="1" applyAlignment="1">
      <alignment horizontal="center" vertical="top" wrapText="1"/>
    </xf>
    <xf numFmtId="0" fontId="8" fillId="0" borderId="4" xfId="0" applyFont="1" applyFill="1" applyBorder="1" applyAlignment="1">
      <alignment vertical="top" wrapText="1"/>
    </xf>
    <xf numFmtId="164" fontId="8" fillId="0" borderId="53" xfId="0" quotePrefix="1" applyNumberFormat="1" applyFont="1" applyFill="1" applyBorder="1" applyAlignment="1">
      <alignment horizontal="center" vertical="top" wrapText="1"/>
    </xf>
    <xf numFmtId="0" fontId="8" fillId="0" borderId="9" xfId="0" applyFont="1" applyFill="1" applyBorder="1" applyAlignment="1">
      <alignment vertical="top" wrapText="1"/>
    </xf>
    <xf numFmtId="164" fontId="8" fillId="0" borderId="58" xfId="0" quotePrefix="1" applyNumberFormat="1" applyFont="1" applyFill="1" applyBorder="1" applyAlignment="1">
      <alignment horizontal="center"/>
    </xf>
    <xf numFmtId="164" fontId="8" fillId="0" borderId="57" xfId="0" quotePrefix="1" applyNumberFormat="1" applyFont="1" applyFill="1" applyBorder="1" applyAlignment="1">
      <alignment horizontal="center"/>
    </xf>
    <xf numFmtId="0" fontId="8" fillId="0" borderId="4" xfId="0" applyFont="1" applyFill="1" applyBorder="1"/>
    <xf numFmtId="164" fontId="8" fillId="0" borderId="53" xfId="0" quotePrefix="1" applyNumberFormat="1" applyFont="1" applyFill="1" applyBorder="1" applyAlignment="1">
      <alignment horizontal="center"/>
    </xf>
    <xf numFmtId="0" fontId="8" fillId="0" borderId="9" xfId="0" applyFont="1" applyFill="1" applyBorder="1"/>
    <xf numFmtId="164" fontId="8" fillId="0" borderId="3" xfId="0" quotePrefix="1" applyNumberFormat="1" applyFont="1" applyFill="1" applyBorder="1" applyAlignment="1">
      <alignment horizontal="center"/>
    </xf>
    <xf numFmtId="0" fontId="8" fillId="0" borderId="5" xfId="0" applyFont="1" applyFill="1" applyBorder="1"/>
    <xf numFmtId="164" fontId="8" fillId="0" borderId="58" xfId="0" applyNumberFormat="1" applyFont="1" applyFill="1" applyBorder="1" applyAlignment="1">
      <alignment horizontal="center"/>
    </xf>
    <xf numFmtId="164" fontId="8" fillId="0" borderId="57" xfId="0" applyNumberFormat="1" applyFont="1" applyFill="1" applyBorder="1" applyAlignment="1">
      <alignment horizontal="center"/>
    </xf>
    <xf numFmtId="164" fontId="8" fillId="0" borderId="53" xfId="0" applyNumberFormat="1" applyFont="1" applyFill="1" applyBorder="1" applyAlignment="1">
      <alignment horizontal="center"/>
    </xf>
    <xf numFmtId="164" fontId="8" fillId="0" borderId="58" xfId="0" quotePrefix="1" applyNumberFormat="1" applyFont="1" applyFill="1" applyBorder="1" applyAlignment="1">
      <alignment horizontal="center" vertical="top" wrapText="1"/>
    </xf>
    <xf numFmtId="0" fontId="99" fillId="0" borderId="0" xfId="4" applyFont="1"/>
    <xf numFmtId="0" fontId="99" fillId="0" borderId="6" xfId="4" applyFont="1" applyBorder="1" applyAlignment="1">
      <alignment horizontal="center"/>
    </xf>
    <xf numFmtId="0" fontId="99" fillId="0" borderId="0" xfId="4" applyFont="1" applyBorder="1" applyAlignment="1">
      <alignment horizontal="center"/>
    </xf>
    <xf numFmtId="0" fontId="99" fillId="0" borderId="3" xfId="4" applyFont="1" applyBorder="1" applyAlignment="1">
      <alignment horizontal="center"/>
    </xf>
    <xf numFmtId="164" fontId="99" fillId="0" borderId="0" xfId="4" applyNumberFormat="1" applyFont="1" applyBorder="1" applyAlignment="1">
      <alignment horizontal="center"/>
    </xf>
    <xf numFmtId="1" fontId="99" fillId="0" borderId="0" xfId="4" applyNumberFormat="1" applyFont="1" applyBorder="1" applyAlignment="1">
      <alignment horizontal="center"/>
    </xf>
    <xf numFmtId="0" fontId="99" fillId="0" borderId="4" xfId="4" applyFont="1" applyBorder="1" applyAlignment="1">
      <alignment horizontal="center"/>
    </xf>
    <xf numFmtId="164" fontId="99" fillId="0" borderId="4" xfId="4" applyNumberFormat="1" applyFont="1" applyBorder="1" applyAlignment="1">
      <alignment horizontal="center"/>
    </xf>
    <xf numFmtId="1" fontId="99" fillId="0" borderId="4" xfId="4" applyNumberFormat="1" applyFont="1" applyBorder="1" applyAlignment="1">
      <alignment horizontal="center"/>
    </xf>
    <xf numFmtId="0" fontId="99" fillId="0" borderId="8" xfId="4" applyFont="1" applyBorder="1" applyAlignment="1">
      <alignment horizontal="center"/>
    </xf>
    <xf numFmtId="0" fontId="99" fillId="0" borderId="9" xfId="4" applyFont="1" applyBorder="1" applyAlignment="1">
      <alignment horizontal="center"/>
    </xf>
    <xf numFmtId="164" fontId="99" fillId="0" borderId="9" xfId="4" applyNumberFormat="1" applyFont="1" applyBorder="1" applyAlignment="1">
      <alignment horizontal="center"/>
    </xf>
    <xf numFmtId="1" fontId="99" fillId="0" borderId="9" xfId="4" applyNumberFormat="1" applyFont="1" applyBorder="1" applyAlignment="1">
      <alignment horizontal="center"/>
    </xf>
    <xf numFmtId="164" fontId="99" fillId="0" borderId="10" xfId="4" applyNumberFormat="1" applyFont="1" applyBorder="1" applyAlignment="1">
      <alignment horizontal="center"/>
    </xf>
    <xf numFmtId="164" fontId="99" fillId="0" borderId="8" xfId="4" applyNumberFormat="1" applyFont="1" applyBorder="1" applyAlignment="1">
      <alignment horizontal="center"/>
    </xf>
    <xf numFmtId="0" fontId="99" fillId="0" borderId="3" xfId="4" applyFont="1" applyFill="1" applyBorder="1" applyAlignment="1">
      <alignment horizontal="center"/>
    </xf>
    <xf numFmtId="0" fontId="99" fillId="0" borderId="4" xfId="4" applyFont="1" applyFill="1" applyBorder="1" applyAlignment="1">
      <alignment horizontal="center"/>
    </xf>
    <xf numFmtId="164" fontId="99" fillId="0" borderId="4" xfId="4" applyNumberFormat="1" applyFont="1" applyFill="1" applyBorder="1" applyAlignment="1">
      <alignment horizontal="center"/>
    </xf>
    <xf numFmtId="1" fontId="99" fillId="0" borderId="4" xfId="4" applyNumberFormat="1" applyFont="1" applyFill="1" applyBorder="1" applyAlignment="1">
      <alignment horizontal="center"/>
    </xf>
    <xf numFmtId="0" fontId="99" fillId="0" borderId="6" xfId="4" applyFont="1" applyFill="1" applyBorder="1" applyAlignment="1">
      <alignment horizontal="center"/>
    </xf>
    <xf numFmtId="0" fontId="99" fillId="0" borderId="0" xfId="4" applyFont="1" applyFill="1" applyBorder="1" applyAlignment="1">
      <alignment horizontal="center"/>
    </xf>
    <xf numFmtId="164" fontId="99" fillId="0" borderId="0" xfId="4" applyNumberFormat="1" applyFont="1" applyFill="1" applyBorder="1" applyAlignment="1">
      <alignment horizontal="center"/>
    </xf>
    <xf numFmtId="1" fontId="99" fillId="0" borderId="0" xfId="4" applyNumberFormat="1" applyFont="1" applyFill="1" applyBorder="1" applyAlignment="1">
      <alignment horizontal="center"/>
    </xf>
    <xf numFmtId="0" fontId="99" fillId="0" borderId="9" xfId="4" applyFont="1" applyBorder="1"/>
    <xf numFmtId="0" fontId="15" fillId="0" borderId="4" xfId="0" applyFont="1" applyBorder="1" applyAlignment="1">
      <alignment vertical="center"/>
    </xf>
    <xf numFmtId="0" fontId="8" fillId="0" borderId="0" xfId="0" applyFont="1" applyFill="1" applyBorder="1" applyAlignment="1">
      <alignment vertical="top" wrapText="1"/>
    </xf>
    <xf numFmtId="0" fontId="8" fillId="0" borderId="53" xfId="0" applyFont="1" applyFill="1" applyBorder="1" applyAlignment="1">
      <alignment horizontal="center" textRotation="90" wrapText="1"/>
    </xf>
    <xf numFmtId="1" fontId="8" fillId="0" borderId="0" xfId="0" applyNumberFormat="1" applyFont="1" applyFill="1" applyAlignment="1">
      <alignment vertical="center"/>
    </xf>
    <xf numFmtId="0" fontId="8" fillId="5" borderId="0" xfId="0" applyFont="1" applyFill="1" applyBorder="1" applyAlignment="1">
      <alignment vertical="center"/>
    </xf>
    <xf numFmtId="0" fontId="97" fillId="5" borderId="0" xfId="3" applyFont="1" applyFill="1" applyBorder="1"/>
    <xf numFmtId="0" fontId="8" fillId="0" borderId="35" xfId="0" applyFont="1" applyFill="1" applyBorder="1" applyAlignment="1">
      <alignment horizontal="center" wrapText="1"/>
    </xf>
    <xf numFmtId="0" fontId="15" fillId="9" borderId="6" xfId="0" applyFont="1" applyFill="1" applyBorder="1" applyAlignment="1">
      <alignment horizontal="center" textRotation="90" wrapText="1"/>
    </xf>
    <xf numFmtId="0" fontId="15" fillId="9" borderId="33" xfId="0" applyFont="1" applyFill="1" applyBorder="1" applyAlignment="1">
      <alignment horizontal="center" textRotation="90" wrapText="1"/>
    </xf>
    <xf numFmtId="0" fontId="15" fillId="9" borderId="8" xfId="0" applyFont="1" applyFill="1" applyBorder="1" applyAlignment="1">
      <alignment horizontal="center" textRotation="90" wrapText="1"/>
    </xf>
    <xf numFmtId="2" fontId="15" fillId="18" borderId="28" xfId="0" applyNumberFormat="1" applyFont="1" applyFill="1" applyBorder="1" applyAlignment="1">
      <alignment vertical="top" wrapText="1"/>
    </xf>
    <xf numFmtId="0" fontId="5" fillId="8" borderId="0" xfId="31" applyFill="1"/>
    <xf numFmtId="0" fontId="82" fillId="8" borderId="0" xfId="6" applyFont="1" applyFill="1" applyAlignment="1">
      <alignment horizontal="center"/>
    </xf>
    <xf numFmtId="0" fontId="99" fillId="8" borderId="0" xfId="4" applyFont="1" applyFill="1"/>
    <xf numFmtId="164" fontId="8" fillId="0" borderId="2" xfId="0" applyNumberFormat="1" applyFont="1" applyFill="1" applyBorder="1" applyAlignment="1">
      <alignment horizontal="right" vertical="center"/>
    </xf>
    <xf numFmtId="0" fontId="24" fillId="43" borderId="0" xfId="0" applyFont="1" applyFill="1" applyBorder="1" applyAlignment="1">
      <alignment vertical="center"/>
    </xf>
    <xf numFmtId="164" fontId="26" fillId="43" borderId="2" xfId="0" applyNumberFormat="1" applyFont="1" applyFill="1" applyBorder="1" applyAlignment="1">
      <alignment vertical="center"/>
    </xf>
    <xf numFmtId="164" fontId="24" fillId="43" borderId="2" xfId="0" applyNumberFormat="1" applyFont="1" applyFill="1" applyBorder="1" applyAlignment="1">
      <alignment vertical="center"/>
    </xf>
    <xf numFmtId="164" fontId="24" fillId="43" borderId="2" xfId="0" applyNumberFormat="1" applyFont="1" applyFill="1" applyBorder="1" applyAlignment="1">
      <alignment horizontal="right" vertical="center"/>
    </xf>
    <xf numFmtId="164" fontId="15" fillId="43" borderId="2" xfId="0" applyNumberFormat="1" applyFont="1" applyFill="1" applyBorder="1" applyAlignment="1">
      <alignment horizontal="right" vertical="center"/>
    </xf>
    <xf numFmtId="164" fontId="61" fillId="43" borderId="14" xfId="0" applyNumberFormat="1" applyFont="1" applyFill="1" applyBorder="1" applyAlignment="1">
      <alignment vertical="center"/>
    </xf>
    <xf numFmtId="164" fontId="10" fillId="43" borderId="2" xfId="0" applyNumberFormat="1" applyFont="1" applyFill="1" applyBorder="1" applyAlignment="1">
      <alignment horizontal="right" vertical="center"/>
    </xf>
    <xf numFmtId="0" fontId="10" fillId="43" borderId="0" xfId="0" applyFont="1" applyFill="1" applyBorder="1" applyAlignment="1">
      <alignment horizontal="left" vertical="center"/>
    </xf>
    <xf numFmtId="0" fontId="19" fillId="43" borderId="0" xfId="0" applyFont="1" applyFill="1" applyBorder="1" applyAlignment="1">
      <alignment horizontal="left" vertical="center"/>
    </xf>
    <xf numFmtId="0" fontId="10" fillId="43" borderId="0" xfId="0" applyFont="1" applyFill="1" applyAlignment="1">
      <alignment vertical="center"/>
    </xf>
    <xf numFmtId="0" fontId="8" fillId="43" borderId="2" xfId="0" applyFont="1" applyFill="1" applyBorder="1" applyAlignment="1">
      <alignment vertical="center"/>
    </xf>
    <xf numFmtId="164" fontId="59" fillId="43" borderId="2" xfId="0" applyNumberFormat="1" applyFont="1" applyFill="1" applyBorder="1" applyAlignment="1">
      <alignment horizontal="right" vertical="center"/>
    </xf>
    <xf numFmtId="2" fontId="10" fillId="43" borderId="2" xfId="0" applyNumberFormat="1" applyFont="1" applyFill="1" applyBorder="1" applyAlignment="1">
      <alignment horizontal="right" vertical="center"/>
    </xf>
    <xf numFmtId="164" fontId="61" fillId="43" borderId="2" xfId="0" applyNumberFormat="1" applyFont="1" applyFill="1" applyBorder="1" applyAlignment="1">
      <alignment vertical="center"/>
    </xf>
    <xf numFmtId="0" fontId="23" fillId="43" borderId="0" xfId="0" applyFont="1" applyFill="1" applyBorder="1" applyAlignment="1">
      <alignment vertical="center"/>
    </xf>
    <xf numFmtId="164" fontId="21" fillId="43" borderId="2" xfId="0" applyNumberFormat="1" applyFont="1" applyFill="1" applyBorder="1" applyAlignment="1">
      <alignment vertical="center"/>
    </xf>
    <xf numFmtId="1" fontId="24" fillId="43" borderId="2" xfId="0" applyNumberFormat="1" applyFont="1" applyFill="1" applyBorder="1" applyAlignment="1">
      <alignment horizontal="right" vertical="center"/>
    </xf>
    <xf numFmtId="164" fontId="21" fillId="43" borderId="15" xfId="0" applyNumberFormat="1" applyFont="1" applyFill="1" applyBorder="1" applyAlignment="1">
      <alignment vertical="center"/>
    </xf>
    <xf numFmtId="164" fontId="24" fillId="43" borderId="15" xfId="0" applyNumberFormat="1" applyFont="1" applyFill="1" applyBorder="1" applyAlignment="1">
      <alignment vertical="center"/>
    </xf>
    <xf numFmtId="164" fontId="10" fillId="43" borderId="15" xfId="0" applyNumberFormat="1" applyFont="1" applyFill="1" applyBorder="1" applyAlignment="1">
      <alignment horizontal="right" vertical="center"/>
    </xf>
    <xf numFmtId="1" fontId="24" fillId="43" borderId="15" xfId="0" applyNumberFormat="1" applyFont="1" applyFill="1" applyBorder="1" applyAlignment="1">
      <alignment horizontal="right" vertical="center"/>
    </xf>
    <xf numFmtId="0" fontId="88" fillId="41" borderId="0" xfId="3" applyFont="1" applyFill="1"/>
    <xf numFmtId="0" fontId="88" fillId="41" borderId="0" xfId="3" applyFont="1" applyFill="1" applyAlignment="1">
      <alignment horizontal="center"/>
    </xf>
    <xf numFmtId="0" fontId="88" fillId="44" borderId="0" xfId="3" applyFont="1" applyFill="1"/>
    <xf numFmtId="0" fontId="88" fillId="44" borderId="0" xfId="3" applyFont="1" applyFill="1" applyAlignment="1">
      <alignment horizontal="center"/>
    </xf>
    <xf numFmtId="0" fontId="8" fillId="0" borderId="23" xfId="3" applyBorder="1"/>
    <xf numFmtId="0" fontId="8" fillId="0" borderId="25" xfId="3" applyBorder="1"/>
    <xf numFmtId="0" fontId="15" fillId="42" borderId="23" xfId="3" applyFont="1" applyFill="1" applyBorder="1" applyAlignment="1">
      <alignment horizontal="left"/>
    </xf>
    <xf numFmtId="0" fontId="15" fillId="42" borderId="24" xfId="3" applyFont="1" applyFill="1" applyBorder="1" applyAlignment="1">
      <alignment horizontal="left"/>
    </xf>
    <xf numFmtId="0" fontId="15" fillId="42" borderId="25" xfId="3" applyFont="1" applyFill="1" applyBorder="1" applyAlignment="1">
      <alignment horizontal="left"/>
    </xf>
    <xf numFmtId="0" fontId="15" fillId="45" borderId="23" xfId="3" applyFont="1" applyFill="1" applyBorder="1" applyAlignment="1">
      <alignment horizontal="left"/>
    </xf>
    <xf numFmtId="0" fontId="15" fillId="45" borderId="24" xfId="3" applyFont="1" applyFill="1" applyBorder="1" applyAlignment="1">
      <alignment horizontal="left"/>
    </xf>
    <xf numFmtId="0" fontId="15" fillId="45" borderId="25" xfId="3" applyFont="1" applyFill="1" applyBorder="1" applyAlignment="1">
      <alignment horizontal="left"/>
    </xf>
    <xf numFmtId="0" fontId="8" fillId="41" borderId="0" xfId="3" applyFill="1"/>
    <xf numFmtId="0" fontId="15" fillId="46" borderId="23" xfId="3" applyFont="1" applyFill="1" applyBorder="1" applyAlignment="1">
      <alignment horizontal="left"/>
    </xf>
    <xf numFmtId="0" fontId="15" fillId="40" borderId="23" xfId="3" applyFont="1" applyFill="1" applyBorder="1" applyAlignment="1">
      <alignment horizontal="left"/>
    </xf>
    <xf numFmtId="0" fontId="15" fillId="40" borderId="24" xfId="3" applyFont="1" applyFill="1" applyBorder="1" applyAlignment="1">
      <alignment horizontal="left"/>
    </xf>
    <xf numFmtId="0" fontId="15" fillId="15" borderId="23" xfId="3" applyFont="1" applyFill="1" applyBorder="1" applyAlignment="1">
      <alignment horizontal="left"/>
    </xf>
    <xf numFmtId="0" fontId="15" fillId="15" borderId="24" xfId="3" applyFont="1" applyFill="1" applyBorder="1" applyAlignment="1">
      <alignment horizontal="left"/>
    </xf>
    <xf numFmtId="0" fontId="8" fillId="44" borderId="0" xfId="3" applyFill="1"/>
    <xf numFmtId="0" fontId="15" fillId="12" borderId="23" xfId="3" applyFont="1" applyFill="1" applyBorder="1" applyAlignment="1">
      <alignment horizontal="left"/>
    </xf>
    <xf numFmtId="0" fontId="8" fillId="0" borderId="30" xfId="3" applyBorder="1"/>
    <xf numFmtId="0" fontId="8" fillId="0" borderId="30" xfId="3" applyBorder="1" applyAlignment="1">
      <alignment horizontal="center" textRotation="90"/>
    </xf>
    <xf numFmtId="0" fontId="8" fillId="0" borderId="30" xfId="3" applyFont="1" applyBorder="1" applyAlignment="1">
      <alignment horizontal="center" textRotation="90"/>
    </xf>
    <xf numFmtId="0" fontId="8" fillId="0" borderId="30" xfId="3" applyBorder="1" applyAlignment="1">
      <alignment horizontal="center"/>
    </xf>
    <xf numFmtId="164" fontId="8" fillId="0" borderId="30" xfId="3" applyNumberFormat="1" applyBorder="1"/>
    <xf numFmtId="164" fontId="8" fillId="0" borderId="30" xfId="3" applyNumberFormat="1" applyFont="1" applyBorder="1" applyAlignment="1">
      <alignment horizontal="center"/>
    </xf>
    <xf numFmtId="164" fontId="8" fillId="4" borderId="30" xfId="3" applyNumberFormat="1" applyFill="1" applyBorder="1" applyAlignment="1">
      <alignment horizontal="center"/>
    </xf>
    <xf numFmtId="0" fontId="8" fillId="0" borderId="0" xfId="3" applyAlignment="1">
      <alignment horizontal="center"/>
    </xf>
    <xf numFmtId="0" fontId="8" fillId="44" borderId="0" xfId="3" applyFont="1" applyFill="1"/>
    <xf numFmtId="164" fontId="8" fillId="0" borderId="14" xfId="0" applyNumberFormat="1" applyFont="1" applyFill="1" applyBorder="1" applyAlignment="1">
      <alignment horizontal="right" vertical="center"/>
    </xf>
    <xf numFmtId="1" fontId="8" fillId="0" borderId="14" xfId="0" applyNumberFormat="1" applyFont="1" applyFill="1" applyBorder="1" applyAlignment="1">
      <alignment horizontal="right" vertical="center"/>
    </xf>
    <xf numFmtId="1" fontId="8" fillId="0" borderId="2" xfId="0" applyNumberFormat="1" applyFont="1" applyFill="1" applyBorder="1" applyAlignment="1">
      <alignment horizontal="right" vertical="center"/>
    </xf>
    <xf numFmtId="164" fontId="31" fillId="0" borderId="0" xfId="0" applyNumberFormat="1" applyFont="1" applyFill="1" applyBorder="1" applyAlignment="1">
      <alignment vertical="center"/>
    </xf>
    <xf numFmtId="2" fontId="8" fillId="0" borderId="2" xfId="0" applyNumberFormat="1" applyFont="1" applyFill="1" applyBorder="1" applyAlignment="1">
      <alignment horizontal="right" vertical="center"/>
    </xf>
    <xf numFmtId="1" fontId="100" fillId="0" borderId="2" xfId="0" applyNumberFormat="1" applyFont="1" applyFill="1" applyBorder="1" applyAlignment="1">
      <alignment horizontal="right" vertical="center"/>
    </xf>
    <xf numFmtId="0" fontId="19" fillId="0" borderId="0" xfId="0" applyFont="1" applyFill="1" applyBorder="1" applyAlignment="1"/>
    <xf numFmtId="1" fontId="8" fillId="0" borderId="0" xfId="0" applyNumberFormat="1" applyFont="1" applyFill="1" applyBorder="1" applyAlignment="1">
      <alignment vertical="center"/>
    </xf>
    <xf numFmtId="0" fontId="8" fillId="5" borderId="0" xfId="0" applyFont="1" applyFill="1" applyBorder="1" applyAlignment="1"/>
    <xf numFmtId="0" fontId="8" fillId="0" borderId="0" xfId="0" applyFont="1" applyFill="1" applyBorder="1" applyAlignment="1"/>
    <xf numFmtId="0" fontId="8" fillId="5" borderId="0" xfId="0" applyFont="1" applyFill="1" applyAlignment="1">
      <alignment vertical="center"/>
    </xf>
    <xf numFmtId="0" fontId="8" fillId="0" borderId="0" xfId="0" applyFont="1" applyFill="1" applyBorder="1" applyAlignment="1">
      <alignment horizontal="center" vertical="center"/>
    </xf>
    <xf numFmtId="1" fontId="8" fillId="5" borderId="0" xfId="0" applyNumberFormat="1" applyFont="1" applyFill="1" applyBorder="1" applyAlignment="1">
      <alignment vertical="center"/>
    </xf>
    <xf numFmtId="1" fontId="8" fillId="5" borderId="0" xfId="0" applyNumberFormat="1" applyFont="1" applyFill="1" applyBorder="1" applyAlignment="1"/>
    <xf numFmtId="1" fontId="57" fillId="0" borderId="0" xfId="0" applyNumberFormat="1" applyFont="1" applyFill="1" applyBorder="1" applyAlignment="1">
      <alignment vertical="center"/>
    </xf>
    <xf numFmtId="0" fontId="22" fillId="6" borderId="12" xfId="0" applyFont="1" applyFill="1" applyBorder="1" applyAlignment="1"/>
    <xf numFmtId="0" fontId="22" fillId="6" borderId="63" xfId="0" applyFont="1" applyFill="1" applyBorder="1" applyAlignment="1"/>
    <xf numFmtId="0" fontId="8" fillId="12" borderId="24" xfId="3" applyFill="1" applyBorder="1"/>
    <xf numFmtId="0" fontId="8" fillId="46" borderId="24" xfId="3" applyFill="1" applyBorder="1"/>
    <xf numFmtId="0" fontId="8" fillId="46" borderId="25" xfId="3" applyFill="1" applyBorder="1"/>
    <xf numFmtId="164" fontId="99" fillId="0" borderId="30" xfId="4" applyNumberFormat="1" applyFont="1" applyBorder="1" applyAlignment="1">
      <alignment horizontal="center"/>
    </xf>
    <xf numFmtId="164" fontId="8" fillId="0" borderId="30" xfId="0" applyNumberFormat="1" applyFont="1" applyFill="1" applyBorder="1" applyAlignment="1">
      <alignment horizontal="center" vertical="center"/>
    </xf>
    <xf numFmtId="2" fontId="8" fillId="14" borderId="0" xfId="3" applyNumberFormat="1" applyFont="1" applyFill="1" applyBorder="1" applyAlignment="1" applyProtection="1">
      <alignment horizontal="center"/>
    </xf>
    <xf numFmtId="2" fontId="8" fillId="14" borderId="0" xfId="3" applyNumberFormat="1" applyFont="1" applyFill="1" applyBorder="1"/>
    <xf numFmtId="9" fontId="8" fillId="42" borderId="0" xfId="7" applyFont="1" applyFill="1" applyBorder="1" applyAlignment="1" applyProtection="1">
      <alignment horizontal="center"/>
    </xf>
    <xf numFmtId="9" fontId="8" fillId="42" borderId="0" xfId="3" applyNumberFormat="1" applyFont="1" applyFill="1" applyBorder="1" applyAlignment="1" applyProtection="1">
      <alignment horizontal="center"/>
    </xf>
    <xf numFmtId="2" fontId="8" fillId="42" borderId="0" xfId="3" applyNumberFormat="1" applyFont="1" applyFill="1" applyBorder="1" applyAlignment="1" applyProtection="1">
      <alignment horizontal="center"/>
    </xf>
    <xf numFmtId="0" fontId="83" fillId="0" borderId="26" xfId="6" applyFont="1" applyBorder="1" applyAlignment="1">
      <alignment horizontal="left"/>
    </xf>
    <xf numFmtId="9" fontId="8" fillId="40" borderId="0" xfId="5" applyNumberFormat="1" applyFont="1" applyFill="1" applyBorder="1" applyAlignment="1">
      <alignment horizontal="center"/>
    </xf>
    <xf numFmtId="164" fontId="10" fillId="0" borderId="8" xfId="0" applyNumberFormat="1" applyFont="1" applyFill="1" applyBorder="1" applyAlignment="1">
      <alignment vertical="top" wrapText="1"/>
    </xf>
    <xf numFmtId="2" fontId="44" fillId="0" borderId="2" xfId="0" applyNumberFormat="1" applyFont="1" applyFill="1" applyBorder="1" applyAlignment="1">
      <alignment horizontal="right" vertical="center"/>
    </xf>
    <xf numFmtId="0" fontId="8" fillId="0" borderId="7" xfId="0" applyFont="1" applyFill="1" applyBorder="1"/>
    <xf numFmtId="164" fontId="101" fillId="0" borderId="2" xfId="0" applyNumberFormat="1" applyFont="1" applyFill="1" applyBorder="1" applyAlignment="1">
      <alignment horizontal="right" vertical="center"/>
    </xf>
    <xf numFmtId="164" fontId="31" fillId="0" borderId="14" xfId="0" applyNumberFormat="1" applyFont="1" applyFill="1" applyBorder="1" applyAlignment="1">
      <alignment vertical="center"/>
    </xf>
    <xf numFmtId="164" fontId="31" fillId="0" borderId="14" xfId="0" applyNumberFormat="1" applyFont="1" applyFill="1" applyBorder="1" applyAlignment="1">
      <alignment horizontal="right" vertical="center"/>
    </xf>
    <xf numFmtId="1" fontId="31" fillId="0" borderId="2" xfId="0" applyNumberFormat="1" applyFont="1" applyFill="1" applyBorder="1" applyAlignment="1">
      <alignment horizontal="right" vertical="center"/>
    </xf>
    <xf numFmtId="164" fontId="31" fillId="0" borderId="15" xfId="0" applyNumberFormat="1" applyFont="1" applyFill="1" applyBorder="1" applyAlignment="1">
      <alignment horizontal="right" vertical="center"/>
    </xf>
    <xf numFmtId="2" fontId="31" fillId="0" borderId="15" xfId="0" applyNumberFormat="1" applyFont="1" applyFill="1" applyBorder="1" applyAlignment="1">
      <alignment vertical="center"/>
    </xf>
    <xf numFmtId="164" fontId="31" fillId="0" borderId="15" xfId="0" applyNumberFormat="1" applyFont="1" applyFill="1" applyBorder="1" applyAlignment="1">
      <alignment vertical="center"/>
    </xf>
    <xf numFmtId="0" fontId="8" fillId="0" borderId="14" xfId="0" applyFont="1" applyFill="1" applyBorder="1" applyAlignment="1">
      <alignment horizontal="right" vertical="center"/>
    </xf>
    <xf numFmtId="1" fontId="31" fillId="0" borderId="15" xfId="0" applyNumberFormat="1" applyFont="1" applyFill="1" applyBorder="1" applyAlignment="1">
      <alignment horizontal="right" vertical="center"/>
    </xf>
    <xf numFmtId="1" fontId="31" fillId="0" borderId="29" xfId="0" applyNumberFormat="1" applyFont="1" applyFill="1" applyBorder="1" applyAlignment="1">
      <alignment horizontal="right" vertical="center"/>
    </xf>
    <xf numFmtId="0" fontId="37" fillId="0" borderId="2" xfId="0" applyFont="1" applyFill="1" applyBorder="1" applyAlignment="1">
      <alignment vertical="center"/>
    </xf>
    <xf numFmtId="167" fontId="8" fillId="0" borderId="14" xfId="0" applyNumberFormat="1" applyFont="1" applyFill="1" applyBorder="1" applyAlignment="1">
      <alignment horizontal="right" vertical="center"/>
    </xf>
    <xf numFmtId="167" fontId="8" fillId="0" borderId="14" xfId="0" applyNumberFormat="1" applyFont="1" applyFill="1" applyBorder="1" applyAlignment="1">
      <alignment vertical="center"/>
    </xf>
    <xf numFmtId="2" fontId="8" fillId="2" borderId="2" xfId="0" applyNumberFormat="1" applyFont="1" applyFill="1" applyBorder="1" applyAlignment="1">
      <alignment horizontal="right" vertical="center"/>
    </xf>
    <xf numFmtId="164" fontId="8" fillId="2" borderId="2" xfId="0" applyNumberFormat="1" applyFont="1" applyFill="1" applyBorder="1" applyAlignment="1">
      <alignment horizontal="right" vertical="center"/>
    </xf>
    <xf numFmtId="0" fontId="8" fillId="43" borderId="0" xfId="0" applyFont="1" applyFill="1" applyBorder="1" applyAlignment="1">
      <alignment vertical="center"/>
    </xf>
    <xf numFmtId="164" fontId="8" fillId="43" borderId="0" xfId="0" applyNumberFormat="1" applyFont="1" applyFill="1" applyBorder="1" applyAlignment="1">
      <alignment horizontal="left" vertical="center"/>
    </xf>
    <xf numFmtId="0" fontId="99" fillId="0" borderId="0" xfId="4" applyFont="1" applyFill="1"/>
    <xf numFmtId="1" fontId="99" fillId="0" borderId="7" xfId="4" applyNumberFormat="1" applyFont="1" applyBorder="1" applyAlignment="1">
      <alignment horizontal="center"/>
    </xf>
    <xf numFmtId="1" fontId="99" fillId="0" borderId="5" xfId="4" applyNumberFormat="1" applyFont="1" applyBorder="1" applyAlignment="1">
      <alignment horizontal="center"/>
    </xf>
    <xf numFmtId="1" fontId="99" fillId="0" borderId="10" xfId="4" applyNumberFormat="1" applyFont="1" applyBorder="1" applyAlignment="1">
      <alignment horizontal="center"/>
    </xf>
    <xf numFmtId="1" fontId="99" fillId="0" borderId="6" xfId="4" applyNumberFormat="1" applyFont="1" applyBorder="1" applyAlignment="1">
      <alignment horizontal="center"/>
    </xf>
    <xf numFmtId="1" fontId="99" fillId="0" borderId="3" xfId="4" applyNumberFormat="1" applyFont="1" applyBorder="1" applyAlignment="1">
      <alignment horizontal="center"/>
    </xf>
    <xf numFmtId="1" fontId="99" fillId="0" borderId="8" xfId="4" applyNumberFormat="1" applyFont="1" applyBorder="1" applyAlignment="1">
      <alignment horizontal="center"/>
    </xf>
    <xf numFmtId="1" fontId="99" fillId="0" borderId="3" xfId="4" applyNumberFormat="1" applyFont="1" applyFill="1" applyBorder="1" applyAlignment="1">
      <alignment horizontal="center"/>
    </xf>
    <xf numFmtId="1" fontId="99" fillId="0" borderId="5" xfId="4" applyNumberFormat="1" applyFont="1" applyFill="1" applyBorder="1" applyAlignment="1">
      <alignment horizontal="center"/>
    </xf>
    <xf numFmtId="1" fontId="99" fillId="0" borderId="6" xfId="4" applyNumberFormat="1" applyFont="1" applyFill="1" applyBorder="1" applyAlignment="1">
      <alignment horizontal="center"/>
    </xf>
    <xf numFmtId="1" fontId="99" fillId="0" borderId="7" xfId="4" applyNumberFormat="1" applyFont="1" applyFill="1" applyBorder="1" applyAlignment="1">
      <alignment horizontal="center"/>
    </xf>
    <xf numFmtId="1" fontId="82" fillId="0" borderId="0" xfId="6" applyNumberFormat="1" applyFont="1" applyBorder="1" applyAlignment="1">
      <alignment horizontal="center"/>
    </xf>
    <xf numFmtId="1" fontId="82" fillId="0" borderId="7" xfId="6" applyNumberFormat="1" applyFont="1" applyBorder="1" applyAlignment="1">
      <alignment horizontal="center"/>
    </xf>
    <xf numFmtId="1" fontId="82" fillId="0" borderId="4" xfId="6" applyNumberFormat="1" applyFont="1" applyBorder="1" applyAlignment="1">
      <alignment horizontal="center"/>
    </xf>
    <xf numFmtId="1" fontId="82" fillId="0" borderId="5" xfId="6" applyNumberFormat="1" applyFont="1" applyBorder="1" applyAlignment="1">
      <alignment horizontal="center"/>
    </xf>
    <xf numFmtId="1" fontId="82" fillId="0" borderId="9" xfId="6" applyNumberFormat="1" applyFont="1" applyBorder="1" applyAlignment="1">
      <alignment horizontal="center"/>
    </xf>
    <xf numFmtId="1" fontId="82" fillId="0" borderId="10" xfId="6" applyNumberFormat="1" applyFont="1" applyBorder="1" applyAlignment="1">
      <alignment horizontal="center"/>
    </xf>
    <xf numFmtId="1" fontId="82" fillId="0" borderId="0" xfId="6" applyNumberFormat="1" applyFont="1" applyFill="1" applyBorder="1" applyAlignment="1">
      <alignment horizontal="center"/>
    </xf>
    <xf numFmtId="1" fontId="82" fillId="0" borderId="7" xfId="6" applyNumberFormat="1" applyFont="1" applyFill="1" applyBorder="1" applyAlignment="1">
      <alignment horizontal="center"/>
    </xf>
    <xf numFmtId="1" fontId="82" fillId="0" borderId="24" xfId="6" applyNumberFormat="1" applyFont="1" applyBorder="1" applyAlignment="1">
      <alignment horizontal="center"/>
    </xf>
    <xf numFmtId="1" fontId="82" fillId="0" borderId="25" xfId="6" applyNumberFormat="1" applyFont="1" applyBorder="1" applyAlignment="1">
      <alignment horizontal="center"/>
    </xf>
    <xf numFmtId="1" fontId="11" fillId="0" borderId="26" xfId="0" applyNumberFormat="1" applyFont="1" applyFill="1" applyBorder="1" applyAlignment="1">
      <alignment horizontal="center"/>
    </xf>
    <xf numFmtId="1" fontId="11" fillId="0" borderId="27" xfId="0" applyNumberFormat="1" applyFont="1" applyFill="1" applyBorder="1" applyAlignment="1">
      <alignment horizontal="center"/>
    </xf>
    <xf numFmtId="1" fontId="11" fillId="0" borderId="28" xfId="0" applyNumberFormat="1" applyFont="1" applyFill="1" applyBorder="1" applyAlignment="1">
      <alignment horizontal="center"/>
    </xf>
    <xf numFmtId="0" fontId="28" fillId="43" borderId="0" xfId="0" applyFont="1" applyFill="1" applyBorder="1" applyAlignment="1">
      <alignment vertical="center"/>
    </xf>
    <xf numFmtId="164" fontId="18" fillId="43" borderId="2" xfId="0" applyNumberFormat="1" applyFont="1" applyFill="1" applyBorder="1" applyAlignment="1">
      <alignment horizontal="right" vertical="center"/>
    </xf>
    <xf numFmtId="170" fontId="10" fillId="43" borderId="2" xfId="2" applyNumberFormat="1" applyFont="1" applyFill="1" applyBorder="1" applyAlignment="1">
      <alignment horizontal="right" vertical="center"/>
    </xf>
    <xf numFmtId="2" fontId="8" fillId="43" borderId="2" xfId="0" applyNumberFormat="1" applyFont="1" applyFill="1" applyBorder="1" applyAlignment="1">
      <alignment horizontal="right" vertical="center"/>
    </xf>
    <xf numFmtId="177" fontId="10" fillId="2" borderId="0" xfId="0" applyNumberFormat="1" applyFont="1" applyFill="1" applyBorder="1" applyAlignment="1">
      <alignment vertical="center"/>
    </xf>
    <xf numFmtId="0" fontId="10" fillId="0" borderId="6" xfId="0" applyFont="1" applyBorder="1" applyAlignment="1">
      <alignment horizontal="center" vertical="top" wrapText="1"/>
    </xf>
    <xf numFmtId="0" fontId="10" fillId="0" borderId="8" xfId="0" applyFont="1" applyBorder="1" applyAlignment="1">
      <alignment horizontal="center" vertical="top" wrapText="1"/>
    </xf>
    <xf numFmtId="0" fontId="0" fillId="0" borderId="6" xfId="0" applyBorder="1" applyAlignment="1">
      <alignment horizontal="center"/>
    </xf>
    <xf numFmtId="0" fontId="0" fillId="0" borderId="8" xfId="0" applyBorder="1" applyAlignment="1">
      <alignment horizontal="center"/>
    </xf>
    <xf numFmtId="0" fontId="0" fillId="0" borderId="3" xfId="0" applyBorder="1" applyAlignment="1">
      <alignment horizontal="center"/>
    </xf>
    <xf numFmtId="2" fontId="15" fillId="9" borderId="6" xfId="0" applyNumberFormat="1" applyFont="1" applyFill="1" applyBorder="1" applyAlignment="1">
      <alignment vertical="top" wrapText="1"/>
    </xf>
    <xf numFmtId="2" fontId="15" fillId="9" borderId="8" xfId="0" applyNumberFormat="1" applyFont="1" applyFill="1" applyBorder="1" applyAlignment="1">
      <alignment vertical="top" wrapText="1"/>
    </xf>
    <xf numFmtId="2" fontId="15" fillId="9" borderId="3" xfId="0" applyNumberFormat="1" applyFont="1" applyFill="1" applyBorder="1" applyAlignment="1">
      <alignment vertical="top" wrapText="1"/>
    </xf>
    <xf numFmtId="172" fontId="8" fillId="0" borderId="0" xfId="0" applyNumberFormat="1" applyFont="1" applyFill="1" applyBorder="1" applyAlignment="1">
      <alignment horizontal="center" vertical="top" wrapText="1"/>
    </xf>
    <xf numFmtId="172" fontId="8" fillId="0" borderId="9" xfId="0" applyNumberFormat="1" applyFont="1" applyFill="1" applyBorder="1" applyAlignment="1">
      <alignment horizontal="center" vertical="top" wrapText="1"/>
    </xf>
    <xf numFmtId="172" fontId="8" fillId="0" borderId="0" xfId="0" applyNumberFormat="1" applyFont="1" applyFill="1" applyBorder="1" applyAlignment="1">
      <alignment horizontal="center"/>
    </xf>
    <xf numFmtId="172" fontId="8" fillId="0" borderId="4" xfId="0" applyNumberFormat="1" applyFont="1" applyFill="1" applyBorder="1" applyAlignment="1">
      <alignment horizontal="center"/>
    </xf>
    <xf numFmtId="172" fontId="8" fillId="0" borderId="9" xfId="0" applyNumberFormat="1" applyFont="1" applyFill="1" applyBorder="1" applyAlignment="1">
      <alignment horizontal="center"/>
    </xf>
    <xf numFmtId="0" fontId="24" fillId="0" borderId="35" xfId="0" applyFont="1" applyFill="1" applyBorder="1" applyAlignment="1">
      <alignment horizontal="center" textRotation="90" wrapText="1"/>
    </xf>
    <xf numFmtId="0" fontId="99" fillId="8" borderId="0" xfId="4" applyFont="1" applyFill="1" applyBorder="1" applyAlignment="1">
      <alignment horizontal="center"/>
    </xf>
    <xf numFmtId="0" fontId="8" fillId="0" borderId="37" xfId="0" applyFont="1" applyFill="1" applyBorder="1" applyAlignment="1">
      <alignment horizontal="center" textRotation="90" wrapText="1"/>
    </xf>
    <xf numFmtId="0" fontId="8" fillId="0" borderId="40" xfId="0" applyFont="1" applyFill="1" applyBorder="1" applyAlignment="1">
      <alignment horizontal="center" textRotation="90" wrapText="1"/>
    </xf>
    <xf numFmtId="0" fontId="99" fillId="0" borderId="81" xfId="4" applyFont="1" applyBorder="1"/>
    <xf numFmtId="0" fontId="99" fillId="0" borderId="83" xfId="4" applyFont="1" applyBorder="1" applyAlignment="1">
      <alignment horizontal="center"/>
    </xf>
    <xf numFmtId="0" fontId="99" fillId="0" borderId="81" xfId="4" applyFont="1" applyBorder="1" applyAlignment="1">
      <alignment horizontal="center"/>
    </xf>
    <xf numFmtId="1" fontId="99" fillId="0" borderId="26" xfId="4" applyNumberFormat="1" applyFont="1" applyBorder="1" applyAlignment="1">
      <alignment horizontal="center"/>
    </xf>
    <xf numFmtId="9" fontId="99" fillId="0" borderId="26" xfId="5" applyFont="1" applyFill="1" applyBorder="1" applyAlignment="1">
      <alignment horizontal="center"/>
    </xf>
    <xf numFmtId="1" fontId="99" fillId="0" borderId="28" xfId="4" applyNumberFormat="1" applyFont="1" applyBorder="1" applyAlignment="1">
      <alignment horizontal="center"/>
    </xf>
    <xf numFmtId="9" fontId="99" fillId="0" borderId="28" xfId="5" applyFont="1" applyFill="1" applyBorder="1" applyAlignment="1">
      <alignment horizontal="center"/>
    </xf>
    <xf numFmtId="1" fontId="99" fillId="0" borderId="27" xfId="4" applyNumberFormat="1" applyFont="1" applyBorder="1" applyAlignment="1">
      <alignment horizontal="center"/>
    </xf>
    <xf numFmtId="9" fontId="99" fillId="0" borderId="27" xfId="5" applyFont="1" applyBorder="1" applyAlignment="1">
      <alignment horizontal="center"/>
    </xf>
    <xf numFmtId="9" fontId="99" fillId="0" borderId="26" xfId="5" applyFont="1" applyBorder="1" applyAlignment="1">
      <alignment horizontal="center"/>
    </xf>
    <xf numFmtId="9" fontId="99" fillId="0" borderId="28" xfId="5" applyFont="1" applyBorder="1" applyAlignment="1">
      <alignment horizontal="center"/>
    </xf>
    <xf numFmtId="1" fontId="99" fillId="0" borderId="26" xfId="4" applyNumberFormat="1" applyFont="1" applyFill="1" applyBorder="1" applyAlignment="1">
      <alignment horizontal="center"/>
    </xf>
    <xf numFmtId="1" fontId="99" fillId="0" borderId="27" xfId="4" applyNumberFormat="1" applyFont="1" applyFill="1" applyBorder="1" applyAlignment="1">
      <alignment horizontal="center"/>
    </xf>
    <xf numFmtId="9" fontId="99" fillId="0" borderId="27" xfId="5" applyFont="1" applyFill="1" applyBorder="1" applyAlignment="1">
      <alignment horizontal="center"/>
    </xf>
    <xf numFmtId="0" fontId="8" fillId="8" borderId="37" xfId="0" applyFont="1" applyFill="1" applyBorder="1" applyAlignment="1">
      <alignment horizontal="center" textRotation="90" wrapText="1"/>
    </xf>
    <xf numFmtId="164" fontId="99" fillId="0" borderId="6" xfId="4" applyNumberFormat="1" applyFont="1" applyBorder="1" applyAlignment="1">
      <alignment horizontal="center"/>
    </xf>
    <xf numFmtId="164" fontId="99" fillId="0" borderId="3" xfId="4" applyNumberFormat="1" applyFont="1" applyBorder="1" applyAlignment="1">
      <alignment horizontal="center"/>
    </xf>
    <xf numFmtId="164" fontId="99" fillId="0" borderId="3" xfId="4" applyNumberFormat="1" applyFont="1" applyFill="1" applyBorder="1" applyAlignment="1">
      <alignment horizontal="center"/>
    </xf>
    <xf numFmtId="164" fontId="99" fillId="0" borderId="6" xfId="4" applyNumberFormat="1" applyFont="1" applyFill="1" applyBorder="1" applyAlignment="1">
      <alignment horizontal="center"/>
    </xf>
    <xf numFmtId="0" fontId="99" fillId="0" borderId="82" xfId="4" applyFont="1" applyBorder="1" applyAlignment="1">
      <alignment horizontal="center"/>
    </xf>
    <xf numFmtId="0" fontId="103" fillId="0" borderId="40" xfId="0" applyFont="1" applyFill="1" applyBorder="1" applyAlignment="1">
      <alignment horizontal="center" textRotation="90" wrapText="1"/>
    </xf>
    <xf numFmtId="164" fontId="25" fillId="2" borderId="2" xfId="0" applyNumberFormat="1" applyFont="1" applyFill="1" applyBorder="1" applyAlignment="1">
      <alignment vertical="center"/>
    </xf>
    <xf numFmtId="1" fontId="99" fillId="0" borderId="0" xfId="4" applyNumberFormat="1" applyFont="1"/>
    <xf numFmtId="0" fontId="99" fillId="8" borderId="81" xfId="4" applyFont="1" applyFill="1" applyBorder="1"/>
    <xf numFmtId="1" fontId="99" fillId="8" borderId="26" xfId="5" applyNumberFormat="1" applyFont="1" applyFill="1" applyBorder="1" applyAlignment="1">
      <alignment horizontal="center"/>
    </xf>
    <xf numFmtId="1" fontId="99" fillId="8" borderId="28" xfId="5" applyNumberFormat="1" applyFont="1" applyFill="1" applyBorder="1" applyAlignment="1">
      <alignment horizontal="center"/>
    </xf>
    <xf numFmtId="1" fontId="99" fillId="8" borderId="27" xfId="5" applyNumberFormat="1" applyFont="1" applyFill="1" applyBorder="1" applyAlignment="1">
      <alignment horizontal="center"/>
    </xf>
    <xf numFmtId="0" fontId="8" fillId="0" borderId="67" xfId="0" applyFont="1" applyFill="1" applyBorder="1" applyAlignment="1">
      <alignment horizontal="center" textRotation="90" wrapText="1"/>
    </xf>
    <xf numFmtId="0" fontId="99" fillId="0" borderId="6" xfId="4" applyFont="1" applyBorder="1"/>
    <xf numFmtId="181" fontId="10" fillId="0" borderId="0" xfId="0" applyNumberFormat="1" applyFont="1" applyFill="1" applyBorder="1" applyAlignment="1">
      <alignment horizontal="left" vertical="center"/>
    </xf>
    <xf numFmtId="182" fontId="10" fillId="0" borderId="11" xfId="0" applyNumberFormat="1" applyFont="1" applyFill="1" applyBorder="1" applyAlignment="1">
      <alignment horizontal="left" vertical="center"/>
    </xf>
    <xf numFmtId="164" fontId="26" fillId="43" borderId="14" xfId="0" applyNumberFormat="1" applyFont="1" applyFill="1" applyBorder="1" applyAlignment="1">
      <alignment vertical="center"/>
    </xf>
    <xf numFmtId="164" fontId="22" fillId="43" borderId="2" xfId="0" applyNumberFormat="1" applyFont="1" applyFill="1" applyBorder="1" applyAlignment="1">
      <alignment horizontal="right" vertical="center"/>
    </xf>
    <xf numFmtId="164" fontId="8" fillId="43" borderId="2" xfId="0" applyNumberFormat="1" applyFont="1" applyFill="1" applyBorder="1" applyAlignment="1">
      <alignment horizontal="right" vertical="center"/>
    </xf>
    <xf numFmtId="9" fontId="8" fillId="43" borderId="2" xfId="0" applyNumberFormat="1" applyFont="1" applyFill="1" applyBorder="1" applyAlignment="1">
      <alignment horizontal="right" vertical="center"/>
    </xf>
    <xf numFmtId="164" fontId="10" fillId="0" borderId="5" xfId="0" applyNumberFormat="1" applyFont="1" applyBorder="1" applyAlignment="1">
      <alignment vertical="top" wrapText="1"/>
    </xf>
    <xf numFmtId="172" fontId="8" fillId="0" borderId="4" xfId="0" applyNumberFormat="1" applyFont="1" applyFill="1" applyBorder="1" applyAlignment="1">
      <alignment horizontal="center" vertical="top" wrapText="1"/>
    </xf>
    <xf numFmtId="2" fontId="10" fillId="0" borderId="5" xfId="0" applyNumberFormat="1" applyFont="1" applyFill="1" applyBorder="1" applyAlignment="1">
      <alignment vertical="top" wrapText="1"/>
    </xf>
    <xf numFmtId="0" fontId="8" fillId="0" borderId="3" xfId="0" quotePrefix="1" applyFont="1" applyBorder="1" applyAlignment="1">
      <alignment horizontal="center" vertical="top" wrapText="1"/>
    </xf>
    <xf numFmtId="0" fontId="8" fillId="0" borderId="5" xfId="0" applyFont="1" applyBorder="1" applyAlignment="1">
      <alignment horizontal="center" vertical="top" wrapText="1"/>
    </xf>
    <xf numFmtId="49" fontId="8" fillId="0" borderId="53" xfId="0" quotePrefix="1" applyNumberFormat="1" applyFont="1" applyBorder="1" applyAlignment="1">
      <alignment horizontal="center" vertical="top" wrapText="1"/>
    </xf>
    <xf numFmtId="49" fontId="10" fillId="0" borderId="54" xfId="0" applyNumberFormat="1" applyFont="1" applyBorder="1" applyAlignment="1">
      <alignment horizontal="center" vertical="top" wrapText="1"/>
    </xf>
    <xf numFmtId="164" fontId="10" fillId="0" borderId="10" xfId="0" applyNumberFormat="1" applyFont="1" applyBorder="1" applyAlignment="1">
      <alignment vertical="top" wrapText="1"/>
    </xf>
    <xf numFmtId="0" fontId="8" fillId="0" borderId="8" xfId="0" quotePrefix="1" applyFont="1" applyBorder="1" applyAlignment="1">
      <alignment horizontal="center" vertical="top" wrapText="1"/>
    </xf>
    <xf numFmtId="2" fontId="15" fillId="0" borderId="10" xfId="0" applyNumberFormat="1" applyFont="1" applyFill="1" applyBorder="1" applyAlignment="1">
      <alignment vertical="top" wrapText="1"/>
    </xf>
    <xf numFmtId="164" fontId="82" fillId="0" borderId="7" xfId="6" applyNumberFormat="1" applyFont="1" applyBorder="1" applyAlignment="1">
      <alignment horizontal="center"/>
    </xf>
    <xf numFmtId="0" fontId="104" fillId="0" borderId="0" xfId="0" applyFont="1"/>
    <xf numFmtId="1" fontId="82" fillId="17" borderId="27" xfId="6" applyNumberFormat="1" applyFont="1" applyFill="1" applyBorder="1" applyAlignment="1">
      <alignment horizontal="center"/>
    </xf>
    <xf numFmtId="1" fontId="82" fillId="17" borderId="0" xfId="6" applyNumberFormat="1" applyFont="1" applyFill="1" applyBorder="1" applyAlignment="1">
      <alignment horizontal="center"/>
    </xf>
    <xf numFmtId="1" fontId="82" fillId="17" borderId="7" xfId="6" applyNumberFormat="1" applyFont="1" applyFill="1" applyBorder="1" applyAlignment="1">
      <alignment horizontal="center"/>
    </xf>
    <xf numFmtId="1" fontId="82" fillId="17" borderId="28" xfId="6" applyNumberFormat="1" applyFont="1" applyFill="1" applyBorder="1" applyAlignment="1">
      <alignment horizontal="center"/>
    </xf>
    <xf numFmtId="1" fontId="11" fillId="17" borderId="3" xfId="0" applyNumberFormat="1" applyFont="1" applyFill="1" applyBorder="1" applyAlignment="1">
      <alignment horizontal="center"/>
    </xf>
    <xf numFmtId="1" fontId="11" fillId="17" borderId="26" xfId="0" applyNumberFormat="1" applyFont="1" applyFill="1" applyBorder="1" applyAlignment="1">
      <alignment horizontal="center"/>
    </xf>
    <xf numFmtId="1" fontId="11" fillId="17" borderId="6" xfId="0" applyNumberFormat="1" applyFont="1" applyFill="1" applyBorder="1" applyAlignment="1">
      <alignment horizontal="center"/>
    </xf>
    <xf numFmtId="1" fontId="11" fillId="17" borderId="27" xfId="0" applyNumberFormat="1" applyFont="1" applyFill="1" applyBorder="1" applyAlignment="1">
      <alignment horizontal="center"/>
    </xf>
    <xf numFmtId="169" fontId="19" fillId="0" borderId="0" xfId="0" applyNumberFormat="1" applyFont="1" applyFill="1" applyBorder="1" applyAlignment="1">
      <alignment horizontal="center"/>
    </xf>
    <xf numFmtId="180" fontId="19" fillId="0" borderId="0" xfId="0" applyNumberFormat="1" applyFont="1" applyFill="1" applyBorder="1" applyAlignment="1">
      <alignment horizontal="left"/>
    </xf>
    <xf numFmtId="0" fontId="99" fillId="0" borderId="0" xfId="33" applyFont="1" applyAlignment="1"/>
    <xf numFmtId="0" fontId="33" fillId="11" borderId="24" xfId="0" applyFont="1" applyFill="1" applyBorder="1" applyAlignment="1">
      <alignment vertical="center"/>
    </xf>
    <xf numFmtId="0" fontId="33" fillId="6" borderId="0" xfId="0" applyFont="1" applyFill="1" applyBorder="1" applyAlignment="1">
      <alignment horizontal="left" vertical="center"/>
    </xf>
    <xf numFmtId="0" fontId="106" fillId="6" borderId="0" xfId="0" applyFont="1" applyFill="1" applyBorder="1" applyAlignment="1">
      <alignment horizontal="left" vertical="center"/>
    </xf>
    <xf numFmtId="0" fontId="33" fillId="6" borderId="0" xfId="0" applyFont="1" applyFill="1" applyBorder="1" applyAlignment="1">
      <alignment horizontal="center" vertical="center"/>
    </xf>
    <xf numFmtId="0" fontId="99" fillId="0" borderId="0" xfId="33" applyFont="1" applyAlignment="1">
      <alignment horizontal="center"/>
    </xf>
    <xf numFmtId="0" fontId="8" fillId="6" borderId="24" xfId="0" applyFont="1" applyFill="1" applyBorder="1" applyAlignment="1">
      <alignment vertical="center"/>
    </xf>
    <xf numFmtId="0" fontId="8" fillId="6" borderId="0" xfId="0" applyFont="1" applyFill="1" applyBorder="1" applyAlignment="1">
      <alignment vertical="center"/>
    </xf>
    <xf numFmtId="0" fontId="8" fillId="6" borderId="12" xfId="0" applyFont="1" applyFill="1" applyBorder="1" applyAlignment="1"/>
    <xf numFmtId="0" fontId="8" fillId="0" borderId="0" xfId="0" applyFont="1" applyBorder="1" applyAlignment="1">
      <alignment horizontal="left"/>
    </xf>
    <xf numFmtId="0" fontId="8" fillId="6" borderId="12" xfId="0" applyFont="1" applyFill="1" applyBorder="1" applyAlignment="1">
      <alignment vertical="center"/>
    </xf>
    <xf numFmtId="0" fontId="8" fillId="6" borderId="0" xfId="0" applyFont="1" applyFill="1" applyBorder="1" applyAlignment="1"/>
    <xf numFmtId="166" fontId="19" fillId="0" borderId="0" xfId="0" applyNumberFormat="1" applyFont="1" applyFill="1" applyBorder="1" applyAlignment="1">
      <alignment horizontal="left"/>
    </xf>
    <xf numFmtId="0" fontId="8" fillId="0" borderId="2" xfId="0" applyFont="1" applyFill="1" applyBorder="1" applyAlignment="1"/>
    <xf numFmtId="0" fontId="8" fillId="0" borderId="0" xfId="0" applyFont="1" applyFill="1" applyBorder="1" applyAlignment="1">
      <alignment horizontal="left" vertical="center"/>
    </xf>
    <xf numFmtId="2" fontId="8" fillId="0" borderId="0" xfId="0" applyNumberFormat="1" applyFont="1" applyFill="1" applyBorder="1" applyAlignment="1">
      <alignment horizontal="left" vertical="center"/>
    </xf>
    <xf numFmtId="184" fontId="10" fillId="0" borderId="0" xfId="0" applyNumberFormat="1" applyFont="1" applyFill="1" applyBorder="1" applyAlignment="1">
      <alignment horizontal="left" vertical="center"/>
    </xf>
    <xf numFmtId="0" fontId="8" fillId="0" borderId="0" xfId="0" applyFont="1" applyFill="1" applyBorder="1" applyAlignment="1">
      <alignment horizontal="right" vertical="center"/>
    </xf>
    <xf numFmtId="0" fontId="21" fillId="0" borderId="2" xfId="0" applyFont="1" applyFill="1" applyBorder="1" applyAlignment="1"/>
    <xf numFmtId="0" fontId="29" fillId="0" borderId="0" xfId="0" applyFont="1" applyFill="1" applyBorder="1" applyAlignment="1">
      <alignment vertical="center"/>
    </xf>
    <xf numFmtId="0" fontId="29" fillId="0" borderId="11" xfId="0" applyFont="1" applyFill="1" applyBorder="1" applyAlignment="1">
      <alignment vertical="center"/>
    </xf>
    <xf numFmtId="0" fontId="29" fillId="0" borderId="0" xfId="0" applyFont="1" applyFill="1" applyBorder="1" applyAlignment="1">
      <alignment horizontal="left" vertical="center"/>
    </xf>
    <xf numFmtId="0" fontId="29" fillId="0" borderId="0" xfId="0" applyFont="1" applyFill="1" applyBorder="1" applyAlignment="1">
      <alignment horizontal="center" vertical="center"/>
    </xf>
    <xf numFmtId="1" fontId="8" fillId="0" borderId="0" xfId="0" applyNumberFormat="1" applyFont="1" applyFill="1" applyBorder="1" applyAlignment="1">
      <alignment horizontal="right" vertical="center"/>
    </xf>
    <xf numFmtId="2" fontId="8" fillId="0" borderId="0" xfId="0" applyNumberFormat="1" applyFont="1" applyFill="1" applyBorder="1" applyAlignment="1">
      <alignment horizontal="right" vertical="center"/>
    </xf>
    <xf numFmtId="1" fontId="8" fillId="0" borderId="2" xfId="0" applyNumberFormat="1" applyFont="1" applyFill="1" applyBorder="1" applyAlignment="1">
      <alignment vertical="center"/>
    </xf>
    <xf numFmtId="1" fontId="8" fillId="47" borderId="2" xfId="0" applyNumberFormat="1" applyFont="1" applyFill="1" applyBorder="1" applyAlignment="1">
      <alignment horizontal="right" vertical="center"/>
    </xf>
    <xf numFmtId="164" fontId="24" fillId="47" borderId="2" xfId="0" applyNumberFormat="1" applyFont="1" applyFill="1" applyBorder="1" applyAlignment="1">
      <alignment horizontal="right" vertical="center"/>
    </xf>
    <xf numFmtId="164" fontId="8" fillId="47" borderId="2" xfId="0" applyNumberFormat="1" applyFont="1" applyFill="1" applyBorder="1" applyAlignment="1">
      <alignment vertical="center"/>
    </xf>
    <xf numFmtId="164" fontId="18" fillId="0" borderId="2" xfId="0" applyNumberFormat="1" applyFont="1" applyFill="1" applyBorder="1" applyAlignment="1">
      <alignment vertical="center"/>
    </xf>
    <xf numFmtId="1" fontId="8" fillId="47" borderId="2" xfId="0" applyNumberFormat="1" applyFont="1" applyFill="1" applyBorder="1" applyAlignment="1">
      <alignment vertical="center"/>
    </xf>
    <xf numFmtId="2" fontId="8" fillId="47" borderId="2" xfId="0" applyNumberFormat="1" applyFont="1" applyFill="1" applyBorder="1" applyAlignment="1">
      <alignment vertical="center"/>
    </xf>
    <xf numFmtId="164" fontId="22" fillId="0" borderId="2" xfId="0" applyNumberFormat="1" applyFont="1" applyFill="1" applyBorder="1" applyAlignment="1">
      <alignment vertical="center"/>
    </xf>
    <xf numFmtId="1" fontId="24" fillId="0" borderId="2" xfId="0" applyNumberFormat="1" applyFont="1" applyFill="1" applyBorder="1" applyAlignment="1">
      <alignment vertical="center"/>
    </xf>
    <xf numFmtId="164" fontId="24" fillId="47" borderId="2" xfId="0" applyNumberFormat="1" applyFont="1" applyFill="1" applyBorder="1" applyAlignment="1">
      <alignment vertical="center"/>
    </xf>
    <xf numFmtId="164" fontId="22" fillId="0" borderId="29" xfId="0" applyNumberFormat="1" applyFont="1" applyFill="1" applyBorder="1" applyAlignment="1">
      <alignment vertical="center"/>
    </xf>
    <xf numFmtId="164" fontId="10" fillId="0" borderId="15" xfId="0" applyNumberFormat="1" applyFont="1" applyFill="1" applyBorder="1" applyAlignment="1">
      <alignment vertical="center"/>
    </xf>
    <xf numFmtId="0" fontId="8" fillId="47" borderId="0" xfId="0" applyFont="1" applyFill="1" applyBorder="1" applyAlignment="1">
      <alignment vertical="center"/>
    </xf>
    <xf numFmtId="164" fontId="10" fillId="47" borderId="2" xfId="0" applyNumberFormat="1" applyFont="1" applyFill="1" applyBorder="1" applyAlignment="1">
      <alignment vertical="center"/>
    </xf>
    <xf numFmtId="1" fontId="10" fillId="47" borderId="2" xfId="0" applyNumberFormat="1" applyFont="1" applyFill="1" applyBorder="1" applyAlignment="1">
      <alignment vertical="center"/>
    </xf>
    <xf numFmtId="0" fontId="0" fillId="47" borderId="0" xfId="0" applyFill="1" applyBorder="1" applyAlignment="1">
      <alignment vertical="center"/>
    </xf>
    <xf numFmtId="164" fontId="10" fillId="47" borderId="2" xfId="0" applyNumberFormat="1" applyFont="1" applyFill="1" applyBorder="1" applyAlignment="1">
      <alignment horizontal="right" vertical="center"/>
    </xf>
    <xf numFmtId="2" fontId="10" fillId="47" borderId="2" xfId="0" applyNumberFormat="1" applyFont="1" applyFill="1" applyBorder="1" applyAlignment="1">
      <alignment horizontal="right" vertical="center"/>
    </xf>
    <xf numFmtId="1" fontId="24" fillId="47" borderId="2" xfId="0" applyNumberFormat="1" applyFont="1" applyFill="1" applyBorder="1" applyAlignment="1">
      <alignment horizontal="right" vertical="center"/>
    </xf>
    <xf numFmtId="164" fontId="10" fillId="47" borderId="15" xfId="0" applyNumberFormat="1" applyFont="1" applyFill="1" applyBorder="1" applyAlignment="1">
      <alignment horizontal="right" vertical="center"/>
    </xf>
    <xf numFmtId="164" fontId="24" fillId="0" borderId="12" xfId="0" applyNumberFormat="1" applyFont="1" applyFill="1" applyBorder="1" applyAlignment="1">
      <alignment vertical="center"/>
    </xf>
    <xf numFmtId="0" fontId="107" fillId="6" borderId="0" xfId="0" applyFont="1" applyFill="1" applyBorder="1" applyAlignment="1">
      <alignment vertical="top"/>
    </xf>
    <xf numFmtId="0" fontId="108" fillId="0" borderId="0" xfId="33" applyFont="1" applyAlignment="1">
      <alignment vertical="top"/>
    </xf>
    <xf numFmtId="0" fontId="109" fillId="0" borderId="0" xfId="33" applyFont="1" applyAlignment="1">
      <alignment vertical="top"/>
    </xf>
    <xf numFmtId="178" fontId="19" fillId="0" borderId="21" xfId="0" applyNumberFormat="1" applyFont="1" applyFill="1" applyBorder="1" applyAlignment="1"/>
    <xf numFmtId="179" fontId="19" fillId="0" borderId="11" xfId="0" applyNumberFormat="1" applyFont="1" applyFill="1" applyBorder="1" applyAlignment="1"/>
    <xf numFmtId="169" fontId="19" fillId="0" borderId="11" xfId="0" applyNumberFormat="1" applyFont="1" applyFill="1" applyBorder="1" applyAlignment="1"/>
    <xf numFmtId="180" fontId="8" fillId="0" borderId="11" xfId="0" applyNumberFormat="1" applyFont="1" applyFill="1" applyBorder="1" applyAlignment="1"/>
    <xf numFmtId="2" fontId="24" fillId="0" borderId="64" xfId="0" applyNumberFormat="1" applyFont="1" applyFill="1" applyBorder="1" applyAlignment="1">
      <alignment vertical="center"/>
    </xf>
    <xf numFmtId="1" fontId="8" fillId="0" borderId="18" xfId="0" applyNumberFormat="1" applyFont="1" applyFill="1" applyBorder="1" applyAlignment="1">
      <alignment vertical="center"/>
    </xf>
    <xf numFmtId="0" fontId="103" fillId="43" borderId="0" xfId="0" applyFont="1" applyFill="1" applyBorder="1" applyAlignment="1">
      <alignment vertical="center"/>
    </xf>
    <xf numFmtId="0" fontId="8" fillId="0" borderId="2" xfId="0" applyFont="1" applyFill="1" applyBorder="1"/>
    <xf numFmtId="0" fontId="33" fillId="6" borderId="0" xfId="0" applyNumberFormat="1" applyFont="1" applyFill="1" applyBorder="1" applyAlignment="1">
      <alignment horizontal="right" vertical="center"/>
    </xf>
    <xf numFmtId="1" fontId="10" fillId="0" borderId="0" xfId="0" applyNumberFormat="1" applyFont="1" applyFill="1" applyBorder="1" applyAlignment="1">
      <alignment horizontal="center" vertical="center" textRotation="90"/>
    </xf>
    <xf numFmtId="0" fontId="99" fillId="0" borderId="0" xfId="34" applyFont="1" applyAlignment="1"/>
    <xf numFmtId="0" fontId="99" fillId="0" borderId="0" xfId="34" applyFont="1" applyAlignment="1">
      <alignment horizontal="center"/>
    </xf>
    <xf numFmtId="0" fontId="83" fillId="0" borderId="0" xfId="34" applyFont="1" applyAlignment="1"/>
    <xf numFmtId="0" fontId="102" fillId="0" borderId="0" xfId="34" applyFont="1" applyAlignment="1"/>
    <xf numFmtId="0" fontId="105" fillId="0" borderId="0" xfId="34" applyFont="1" applyAlignment="1">
      <alignment horizontal="center" wrapText="1"/>
    </xf>
    <xf numFmtId="0" fontId="102" fillId="0" borderId="0" xfId="35" applyFont="1" applyAlignment="1">
      <alignment wrapText="1"/>
    </xf>
    <xf numFmtId="0" fontId="105" fillId="0" borderId="0" xfId="35" applyFont="1" applyAlignment="1">
      <alignment wrapText="1"/>
    </xf>
    <xf numFmtId="0" fontId="99" fillId="0" borderId="0" xfId="34" applyFont="1" applyAlignment="1">
      <alignment horizontal="center" wrapText="1"/>
    </xf>
    <xf numFmtId="0" fontId="73" fillId="0" borderId="0" xfId="35" applyFont="1" applyAlignment="1">
      <alignment wrapText="1"/>
    </xf>
    <xf numFmtId="0" fontId="99" fillId="0" borderId="0" xfId="35" applyFont="1" applyAlignment="1">
      <alignment wrapText="1"/>
    </xf>
    <xf numFmtId="0" fontId="99" fillId="0" borderId="0" xfId="35" applyFont="1" applyAlignment="1">
      <alignment vertical="top" wrapText="1"/>
    </xf>
    <xf numFmtId="0" fontId="99" fillId="0" borderId="0" xfId="35" applyFont="1" applyFill="1" applyAlignment="1">
      <alignment wrapText="1"/>
    </xf>
    <xf numFmtId="0" fontId="99" fillId="0" borderId="0" xfId="0" applyFont="1" applyAlignment="1">
      <alignment wrapText="1"/>
    </xf>
    <xf numFmtId="0" fontId="99" fillId="0" borderId="0" xfId="0" applyFont="1" applyFill="1" applyBorder="1" applyAlignment="1">
      <alignment wrapText="1"/>
    </xf>
    <xf numFmtId="0" fontId="73" fillId="0" borderId="0" xfId="35" applyFont="1" applyFill="1" applyAlignment="1">
      <alignment wrapText="1"/>
    </xf>
    <xf numFmtId="0" fontId="73" fillId="0" borderId="0" xfId="35" applyFont="1" applyAlignment="1">
      <alignment horizontal="left" wrapText="1"/>
    </xf>
    <xf numFmtId="0" fontId="73" fillId="0" borderId="0" xfId="34" applyFont="1" applyAlignment="1">
      <alignment horizontal="center" wrapText="1"/>
    </xf>
    <xf numFmtId="0" fontId="99" fillId="0" borderId="0" xfId="35" applyFont="1" applyAlignment="1"/>
    <xf numFmtId="0" fontId="99" fillId="0" borderId="0" xfId="0" applyFont="1"/>
    <xf numFmtId="0" fontId="73" fillId="0" borderId="0" xfId="35" applyFont="1" applyFill="1" applyAlignment="1">
      <alignment vertical="top" wrapText="1"/>
    </xf>
    <xf numFmtId="0" fontId="73" fillId="0" borderId="0" xfId="0" applyFont="1" applyAlignment="1">
      <alignment wrapText="1"/>
    </xf>
    <xf numFmtId="0" fontId="73" fillId="0" borderId="0" xfId="0" applyFont="1" applyFill="1" applyAlignment="1">
      <alignment wrapText="1"/>
    </xf>
    <xf numFmtId="0" fontId="102" fillId="0" borderId="0" xfId="34" applyFont="1" applyAlignment="1">
      <alignment wrapText="1"/>
    </xf>
    <xf numFmtId="0" fontId="105" fillId="0" borderId="0" xfId="34" applyFont="1" applyAlignment="1">
      <alignment wrapText="1"/>
    </xf>
    <xf numFmtId="164" fontId="99" fillId="0" borderId="0" xfId="34" applyNumberFormat="1" applyFont="1" applyAlignment="1">
      <alignment horizontal="center"/>
    </xf>
    <xf numFmtId="0" fontId="99" fillId="0" borderId="0" xfId="34" applyFont="1" applyFill="1" applyAlignment="1"/>
    <xf numFmtId="164" fontId="99" fillId="0" borderId="0" xfId="34" quotePrefix="1" applyNumberFormat="1" applyFont="1" applyAlignment="1">
      <alignment horizontal="center"/>
    </xf>
    <xf numFmtId="0" fontId="99" fillId="0" borderId="0" xfId="34" applyFont="1" applyAlignment="1">
      <alignment wrapText="1"/>
    </xf>
    <xf numFmtId="2" fontId="99" fillId="0" borderId="0" xfId="34" applyNumberFormat="1" applyFont="1" applyAlignment="1">
      <alignment horizontal="center"/>
    </xf>
    <xf numFmtId="0" fontId="102" fillId="0" borderId="0" xfId="34" applyFont="1" applyBorder="1" applyAlignment="1"/>
    <xf numFmtId="0" fontId="99" fillId="0" borderId="0" xfId="34" applyFont="1" applyBorder="1" applyAlignment="1"/>
    <xf numFmtId="0" fontId="99" fillId="0" borderId="0" xfId="34" applyFont="1" applyBorder="1" applyAlignment="1">
      <alignment horizontal="center"/>
    </xf>
    <xf numFmtId="0" fontId="8" fillId="0" borderId="0" xfId="35" applyFont="1" applyFill="1" applyBorder="1" applyAlignment="1">
      <alignment horizontal="left" wrapText="1"/>
    </xf>
    <xf numFmtId="0" fontId="99" fillId="0" borderId="0" xfId="34" applyFont="1" applyFill="1" applyBorder="1" applyAlignment="1"/>
    <xf numFmtId="0" fontId="8" fillId="0" borderId="0" xfId="35" applyFont="1" applyFill="1" applyBorder="1" applyAlignment="1">
      <alignment vertical="top" wrapText="1"/>
    </xf>
    <xf numFmtId="0" fontId="99" fillId="0" borderId="0" xfId="34" applyFont="1" applyFill="1" applyBorder="1" applyAlignment="1">
      <alignment vertical="top" wrapText="1"/>
    </xf>
    <xf numFmtId="0" fontId="99" fillId="0" borderId="0" xfId="34" applyFont="1" applyFill="1" applyAlignment="1">
      <alignment vertical="top" wrapText="1"/>
    </xf>
    <xf numFmtId="0" fontId="8" fillId="0" borderId="0" xfId="35" applyFont="1" applyFill="1" applyBorder="1" applyAlignment="1">
      <alignment horizontal="left"/>
    </xf>
    <xf numFmtId="164" fontId="8" fillId="0" borderId="0" xfId="35" applyNumberFormat="1" applyFont="1" applyFill="1" applyBorder="1" applyAlignment="1">
      <alignment horizontal="left" wrapText="1"/>
    </xf>
    <xf numFmtId="0" fontId="8" fillId="0" borderId="0" xfId="35" applyFont="1" applyFill="1" applyBorder="1" applyAlignment="1">
      <alignment vertical="top"/>
    </xf>
    <xf numFmtId="0" fontId="8" fillId="0" borderId="0" xfId="35" applyFont="1" applyFill="1" applyBorder="1"/>
    <xf numFmtId="0" fontId="8" fillId="0" borderId="0" xfId="0" applyFont="1" applyAlignment="1">
      <alignment horizontal="left" vertical="center"/>
    </xf>
    <xf numFmtId="0" fontId="8" fillId="0" borderId="0" xfId="35" applyFont="1" applyFill="1" applyBorder="1" applyAlignment="1">
      <alignment vertical="center"/>
    </xf>
    <xf numFmtId="0" fontId="73" fillId="0" borderId="0" xfId="35" applyFont="1" applyFill="1" applyAlignment="1">
      <alignment vertical="center" wrapText="1"/>
    </xf>
    <xf numFmtId="0" fontId="8" fillId="0" borderId="0" xfId="35" quotePrefix="1" applyFont="1" applyFill="1" applyBorder="1"/>
    <xf numFmtId="0" fontId="99" fillId="0" borderId="0" xfId="34" applyFont="1" applyFill="1" applyBorder="1" applyAlignment="1">
      <alignment wrapText="1"/>
    </xf>
    <xf numFmtId="0" fontId="99" fillId="0" borderId="0" xfId="34" applyFont="1" applyFill="1" applyAlignment="1">
      <alignment wrapText="1"/>
    </xf>
    <xf numFmtId="0" fontId="8" fillId="0" borderId="0" xfId="35" quotePrefix="1" applyFill="1" applyBorder="1"/>
    <xf numFmtId="0" fontId="8" fillId="0" borderId="0" xfId="35" quotePrefix="1" applyFont="1" applyFill="1" applyBorder="1" applyAlignment="1"/>
    <xf numFmtId="0" fontId="8" fillId="0" borderId="0" xfId="35" quotePrefix="1" applyFont="1" applyFill="1" applyBorder="1" applyAlignment="1">
      <alignment vertical="center"/>
    </xf>
    <xf numFmtId="0" fontId="99" fillId="0" borderId="0" xfId="34" applyFont="1" applyFill="1" applyBorder="1" applyAlignment="1">
      <alignment vertical="center"/>
    </xf>
    <xf numFmtId="0" fontId="8" fillId="0" borderId="0" xfId="35" quotePrefix="1" applyFont="1" applyFill="1" applyBorder="1" applyAlignment="1">
      <alignment vertical="top"/>
    </xf>
    <xf numFmtId="0" fontId="8" fillId="0" borderId="0" xfId="35" quotePrefix="1" applyFont="1" applyFill="1" applyAlignment="1">
      <alignment vertical="top"/>
    </xf>
    <xf numFmtId="0" fontId="99" fillId="0" borderId="0" xfId="34" applyFont="1" applyFill="1" applyAlignment="1">
      <alignment vertical="center" wrapText="1"/>
    </xf>
    <xf numFmtId="0" fontId="24" fillId="0" borderId="0" xfId="35" applyFont="1" applyFill="1" applyBorder="1" applyAlignment="1">
      <alignment horizontal="left" vertical="center"/>
    </xf>
    <xf numFmtId="0" fontId="24" fillId="0" borderId="0" xfId="35" applyFont="1" applyFill="1" applyBorder="1" applyAlignment="1">
      <alignment vertical="center"/>
    </xf>
    <xf numFmtId="0" fontId="99" fillId="0" borderId="0" xfId="34" applyFont="1" applyFill="1" applyAlignment="1">
      <alignment vertical="center"/>
    </xf>
    <xf numFmtId="164" fontId="59" fillId="6" borderId="12" xfId="0" applyNumberFormat="1" applyFont="1" applyFill="1" applyBorder="1" applyAlignment="1">
      <alignment horizontal="left" vertical="center"/>
    </xf>
    <xf numFmtId="0" fontId="59" fillId="6" borderId="12" xfId="0" applyFont="1" applyFill="1" applyBorder="1" applyAlignment="1">
      <alignment horizontal="left" vertical="center"/>
    </xf>
    <xf numFmtId="1" fontId="10" fillId="0" borderId="0" xfId="0" applyNumberFormat="1" applyFont="1" applyFill="1" applyBorder="1" applyAlignment="1">
      <alignment horizontal="center" vertical="center" textRotation="90"/>
    </xf>
    <xf numFmtId="0" fontId="41" fillId="0" borderId="0" xfId="0" applyFont="1" applyFill="1" applyBorder="1" applyAlignment="1">
      <alignment horizontal="center"/>
    </xf>
    <xf numFmtId="0" fontId="41" fillId="0" borderId="0" xfId="0" applyFont="1" applyFill="1" applyAlignment="1">
      <alignment horizontal="center"/>
    </xf>
    <xf numFmtId="0" fontId="41" fillId="0" borderId="0" xfId="0" applyFont="1" applyFill="1"/>
    <xf numFmtId="0" fontId="0" fillId="0" borderId="0" xfId="2" applyNumberFormat="1" applyFont="1" applyFill="1"/>
    <xf numFmtId="0" fontId="8" fillId="0" borderId="0" xfId="0" applyFont="1" applyFill="1"/>
    <xf numFmtId="49" fontId="8" fillId="0" borderId="0" xfId="0" applyNumberFormat="1" applyFont="1" applyFill="1" applyAlignment="1">
      <alignment horizontal="center"/>
    </xf>
    <xf numFmtId="0" fontId="8" fillId="0" borderId="0" xfId="0" applyFont="1" applyFill="1" applyAlignment="1">
      <alignment horizontal="center"/>
    </xf>
    <xf numFmtId="0" fontId="8" fillId="0" borderId="0" xfId="2" applyNumberFormat="1" applyFont="1" applyFill="1"/>
    <xf numFmtId="49" fontId="15" fillId="0" borderId="4" xfId="0" applyNumberFormat="1" applyFont="1" applyFill="1" applyBorder="1" applyAlignment="1">
      <alignment horizontal="center" vertical="top" wrapText="1"/>
    </xf>
    <xf numFmtId="0" fontId="15" fillId="0" borderId="4" xfId="0" applyFont="1" applyFill="1" applyBorder="1" applyAlignment="1">
      <alignment horizontal="center" vertical="top"/>
    </xf>
    <xf numFmtId="0" fontId="15" fillId="0" borderId="4" xfId="0" applyFont="1" applyFill="1" applyBorder="1" applyAlignment="1">
      <alignment vertical="top"/>
    </xf>
    <xf numFmtId="0" fontId="15" fillId="0" borderId="5" xfId="0" applyFont="1" applyFill="1" applyBorder="1" applyAlignment="1">
      <alignment vertical="top"/>
    </xf>
    <xf numFmtId="0" fontId="15" fillId="0" borderId="5" xfId="0" applyFont="1" applyFill="1" applyBorder="1"/>
    <xf numFmtId="0" fontId="39" fillId="0" borderId="4" xfId="0" applyFont="1" applyFill="1" applyBorder="1"/>
    <xf numFmtId="0" fontId="15" fillId="0" borderId="26" xfId="0" applyFont="1" applyFill="1" applyBorder="1"/>
    <xf numFmtId="0" fontId="15" fillId="0" borderId="0" xfId="2" applyNumberFormat="1" applyFont="1" applyFill="1"/>
    <xf numFmtId="0" fontId="10" fillId="0" borderId="37" xfId="0" applyFont="1" applyFill="1" applyBorder="1" applyAlignment="1">
      <alignment vertical="top" wrapText="1"/>
    </xf>
    <xf numFmtId="49" fontId="8" fillId="0" borderId="38" xfId="0" applyNumberFormat="1" applyFont="1" applyFill="1" applyBorder="1" applyAlignment="1">
      <alignment horizontal="center" vertical="top" wrapText="1"/>
    </xf>
    <xf numFmtId="0" fontId="10" fillId="0" borderId="38" xfId="0" applyFont="1" applyFill="1" applyBorder="1" applyAlignment="1">
      <alignment vertical="top" wrapText="1"/>
    </xf>
    <xf numFmtId="0" fontId="8" fillId="0" borderId="38" xfId="0" applyFont="1" applyFill="1" applyBorder="1"/>
    <xf numFmtId="0" fontId="8" fillId="0" borderId="37" xfId="0" applyFont="1" applyFill="1" applyBorder="1" applyAlignment="1">
      <alignment vertical="top"/>
    </xf>
    <xf numFmtId="0" fontId="10" fillId="0" borderId="38" xfId="0" applyFont="1" applyFill="1" applyBorder="1" applyAlignment="1">
      <alignment horizontal="center" vertical="top"/>
    </xf>
    <xf numFmtId="0" fontId="8" fillId="0" borderId="38" xfId="0" applyFont="1" applyFill="1" applyBorder="1" applyAlignment="1">
      <alignment horizontal="center" vertical="top"/>
    </xf>
    <xf numFmtId="0" fontId="10" fillId="0" borderId="38" xfId="0" applyFont="1" applyFill="1" applyBorder="1" applyAlignment="1">
      <alignment vertical="top"/>
    </xf>
    <xf numFmtId="0" fontId="10" fillId="0" borderId="37" xfId="0" applyFont="1" applyFill="1" applyBorder="1" applyAlignment="1">
      <alignment vertical="top"/>
    </xf>
    <xf numFmtId="0" fontId="10" fillId="0" borderId="39" xfId="0" applyFont="1" applyFill="1" applyBorder="1" applyAlignment="1">
      <alignment vertical="top"/>
    </xf>
    <xf numFmtId="0" fontId="10" fillId="0" borderId="39" xfId="0" applyFont="1" applyFill="1" applyBorder="1"/>
    <xf numFmtId="0" fontId="8" fillId="0" borderId="37" xfId="0" applyFont="1" applyFill="1" applyBorder="1"/>
    <xf numFmtId="0" fontId="41" fillId="0" borderId="38" xfId="0" applyFont="1" applyFill="1" applyBorder="1"/>
    <xf numFmtId="0" fontId="8" fillId="0" borderId="40" xfId="0" applyFont="1" applyFill="1" applyBorder="1"/>
    <xf numFmtId="0" fontId="40" fillId="0" borderId="40" xfId="0" applyFont="1" applyFill="1" applyBorder="1"/>
    <xf numFmtId="0" fontId="40" fillId="0" borderId="37" xfId="0" applyFont="1" applyFill="1" applyBorder="1"/>
    <xf numFmtId="0" fontId="10" fillId="0" borderId="38" xfId="2" applyNumberFormat="1" applyFont="1" applyFill="1" applyBorder="1"/>
    <xf numFmtId="0" fontId="8" fillId="0" borderId="6" xfId="0" applyFont="1" applyFill="1" applyBorder="1" applyAlignment="1">
      <alignment horizontal="center" vertical="center" textRotation="90" wrapText="1"/>
    </xf>
    <xf numFmtId="49" fontId="8" fillId="0" borderId="0" xfId="0" applyNumberFormat="1" applyFont="1" applyFill="1" applyBorder="1" applyAlignment="1">
      <alignment horizontal="center" vertical="center" textRotation="90" wrapText="1"/>
    </xf>
    <xf numFmtId="0" fontId="10" fillId="0" borderId="0" xfId="0" applyFont="1" applyFill="1" applyBorder="1" applyAlignment="1">
      <alignment horizontal="center" vertical="center" textRotation="90" wrapText="1"/>
    </xf>
    <xf numFmtId="0" fontId="10" fillId="0" borderId="79" xfId="0" applyFont="1" applyFill="1" applyBorder="1" applyAlignment="1">
      <alignment horizontal="center" vertical="center" textRotation="90"/>
    </xf>
    <xf numFmtId="0" fontId="8" fillId="0" borderId="0" xfId="0" applyFont="1" applyFill="1" applyBorder="1" applyAlignment="1">
      <alignment horizontal="center" vertical="center" textRotation="90"/>
    </xf>
    <xf numFmtId="0" fontId="10" fillId="0" borderId="0" xfId="0" applyFont="1" applyFill="1" applyBorder="1" applyAlignment="1">
      <alignment horizontal="center" vertical="center" textRotation="90"/>
    </xf>
    <xf numFmtId="0" fontId="10" fillId="0" borderId="6" xfId="0" applyFont="1" applyFill="1" applyBorder="1" applyAlignment="1">
      <alignment horizontal="center" vertical="center" textRotation="90"/>
    </xf>
    <xf numFmtId="0" fontId="8" fillId="0" borderId="6" xfId="0" applyFont="1" applyFill="1" applyBorder="1" applyAlignment="1">
      <alignment horizontal="center" vertical="center" textRotation="90"/>
    </xf>
    <xf numFmtId="0" fontId="10" fillId="0" borderId="7" xfId="0" applyFont="1" applyFill="1" applyBorder="1" applyAlignment="1">
      <alignment horizontal="center" vertical="center" textRotation="90"/>
    </xf>
    <xf numFmtId="0" fontId="10" fillId="0" borderId="38" xfId="0" applyFont="1" applyFill="1" applyBorder="1" applyAlignment="1">
      <alignment horizontal="center" vertical="center" textRotation="90"/>
    </xf>
    <xf numFmtId="0" fontId="8" fillId="0" borderId="27" xfId="0" applyFont="1" applyFill="1" applyBorder="1" applyAlignment="1">
      <alignment horizontal="center" vertical="center" textRotation="90"/>
    </xf>
    <xf numFmtId="0" fontId="40" fillId="0" borderId="27" xfId="0" applyFont="1" applyFill="1" applyBorder="1" applyAlignment="1">
      <alignment horizontal="center" vertical="center" textRotation="90"/>
    </xf>
    <xf numFmtId="0" fontId="10" fillId="0" borderId="0" xfId="2" applyNumberFormat="1" applyFont="1" applyFill="1" applyBorder="1" applyAlignment="1">
      <alignment horizontal="center" vertical="center" textRotation="90"/>
    </xf>
    <xf numFmtId="0" fontId="8" fillId="0" borderId="50" xfId="0" applyFont="1" applyFill="1" applyBorder="1" applyAlignment="1">
      <alignment horizontal="center" textRotation="90" wrapText="1"/>
    </xf>
    <xf numFmtId="49" fontId="8" fillId="0" borderId="51" xfId="0" applyNumberFormat="1" applyFont="1" applyFill="1" applyBorder="1" applyAlignment="1">
      <alignment horizontal="center" textRotation="90" wrapText="1"/>
    </xf>
    <xf numFmtId="0" fontId="8" fillId="0" borderId="44" xfId="0" applyFont="1" applyFill="1" applyBorder="1" applyAlignment="1">
      <alignment horizontal="center" textRotation="90" wrapText="1"/>
    </xf>
    <xf numFmtId="0" fontId="10" fillId="0" borderId="44" xfId="0" applyFont="1" applyFill="1" applyBorder="1" applyAlignment="1">
      <alignment horizontal="center" textRotation="90" wrapText="1"/>
    </xf>
    <xf numFmtId="0" fontId="10" fillId="0" borderId="7" xfId="0" applyFont="1" applyFill="1" applyBorder="1" applyAlignment="1">
      <alignment horizontal="center" textRotation="90" wrapText="1"/>
    </xf>
    <xf numFmtId="0" fontId="10" fillId="0" borderId="38" xfId="0" applyFont="1" applyFill="1" applyBorder="1" applyAlignment="1">
      <alignment horizontal="center" textRotation="90" wrapText="1"/>
    </xf>
    <xf numFmtId="0" fontId="8" fillId="0" borderId="90" xfId="0" applyFont="1" applyFill="1" applyBorder="1" applyAlignment="1">
      <alignment horizontal="center" textRotation="90" wrapText="1"/>
    </xf>
    <xf numFmtId="0" fontId="10" fillId="0" borderId="90" xfId="0" applyFont="1" applyFill="1" applyBorder="1" applyAlignment="1">
      <alignment horizontal="center" textRotation="90" wrapText="1"/>
    </xf>
    <xf numFmtId="0" fontId="10" fillId="0" borderId="0" xfId="0" applyFont="1" applyFill="1" applyBorder="1" applyAlignment="1">
      <alignment horizontal="center" textRotation="90"/>
    </xf>
    <xf numFmtId="0" fontId="8" fillId="0" borderId="79" xfId="0" applyFont="1" applyFill="1" applyBorder="1" applyAlignment="1">
      <alignment horizontal="center" textRotation="90" wrapText="1"/>
    </xf>
    <xf numFmtId="0" fontId="10" fillId="0" borderId="60" xfId="0" applyFont="1" applyFill="1" applyBorder="1" applyAlignment="1">
      <alignment horizontal="center" textRotation="90" wrapText="1"/>
    </xf>
    <xf numFmtId="0" fontId="10" fillId="0" borderId="27" xfId="0" applyFont="1" applyFill="1" applyBorder="1" applyAlignment="1">
      <alignment horizontal="center" textRotation="90" wrapText="1"/>
    </xf>
    <xf numFmtId="0" fontId="10" fillId="0" borderId="86" xfId="0" applyFont="1" applyFill="1" applyBorder="1" applyAlignment="1">
      <alignment horizontal="center" textRotation="90" wrapText="1"/>
    </xf>
    <xf numFmtId="0" fontId="8" fillId="0" borderId="60" xfId="0" applyFont="1" applyFill="1" applyBorder="1" applyAlignment="1">
      <alignment horizontal="center" textRotation="90" wrapText="1"/>
    </xf>
    <xf numFmtId="0" fontId="8" fillId="0" borderId="84" xfId="0" applyFont="1" applyFill="1" applyBorder="1" applyAlignment="1">
      <alignment horizontal="center" textRotation="90" wrapText="1"/>
    </xf>
    <xf numFmtId="0" fontId="40" fillId="0" borderId="27" xfId="0" applyFont="1" applyFill="1" applyBorder="1" applyAlignment="1">
      <alignment horizontal="center" textRotation="90" wrapText="1"/>
    </xf>
    <xf numFmtId="0" fontId="10" fillId="0" borderId="41" xfId="0" applyFont="1" applyFill="1" applyBorder="1" applyAlignment="1">
      <alignment horizontal="center" textRotation="90" wrapText="1"/>
    </xf>
    <xf numFmtId="0" fontId="10" fillId="0" borderId="87" xfId="0" applyFont="1" applyFill="1" applyBorder="1" applyAlignment="1">
      <alignment horizontal="center" textRotation="90" wrapText="1"/>
    </xf>
    <xf numFmtId="164" fontId="8" fillId="0" borderId="6" xfId="0" applyNumberFormat="1" applyFont="1" applyFill="1" applyBorder="1" applyAlignment="1">
      <alignment horizontal="center" textRotation="90" wrapText="1"/>
    </xf>
    <xf numFmtId="164" fontId="8" fillId="0" borderId="7" xfId="0" applyNumberFormat="1" applyFont="1" applyFill="1" applyBorder="1" applyAlignment="1">
      <alignment horizontal="center" textRotation="90" wrapText="1"/>
    </xf>
    <xf numFmtId="164" fontId="10" fillId="0" borderId="0" xfId="0" applyNumberFormat="1" applyFont="1" applyFill="1" applyBorder="1" applyAlignment="1">
      <alignment horizontal="center" textRotation="90" wrapText="1"/>
    </xf>
    <xf numFmtId="164" fontId="8" fillId="0" borderId="0" xfId="0" applyNumberFormat="1" applyFont="1" applyFill="1" applyBorder="1" applyAlignment="1">
      <alignment horizontal="center" textRotation="90" wrapText="1"/>
    </xf>
    <xf numFmtId="0" fontId="10" fillId="0" borderId="0" xfId="0" applyFont="1" applyFill="1" applyAlignment="1">
      <alignment horizontal="center" textRotation="90" wrapText="1"/>
    </xf>
    <xf numFmtId="0" fontId="10" fillId="0" borderId="0" xfId="2" applyNumberFormat="1" applyFont="1" applyFill="1" applyAlignment="1">
      <alignment horizontal="center" textRotation="90" wrapText="1"/>
    </xf>
    <xf numFmtId="0" fontId="8" fillId="0" borderId="0" xfId="0" applyFont="1" applyFill="1" applyAlignment="1">
      <alignment horizontal="center" textRotation="90" wrapText="1"/>
    </xf>
    <xf numFmtId="0" fontId="10" fillId="0" borderId="52" xfId="0" applyFont="1" applyFill="1" applyBorder="1" applyAlignment="1">
      <alignment horizontal="center" textRotation="90" wrapText="1"/>
    </xf>
    <xf numFmtId="49" fontId="10" fillId="0" borderId="1" xfId="0" applyNumberFormat="1" applyFont="1" applyFill="1" applyBorder="1" applyAlignment="1">
      <alignment horizontal="center" textRotation="90" wrapText="1"/>
    </xf>
    <xf numFmtId="0" fontId="10" fillId="0" borderId="34" xfId="0" applyFont="1" applyFill="1" applyBorder="1" applyAlignment="1">
      <alignment horizontal="center" textRotation="90" wrapText="1"/>
    </xf>
    <xf numFmtId="0" fontId="10" fillId="0" borderId="45" xfId="0" applyFont="1" applyFill="1" applyBorder="1" applyAlignment="1">
      <alignment horizontal="center" textRotation="90" wrapText="1"/>
    </xf>
    <xf numFmtId="0" fontId="8" fillId="0" borderId="45" xfId="0" applyFont="1" applyFill="1" applyBorder="1" applyAlignment="1">
      <alignment horizontal="center" textRotation="90" wrapText="1"/>
    </xf>
    <xf numFmtId="0" fontId="10" fillId="0" borderId="88" xfId="0" applyFont="1" applyFill="1" applyBorder="1" applyAlignment="1">
      <alignment horizontal="center" textRotation="90" wrapText="1"/>
    </xf>
    <xf numFmtId="0" fontId="10" fillId="0" borderId="89" xfId="0" applyFont="1" applyFill="1" applyBorder="1" applyAlignment="1">
      <alignment horizontal="center" textRotation="90" wrapText="1"/>
    </xf>
    <xf numFmtId="0" fontId="8" fillId="0" borderId="38" xfId="0" applyFont="1" applyFill="1" applyBorder="1" applyAlignment="1">
      <alignment horizontal="center" textRotation="90" wrapText="1"/>
    </xf>
    <xf numFmtId="0" fontId="10" fillId="0" borderId="36" xfId="0" applyFont="1" applyFill="1" applyBorder="1" applyAlignment="1">
      <alignment horizontal="center" textRotation="90" wrapText="1"/>
    </xf>
    <xf numFmtId="0" fontId="8" fillId="0" borderId="36" xfId="0" applyFont="1" applyFill="1" applyBorder="1" applyAlignment="1">
      <alignment horizontal="center" textRotation="90" wrapText="1"/>
    </xf>
    <xf numFmtId="0" fontId="40" fillId="0" borderId="36" xfId="0" applyFont="1" applyFill="1" applyBorder="1" applyAlignment="1">
      <alignment horizontal="center" textRotation="90" wrapText="1"/>
    </xf>
    <xf numFmtId="0" fontId="10" fillId="0" borderId="42" xfId="0" applyFont="1" applyFill="1" applyBorder="1" applyAlignment="1">
      <alignment horizontal="center" textRotation="90" wrapText="1"/>
    </xf>
    <xf numFmtId="0" fontId="40" fillId="0" borderId="33" xfId="0" applyFont="1" applyFill="1" applyBorder="1" applyAlignment="1">
      <alignment horizontal="center" textRotation="90" wrapText="1"/>
    </xf>
    <xf numFmtId="164" fontId="10" fillId="0" borderId="33" xfId="0" applyNumberFormat="1" applyFont="1" applyFill="1" applyBorder="1" applyAlignment="1">
      <alignment horizontal="center" textRotation="90" wrapText="1"/>
    </xf>
    <xf numFmtId="164" fontId="10" fillId="0" borderId="34" xfId="0" applyNumberFormat="1" applyFont="1" applyFill="1" applyBorder="1" applyAlignment="1">
      <alignment horizontal="center" textRotation="90" wrapText="1"/>
    </xf>
    <xf numFmtId="164" fontId="10" fillId="0" borderId="35" xfId="0" applyNumberFormat="1" applyFont="1" applyFill="1" applyBorder="1" applyAlignment="1">
      <alignment horizontal="center" textRotation="90" wrapText="1"/>
    </xf>
    <xf numFmtId="0" fontId="10" fillId="0" borderId="35" xfId="0" quotePrefix="1" applyFont="1" applyFill="1" applyBorder="1" applyAlignment="1">
      <alignment horizontal="center" textRotation="90" wrapText="1"/>
    </xf>
    <xf numFmtId="0" fontId="10" fillId="0" borderId="35" xfId="2" applyNumberFormat="1" applyFont="1" applyFill="1" applyBorder="1" applyAlignment="1">
      <alignment horizontal="center" textRotation="90" wrapText="1"/>
    </xf>
    <xf numFmtId="0" fontId="10" fillId="0" borderId="53" xfId="0" applyFont="1" applyFill="1" applyBorder="1" applyAlignment="1">
      <alignment horizontal="center" textRotation="90" wrapText="1"/>
    </xf>
    <xf numFmtId="0" fontId="10" fillId="0" borderId="54" xfId="0" applyFont="1" applyFill="1" applyBorder="1" applyAlignment="1">
      <alignment horizontal="center" textRotation="90" wrapText="1"/>
    </xf>
    <xf numFmtId="0" fontId="10" fillId="0" borderId="10" xfId="0" applyFont="1" applyFill="1" applyBorder="1" applyAlignment="1">
      <alignment horizontal="center" textRotation="90" wrapText="1"/>
    </xf>
    <xf numFmtId="0" fontId="10" fillId="0" borderId="8" xfId="0" applyFont="1" applyFill="1" applyBorder="1" applyAlignment="1">
      <alignment horizontal="center" textRotation="90" wrapText="1"/>
    </xf>
    <xf numFmtId="0" fontId="10" fillId="0" borderId="9" xfId="0" applyFont="1" applyFill="1" applyBorder="1" applyAlignment="1">
      <alignment horizontal="center" textRotation="90" wrapText="1"/>
    </xf>
    <xf numFmtId="0" fontId="10" fillId="0" borderId="46" xfId="0" applyFont="1" applyFill="1" applyBorder="1" applyAlignment="1">
      <alignment horizontal="center" textRotation="90" wrapText="1"/>
    </xf>
    <xf numFmtId="0" fontId="8" fillId="0" borderId="8" xfId="0" applyFont="1" applyFill="1" applyBorder="1" applyAlignment="1">
      <alignment horizontal="center" textRotation="90" wrapText="1"/>
    </xf>
    <xf numFmtId="0" fontId="10" fillId="0" borderId="9" xfId="0" quotePrefix="1" applyFont="1" applyFill="1" applyBorder="1" applyAlignment="1">
      <alignment horizontal="center" textRotation="90" wrapText="1"/>
    </xf>
    <xf numFmtId="0" fontId="8" fillId="0" borderId="10" xfId="0" applyFont="1" applyFill="1" applyBorder="1" applyAlignment="1">
      <alignment horizontal="center" textRotation="90" wrapText="1"/>
    </xf>
    <xf numFmtId="0" fontId="10" fillId="0" borderId="43" xfId="0" applyFont="1" applyFill="1" applyBorder="1" applyAlignment="1">
      <alignment horizontal="center" textRotation="90" wrapText="1"/>
    </xf>
    <xf numFmtId="0" fontId="8" fillId="0" borderId="43" xfId="0" applyFont="1" applyFill="1" applyBorder="1" applyAlignment="1">
      <alignment horizontal="center" textRotation="90" wrapText="1"/>
    </xf>
    <xf numFmtId="0" fontId="10" fillId="0" borderId="28" xfId="0" applyFont="1" applyFill="1" applyBorder="1" applyAlignment="1">
      <alignment horizontal="center" textRotation="90" wrapText="1"/>
    </xf>
    <xf numFmtId="0" fontId="10" fillId="0" borderId="28" xfId="0" quotePrefix="1" applyFont="1" applyFill="1" applyBorder="1" applyAlignment="1">
      <alignment horizontal="center" textRotation="90" wrapText="1"/>
    </xf>
    <xf numFmtId="0" fontId="10" fillId="0" borderId="8" xfId="0" quotePrefix="1" applyFont="1" applyFill="1" applyBorder="1" applyAlignment="1">
      <alignment horizontal="center" textRotation="90" wrapText="1"/>
    </xf>
    <xf numFmtId="0" fontId="8" fillId="0" borderId="9" xfId="0" quotePrefix="1" applyFont="1" applyFill="1" applyBorder="1" applyAlignment="1">
      <alignment horizontal="center" textRotation="90" wrapText="1"/>
    </xf>
    <xf numFmtId="0" fontId="40" fillId="0" borderId="28" xfId="0" applyFont="1" applyFill="1" applyBorder="1" applyAlignment="1">
      <alignment horizontal="center" textRotation="90" wrapText="1"/>
    </xf>
    <xf numFmtId="0" fontId="40" fillId="0" borderId="8" xfId="0" applyFont="1" applyFill="1" applyBorder="1" applyAlignment="1">
      <alignment horizontal="center" textRotation="90" wrapText="1"/>
    </xf>
    <xf numFmtId="164" fontId="8" fillId="0" borderId="8" xfId="0" applyNumberFormat="1" applyFont="1" applyFill="1" applyBorder="1" applyAlignment="1">
      <alignment horizontal="center" textRotation="90" wrapText="1"/>
    </xf>
    <xf numFmtId="164" fontId="8" fillId="0" borderId="10" xfId="0" applyNumberFormat="1" applyFont="1" applyFill="1" applyBorder="1" applyAlignment="1">
      <alignment horizontal="center" textRotation="90" wrapText="1"/>
    </xf>
    <xf numFmtId="164" fontId="10" fillId="0" borderId="9" xfId="0" applyNumberFormat="1" applyFont="1" applyFill="1" applyBorder="1" applyAlignment="1">
      <alignment horizontal="center" textRotation="90" wrapText="1"/>
    </xf>
    <xf numFmtId="0" fontId="10" fillId="0" borderId="0" xfId="2" applyNumberFormat="1" applyFont="1" applyFill="1" applyBorder="1" applyAlignment="1">
      <alignment horizontal="center" textRotation="90" wrapText="1"/>
    </xf>
    <xf numFmtId="49" fontId="10" fillId="0" borderId="55" xfId="0" applyNumberFormat="1" applyFont="1" applyFill="1" applyBorder="1" applyAlignment="1">
      <alignment horizontal="center" vertical="top" wrapText="1"/>
    </xf>
    <xf numFmtId="0" fontId="8" fillId="0" borderId="5" xfId="0" applyFont="1" applyFill="1" applyBorder="1" applyAlignment="1">
      <alignment vertical="top" wrapText="1"/>
    </xf>
    <xf numFmtId="1" fontId="10" fillId="0" borderId="4" xfId="0" applyNumberFormat="1" applyFont="1" applyFill="1" applyBorder="1" applyAlignment="1">
      <alignment vertical="top" wrapText="1"/>
    </xf>
    <xf numFmtId="0" fontId="10" fillId="0" borderId="47" xfId="0" applyFont="1" applyFill="1" applyBorder="1" applyAlignment="1">
      <alignment vertical="top" wrapText="1"/>
    </xf>
    <xf numFmtId="2" fontId="10" fillId="0" borderId="4" xfId="0" applyNumberFormat="1" applyFont="1" applyFill="1" applyBorder="1" applyAlignment="1">
      <alignment vertical="top" wrapText="1"/>
    </xf>
    <xf numFmtId="164" fontId="10" fillId="0" borderId="3" xfId="0" applyNumberFormat="1" applyFont="1" applyFill="1" applyBorder="1" applyAlignment="1">
      <alignment horizontal="center" vertical="top" wrapText="1"/>
    </xf>
    <xf numFmtId="164" fontId="10" fillId="0" borderId="47" xfId="0" applyNumberFormat="1" applyFont="1" applyFill="1" applyBorder="1" applyAlignment="1">
      <alignment horizontal="center" vertical="top" wrapText="1"/>
    </xf>
    <xf numFmtId="164" fontId="10" fillId="0" borderId="4" xfId="0" applyNumberFormat="1" applyFont="1" applyFill="1" applyBorder="1" applyAlignment="1">
      <alignment horizontal="center" vertical="top" wrapText="1"/>
    </xf>
    <xf numFmtId="0" fontId="10" fillId="0" borderId="4" xfId="0" applyFont="1" applyFill="1" applyBorder="1" applyAlignment="1">
      <alignment horizontal="center" vertical="top" wrapText="1"/>
    </xf>
    <xf numFmtId="0" fontId="10" fillId="0" borderId="47" xfId="0" applyFont="1" applyFill="1" applyBorder="1" applyAlignment="1">
      <alignment horizontal="center" vertical="top" wrapText="1"/>
    </xf>
    <xf numFmtId="0" fontId="10" fillId="0" borderId="3" xfId="0" applyFont="1" applyFill="1" applyBorder="1" applyAlignment="1">
      <alignment horizontal="center" vertical="top" wrapText="1"/>
    </xf>
    <xf numFmtId="164" fontId="10" fillId="0" borderId="5" xfId="0" applyNumberFormat="1" applyFont="1" applyFill="1" applyBorder="1" applyAlignment="1">
      <alignment horizontal="center" vertical="top" wrapText="1"/>
    </xf>
    <xf numFmtId="164" fontId="10" fillId="0" borderId="47" xfId="0" applyNumberFormat="1" applyFont="1" applyFill="1" applyBorder="1" applyAlignment="1">
      <alignment vertical="top" wrapText="1"/>
    </xf>
    <xf numFmtId="164" fontId="10" fillId="0" borderId="5" xfId="0" applyNumberFormat="1" applyFont="1" applyFill="1" applyBorder="1" applyAlignment="1">
      <alignment vertical="top" wrapText="1"/>
    </xf>
    <xf numFmtId="1" fontId="10" fillId="0" borderId="5" xfId="0" applyNumberFormat="1" applyFont="1" applyFill="1" applyBorder="1" applyAlignment="1">
      <alignment vertical="top" wrapText="1"/>
    </xf>
    <xf numFmtId="1" fontId="10" fillId="0" borderId="47" xfId="0" applyNumberFormat="1" applyFont="1" applyFill="1" applyBorder="1" applyAlignment="1">
      <alignment vertical="top" wrapText="1"/>
    </xf>
    <xf numFmtId="1" fontId="10" fillId="0" borderId="61" xfId="0" applyNumberFormat="1" applyFont="1" applyFill="1" applyBorder="1" applyAlignment="1">
      <alignment vertical="top" wrapText="1"/>
    </xf>
    <xf numFmtId="164" fontId="10" fillId="0" borderId="55" xfId="0" applyNumberFormat="1" applyFont="1" applyFill="1" applyBorder="1" applyAlignment="1">
      <alignment vertical="top" wrapText="1"/>
    </xf>
    <xf numFmtId="0" fontId="10" fillId="0" borderId="61" xfId="0" applyFont="1" applyFill="1" applyBorder="1" applyAlignment="1">
      <alignment vertical="top" wrapText="1"/>
    </xf>
    <xf numFmtId="2" fontId="8" fillId="0" borderId="4" xfId="0" applyNumberFormat="1" applyFont="1" applyFill="1" applyBorder="1" applyAlignment="1">
      <alignment vertical="top" wrapText="1"/>
    </xf>
    <xf numFmtId="0" fontId="0" fillId="0" borderId="4" xfId="0" applyFill="1" applyBorder="1" applyAlignment="1"/>
    <xf numFmtId="0" fontId="8" fillId="0" borderId="4" xfId="0" applyFont="1" applyFill="1" applyBorder="1" applyAlignment="1"/>
    <xf numFmtId="172" fontId="8" fillId="0" borderId="4" xfId="0" applyNumberFormat="1" applyFont="1" applyFill="1" applyBorder="1" applyAlignment="1">
      <alignment vertical="top"/>
    </xf>
    <xf numFmtId="172" fontId="10" fillId="0" borderId="4" xfId="0" applyNumberFormat="1" applyFont="1" applyFill="1" applyBorder="1" applyAlignment="1">
      <alignment vertical="top" wrapText="1"/>
    </xf>
    <xf numFmtId="172" fontId="10" fillId="0" borderId="5" xfId="0" applyNumberFormat="1" applyFont="1" applyFill="1" applyBorder="1" applyAlignment="1">
      <alignment vertical="top" wrapText="1"/>
    </xf>
    <xf numFmtId="172" fontId="10" fillId="0" borderId="5" xfId="0" applyNumberFormat="1" applyFont="1" applyFill="1" applyBorder="1" applyAlignment="1">
      <alignment vertical="top"/>
    </xf>
    <xf numFmtId="0" fontId="10" fillId="0" borderId="26" xfId="0" applyFont="1" applyFill="1" applyBorder="1" applyAlignment="1">
      <alignment vertical="top" wrapText="1"/>
    </xf>
    <xf numFmtId="0" fontId="8" fillId="0" borderId="3" xfId="0" applyFont="1" applyFill="1" applyBorder="1" applyAlignment="1">
      <alignment vertical="top" wrapText="1"/>
    </xf>
    <xf numFmtId="164" fontId="10" fillId="0" borderId="61" xfId="0" applyNumberFormat="1" applyFont="1" applyFill="1" applyBorder="1" applyAlignment="1">
      <alignment vertical="top" wrapText="1"/>
    </xf>
    <xf numFmtId="164" fontId="8" fillId="0" borderId="3" xfId="0" quotePrefix="1" applyNumberFormat="1" applyFont="1" applyFill="1" applyBorder="1"/>
    <xf numFmtId="164" fontId="0" fillId="0" borderId="3" xfId="0" applyNumberFormat="1" applyFill="1" applyBorder="1"/>
    <xf numFmtId="164" fontId="0" fillId="0" borderId="4" xfId="0" applyNumberFormat="1" applyFill="1" applyBorder="1"/>
    <xf numFmtId="164" fontId="0" fillId="0" borderId="47" xfId="0" applyNumberFormat="1" applyFill="1" applyBorder="1"/>
    <xf numFmtId="164" fontId="0" fillId="0" borderId="61" xfId="0" applyNumberFormat="1" applyFill="1" applyBorder="1"/>
    <xf numFmtId="164" fontId="0" fillId="0" borderId="5" xfId="0" applyNumberFormat="1" applyFill="1" applyBorder="1"/>
    <xf numFmtId="1" fontId="8" fillId="0" borderId="3" xfId="0" applyNumberFormat="1" applyFont="1" applyFill="1" applyBorder="1" applyAlignment="1">
      <alignment horizontal="center" vertical="top" wrapText="1"/>
    </xf>
    <xf numFmtId="1" fontId="10" fillId="0" borderId="5" xfId="0" applyNumberFormat="1" applyFont="1" applyFill="1" applyBorder="1"/>
    <xf numFmtId="2" fontId="10" fillId="0" borderId="4" xfId="0" applyNumberFormat="1" applyFont="1" applyFill="1" applyBorder="1"/>
    <xf numFmtId="0" fontId="10" fillId="0" borderId="4" xfId="0" quotePrefix="1" applyFont="1" applyFill="1" applyBorder="1"/>
    <xf numFmtId="0" fontId="10" fillId="0" borderId="4" xfId="0" quotePrefix="1" applyFont="1" applyFill="1" applyBorder="1" applyAlignment="1">
      <alignment vertical="top"/>
    </xf>
    <xf numFmtId="0" fontId="8" fillId="0" borderId="4" xfId="0" quotePrefix="1" applyFont="1" applyFill="1" applyBorder="1" applyAlignment="1">
      <alignment vertical="top"/>
    </xf>
    <xf numFmtId="0" fontId="16" fillId="0" borderId="4" xfId="0" applyFont="1" applyFill="1" applyBorder="1" applyAlignment="1">
      <alignment vertical="top"/>
    </xf>
    <xf numFmtId="0" fontId="10" fillId="0" borderId="0" xfId="2" applyNumberFormat="1" applyFont="1" applyFill="1" applyBorder="1" applyAlignment="1">
      <alignment vertical="top" wrapText="1"/>
    </xf>
    <xf numFmtId="2" fontId="10" fillId="0" borderId="0" xfId="0" applyNumberFormat="1" applyFont="1" applyFill="1" applyBorder="1" applyAlignment="1">
      <alignment vertical="top" wrapText="1"/>
    </xf>
    <xf numFmtId="1" fontId="10" fillId="0" borderId="0" xfId="0" applyNumberFormat="1" applyFont="1" applyFill="1" applyBorder="1" applyAlignment="1">
      <alignment horizontal="center" vertical="top" wrapText="1"/>
    </xf>
    <xf numFmtId="49" fontId="10" fillId="0" borderId="54" xfId="0" applyNumberFormat="1" applyFont="1" applyFill="1" applyBorder="1" applyAlignment="1">
      <alignment horizontal="center" vertical="top" wrapText="1"/>
    </xf>
    <xf numFmtId="0" fontId="8" fillId="0" borderId="10" xfId="0" applyFont="1" applyFill="1" applyBorder="1" applyAlignment="1">
      <alignment vertical="top" wrapText="1"/>
    </xf>
    <xf numFmtId="1" fontId="10" fillId="0" borderId="9" xfId="0" applyNumberFormat="1" applyFont="1" applyFill="1" applyBorder="1" applyAlignment="1">
      <alignment vertical="top" wrapText="1"/>
    </xf>
    <xf numFmtId="0" fontId="10" fillId="0" borderId="46" xfId="0" applyFont="1" applyFill="1" applyBorder="1" applyAlignment="1">
      <alignment vertical="top" wrapText="1"/>
    </xf>
    <xf numFmtId="2" fontId="10" fillId="0" borderId="9" xfId="0" applyNumberFormat="1" applyFont="1" applyFill="1" applyBorder="1" applyAlignment="1">
      <alignment vertical="top" wrapText="1"/>
    </xf>
    <xf numFmtId="164" fontId="10" fillId="0" borderId="8" xfId="0" applyNumberFormat="1" applyFont="1" applyFill="1" applyBorder="1" applyAlignment="1">
      <alignment horizontal="center" vertical="top" wrapText="1"/>
    </xf>
    <xf numFmtId="164" fontId="10" fillId="0" borderId="46" xfId="0" applyNumberFormat="1" applyFont="1" applyFill="1" applyBorder="1" applyAlignment="1">
      <alignment horizontal="center" vertical="top" wrapText="1"/>
    </xf>
    <xf numFmtId="164" fontId="10" fillId="0" borderId="9" xfId="0" applyNumberFormat="1" applyFont="1" applyFill="1" applyBorder="1" applyAlignment="1">
      <alignment horizontal="center" vertical="top" wrapText="1"/>
    </xf>
    <xf numFmtId="0" fontId="10" fillId="0" borderId="9" xfId="0" applyFont="1" applyFill="1" applyBorder="1" applyAlignment="1">
      <alignment horizontal="center" vertical="top" wrapText="1"/>
    </xf>
    <xf numFmtId="0" fontId="10" fillId="0" borderId="46" xfId="0" applyFont="1" applyFill="1" applyBorder="1" applyAlignment="1">
      <alignment horizontal="center" vertical="top" wrapText="1"/>
    </xf>
    <xf numFmtId="0" fontId="10" fillId="0" borderId="8" xfId="0" applyFont="1" applyFill="1" applyBorder="1" applyAlignment="1">
      <alignment horizontal="center" vertical="top" wrapText="1"/>
    </xf>
    <xf numFmtId="164" fontId="10" fillId="0" borderId="10" xfId="0" applyNumberFormat="1" applyFont="1" applyFill="1" applyBorder="1" applyAlignment="1">
      <alignment horizontal="center" vertical="top" wrapText="1"/>
    </xf>
    <xf numFmtId="164" fontId="10" fillId="0" borderId="46" xfId="0" applyNumberFormat="1" applyFont="1" applyFill="1" applyBorder="1" applyAlignment="1">
      <alignment vertical="top" wrapText="1"/>
    </xf>
    <xf numFmtId="164" fontId="10" fillId="0" borderId="10" xfId="0" applyNumberFormat="1" applyFont="1" applyFill="1" applyBorder="1" applyAlignment="1">
      <alignment vertical="top" wrapText="1"/>
    </xf>
    <xf numFmtId="1" fontId="10" fillId="0" borderId="10" xfId="0" applyNumberFormat="1" applyFont="1" applyFill="1" applyBorder="1" applyAlignment="1">
      <alignment vertical="top" wrapText="1"/>
    </xf>
    <xf numFmtId="1" fontId="10" fillId="0" borderId="46" xfId="0" applyNumberFormat="1" applyFont="1" applyFill="1" applyBorder="1" applyAlignment="1">
      <alignment vertical="top" wrapText="1"/>
    </xf>
    <xf numFmtId="1" fontId="10" fillId="0" borderId="43" xfId="0" applyNumberFormat="1" applyFont="1" applyFill="1" applyBorder="1" applyAlignment="1">
      <alignment vertical="top" wrapText="1"/>
    </xf>
    <xf numFmtId="164" fontId="10" fillId="0" borderId="54" xfId="0" applyNumberFormat="1" applyFont="1" applyFill="1" applyBorder="1" applyAlignment="1">
      <alignment vertical="top" wrapText="1"/>
    </xf>
    <xf numFmtId="0" fontId="10" fillId="0" borderId="43" xfId="0" applyFont="1" applyFill="1" applyBorder="1" applyAlignment="1">
      <alignment vertical="top" wrapText="1"/>
    </xf>
    <xf numFmtId="2" fontId="8" fillId="0" borderId="9" xfId="0" applyNumberFormat="1" applyFont="1" applyFill="1" applyBorder="1" applyAlignment="1">
      <alignment vertical="top" wrapText="1"/>
    </xf>
    <xf numFmtId="0" fontId="0" fillId="0" borderId="9" xfId="0" applyFill="1" applyBorder="1" applyAlignment="1"/>
    <xf numFmtId="172" fontId="8" fillId="0" borderId="9" xfId="0" applyNumberFormat="1" applyFont="1" applyFill="1" applyBorder="1" applyAlignment="1">
      <alignment vertical="top"/>
    </xf>
    <xf numFmtId="172" fontId="10" fillId="0" borderId="9" xfId="0" applyNumberFormat="1" applyFont="1" applyFill="1" applyBorder="1" applyAlignment="1">
      <alignment vertical="top" wrapText="1"/>
    </xf>
    <xf numFmtId="172" fontId="10" fillId="0" borderId="10" xfId="0" applyNumberFormat="1" applyFont="1" applyFill="1" applyBorder="1" applyAlignment="1">
      <alignment vertical="top" wrapText="1"/>
    </xf>
    <xf numFmtId="172" fontId="10" fillId="0" borderId="10" xfId="0" applyNumberFormat="1" applyFont="1" applyFill="1" applyBorder="1" applyAlignment="1">
      <alignment vertical="top"/>
    </xf>
    <xf numFmtId="0" fontId="10" fillId="0" borderId="28" xfId="0" applyFont="1" applyFill="1" applyBorder="1" applyAlignment="1">
      <alignment vertical="top" wrapText="1"/>
    </xf>
    <xf numFmtId="0" fontId="8" fillId="0" borderId="8" xfId="0" applyFont="1" applyFill="1" applyBorder="1" applyAlignment="1">
      <alignment vertical="top" wrapText="1"/>
    </xf>
    <xf numFmtId="164" fontId="10" fillId="0" borderId="43" xfId="0" applyNumberFormat="1" applyFont="1" applyFill="1" applyBorder="1" applyAlignment="1">
      <alignment vertical="top" wrapText="1"/>
    </xf>
    <xf numFmtId="164" fontId="8" fillId="0" borderId="8" xfId="0" quotePrefix="1" applyNumberFormat="1" applyFont="1" applyFill="1" applyBorder="1"/>
    <xf numFmtId="164" fontId="0" fillId="0" borderId="8" xfId="0" applyNumberFormat="1" applyFill="1" applyBorder="1"/>
    <xf numFmtId="164" fontId="0" fillId="0" borderId="9" xfId="0" applyNumberFormat="1" applyFill="1" applyBorder="1"/>
    <xf numFmtId="164" fontId="0" fillId="0" borderId="46" xfId="0" applyNumberFormat="1" applyFill="1" applyBorder="1"/>
    <xf numFmtId="164" fontId="0" fillId="0" borderId="43" xfId="0" applyNumberFormat="1" applyFill="1" applyBorder="1"/>
    <xf numFmtId="164" fontId="0" fillId="0" borderId="10" xfId="0" applyNumberFormat="1" applyFill="1" applyBorder="1"/>
    <xf numFmtId="1" fontId="8" fillId="0" borderId="8" xfId="0" applyNumberFormat="1" applyFont="1" applyFill="1" applyBorder="1" applyAlignment="1">
      <alignment horizontal="center" vertical="top" wrapText="1"/>
    </xf>
    <xf numFmtId="1" fontId="10" fillId="0" borderId="10" xfId="0" applyNumberFormat="1" applyFont="1" applyFill="1" applyBorder="1"/>
    <xf numFmtId="2" fontId="10" fillId="0" borderId="9" xfId="0" applyNumberFormat="1" applyFont="1" applyFill="1" applyBorder="1"/>
    <xf numFmtId="0" fontId="10" fillId="0" borderId="9" xfId="0" quotePrefix="1" applyFont="1" applyFill="1" applyBorder="1"/>
    <xf numFmtId="0" fontId="10" fillId="0" borderId="9" xfId="0" quotePrefix="1" applyFont="1" applyFill="1" applyBorder="1" applyAlignment="1">
      <alignment vertical="top"/>
    </xf>
    <xf numFmtId="0" fontId="8" fillId="0" borderId="9" xfId="0" quotePrefix="1" applyFont="1" applyFill="1" applyBorder="1" applyAlignment="1">
      <alignment vertical="top"/>
    </xf>
    <xf numFmtId="0" fontId="16" fillId="0" borderId="9" xfId="0" applyFont="1" applyFill="1" applyBorder="1" applyAlignment="1">
      <alignment vertical="top"/>
    </xf>
    <xf numFmtId="49" fontId="10" fillId="0" borderId="2" xfId="0" quotePrefix="1" applyNumberFormat="1" applyFont="1" applyFill="1" applyBorder="1" applyAlignment="1">
      <alignment horizontal="center" vertical="top" wrapText="1"/>
    </xf>
    <xf numFmtId="0" fontId="10" fillId="0" borderId="7" xfId="0" applyFont="1" applyFill="1" applyBorder="1" applyAlignment="1">
      <alignment vertical="top" wrapText="1"/>
    </xf>
    <xf numFmtId="1" fontId="10" fillId="0" borderId="0" xfId="0" applyNumberFormat="1" applyFont="1" applyFill="1" applyBorder="1" applyAlignment="1">
      <alignment vertical="top" wrapText="1"/>
    </xf>
    <xf numFmtId="0" fontId="10" fillId="0" borderId="48" xfId="0" applyFont="1" applyFill="1" applyBorder="1" applyAlignment="1">
      <alignment vertical="top" wrapText="1"/>
    </xf>
    <xf numFmtId="164" fontId="10" fillId="0" borderId="6" xfId="0" applyNumberFormat="1" applyFont="1" applyFill="1" applyBorder="1" applyAlignment="1">
      <alignment vertical="top" wrapText="1"/>
    </xf>
    <xf numFmtId="164" fontId="10" fillId="0" borderId="6" xfId="0" applyNumberFormat="1" applyFont="1" applyFill="1" applyBorder="1" applyAlignment="1">
      <alignment horizontal="center" vertical="top" wrapText="1"/>
    </xf>
    <xf numFmtId="164" fontId="10" fillId="0" borderId="48" xfId="0" applyNumberFormat="1" applyFont="1" applyFill="1" applyBorder="1" applyAlignment="1">
      <alignment horizontal="center" vertical="top" wrapText="1"/>
    </xf>
    <xf numFmtId="164" fontId="8" fillId="0" borderId="0" xfId="0" applyNumberFormat="1" applyFont="1" applyFill="1" applyBorder="1" applyAlignment="1">
      <alignment horizontal="center" vertical="top" wrapText="1"/>
    </xf>
    <xf numFmtId="0" fontId="10" fillId="0" borderId="48" xfId="0" applyFont="1" applyFill="1" applyBorder="1" applyAlignment="1">
      <alignment horizontal="center" vertical="top" wrapText="1"/>
    </xf>
    <xf numFmtId="0" fontId="10" fillId="0" borderId="6" xfId="0" applyFont="1" applyFill="1" applyBorder="1" applyAlignment="1">
      <alignment horizontal="center" vertical="top" wrapText="1"/>
    </xf>
    <xf numFmtId="164" fontId="10" fillId="0" borderId="7" xfId="0" applyNumberFormat="1" applyFont="1" applyFill="1" applyBorder="1" applyAlignment="1">
      <alignment horizontal="center" vertical="top" wrapText="1"/>
    </xf>
    <xf numFmtId="0" fontId="10" fillId="0" borderId="6" xfId="0" applyFont="1" applyFill="1" applyBorder="1" applyAlignment="1">
      <alignment vertical="top" wrapText="1"/>
    </xf>
    <xf numFmtId="164" fontId="10" fillId="0" borderId="48" xfId="0" applyNumberFormat="1" applyFont="1" applyFill="1" applyBorder="1" applyAlignment="1">
      <alignment vertical="top" wrapText="1"/>
    </xf>
    <xf numFmtId="164" fontId="10" fillId="0" borderId="7" xfId="0" applyNumberFormat="1" applyFont="1" applyFill="1" applyBorder="1" applyAlignment="1">
      <alignment vertical="top" wrapText="1"/>
    </xf>
    <xf numFmtId="1" fontId="10" fillId="0" borderId="7" xfId="0" applyNumberFormat="1" applyFont="1" applyFill="1" applyBorder="1" applyAlignment="1">
      <alignment vertical="top" wrapText="1"/>
    </xf>
    <xf numFmtId="1" fontId="10" fillId="0" borderId="48" xfId="0" applyNumberFormat="1" applyFont="1" applyFill="1" applyBorder="1" applyAlignment="1">
      <alignment vertical="top" wrapText="1"/>
    </xf>
    <xf numFmtId="1" fontId="10" fillId="0" borderId="11" xfId="0" applyNumberFormat="1" applyFont="1" applyFill="1" applyBorder="1" applyAlignment="1">
      <alignment vertical="top" wrapText="1"/>
    </xf>
    <xf numFmtId="164" fontId="10" fillId="0" borderId="2" xfId="0" applyNumberFormat="1" applyFont="1" applyFill="1" applyBorder="1" applyAlignment="1">
      <alignment vertical="top" wrapText="1"/>
    </xf>
    <xf numFmtId="0" fontId="10" fillId="0" borderId="11" xfId="0" applyFont="1" applyFill="1" applyBorder="1" applyAlignment="1">
      <alignment vertical="top" wrapText="1"/>
    </xf>
    <xf numFmtId="0" fontId="0" fillId="0" borderId="0" xfId="0" applyFill="1" applyBorder="1" applyAlignment="1"/>
    <xf numFmtId="172" fontId="8" fillId="0" borderId="0" xfId="0" applyNumberFormat="1" applyFont="1" applyFill="1" applyBorder="1" applyAlignment="1">
      <alignment vertical="top"/>
    </xf>
    <xf numFmtId="172" fontId="10" fillId="0" borderId="0" xfId="0" applyNumberFormat="1" applyFont="1" applyFill="1" applyBorder="1" applyAlignment="1">
      <alignment vertical="top" wrapText="1"/>
    </xf>
    <xf numFmtId="172" fontId="10" fillId="0" borderId="7" xfId="0" applyNumberFormat="1" applyFont="1" applyFill="1" applyBorder="1" applyAlignment="1">
      <alignment vertical="top" wrapText="1"/>
    </xf>
    <xf numFmtId="172" fontId="10" fillId="0" borderId="7" xfId="0" applyNumberFormat="1" applyFont="1" applyFill="1" applyBorder="1" applyAlignment="1">
      <alignment vertical="top"/>
    </xf>
    <xf numFmtId="0" fontId="10" fillId="0" borderId="27" xfId="0" applyFont="1" applyFill="1" applyBorder="1" applyAlignment="1">
      <alignment vertical="top" wrapText="1"/>
    </xf>
    <xf numFmtId="0" fontId="8" fillId="0" borderId="6" xfId="0" applyFont="1" applyFill="1" applyBorder="1" applyAlignment="1">
      <alignment vertical="top" wrapText="1"/>
    </xf>
    <xf numFmtId="164" fontId="10" fillId="0" borderId="11" xfId="0" applyNumberFormat="1" applyFont="1" applyFill="1" applyBorder="1" applyAlignment="1">
      <alignment vertical="top" wrapText="1"/>
    </xf>
    <xf numFmtId="164" fontId="8" fillId="0" borderId="6" xfId="0" quotePrefix="1" applyNumberFormat="1" applyFont="1" applyFill="1" applyBorder="1"/>
    <xf numFmtId="164" fontId="0" fillId="0" borderId="6" xfId="0" applyNumberFormat="1" applyFill="1" applyBorder="1"/>
    <xf numFmtId="164" fontId="0" fillId="0" borderId="0" xfId="0" applyNumberFormat="1" applyFill="1" applyBorder="1"/>
    <xf numFmtId="164" fontId="0" fillId="0" borderId="48" xfId="0" applyNumberFormat="1" applyFill="1" applyBorder="1"/>
    <xf numFmtId="164" fontId="0" fillId="0" borderId="11" xfId="0" applyNumberFormat="1" applyFill="1" applyBorder="1"/>
    <xf numFmtId="164" fontId="0" fillId="0" borderId="7" xfId="0" applyNumberFormat="1" applyFill="1" applyBorder="1"/>
    <xf numFmtId="1" fontId="8" fillId="0" borderId="6" xfId="0" applyNumberFormat="1" applyFont="1" applyFill="1" applyBorder="1" applyAlignment="1">
      <alignment horizontal="center" vertical="top" wrapText="1"/>
    </xf>
    <xf numFmtId="1" fontId="10" fillId="0" borderId="7" xfId="0" applyNumberFormat="1" applyFont="1" applyFill="1" applyBorder="1"/>
    <xf numFmtId="2" fontId="10" fillId="0" borderId="0" xfId="0" applyNumberFormat="1" applyFont="1" applyFill="1" applyBorder="1"/>
    <xf numFmtId="0" fontId="8" fillId="0" borderId="0" xfId="0" quotePrefix="1" applyFont="1" applyFill="1" applyAlignment="1">
      <alignment vertical="top"/>
    </xf>
    <xf numFmtId="0" fontId="10" fillId="0" borderId="0" xfId="0" applyFont="1" applyFill="1" applyAlignment="1">
      <alignment vertical="top"/>
    </xf>
    <xf numFmtId="0" fontId="16" fillId="0" borderId="0" xfId="0" applyFont="1" applyFill="1" applyBorder="1" applyAlignment="1">
      <alignment vertical="top"/>
    </xf>
    <xf numFmtId="0" fontId="10" fillId="0" borderId="0" xfId="0" applyFont="1" applyFill="1" applyAlignment="1">
      <alignment vertical="top" wrapText="1"/>
    </xf>
    <xf numFmtId="49" fontId="10" fillId="0" borderId="54" xfId="0" quotePrefix="1" applyNumberFormat="1" applyFont="1" applyFill="1" applyBorder="1" applyAlignment="1">
      <alignment horizontal="center" vertical="top" wrapText="1"/>
    </xf>
    <xf numFmtId="0" fontId="16" fillId="0" borderId="9" xfId="0" applyFont="1" applyFill="1" applyBorder="1" applyAlignment="1">
      <alignment vertical="top" wrapText="1"/>
    </xf>
    <xf numFmtId="49" fontId="10" fillId="0" borderId="55" xfId="0" quotePrefix="1" applyNumberFormat="1" applyFont="1" applyFill="1" applyBorder="1" applyAlignment="1">
      <alignment horizontal="center"/>
    </xf>
    <xf numFmtId="1" fontId="10" fillId="0" borderId="4" xfId="0" applyNumberFormat="1" applyFont="1" applyFill="1" applyBorder="1"/>
    <xf numFmtId="164" fontId="8" fillId="0" borderId="4" xfId="0" applyNumberFormat="1" applyFont="1" applyFill="1" applyBorder="1" applyAlignment="1">
      <alignment horizontal="center" vertical="top" wrapText="1"/>
    </xf>
    <xf numFmtId="1" fontId="0" fillId="0" borderId="5" xfId="0" applyNumberFormat="1" applyFill="1" applyBorder="1"/>
    <xf numFmtId="2" fontId="0" fillId="0" borderId="4" xfId="0" applyNumberFormat="1" applyFill="1" applyBorder="1"/>
    <xf numFmtId="1" fontId="0" fillId="0" borderId="4" xfId="0" applyNumberFormat="1" applyFill="1" applyBorder="1"/>
    <xf numFmtId="0" fontId="16" fillId="0" borderId="4" xfId="0" applyFont="1" applyFill="1" applyBorder="1" applyAlignment="1">
      <alignment vertical="top" wrapText="1"/>
    </xf>
    <xf numFmtId="172" fontId="0" fillId="0" borderId="4" xfId="0" applyNumberFormat="1" applyFill="1" applyBorder="1"/>
    <xf numFmtId="172" fontId="0" fillId="0" borderId="5" xfId="0" applyNumberFormat="1" applyFill="1" applyBorder="1"/>
    <xf numFmtId="172" fontId="0" fillId="0" borderId="5" xfId="0" applyNumberFormat="1" applyFill="1" applyBorder="1" applyAlignment="1"/>
    <xf numFmtId="1" fontId="8" fillId="0" borderId="3" xfId="0" applyNumberFormat="1" applyFont="1" applyFill="1" applyBorder="1" applyAlignment="1">
      <alignment horizontal="center"/>
    </xf>
    <xf numFmtId="0" fontId="10" fillId="0" borderId="0" xfId="0" quotePrefix="1" applyFont="1" applyFill="1"/>
    <xf numFmtId="0" fontId="0" fillId="0" borderId="0" xfId="0" applyFill="1" applyAlignment="1"/>
    <xf numFmtId="0" fontId="0" fillId="0" borderId="7" xfId="0" applyFill="1" applyBorder="1"/>
    <xf numFmtId="49" fontId="10" fillId="0" borderId="2" xfId="0" quotePrefix="1" applyNumberFormat="1" applyFont="1" applyFill="1" applyBorder="1" applyAlignment="1">
      <alignment horizontal="center"/>
    </xf>
    <xf numFmtId="164" fontId="10" fillId="0" borderId="0" xfId="0" applyNumberFormat="1" applyFont="1" applyFill="1" applyBorder="1" applyAlignment="1">
      <alignment horizontal="center" vertical="top" wrapText="1"/>
    </xf>
    <xf numFmtId="0" fontId="8" fillId="0" borderId="6" xfId="0" applyFont="1" applyFill="1" applyBorder="1" applyAlignment="1">
      <alignment horizontal="center" vertical="top" wrapText="1"/>
    </xf>
    <xf numFmtId="1" fontId="0" fillId="0" borderId="7" xfId="0" applyNumberFormat="1" applyFill="1" applyBorder="1"/>
    <xf numFmtId="2" fontId="0" fillId="0" borderId="0" xfId="0" applyNumberFormat="1" applyFill="1" applyBorder="1"/>
    <xf numFmtId="1" fontId="0" fillId="0" borderId="0" xfId="0" applyNumberFormat="1" applyFill="1" applyBorder="1"/>
    <xf numFmtId="0" fontId="16" fillId="0" borderId="0" xfId="0" applyFont="1" applyFill="1" applyBorder="1" applyAlignment="1">
      <alignment vertical="top" wrapText="1"/>
    </xf>
    <xf numFmtId="172" fontId="8" fillId="0" borderId="0" xfId="0" applyNumberFormat="1" applyFont="1" applyFill="1" applyBorder="1" applyAlignment="1"/>
    <xf numFmtId="172" fontId="0" fillId="0" borderId="0" xfId="0" applyNumberFormat="1" applyFill="1" applyBorder="1"/>
    <xf numFmtId="172" fontId="0" fillId="0" borderId="7" xfId="0" applyNumberFormat="1" applyFill="1" applyBorder="1"/>
    <xf numFmtId="172" fontId="0" fillId="0" borderId="7" xfId="0" applyNumberFormat="1" applyFill="1" applyBorder="1" applyAlignment="1"/>
    <xf numFmtId="1" fontId="8" fillId="0" borderId="6" xfId="0" applyNumberFormat="1" applyFont="1" applyFill="1" applyBorder="1" applyAlignment="1">
      <alignment horizontal="center"/>
    </xf>
    <xf numFmtId="49" fontId="10" fillId="0" borderId="54" xfId="0" quotePrefix="1" applyNumberFormat="1" applyFont="1" applyFill="1" applyBorder="1" applyAlignment="1">
      <alignment horizontal="center"/>
    </xf>
    <xf numFmtId="1" fontId="10" fillId="0" borderId="9" xfId="0" applyNumberFormat="1" applyFont="1" applyFill="1" applyBorder="1"/>
    <xf numFmtId="164" fontId="8" fillId="0" borderId="9" xfId="0" applyNumberFormat="1" applyFont="1" applyFill="1" applyBorder="1" applyAlignment="1">
      <alignment horizontal="center" vertical="top" wrapText="1"/>
    </xf>
    <xf numFmtId="1" fontId="0" fillId="0" borderId="10" xfId="0" applyNumberFormat="1" applyFill="1" applyBorder="1"/>
    <xf numFmtId="2" fontId="0" fillId="0" borderId="9" xfId="0" applyNumberFormat="1" applyFill="1" applyBorder="1"/>
    <xf numFmtId="1" fontId="0" fillId="0" borderId="9" xfId="0" applyNumberFormat="1" applyFill="1" applyBorder="1"/>
    <xf numFmtId="172" fontId="8" fillId="0" borderId="9" xfId="0" applyNumberFormat="1" applyFont="1" applyFill="1" applyBorder="1" applyAlignment="1"/>
    <xf numFmtId="172" fontId="0" fillId="0" borderId="9" xfId="0" applyNumberFormat="1" applyFill="1" applyBorder="1"/>
    <xf numFmtId="172" fontId="0" fillId="0" borderId="10" xfId="0" applyNumberFormat="1" applyFill="1" applyBorder="1"/>
    <xf numFmtId="172" fontId="0" fillId="0" borderId="10" xfId="0" applyNumberFormat="1" applyFill="1" applyBorder="1" applyAlignment="1"/>
    <xf numFmtId="0" fontId="8" fillId="0" borderId="28" xfId="0" applyFont="1" applyFill="1" applyBorder="1"/>
    <xf numFmtId="1" fontId="8" fillId="0" borderId="8" xfId="0" applyNumberFormat="1" applyFont="1" applyFill="1" applyBorder="1" applyAlignment="1">
      <alignment horizontal="center"/>
    </xf>
    <xf numFmtId="0" fontId="8" fillId="0" borderId="0" xfId="0" quotePrefix="1" applyFont="1" applyFill="1" applyBorder="1" applyAlignment="1">
      <alignment vertical="top"/>
    </xf>
    <xf numFmtId="0" fontId="8" fillId="0" borderId="3" xfId="0" applyFont="1" applyFill="1" applyBorder="1" applyAlignment="1">
      <alignment horizontal="center" vertical="top" wrapText="1"/>
    </xf>
    <xf numFmtId="0" fontId="0" fillId="0" borderId="0" xfId="0" quotePrefix="1" applyFill="1"/>
    <xf numFmtId="0" fontId="10" fillId="0" borderId="0" xfId="0" quotePrefix="1" applyFont="1" applyFill="1" applyBorder="1"/>
    <xf numFmtId="0" fontId="10" fillId="0" borderId="27" xfId="0" applyFont="1" applyFill="1" applyBorder="1"/>
    <xf numFmtId="0" fontId="0" fillId="0" borderId="6" xfId="0" applyFill="1" applyBorder="1"/>
    <xf numFmtId="0" fontId="16" fillId="0" borderId="0" xfId="0" applyFont="1" applyFill="1" applyBorder="1"/>
    <xf numFmtId="0" fontId="8" fillId="0" borderId="10" xfId="0" applyFont="1" applyFill="1" applyBorder="1"/>
    <xf numFmtId="0" fontId="8" fillId="0" borderId="8" xfId="0" applyFont="1" applyFill="1" applyBorder="1" applyAlignment="1">
      <alignment horizontal="center" vertical="top" wrapText="1"/>
    </xf>
    <xf numFmtId="0" fontId="0" fillId="0" borderId="8" xfId="0" applyFill="1" applyBorder="1"/>
    <xf numFmtId="0" fontId="0" fillId="0" borderId="9" xfId="0" applyFill="1" applyBorder="1"/>
    <xf numFmtId="0" fontId="16" fillId="0" borderId="9" xfId="0" applyFont="1" applyFill="1" applyBorder="1"/>
    <xf numFmtId="49" fontId="8" fillId="0" borderId="55" xfId="0" applyNumberFormat="1" applyFont="1" applyFill="1" applyBorder="1" applyAlignment="1">
      <alignment horizontal="center"/>
    </xf>
    <xf numFmtId="0" fontId="8" fillId="0" borderId="27" xfId="0" applyFont="1" applyFill="1" applyBorder="1" applyAlignment="1">
      <alignment vertical="top" wrapText="1"/>
    </xf>
    <xf numFmtId="0" fontId="8" fillId="0" borderId="0" xfId="0" quotePrefix="1" applyFont="1" applyFill="1" applyBorder="1" applyAlignment="1"/>
    <xf numFmtId="49" fontId="10" fillId="0" borderId="2" xfId="0" applyNumberFormat="1" applyFont="1" applyFill="1" applyBorder="1" applyAlignment="1">
      <alignment horizontal="center"/>
    </xf>
    <xf numFmtId="164" fontId="10" fillId="0" borderId="58" xfId="0" applyNumberFormat="1" applyFont="1" applyFill="1" applyBorder="1" applyAlignment="1">
      <alignment horizontal="center"/>
    </xf>
    <xf numFmtId="49" fontId="8" fillId="0" borderId="2" xfId="0" applyNumberFormat="1" applyFont="1" applyFill="1" applyBorder="1" applyAlignment="1">
      <alignment horizontal="center"/>
    </xf>
    <xf numFmtId="164" fontId="8" fillId="0" borderId="0" xfId="0" applyNumberFormat="1" applyFont="1" applyFill="1" applyBorder="1" applyAlignment="1">
      <alignment vertical="top" wrapText="1"/>
    </xf>
    <xf numFmtId="164" fontId="10" fillId="0" borderId="57" xfId="0" applyNumberFormat="1" applyFont="1" applyFill="1" applyBorder="1" applyAlignment="1">
      <alignment horizontal="center"/>
    </xf>
    <xf numFmtId="49" fontId="10" fillId="0" borderId="55" xfId="0" applyNumberFormat="1" applyFont="1" applyFill="1" applyBorder="1" applyAlignment="1">
      <alignment horizontal="center"/>
    </xf>
    <xf numFmtId="172" fontId="8" fillId="0" borderId="4" xfId="0" applyNumberFormat="1" applyFont="1" applyFill="1" applyBorder="1" applyAlignment="1"/>
    <xf numFmtId="1" fontId="8" fillId="0" borderId="4" xfId="0" applyNumberFormat="1" applyFont="1" applyFill="1" applyBorder="1" applyAlignment="1">
      <alignment vertical="top" wrapText="1"/>
    </xf>
    <xf numFmtId="1" fontId="8" fillId="0" borderId="0" xfId="0" applyNumberFormat="1" applyFont="1" applyFill="1" applyBorder="1" applyAlignment="1">
      <alignment vertical="top" wrapText="1"/>
    </xf>
    <xf numFmtId="164" fontId="10" fillId="0" borderId="53" xfId="0" applyNumberFormat="1" applyFont="1" applyFill="1" applyBorder="1" applyAlignment="1">
      <alignment horizontal="center"/>
    </xf>
    <xf numFmtId="49" fontId="10" fillId="0" borderId="54" xfId="0" applyNumberFormat="1" applyFont="1" applyFill="1" applyBorder="1" applyAlignment="1">
      <alignment horizontal="center"/>
    </xf>
    <xf numFmtId="0" fontId="10" fillId="0" borderId="28" xfId="0" applyFont="1" applyFill="1" applyBorder="1"/>
    <xf numFmtId="0" fontId="16" fillId="0" borderId="4" xfId="0" applyFont="1" applyFill="1" applyBorder="1"/>
    <xf numFmtId="172" fontId="0" fillId="0" borderId="4" xfId="0" applyNumberFormat="1" applyFill="1" applyBorder="1" applyAlignment="1"/>
    <xf numFmtId="172" fontId="0" fillId="0" borderId="0" xfId="0" applyNumberFormat="1" applyFill="1" applyBorder="1" applyAlignment="1"/>
    <xf numFmtId="172" fontId="0" fillId="0" borderId="9" xfId="0" applyNumberFormat="1" applyFill="1" applyBorder="1" applyAlignment="1"/>
    <xf numFmtId="164" fontId="8" fillId="0" borderId="4" xfId="0" applyNumberFormat="1" applyFont="1" applyFill="1" applyBorder="1" applyAlignment="1">
      <alignment vertical="top" wrapText="1"/>
    </xf>
    <xf numFmtId="0" fontId="8" fillId="0" borderId="0" xfId="2" applyNumberFormat="1" applyFont="1" applyFill="1" applyBorder="1" applyAlignment="1">
      <alignment vertical="top" wrapText="1"/>
    </xf>
    <xf numFmtId="164" fontId="8" fillId="0" borderId="9" xfId="0" applyNumberFormat="1" applyFont="1" applyFill="1" applyBorder="1" applyAlignment="1">
      <alignment vertical="top" wrapText="1"/>
    </xf>
    <xf numFmtId="1" fontId="8" fillId="0" borderId="9" xfId="0" applyNumberFormat="1" applyFont="1" applyFill="1" applyBorder="1" applyAlignment="1">
      <alignment vertical="top" wrapText="1"/>
    </xf>
    <xf numFmtId="0" fontId="8" fillId="0" borderId="28" xfId="0" applyFont="1" applyFill="1" applyBorder="1" applyAlignment="1">
      <alignment vertical="top" wrapText="1"/>
    </xf>
    <xf numFmtId="164" fontId="8" fillId="0" borderId="8" xfId="0" applyNumberFormat="1" applyFont="1" applyFill="1" applyBorder="1"/>
    <xf numFmtId="164" fontId="10" fillId="0" borderId="59" xfId="0" applyNumberFormat="1" applyFont="1" applyFill="1" applyBorder="1" applyAlignment="1">
      <alignment horizontal="center"/>
    </xf>
    <xf numFmtId="49" fontId="10" fillId="0" borderId="56" xfId="0" applyNumberFormat="1" applyFont="1" applyFill="1" applyBorder="1" applyAlignment="1">
      <alignment horizontal="center"/>
    </xf>
    <xf numFmtId="0" fontId="10" fillId="0" borderId="25" xfId="0" applyFont="1" applyFill="1" applyBorder="1"/>
    <xf numFmtId="164" fontId="10" fillId="0" borderId="23" xfId="0" applyNumberFormat="1" applyFont="1" applyFill="1" applyBorder="1"/>
    <xf numFmtId="164" fontId="10" fillId="0" borderId="24" xfId="0" applyNumberFormat="1" applyFont="1" applyFill="1" applyBorder="1"/>
    <xf numFmtId="1" fontId="10" fillId="0" borderId="24" xfId="0" applyNumberFormat="1" applyFont="1" applyFill="1" applyBorder="1"/>
    <xf numFmtId="0" fontId="10" fillId="0" borderId="49" xfId="0" applyFont="1" applyFill="1" applyBorder="1" applyAlignment="1">
      <alignment vertical="top" wrapText="1"/>
    </xf>
    <xf numFmtId="2" fontId="10" fillId="0" borderId="24" xfId="0" applyNumberFormat="1" applyFont="1" applyFill="1" applyBorder="1" applyAlignment="1">
      <alignment vertical="top" wrapText="1"/>
    </xf>
    <xf numFmtId="0" fontId="10" fillId="0" borderId="24" xfId="0" applyFont="1" applyFill="1" applyBorder="1" applyAlignment="1">
      <alignment vertical="top" wrapText="1"/>
    </xf>
    <xf numFmtId="164" fontId="10" fillId="0" borderId="23" xfId="0" applyNumberFormat="1" applyFont="1" applyFill="1" applyBorder="1" applyAlignment="1">
      <alignment vertical="top" wrapText="1"/>
    </xf>
    <xf numFmtId="164" fontId="10" fillId="0" borderId="24" xfId="0" applyNumberFormat="1" applyFont="1" applyFill="1" applyBorder="1" applyAlignment="1">
      <alignment vertical="top" wrapText="1"/>
    </xf>
    <xf numFmtId="1" fontId="10" fillId="0" borderId="24" xfId="0" applyNumberFormat="1" applyFont="1" applyFill="1" applyBorder="1" applyAlignment="1">
      <alignment vertical="top" wrapText="1"/>
    </xf>
    <xf numFmtId="164" fontId="10" fillId="0" borderId="23" xfId="0" applyNumberFormat="1" applyFont="1" applyFill="1" applyBorder="1" applyAlignment="1">
      <alignment horizontal="center" vertical="top" wrapText="1"/>
    </xf>
    <xf numFmtId="164" fontId="10" fillId="0" borderId="49" xfId="0" applyNumberFormat="1" applyFont="1" applyFill="1" applyBorder="1" applyAlignment="1">
      <alignment horizontal="center" vertical="top" wrapText="1"/>
    </xf>
    <xf numFmtId="164" fontId="10" fillId="0" borderId="24" xfId="0" applyNumberFormat="1" applyFont="1" applyFill="1" applyBorder="1" applyAlignment="1">
      <alignment horizontal="center" vertical="top" wrapText="1"/>
    </xf>
    <xf numFmtId="0" fontId="10" fillId="0" borderId="24" xfId="0" applyFont="1" applyFill="1" applyBorder="1" applyAlignment="1">
      <alignment horizontal="center" vertical="top" wrapText="1"/>
    </xf>
    <xf numFmtId="0" fontId="10" fillId="0" borderId="49" xfId="0" applyFont="1" applyFill="1" applyBorder="1" applyAlignment="1">
      <alignment horizontal="center" vertical="top" wrapText="1"/>
    </xf>
    <xf numFmtId="0" fontId="10" fillId="0" borderId="23" xfId="0" applyFont="1" applyFill="1" applyBorder="1" applyAlignment="1">
      <alignment horizontal="center" vertical="top" wrapText="1"/>
    </xf>
    <xf numFmtId="164" fontId="10" fillId="0" borderId="25" xfId="0" applyNumberFormat="1" applyFont="1" applyFill="1" applyBorder="1" applyAlignment="1">
      <alignment horizontal="center" vertical="top" wrapText="1"/>
    </xf>
    <xf numFmtId="0" fontId="10" fillId="0" borderId="23" xfId="0" applyFont="1" applyFill="1" applyBorder="1"/>
    <xf numFmtId="164" fontId="10" fillId="0" borderId="49" xfId="0" applyNumberFormat="1" applyFont="1" applyFill="1" applyBorder="1" applyAlignment="1">
      <alignment vertical="top" wrapText="1"/>
    </xf>
    <xf numFmtId="164" fontId="10" fillId="0" borderId="25" xfId="0" applyNumberFormat="1" applyFont="1" applyFill="1" applyBorder="1" applyAlignment="1">
      <alignment vertical="top" wrapText="1"/>
    </xf>
    <xf numFmtId="0" fontId="10" fillId="0" borderId="23" xfId="0" applyFont="1" applyFill="1" applyBorder="1" applyAlignment="1">
      <alignment vertical="top" wrapText="1"/>
    </xf>
    <xf numFmtId="1" fontId="0" fillId="0" borderId="25" xfId="0" applyNumberFormat="1" applyFill="1" applyBorder="1"/>
    <xf numFmtId="2" fontId="0" fillId="0" borderId="24" xfId="0" applyNumberFormat="1" applyFill="1" applyBorder="1"/>
    <xf numFmtId="1" fontId="0" fillId="0" borderId="24" xfId="0" applyNumberFormat="1" applyFill="1" applyBorder="1"/>
    <xf numFmtId="1" fontId="10" fillId="0" borderId="49" xfId="0" applyNumberFormat="1" applyFont="1" applyFill="1" applyBorder="1" applyAlignment="1">
      <alignment vertical="top" wrapText="1"/>
    </xf>
    <xf numFmtId="1" fontId="10" fillId="0" borderId="62" xfId="0" applyNumberFormat="1" applyFont="1" applyFill="1" applyBorder="1" applyAlignment="1">
      <alignment vertical="top" wrapText="1"/>
    </xf>
    <xf numFmtId="164" fontId="10" fillId="0" borderId="56" xfId="0" applyNumberFormat="1" applyFont="1" applyFill="1" applyBorder="1" applyAlignment="1">
      <alignment vertical="top" wrapText="1"/>
    </xf>
    <xf numFmtId="0" fontId="16" fillId="0" borderId="24" xfId="0" applyFont="1" applyFill="1" applyBorder="1"/>
    <xf numFmtId="0" fontId="10" fillId="0" borderId="24" xfId="0" applyFont="1" applyFill="1" applyBorder="1"/>
    <xf numFmtId="0" fontId="8" fillId="0" borderId="23" xfId="0" applyFont="1" applyFill="1" applyBorder="1" applyAlignment="1">
      <alignment vertical="top" wrapText="1"/>
    </xf>
    <xf numFmtId="0" fontId="10" fillId="0" borderId="62" xfId="0" applyFont="1" applyFill="1" applyBorder="1" applyAlignment="1">
      <alignment vertical="top" wrapText="1"/>
    </xf>
    <xf numFmtId="0" fontId="0" fillId="0" borderId="24" xfId="0" applyFill="1" applyBorder="1" applyAlignment="1"/>
    <xf numFmtId="172" fontId="0" fillId="0" borderId="24" xfId="0" applyNumberFormat="1" applyFill="1" applyBorder="1" applyAlignment="1"/>
    <xf numFmtId="172" fontId="0" fillId="0" borderId="24" xfId="0" applyNumberFormat="1" applyFill="1" applyBorder="1"/>
    <xf numFmtId="172" fontId="0" fillId="0" borderId="25" xfId="0" applyNumberFormat="1" applyFill="1" applyBorder="1"/>
    <xf numFmtId="172" fontId="0" fillId="0" borderId="25" xfId="0" applyNumberFormat="1" applyFill="1" applyBorder="1" applyAlignment="1"/>
    <xf numFmtId="0" fontId="10" fillId="0" borderId="30" xfId="0" applyFont="1" applyFill="1" applyBorder="1" applyAlignment="1">
      <alignment vertical="top" wrapText="1"/>
    </xf>
    <xf numFmtId="164" fontId="8" fillId="0" borderId="24" xfId="0" applyNumberFormat="1" applyFont="1" applyFill="1" applyBorder="1" applyAlignment="1">
      <alignment vertical="top" wrapText="1"/>
    </xf>
    <xf numFmtId="0" fontId="8" fillId="0" borderId="24" xfId="0" applyFont="1" applyFill="1" applyBorder="1" applyAlignment="1">
      <alignment vertical="top" wrapText="1"/>
    </xf>
    <xf numFmtId="1" fontId="10" fillId="0" borderId="25" xfId="0" applyNumberFormat="1" applyFont="1" applyFill="1" applyBorder="1" applyAlignment="1">
      <alignment vertical="top" wrapText="1"/>
    </xf>
    <xf numFmtId="164" fontId="0" fillId="0" borderId="23" xfId="0" applyNumberFormat="1" applyFill="1" applyBorder="1"/>
    <xf numFmtId="164" fontId="0" fillId="0" borderId="24" xfId="0" applyNumberFormat="1" applyFill="1" applyBorder="1"/>
    <xf numFmtId="164" fontId="0" fillId="0" borderId="49" xfId="0" applyNumberFormat="1" applyFill="1" applyBorder="1"/>
    <xf numFmtId="164" fontId="0" fillId="0" borderId="62" xfId="0" applyNumberFormat="1" applyFill="1" applyBorder="1"/>
    <xf numFmtId="164" fontId="0" fillId="0" borderId="25" xfId="0" applyNumberFormat="1" applyFill="1" applyBorder="1"/>
    <xf numFmtId="1" fontId="8" fillId="0" borderId="23" xfId="0" applyNumberFormat="1" applyFont="1" applyFill="1" applyBorder="1" applyAlignment="1">
      <alignment horizontal="center"/>
    </xf>
    <xf numFmtId="1" fontId="10" fillId="0" borderId="25" xfId="0" applyNumberFormat="1" applyFont="1" applyFill="1" applyBorder="1"/>
    <xf numFmtId="2" fontId="10" fillId="0" borderId="24" xfId="0" applyNumberFormat="1" applyFont="1" applyFill="1" applyBorder="1"/>
    <xf numFmtId="164" fontId="10" fillId="0" borderId="53" xfId="0" applyNumberFormat="1" applyFont="1" applyFill="1" applyBorder="1" applyAlignment="1">
      <alignment horizontal="center" vertical="center"/>
    </xf>
    <xf numFmtId="49" fontId="10" fillId="0" borderId="54" xfId="0" applyNumberFormat="1" applyFont="1" applyFill="1" applyBorder="1" applyAlignment="1">
      <alignment horizontal="center" vertical="center"/>
    </xf>
    <xf numFmtId="0" fontId="10" fillId="0" borderId="10" xfId="0" applyFont="1" applyFill="1" applyBorder="1" applyAlignment="1">
      <alignment vertical="center"/>
    </xf>
    <xf numFmtId="164" fontId="10" fillId="0" borderId="8" xfId="0" applyNumberFormat="1" applyFont="1" applyFill="1" applyBorder="1" applyAlignment="1">
      <alignment vertical="center"/>
    </xf>
    <xf numFmtId="164" fontId="10" fillId="0" borderId="9" xfId="0" applyNumberFormat="1" applyFont="1" applyFill="1" applyBorder="1" applyAlignment="1">
      <alignment vertical="center"/>
    </xf>
    <xf numFmtId="1" fontId="10" fillId="0" borderId="9" xfId="0" applyNumberFormat="1" applyFont="1" applyFill="1" applyBorder="1" applyAlignment="1">
      <alignment vertical="center"/>
    </xf>
    <xf numFmtId="0" fontId="10" fillId="0" borderId="46" xfId="0" applyFont="1" applyFill="1" applyBorder="1" applyAlignment="1">
      <alignment vertical="center" wrapText="1"/>
    </xf>
    <xf numFmtId="2" fontId="10" fillId="0" borderId="9" xfId="0" applyNumberFormat="1" applyFont="1" applyFill="1" applyBorder="1" applyAlignment="1">
      <alignment vertical="center" wrapText="1"/>
    </xf>
    <xf numFmtId="0" fontId="10" fillId="0" borderId="9" xfId="0" applyFont="1" applyFill="1" applyBorder="1" applyAlignment="1">
      <alignment vertical="center" wrapText="1"/>
    </xf>
    <xf numFmtId="164" fontId="10" fillId="0" borderId="8" xfId="0" applyNumberFormat="1" applyFont="1" applyFill="1" applyBorder="1" applyAlignment="1">
      <alignment vertical="center" wrapText="1"/>
    </xf>
    <xf numFmtId="164" fontId="10" fillId="0" borderId="9" xfId="0" applyNumberFormat="1" applyFont="1" applyFill="1" applyBorder="1" applyAlignment="1">
      <alignment vertical="center" wrapText="1"/>
    </xf>
    <xf numFmtId="1" fontId="10" fillId="0" borderId="9" xfId="0" applyNumberFormat="1" applyFont="1" applyFill="1" applyBorder="1" applyAlignment="1">
      <alignment vertical="center" wrapText="1"/>
    </xf>
    <xf numFmtId="164" fontId="10" fillId="0" borderId="8" xfId="0" applyNumberFormat="1" applyFont="1" applyFill="1" applyBorder="1" applyAlignment="1">
      <alignment horizontal="center" vertical="center" wrapText="1"/>
    </xf>
    <xf numFmtId="164" fontId="10" fillId="0" borderId="46" xfId="0" applyNumberFormat="1" applyFont="1" applyFill="1" applyBorder="1" applyAlignment="1">
      <alignment horizontal="center" vertical="center" wrapText="1"/>
    </xf>
    <xf numFmtId="164" fontId="10" fillId="0" borderId="9" xfId="0" applyNumberFormat="1" applyFont="1" applyFill="1" applyBorder="1" applyAlignment="1">
      <alignment horizontal="center" vertical="center" wrapText="1"/>
    </xf>
    <xf numFmtId="0" fontId="10" fillId="0" borderId="9" xfId="0" applyFont="1" applyFill="1" applyBorder="1" applyAlignment="1">
      <alignment horizontal="center" vertical="center" wrapText="1"/>
    </xf>
    <xf numFmtId="0" fontId="10" fillId="0" borderId="46" xfId="0" applyFont="1" applyFill="1" applyBorder="1" applyAlignment="1">
      <alignment horizontal="center" vertical="center" wrapText="1"/>
    </xf>
    <xf numFmtId="0" fontId="10" fillId="0" borderId="8" xfId="0" applyFont="1" applyFill="1" applyBorder="1" applyAlignment="1">
      <alignment horizontal="center" vertical="center" wrapText="1"/>
    </xf>
    <xf numFmtId="164" fontId="10" fillId="0" borderId="10" xfId="0" applyNumberFormat="1" applyFont="1" applyFill="1" applyBorder="1" applyAlignment="1">
      <alignment horizontal="center" vertical="center" wrapText="1"/>
    </xf>
    <xf numFmtId="0" fontId="10" fillId="0" borderId="8" xfId="0" applyFont="1" applyFill="1" applyBorder="1" applyAlignment="1">
      <alignment vertical="center"/>
    </xf>
    <xf numFmtId="164" fontId="10" fillId="0" borderId="46" xfId="0" applyNumberFormat="1" applyFont="1" applyFill="1" applyBorder="1" applyAlignment="1">
      <alignment vertical="center" wrapText="1"/>
    </xf>
    <xf numFmtId="1" fontId="10" fillId="0" borderId="10" xfId="0" applyNumberFormat="1" applyFont="1" applyFill="1" applyBorder="1" applyAlignment="1">
      <alignment vertical="center" wrapText="1"/>
    </xf>
    <xf numFmtId="0" fontId="10" fillId="0" borderId="8" xfId="0" applyFont="1" applyFill="1" applyBorder="1" applyAlignment="1">
      <alignment vertical="center" wrapText="1"/>
    </xf>
    <xf numFmtId="1" fontId="0" fillId="0" borderId="10" xfId="0" applyNumberFormat="1" applyFill="1" applyBorder="1" applyAlignment="1">
      <alignment vertical="center"/>
    </xf>
    <xf numFmtId="2" fontId="0" fillId="0" borderId="9" xfId="0" applyNumberFormat="1" applyFill="1" applyBorder="1" applyAlignment="1">
      <alignment vertical="center"/>
    </xf>
    <xf numFmtId="1" fontId="0" fillId="0" borderId="9" xfId="0" applyNumberFormat="1" applyFill="1" applyBorder="1" applyAlignment="1">
      <alignment vertical="center"/>
    </xf>
    <xf numFmtId="1" fontId="10" fillId="0" borderId="46" xfId="0" applyNumberFormat="1" applyFont="1" applyFill="1" applyBorder="1" applyAlignment="1">
      <alignment vertical="center" wrapText="1"/>
    </xf>
    <xf numFmtId="1" fontId="10" fillId="0" borderId="43" xfId="0" applyNumberFormat="1" applyFont="1" applyFill="1" applyBorder="1" applyAlignment="1">
      <alignment vertical="center" wrapText="1"/>
    </xf>
    <xf numFmtId="164" fontId="10" fillId="0" borderId="54" xfId="0" applyNumberFormat="1" applyFont="1" applyFill="1" applyBorder="1" applyAlignment="1">
      <alignment vertical="center" wrapText="1"/>
    </xf>
    <xf numFmtId="0" fontId="16" fillId="0" borderId="9" xfId="0" applyFont="1" applyFill="1" applyBorder="1" applyAlignment="1">
      <alignment vertical="center"/>
    </xf>
    <xf numFmtId="0" fontId="10" fillId="0" borderId="9" xfId="0" applyFont="1" applyFill="1" applyBorder="1" applyAlignment="1">
      <alignment vertical="center"/>
    </xf>
    <xf numFmtId="0" fontId="10" fillId="0" borderId="43" xfId="0" applyFont="1" applyFill="1" applyBorder="1" applyAlignment="1">
      <alignment vertical="center" wrapText="1"/>
    </xf>
    <xf numFmtId="0" fontId="0" fillId="0" borderId="9" xfId="0" applyFill="1" applyBorder="1" applyAlignment="1">
      <alignment vertical="center"/>
    </xf>
    <xf numFmtId="172" fontId="0" fillId="0" borderId="9" xfId="0" applyNumberFormat="1" applyFill="1" applyBorder="1" applyAlignment="1">
      <alignment vertical="center" wrapText="1"/>
    </xf>
    <xf numFmtId="172" fontId="0" fillId="0" borderId="9" xfId="0" applyNumberFormat="1" applyFill="1" applyBorder="1" applyAlignment="1">
      <alignment vertical="center"/>
    </xf>
    <xf numFmtId="172" fontId="0" fillId="0" borderId="10" xfId="0" applyNumberFormat="1" applyFill="1" applyBorder="1" applyAlignment="1">
      <alignment vertical="center"/>
    </xf>
    <xf numFmtId="0" fontId="10" fillId="0" borderId="28" xfId="0" applyFont="1" applyFill="1" applyBorder="1" applyAlignment="1">
      <alignment vertical="center" wrapText="1"/>
    </xf>
    <xf numFmtId="0" fontId="8" fillId="0" borderId="8" xfId="0" applyFont="1" applyFill="1" applyBorder="1" applyAlignment="1">
      <alignment vertical="center" wrapText="1"/>
    </xf>
    <xf numFmtId="164" fontId="0" fillId="0" borderId="8" xfId="0" applyNumberFormat="1" applyFill="1" applyBorder="1" applyAlignment="1">
      <alignment vertical="center"/>
    </xf>
    <xf numFmtId="164" fontId="0" fillId="0" borderId="9" xfId="0" applyNumberFormat="1" applyFill="1" applyBorder="1" applyAlignment="1">
      <alignment vertical="center"/>
    </xf>
    <xf numFmtId="164" fontId="0" fillId="0" borderId="46" xfId="0" applyNumberFormat="1" applyFill="1" applyBorder="1" applyAlignment="1">
      <alignment vertical="center"/>
    </xf>
    <xf numFmtId="164" fontId="0" fillId="0" borderId="43" xfId="0" applyNumberFormat="1" applyFill="1" applyBorder="1" applyAlignment="1">
      <alignment vertical="center"/>
    </xf>
    <xf numFmtId="164" fontId="0" fillId="0" borderId="10" xfId="0" applyNumberFormat="1" applyFill="1" applyBorder="1" applyAlignment="1">
      <alignment vertical="center"/>
    </xf>
    <xf numFmtId="1" fontId="8" fillId="0" borderId="8" xfId="0" applyNumberFormat="1" applyFont="1" applyFill="1" applyBorder="1" applyAlignment="1">
      <alignment horizontal="center" vertical="center"/>
    </xf>
    <xf numFmtId="1" fontId="10" fillId="0" borderId="7" xfId="0" applyNumberFormat="1" applyFont="1" applyFill="1" applyBorder="1" applyAlignment="1">
      <alignment vertical="center"/>
    </xf>
    <xf numFmtId="164" fontId="10" fillId="0" borderId="6" xfId="0" applyNumberFormat="1" applyFont="1" applyFill="1" applyBorder="1" applyAlignment="1">
      <alignment vertical="center"/>
    </xf>
    <xf numFmtId="2" fontId="10" fillId="0" borderId="0" xfId="0" applyNumberFormat="1" applyFont="1" applyFill="1" applyBorder="1" applyAlignment="1">
      <alignment vertical="center"/>
    </xf>
    <xf numFmtId="0" fontId="10" fillId="0" borderId="7" xfId="0" applyFont="1" applyFill="1" applyBorder="1" applyAlignment="1">
      <alignment vertical="center"/>
    </xf>
    <xf numFmtId="0" fontId="8" fillId="0" borderId="0" xfId="0" quotePrefix="1" applyFont="1" applyFill="1" applyAlignment="1">
      <alignment vertical="center"/>
    </xf>
    <xf numFmtId="0" fontId="0" fillId="0" borderId="7" xfId="0" applyFill="1" applyBorder="1" applyAlignment="1">
      <alignment vertical="center"/>
    </xf>
    <xf numFmtId="0" fontId="10" fillId="0" borderId="0" xfId="0" applyFont="1" applyFill="1" applyBorder="1" applyAlignment="1">
      <alignment vertical="center" wrapText="1"/>
    </xf>
    <xf numFmtId="0" fontId="10" fillId="0" borderId="0" xfId="0" applyFont="1" applyFill="1" applyAlignment="1">
      <alignment vertical="center" wrapText="1"/>
    </xf>
    <xf numFmtId="0" fontId="0" fillId="0" borderId="0" xfId="2" applyNumberFormat="1" applyFont="1" applyFill="1" applyAlignment="1">
      <alignment vertical="center"/>
    </xf>
    <xf numFmtId="0" fontId="10" fillId="0" borderId="0" xfId="2" applyNumberFormat="1" applyFont="1" applyFill="1" applyBorder="1" applyAlignment="1">
      <alignment vertical="center" wrapText="1"/>
    </xf>
    <xf numFmtId="0" fontId="8" fillId="0" borderId="0" xfId="2" applyNumberFormat="1" applyFont="1" applyFill="1" applyBorder="1" applyAlignment="1">
      <alignment vertical="center" wrapText="1"/>
    </xf>
    <xf numFmtId="2" fontId="10" fillId="0" borderId="0" xfId="0" applyNumberFormat="1" applyFont="1" applyFill="1" applyBorder="1" applyAlignment="1">
      <alignment vertical="center" wrapText="1"/>
    </xf>
    <xf numFmtId="1" fontId="10" fillId="0" borderId="0" xfId="0" applyNumberFormat="1" applyFont="1" applyFill="1" applyBorder="1" applyAlignment="1">
      <alignment horizontal="center" vertical="center" wrapText="1"/>
    </xf>
    <xf numFmtId="1" fontId="8" fillId="0" borderId="7" xfId="0" applyNumberFormat="1" applyFont="1" applyFill="1" applyBorder="1" applyAlignment="1"/>
    <xf numFmtId="1" fontId="8" fillId="0" borderId="47" xfId="0" applyNumberFormat="1" applyFont="1" applyFill="1" applyBorder="1" applyAlignment="1">
      <alignment vertical="top" wrapText="1"/>
    </xf>
    <xf numFmtId="164" fontId="8" fillId="0" borderId="55" xfId="0" applyNumberFormat="1" applyFont="1" applyFill="1" applyBorder="1" applyAlignment="1">
      <alignment vertical="top" wrapText="1"/>
    </xf>
    <xf numFmtId="1" fontId="8" fillId="0" borderId="6" xfId="0" applyNumberFormat="1" applyFont="1" applyFill="1" applyBorder="1" applyAlignment="1"/>
    <xf numFmtId="1" fontId="8" fillId="0" borderId="48" xfId="0" applyNumberFormat="1" applyFont="1" applyFill="1" applyBorder="1" applyAlignment="1"/>
    <xf numFmtId="1" fontId="8" fillId="0" borderId="11" xfId="0" applyNumberFormat="1" applyFont="1" applyFill="1" applyBorder="1" applyAlignment="1"/>
    <xf numFmtId="164" fontId="8" fillId="0" borderId="11" xfId="0" applyNumberFormat="1" applyFont="1" applyFill="1" applyBorder="1" applyAlignment="1"/>
    <xf numFmtId="164" fontId="8" fillId="0" borderId="0" xfId="0" applyNumberFormat="1" applyFont="1" applyFill="1" applyBorder="1" applyAlignment="1"/>
    <xf numFmtId="1" fontId="8" fillId="0" borderId="4" xfId="0" applyNumberFormat="1" applyFont="1" applyFill="1" applyBorder="1" applyAlignment="1"/>
    <xf numFmtId="164" fontId="8" fillId="0" borderId="6" xfId="0" applyNumberFormat="1" applyFont="1" applyFill="1" applyBorder="1" applyAlignment="1"/>
    <xf numFmtId="164" fontId="8" fillId="0" borderId="48" xfId="0" applyNumberFormat="1" applyFont="1" applyFill="1" applyBorder="1" applyAlignment="1"/>
    <xf numFmtId="164" fontId="8" fillId="0" borderId="7" xfId="0" applyNumberFormat="1" applyFont="1" applyFill="1" applyBorder="1" applyAlignment="1"/>
    <xf numFmtId="1" fontId="8" fillId="0" borderId="5" xfId="0" applyNumberFormat="1" applyFont="1" applyFill="1" applyBorder="1" applyAlignment="1"/>
    <xf numFmtId="164" fontId="8" fillId="0" borderId="3" xfId="0" applyNumberFormat="1" applyFont="1" applyFill="1" applyBorder="1" applyAlignment="1"/>
    <xf numFmtId="164" fontId="8" fillId="0" borderId="4" xfId="0" applyNumberFormat="1" applyFont="1" applyFill="1" applyBorder="1" applyAlignment="1"/>
    <xf numFmtId="2" fontId="8" fillId="0" borderId="4" xfId="0" applyNumberFormat="1" applyFont="1" applyFill="1" applyBorder="1" applyAlignment="1"/>
    <xf numFmtId="0" fontId="10" fillId="0" borderId="6" xfId="0" quotePrefix="1" applyFont="1" applyFill="1" applyBorder="1"/>
    <xf numFmtId="0" fontId="10" fillId="0" borderId="0" xfId="0" quotePrefix="1" applyFont="1" applyFill="1" applyBorder="1" applyAlignment="1">
      <alignment vertical="top"/>
    </xf>
    <xf numFmtId="0" fontId="76" fillId="0" borderId="0" xfId="0" applyFont="1" applyFill="1" applyBorder="1" applyAlignment="1">
      <alignment vertical="top" wrapText="1"/>
    </xf>
    <xf numFmtId="1" fontId="8" fillId="0" borderId="48" xfId="0" applyNumberFormat="1" applyFont="1" applyFill="1" applyBorder="1" applyAlignment="1">
      <alignment vertical="top" wrapText="1"/>
    </xf>
    <xf numFmtId="164" fontId="8" fillId="0" borderId="2" xfId="0" applyNumberFormat="1" applyFont="1" applyFill="1" applyBorder="1" applyAlignment="1">
      <alignment vertical="top" wrapText="1"/>
    </xf>
    <xf numFmtId="1" fontId="8" fillId="0" borderId="7" xfId="0" applyNumberFormat="1" applyFont="1" applyFill="1" applyBorder="1"/>
    <xf numFmtId="164" fontId="8" fillId="0" borderId="6" xfId="0" applyNumberFormat="1" applyFont="1" applyFill="1" applyBorder="1"/>
    <xf numFmtId="164" fontId="8" fillId="0" borderId="0" xfId="0" applyNumberFormat="1" applyFont="1" applyFill="1" applyBorder="1"/>
    <xf numFmtId="2" fontId="8" fillId="0" borderId="0" xfId="0" applyNumberFormat="1" applyFont="1" applyFill="1" applyBorder="1"/>
    <xf numFmtId="2" fontId="8" fillId="0" borderId="0" xfId="0" applyNumberFormat="1" applyFont="1" applyFill="1" applyBorder="1" applyAlignment="1"/>
    <xf numFmtId="0" fontId="10" fillId="0" borderId="6" xfId="0" quotePrefix="1" applyFont="1" applyFill="1" applyBorder="1" applyAlignment="1">
      <alignment vertical="top"/>
    </xf>
    <xf numFmtId="49" fontId="10" fillId="0" borderId="2" xfId="0" applyNumberFormat="1" applyFont="1" applyFill="1" applyBorder="1" applyAlignment="1">
      <alignment horizontal="center" vertical="top" wrapText="1"/>
    </xf>
    <xf numFmtId="0" fontId="8" fillId="0" borderId="7" xfId="0" applyFont="1" applyFill="1" applyBorder="1" applyAlignment="1">
      <alignment vertical="top" wrapText="1"/>
    </xf>
    <xf numFmtId="1" fontId="8" fillId="0" borderId="7" xfId="0" applyNumberFormat="1" applyFont="1" applyFill="1" applyBorder="1" applyAlignment="1">
      <alignment vertical="top" wrapText="1"/>
    </xf>
    <xf numFmtId="172" fontId="10" fillId="0" borderId="0" xfId="0" applyNumberFormat="1" applyFont="1" applyFill="1" applyBorder="1" applyAlignment="1">
      <alignment vertical="top"/>
    </xf>
    <xf numFmtId="1" fontId="10" fillId="0" borderId="6" xfId="0" applyNumberFormat="1" applyFont="1" applyFill="1" applyBorder="1" applyAlignment="1">
      <alignment vertical="top" wrapText="1"/>
    </xf>
    <xf numFmtId="164" fontId="8" fillId="0" borderId="6" xfId="0" applyNumberFormat="1" applyFont="1" applyFill="1" applyBorder="1" applyAlignment="1">
      <alignment vertical="top" wrapText="1"/>
    </xf>
    <xf numFmtId="164" fontId="8" fillId="0" borderId="91" xfId="0" applyNumberFormat="1" applyFont="1" applyFill="1" applyBorder="1" applyAlignment="1">
      <alignment vertical="top" wrapText="1"/>
    </xf>
    <xf numFmtId="164" fontId="8" fillId="0" borderId="7" xfId="0" applyNumberFormat="1" applyFont="1" applyFill="1" applyBorder="1" applyAlignment="1">
      <alignment vertical="top" wrapText="1"/>
    </xf>
    <xf numFmtId="164" fontId="8" fillId="0" borderId="48" xfId="0" applyNumberFormat="1" applyFont="1" applyFill="1" applyBorder="1"/>
    <xf numFmtId="164" fontId="8" fillId="0" borderId="11" xfId="0" applyNumberFormat="1" applyFont="1" applyFill="1" applyBorder="1"/>
    <xf numFmtId="164" fontId="8" fillId="0" borderId="7" xfId="0" applyNumberFormat="1" applyFont="1" applyFill="1" applyBorder="1"/>
    <xf numFmtId="0" fontId="10" fillId="0" borderId="0" xfId="0" applyFont="1" applyFill="1" applyBorder="1" applyAlignment="1">
      <alignment vertical="top"/>
    </xf>
    <xf numFmtId="2" fontId="8" fillId="0" borderId="58" xfId="0" quotePrefix="1" applyNumberFormat="1" applyFont="1" applyFill="1" applyBorder="1" applyAlignment="1">
      <alignment horizontal="center"/>
    </xf>
    <xf numFmtId="2" fontId="8" fillId="0" borderId="58" xfId="0" applyNumberFormat="1" applyFont="1" applyFill="1" applyBorder="1" applyAlignment="1">
      <alignment horizontal="center"/>
    </xf>
    <xf numFmtId="172" fontId="10" fillId="0" borderId="0" xfId="0" applyNumberFormat="1" applyFont="1" applyFill="1" applyBorder="1"/>
    <xf numFmtId="172" fontId="10" fillId="0" borderId="7" xfId="0" applyNumberFormat="1" applyFont="1" applyFill="1" applyBorder="1"/>
    <xf numFmtId="172" fontId="10" fillId="0" borderId="7" xfId="0" applyNumberFormat="1" applyFont="1" applyFill="1" applyBorder="1" applyAlignment="1"/>
    <xf numFmtId="0" fontId="8" fillId="0" borderId="27" xfId="0" applyFont="1" applyFill="1" applyBorder="1"/>
    <xf numFmtId="164" fontId="8" fillId="0" borderId="91" xfId="0" applyNumberFormat="1" applyFont="1" applyFill="1" applyBorder="1" applyAlignment="1"/>
    <xf numFmtId="0" fontId="8" fillId="0" borderId="6" xfId="0" applyFont="1" applyFill="1" applyBorder="1"/>
    <xf numFmtId="2" fontId="8" fillId="0" borderId="53" xfId="0" applyNumberFormat="1" applyFont="1" applyFill="1" applyBorder="1" applyAlignment="1">
      <alignment horizontal="center"/>
    </xf>
    <xf numFmtId="1" fontId="10" fillId="0" borderId="43" xfId="0" applyNumberFormat="1" applyFont="1" applyFill="1" applyBorder="1"/>
    <xf numFmtId="1" fontId="10" fillId="0" borderId="46" xfId="0" applyNumberFormat="1" applyFont="1" applyFill="1" applyBorder="1"/>
    <xf numFmtId="1" fontId="8" fillId="0" borderId="9" xfId="0" applyNumberFormat="1" applyFont="1" applyFill="1" applyBorder="1" applyAlignment="1">
      <alignment horizontal="center" vertical="top" wrapText="1"/>
    </xf>
    <xf numFmtId="0" fontId="10" fillId="0" borderId="85" xfId="0" applyFont="1" applyFill="1" applyBorder="1" applyAlignment="1">
      <alignment horizontal="center" vertical="top" wrapText="1"/>
    </xf>
    <xf numFmtId="0" fontId="10" fillId="0" borderId="10" xfId="0" applyFont="1" applyFill="1" applyBorder="1" applyAlignment="1">
      <alignment horizontal="center" vertical="top" wrapText="1"/>
    </xf>
    <xf numFmtId="1" fontId="10" fillId="0" borderId="8" xfId="0" applyNumberFormat="1" applyFont="1" applyFill="1" applyBorder="1" applyAlignment="1">
      <alignment vertical="top" wrapText="1"/>
    </xf>
    <xf numFmtId="1" fontId="8" fillId="0" borderId="10" xfId="0" applyNumberFormat="1" applyFont="1" applyFill="1" applyBorder="1" applyAlignment="1"/>
    <xf numFmtId="1" fontId="8" fillId="0" borderId="46" xfId="0" applyNumberFormat="1" applyFont="1" applyFill="1" applyBorder="1" applyAlignment="1">
      <alignment vertical="top" wrapText="1"/>
    </xf>
    <xf numFmtId="164" fontId="8" fillId="0" borderId="54" xfId="0" applyNumberFormat="1" applyFont="1" applyFill="1" applyBorder="1" applyAlignment="1">
      <alignment vertical="top" wrapText="1"/>
    </xf>
    <xf numFmtId="1" fontId="8" fillId="0" borderId="9" xfId="0" applyNumberFormat="1" applyFont="1" applyFill="1" applyBorder="1" applyAlignment="1"/>
    <xf numFmtId="164" fontId="8" fillId="0" borderId="9" xfId="0" applyNumberFormat="1" applyFont="1" applyFill="1" applyBorder="1"/>
    <xf numFmtId="172" fontId="10" fillId="0" borderId="9" xfId="0" applyNumberFormat="1" applyFont="1" applyFill="1" applyBorder="1"/>
    <xf numFmtId="172" fontId="10" fillId="0" borderId="28" xfId="0" applyNumberFormat="1" applyFont="1" applyFill="1" applyBorder="1"/>
    <xf numFmtId="172" fontId="10" fillId="0" borderId="28" xfId="0" applyNumberFormat="1" applyFont="1" applyFill="1" applyBorder="1" applyAlignment="1"/>
    <xf numFmtId="0" fontId="0" fillId="0" borderId="28" xfId="0" applyFill="1" applyBorder="1" applyAlignment="1"/>
    <xf numFmtId="0" fontId="0" fillId="0" borderId="8" xfId="0" applyFill="1" applyBorder="1" applyAlignment="1"/>
    <xf numFmtId="1" fontId="8" fillId="0" borderId="43" xfId="0" applyNumberFormat="1" applyFont="1" applyFill="1" applyBorder="1" applyAlignment="1"/>
    <xf numFmtId="164" fontId="8" fillId="0" borderId="9" xfId="0" applyNumberFormat="1" applyFont="1" applyFill="1" applyBorder="1" applyAlignment="1"/>
    <xf numFmtId="164" fontId="8" fillId="0" borderId="46" xfId="0" applyNumberFormat="1" applyFont="1" applyFill="1" applyBorder="1" applyAlignment="1"/>
    <xf numFmtId="164" fontId="8" fillId="0" borderId="43" xfId="0" applyNumberFormat="1" applyFont="1" applyFill="1" applyBorder="1" applyAlignment="1"/>
    <xf numFmtId="164" fontId="8" fillId="0" borderId="8" xfId="0" applyNumberFormat="1" applyFont="1" applyFill="1" applyBorder="1" applyAlignment="1"/>
    <xf numFmtId="164" fontId="8" fillId="0" borderId="10" xfId="0" applyNumberFormat="1" applyFont="1" applyFill="1" applyBorder="1" applyAlignment="1"/>
    <xf numFmtId="164" fontId="8" fillId="0" borderId="46" xfId="0" applyNumberFormat="1" applyFont="1" applyFill="1" applyBorder="1"/>
    <xf numFmtId="164" fontId="8" fillId="0" borderId="9" xfId="0" applyNumberFormat="1" applyFont="1" applyFill="1" applyBorder="1" applyAlignment="1">
      <alignment horizontal="center"/>
    </xf>
    <xf numFmtId="2" fontId="8" fillId="0" borderId="9" xfId="0" applyNumberFormat="1" applyFont="1" applyFill="1" applyBorder="1" applyAlignment="1"/>
    <xf numFmtId="164" fontId="10" fillId="0" borderId="9" xfId="0" quotePrefix="1" applyNumberFormat="1" applyFont="1" applyFill="1" applyBorder="1" applyAlignment="1"/>
    <xf numFmtId="164" fontId="22" fillId="0" borderId="9" xfId="0" applyNumberFormat="1" applyFont="1" applyFill="1" applyBorder="1" applyAlignment="1"/>
    <xf numFmtId="1" fontId="22" fillId="0" borderId="9" xfId="0" applyNumberFormat="1" applyFont="1" applyFill="1" applyBorder="1" applyAlignment="1"/>
    <xf numFmtId="0" fontId="10" fillId="0" borderId="10" xfId="0" quotePrefix="1" applyFont="1" applyFill="1" applyBorder="1" applyAlignment="1">
      <alignment vertical="top"/>
    </xf>
    <xf numFmtId="2" fontId="10" fillId="0" borderId="0" xfId="0" applyNumberFormat="1" applyFont="1" applyFill="1"/>
    <xf numFmtId="183" fontId="0" fillId="0" borderId="0" xfId="0" applyNumberFormat="1" applyFill="1"/>
    <xf numFmtId="0" fontId="8" fillId="0" borderId="0" xfId="0" applyFont="1" applyFill="1" applyBorder="1" applyAlignment="1">
      <alignment horizontal="center"/>
    </xf>
    <xf numFmtId="0" fontId="99" fillId="0" borderId="0" xfId="4" applyFont="1" applyFill="1" applyAlignment="1">
      <alignment horizontal="center"/>
    </xf>
    <xf numFmtId="0" fontId="15" fillId="0" borderId="5" xfId="0" applyFont="1" applyFill="1" applyBorder="1" applyAlignment="1">
      <alignment vertical="top" wrapText="1"/>
    </xf>
    <xf numFmtId="0" fontId="8" fillId="0" borderId="5" xfId="0" applyFont="1" applyFill="1" applyBorder="1" applyAlignment="1">
      <alignment vertical="center"/>
    </xf>
    <xf numFmtId="0" fontId="102" fillId="0" borderId="5" xfId="4" applyFont="1" applyFill="1" applyBorder="1"/>
    <xf numFmtId="0" fontId="24" fillId="0" borderId="35" xfId="0" applyFont="1" applyFill="1" applyBorder="1" applyAlignment="1">
      <alignment horizontal="center" textRotation="90"/>
    </xf>
    <xf numFmtId="0" fontId="99" fillId="0" borderId="8" xfId="4" applyFont="1" applyFill="1" applyBorder="1" applyAlignment="1">
      <alignment horizontal="center"/>
    </xf>
    <xf numFmtId="0" fontId="99" fillId="0" borderId="9" xfId="4" applyFont="1" applyFill="1" applyBorder="1" applyAlignment="1">
      <alignment horizontal="center"/>
    </xf>
    <xf numFmtId="0" fontId="99" fillId="0" borderId="10" xfId="4" applyFont="1" applyFill="1" applyBorder="1" applyAlignment="1">
      <alignment horizontal="center"/>
    </xf>
    <xf numFmtId="164" fontId="99" fillId="0" borderId="9" xfId="4" applyNumberFormat="1" applyFont="1" applyFill="1" applyBorder="1" applyAlignment="1">
      <alignment horizontal="center"/>
    </xf>
    <xf numFmtId="1" fontId="99" fillId="0" borderId="9" xfId="4" applyNumberFormat="1" applyFont="1" applyFill="1" applyBorder="1" applyAlignment="1">
      <alignment horizontal="center"/>
    </xf>
    <xf numFmtId="164" fontId="99" fillId="0" borderId="10" xfId="4" applyNumberFormat="1" applyFont="1" applyFill="1" applyBorder="1" applyAlignment="1">
      <alignment horizontal="center"/>
    </xf>
    <xf numFmtId="164" fontId="24" fillId="0" borderId="8" xfId="0" applyNumberFormat="1" applyFont="1" applyFill="1" applyBorder="1" applyAlignment="1">
      <alignment vertical="center"/>
    </xf>
    <xf numFmtId="164" fontId="99" fillId="0" borderId="8" xfId="4" applyNumberFormat="1" applyFont="1" applyFill="1" applyBorder="1" applyAlignment="1">
      <alignment horizontal="center"/>
    </xf>
    <xf numFmtId="164" fontId="24" fillId="0" borderId="80" xfId="0" applyNumberFormat="1" applyFont="1" applyFill="1" applyBorder="1" applyAlignment="1">
      <alignment horizontal="center" vertical="center"/>
    </xf>
    <xf numFmtId="0" fontId="99" fillId="0" borderId="7" xfId="4" applyFont="1" applyFill="1" applyBorder="1" applyAlignment="1">
      <alignment horizontal="center"/>
    </xf>
    <xf numFmtId="2" fontId="99" fillId="0" borderId="6" xfId="4" applyNumberFormat="1" applyFont="1" applyFill="1" applyBorder="1" applyAlignment="1">
      <alignment horizontal="center"/>
    </xf>
    <xf numFmtId="164" fontId="99" fillId="0" borderId="0" xfId="4" applyNumberFormat="1" applyFont="1" applyFill="1"/>
    <xf numFmtId="1" fontId="99" fillId="0" borderId="0" xfId="4" applyNumberFormat="1" applyFont="1" applyFill="1"/>
    <xf numFmtId="2" fontId="99" fillId="0" borderId="0" xfId="4" applyNumberFormat="1" applyFont="1" applyFill="1"/>
    <xf numFmtId="0" fontId="99" fillId="0" borderId="5" xfId="4" applyFont="1" applyFill="1" applyBorder="1" applyAlignment="1">
      <alignment horizontal="center"/>
    </xf>
    <xf numFmtId="2" fontId="99" fillId="0" borderId="3" xfId="4" applyNumberFormat="1" applyFont="1" applyFill="1" applyBorder="1" applyAlignment="1">
      <alignment horizontal="center"/>
    </xf>
    <xf numFmtId="1" fontId="99" fillId="0" borderId="8" xfId="4" applyNumberFormat="1" applyFont="1" applyFill="1" applyBorder="1" applyAlignment="1">
      <alignment horizontal="center"/>
    </xf>
    <xf numFmtId="2" fontId="99" fillId="0" borderId="8" xfId="4" applyNumberFormat="1" applyFont="1" applyFill="1" applyBorder="1" applyAlignment="1">
      <alignment horizontal="center"/>
    </xf>
    <xf numFmtId="1" fontId="99" fillId="0" borderId="10" xfId="4" applyNumberFormat="1" applyFont="1" applyFill="1" applyBorder="1" applyAlignment="1">
      <alignment horizontal="center"/>
    </xf>
    <xf numFmtId="0" fontId="8" fillId="0" borderId="3" xfId="0" applyFont="1" applyFill="1" applyBorder="1"/>
    <xf numFmtId="2" fontId="99" fillId="0" borderId="4" xfId="4" applyNumberFormat="1" applyFont="1" applyFill="1" applyBorder="1" applyAlignment="1">
      <alignment horizontal="center"/>
    </xf>
    <xf numFmtId="2" fontId="99" fillId="0" borderId="0" xfId="4" applyNumberFormat="1" applyFont="1" applyFill="1" applyBorder="1" applyAlignment="1">
      <alignment horizontal="center"/>
    </xf>
    <xf numFmtId="0" fontId="8" fillId="0" borderId="8" xfId="0" applyFont="1" applyFill="1" applyBorder="1"/>
    <xf numFmtId="2" fontId="99" fillId="0" borderId="9" xfId="4" applyNumberFormat="1" applyFont="1" applyFill="1" applyBorder="1" applyAlignment="1">
      <alignment horizontal="center"/>
    </xf>
    <xf numFmtId="0" fontId="8" fillId="0" borderId="92" xfId="0" applyFont="1" applyFill="1" applyBorder="1"/>
    <xf numFmtId="2" fontId="8" fillId="0" borderId="58" xfId="0" quotePrefix="1" applyNumberFormat="1" applyFont="1" applyFill="1" applyBorder="1" applyAlignment="1">
      <alignment horizontal="center" vertical="top" wrapText="1"/>
    </xf>
    <xf numFmtId="2" fontId="8" fillId="0" borderId="53" xfId="0" quotePrefix="1" applyNumberFormat="1" applyFont="1" applyFill="1" applyBorder="1" applyAlignment="1">
      <alignment horizontal="center"/>
    </xf>
    <xf numFmtId="0" fontId="99" fillId="0" borderId="10" xfId="4" applyFont="1" applyFill="1" applyBorder="1"/>
    <xf numFmtId="0" fontId="99" fillId="0" borderId="8" xfId="4" applyFont="1" applyFill="1" applyBorder="1"/>
    <xf numFmtId="0" fontId="99" fillId="0" borderId="9" xfId="4" applyFont="1" applyFill="1" applyBorder="1"/>
    <xf numFmtId="0" fontId="99" fillId="0" borderId="0" xfId="4" quotePrefix="1" applyFont="1" applyFill="1"/>
    <xf numFmtId="164" fontId="111" fillId="6" borderId="0" xfId="0" applyNumberFormat="1" applyFont="1" applyFill="1" applyBorder="1" applyAlignment="1">
      <alignment vertical="center"/>
    </xf>
    <xf numFmtId="0" fontId="33" fillId="47" borderId="0" xfId="0" applyFont="1" applyFill="1" applyBorder="1" applyAlignment="1">
      <alignment vertical="center"/>
    </xf>
    <xf numFmtId="164" fontId="111" fillId="6" borderId="0" xfId="0" applyNumberFormat="1" applyFont="1" applyFill="1" applyBorder="1" applyAlignment="1">
      <alignment horizontal="right" vertical="center"/>
    </xf>
    <xf numFmtId="0" fontId="112" fillId="6" borderId="0" xfId="35" applyFont="1" applyFill="1" applyBorder="1" applyAlignment="1">
      <alignment horizontal="left" vertical="center"/>
    </xf>
    <xf numFmtId="0" fontId="33" fillId="6" borderId="0" xfId="35" applyFont="1" applyFill="1" applyBorder="1" applyAlignment="1">
      <alignment horizontal="center" vertical="center"/>
    </xf>
    <xf numFmtId="0" fontId="33" fillId="6" borderId="0" xfId="35" applyFont="1" applyFill="1" applyBorder="1" applyAlignment="1">
      <alignment vertical="center"/>
    </xf>
    <xf numFmtId="0" fontId="106" fillId="6" borderId="0" xfId="35" applyFont="1" applyFill="1" applyBorder="1" applyAlignment="1">
      <alignment horizontal="left" vertical="center"/>
    </xf>
    <xf numFmtId="0" fontId="107" fillId="6" borderId="0" xfId="35" applyFont="1" applyFill="1" applyBorder="1" applyAlignment="1">
      <alignment vertical="top"/>
    </xf>
    <xf numFmtId="0" fontId="103" fillId="0" borderId="0" xfId="33" applyFont="1" applyAlignment="1"/>
    <xf numFmtId="0" fontId="113" fillId="0" borderId="0" xfId="0" applyFont="1"/>
    <xf numFmtId="0" fontId="8" fillId="0" borderId="0" xfId="0" applyFont="1"/>
    <xf numFmtId="0" fontId="8" fillId="0" borderId="0" xfId="0" applyFont="1" applyAlignment="1">
      <alignment horizontal="center"/>
    </xf>
    <xf numFmtId="0" fontId="8" fillId="0" borderId="0" xfId="0" applyFont="1" applyAlignment="1">
      <alignment horizontal="center" vertical="center"/>
    </xf>
    <xf numFmtId="185" fontId="0" fillId="0" borderId="0" xfId="0" applyNumberFormat="1" applyAlignment="1">
      <alignment horizontal="center"/>
    </xf>
    <xf numFmtId="0" fontId="99" fillId="0" borderId="93" xfId="0" applyFont="1" applyBorder="1" applyAlignment="1">
      <alignment horizontal="center"/>
    </xf>
    <xf numFmtId="186" fontId="0" fillId="0" borderId="0" xfId="0" applyNumberFormat="1"/>
    <xf numFmtId="0" fontId="99" fillId="0" borderId="94" xfId="0" applyFont="1" applyBorder="1" applyAlignment="1">
      <alignment horizontal="center"/>
    </xf>
    <xf numFmtId="0" fontId="10" fillId="0" borderId="0" xfId="0" applyFont="1" applyFill="1" applyBorder="1" applyAlignment="1">
      <alignment horizontal="left" vertical="center"/>
    </xf>
    <xf numFmtId="0" fontId="10" fillId="0" borderId="11" xfId="0" applyFont="1" applyFill="1" applyBorder="1" applyAlignment="1">
      <alignment horizontal="left" vertical="center"/>
    </xf>
    <xf numFmtId="0" fontId="32" fillId="6" borderId="0" xfId="0" applyFont="1" applyFill="1" applyBorder="1" applyAlignment="1">
      <alignment horizontal="center" vertical="center" textRotation="90"/>
    </xf>
    <xf numFmtId="0" fontId="32" fillId="6" borderId="13" xfId="0" applyFont="1" applyFill="1" applyBorder="1" applyAlignment="1">
      <alignment horizontal="center" vertical="center" textRotation="90"/>
    </xf>
    <xf numFmtId="0" fontId="32" fillId="6" borderId="20" xfId="0" applyFont="1" applyFill="1" applyBorder="1" applyAlignment="1">
      <alignment horizontal="center" vertical="center" textRotation="90"/>
    </xf>
    <xf numFmtId="1" fontId="10" fillId="0" borderId="0" xfId="0" applyNumberFormat="1" applyFont="1" applyFill="1" applyBorder="1" applyAlignment="1">
      <alignment horizontal="center" vertical="center" textRotation="90"/>
    </xf>
    <xf numFmtId="0" fontId="19" fillId="0" borderId="20" xfId="0" applyFont="1" applyFill="1" applyBorder="1" applyAlignment="1">
      <alignment horizontal="left" vertical="center" textRotation="90" wrapText="1"/>
    </xf>
    <xf numFmtId="0" fontId="19" fillId="0" borderId="0" xfId="0" applyFont="1" applyFill="1" applyBorder="1" applyAlignment="1">
      <alignment horizontal="left" vertical="center" textRotation="90" wrapText="1"/>
    </xf>
    <xf numFmtId="0" fontId="24" fillId="0" borderId="0" xfId="0" applyFont="1" applyFill="1" applyBorder="1" applyAlignment="1">
      <alignment horizontal="left" vertical="center" wrapText="1"/>
    </xf>
    <xf numFmtId="0" fontId="24" fillId="0" borderId="11" xfId="0" applyFont="1" applyFill="1" applyBorder="1" applyAlignment="1">
      <alignment horizontal="left" vertical="center" wrapText="1"/>
    </xf>
    <xf numFmtId="0" fontId="8" fillId="0" borderId="0" xfId="0" applyFont="1" applyFill="1" applyBorder="1" applyAlignment="1">
      <alignment horizontal="left" vertical="center" wrapText="1"/>
    </xf>
    <xf numFmtId="0" fontId="24" fillId="0" borderId="13" xfId="0" applyFont="1" applyFill="1" applyBorder="1" applyAlignment="1">
      <alignment horizontal="left" vertical="center" wrapText="1"/>
    </xf>
    <xf numFmtId="0" fontId="29" fillId="0" borderId="0" xfId="0" applyFont="1" applyFill="1" applyBorder="1" applyAlignment="1">
      <alignment horizontal="left" vertical="center" textRotation="90"/>
    </xf>
    <xf numFmtId="0" fontId="19" fillId="0" borderId="16" xfId="0" applyFont="1" applyFill="1" applyBorder="1" applyAlignment="1">
      <alignment horizontal="left" vertical="center" textRotation="90"/>
    </xf>
    <xf numFmtId="0" fontId="8" fillId="0" borderId="13" xfId="0" applyFont="1" applyFill="1" applyBorder="1" applyAlignment="1">
      <alignment horizontal="left" vertical="center" wrapText="1"/>
    </xf>
    <xf numFmtId="0" fontId="102" fillId="0" borderId="23" xfId="4" applyFont="1" applyBorder="1" applyAlignment="1">
      <alignment horizontal="left"/>
    </xf>
    <xf numFmtId="0" fontId="102" fillId="0" borderId="24" xfId="4" applyFont="1" applyBorder="1" applyAlignment="1">
      <alignment horizontal="left"/>
    </xf>
    <xf numFmtId="0" fontId="102" fillId="0" borderId="25" xfId="4" applyFont="1" applyBorder="1" applyAlignment="1">
      <alignment horizontal="left"/>
    </xf>
    <xf numFmtId="0" fontId="8" fillId="7" borderId="0" xfId="3" applyFont="1" applyFill="1" applyBorder="1" applyAlignment="1">
      <alignment horizontal="center"/>
    </xf>
    <xf numFmtId="0" fontId="8" fillId="4" borderId="0" xfId="3" applyFont="1" applyFill="1" applyAlignment="1">
      <alignment horizontal="center"/>
    </xf>
    <xf numFmtId="0" fontId="89" fillId="21" borderId="23" xfId="3" applyFont="1" applyFill="1" applyBorder="1" applyAlignment="1">
      <alignment horizontal="center"/>
    </xf>
    <xf numFmtId="0" fontId="89" fillId="21" borderId="25" xfId="3" applyFont="1" applyFill="1" applyBorder="1" applyAlignment="1">
      <alignment horizontal="center"/>
    </xf>
    <xf numFmtId="0" fontId="89" fillId="5" borderId="4" xfId="3" applyFont="1" applyFill="1" applyBorder="1" applyAlignment="1">
      <alignment horizontal="center"/>
    </xf>
    <xf numFmtId="0" fontId="89" fillId="5" borderId="5" xfId="3" applyFont="1" applyFill="1" applyBorder="1" applyAlignment="1">
      <alignment horizontal="center"/>
    </xf>
    <xf numFmtId="0" fontId="89" fillId="5" borderId="3" xfId="3" applyFont="1" applyFill="1" applyBorder="1" applyAlignment="1">
      <alignment horizontal="center"/>
    </xf>
    <xf numFmtId="164" fontId="8" fillId="24" borderId="23" xfId="3" applyNumberFormat="1" applyFont="1" applyFill="1" applyBorder="1" applyAlignment="1">
      <alignment horizontal="center"/>
    </xf>
    <xf numFmtId="164" fontId="8" fillId="24" borderId="25" xfId="3" applyNumberFormat="1" applyFont="1" applyFill="1" applyBorder="1" applyAlignment="1">
      <alignment horizontal="center"/>
    </xf>
    <xf numFmtId="164" fontId="8" fillId="20" borderId="30" xfId="3" applyNumberFormat="1" applyFont="1" applyFill="1" applyBorder="1" applyAlignment="1">
      <alignment horizontal="center"/>
    </xf>
  </cellXfs>
  <cellStyles count="36">
    <cellStyle name="20% - Akzent1" xfId="8" xr:uid="{00000000-0005-0000-0000-000000000000}"/>
    <cellStyle name="20% - Akzent2" xfId="9" xr:uid="{00000000-0005-0000-0000-000001000000}"/>
    <cellStyle name="20% - Akzent3" xfId="10" xr:uid="{00000000-0005-0000-0000-000002000000}"/>
    <cellStyle name="20% - Akzent4" xfId="11" xr:uid="{00000000-0005-0000-0000-000003000000}"/>
    <cellStyle name="20% - Akzent5" xfId="12" xr:uid="{00000000-0005-0000-0000-000004000000}"/>
    <cellStyle name="20% - Akzent6" xfId="13" xr:uid="{00000000-0005-0000-0000-000005000000}"/>
    <cellStyle name="40% - Akzent1" xfId="14" xr:uid="{00000000-0005-0000-0000-000006000000}"/>
    <cellStyle name="40% - Akzent2" xfId="15" xr:uid="{00000000-0005-0000-0000-000007000000}"/>
    <cellStyle name="40% - Akzent3" xfId="16" xr:uid="{00000000-0005-0000-0000-000008000000}"/>
    <cellStyle name="40% - Akzent4" xfId="17" xr:uid="{00000000-0005-0000-0000-000009000000}"/>
    <cellStyle name="40% - Akzent5" xfId="18" xr:uid="{00000000-0005-0000-0000-00000A000000}"/>
    <cellStyle name="40% - Akzent6" xfId="19" xr:uid="{00000000-0005-0000-0000-00000B000000}"/>
    <cellStyle name="60% - Akzent1" xfId="20" xr:uid="{00000000-0005-0000-0000-00000C000000}"/>
    <cellStyle name="60% - Akzent2" xfId="21" xr:uid="{00000000-0005-0000-0000-00000D000000}"/>
    <cellStyle name="60% - Akzent3" xfId="22" xr:uid="{00000000-0005-0000-0000-00000E000000}"/>
    <cellStyle name="60% - Akzent4" xfId="23" xr:uid="{00000000-0005-0000-0000-00000F000000}"/>
    <cellStyle name="60% - Akzent5" xfId="24" xr:uid="{00000000-0005-0000-0000-000010000000}"/>
    <cellStyle name="60% - Akzent6" xfId="25" xr:uid="{00000000-0005-0000-0000-000011000000}"/>
    <cellStyle name="Euro" xfId="1" xr:uid="{00000000-0005-0000-0000-000012000000}"/>
    <cellStyle name="Hyperlink 2" xfId="26" xr:uid="{00000000-0005-0000-0000-000013000000}"/>
    <cellStyle name="Komma" xfId="2" builtinId="3"/>
    <cellStyle name="Komma 2" xfId="27" xr:uid="{00000000-0005-0000-0000-000015000000}"/>
    <cellStyle name="Komma 3" xfId="28" xr:uid="{00000000-0005-0000-0000-000016000000}"/>
    <cellStyle name="Notiz 2" xfId="29" xr:uid="{00000000-0005-0000-0000-000017000000}"/>
    <cellStyle name="Prozent" xfId="5" builtinId="5"/>
    <cellStyle name="Prozent 2" xfId="7" xr:uid="{00000000-0005-0000-0000-000019000000}"/>
    <cellStyle name="Prozent 3" xfId="30" xr:uid="{00000000-0005-0000-0000-00001A000000}"/>
    <cellStyle name="Standard" xfId="0" builtinId="0"/>
    <cellStyle name="Standard 2" xfId="3" xr:uid="{00000000-0005-0000-0000-00001C000000}"/>
    <cellStyle name="Standard 2 2" xfId="35" xr:uid="{00000000-0005-0000-0000-00001D000000}"/>
    <cellStyle name="Standard 3" xfId="4" xr:uid="{00000000-0005-0000-0000-00001E000000}"/>
    <cellStyle name="Standard 4" xfId="6" xr:uid="{00000000-0005-0000-0000-00001F000000}"/>
    <cellStyle name="Standard 5" xfId="31" xr:uid="{00000000-0005-0000-0000-000020000000}"/>
    <cellStyle name="Standard 6" xfId="32" xr:uid="{00000000-0005-0000-0000-000021000000}"/>
    <cellStyle name="Standard 7" xfId="33" xr:uid="{00000000-0005-0000-0000-000022000000}"/>
    <cellStyle name="Standard 7 2" xfId="34" xr:uid="{00000000-0005-0000-0000-000023000000}"/>
  </cellStyles>
  <dxfs count="9">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b val="0"/>
        <i val="0"/>
        <strike val="0"/>
        <condense val="0"/>
        <extend val="0"/>
        <outline val="0"/>
        <shadow val="0"/>
        <u val="none"/>
        <vertAlign val="baseline"/>
        <sz val="10"/>
        <color auto="1"/>
        <name val="Arial"/>
        <family val="2"/>
        <scheme val="none"/>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DDDDDD"/>
      <rgbColor rgb="00003366"/>
      <rgbColor rgb="00339966"/>
      <rgbColor rgb="00003300"/>
      <rgbColor rgb="00333300"/>
      <rgbColor rgb="00993300"/>
      <rgbColor rgb="00993366"/>
      <rgbColor rgb="00333399"/>
      <rgbColor rgb="00333333"/>
    </indexedColors>
    <mruColors>
      <color rgb="FFFFFF99"/>
      <color rgb="FFCCFFFF"/>
      <color rgb="FFFFFF66"/>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externalLink" Target="externalLinks/externalLink11.xml"/><Relationship Id="rId3" Type="http://schemas.openxmlformats.org/officeDocument/2006/relationships/worksheet" Target="worksheets/sheet3.xml"/><Relationship Id="rId21"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externalLink" Target="externalLinks/externalLink10.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9.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8.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externalLink" Target="externalLinks/externalLink4.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7.xml"/><Relationship Id="rId27" Type="http://schemas.openxmlformats.org/officeDocument/2006/relationships/externalLink" Target="externalLinks/externalLink12.xml"/><Relationship Id="rId30"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CH"/>
              <a:t>Internal</a:t>
            </a:r>
            <a:r>
              <a:rPr lang="de-CH" baseline="0"/>
              <a:t> Heat </a:t>
            </a:r>
            <a:r>
              <a:rPr lang="de-CH"/>
              <a:t>Load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barChart>
        <c:barDir val="col"/>
        <c:grouping val="stacked"/>
        <c:varyColors val="0"/>
        <c:ser>
          <c:idx val="0"/>
          <c:order val="0"/>
          <c:tx>
            <c:strRef>
              <c:f>'Internal heat load'!$B$8:$B$9</c:f>
              <c:strCache>
                <c:ptCount val="2"/>
                <c:pt idx="0">
                  <c:v>Persones</c:v>
                </c:pt>
                <c:pt idx="1">
                  <c:v>[W]</c:v>
                </c:pt>
              </c:strCache>
            </c:strRef>
          </c:tx>
          <c:spPr>
            <a:solidFill>
              <a:schemeClr val="accent1"/>
            </a:solidFill>
            <a:ln>
              <a:noFill/>
            </a:ln>
            <a:effectLst/>
          </c:spPr>
          <c:invertIfNegative val="0"/>
          <c:cat>
            <c:numRef>
              <c:f>'Internal heat load'!$A$10:$A$33</c:f>
              <c:numCache>
                <c:formatCode>[$-F400]h:mm:ss\ AM/PM</c:formatCode>
                <c:ptCount val="24"/>
                <c:pt idx="0">
                  <c:v>1</c:v>
                </c:pt>
                <c:pt idx="1">
                  <c:v>1.0416666666666701</c:v>
                </c:pt>
                <c:pt idx="2">
                  <c:v>1.0833333333333399</c:v>
                </c:pt>
                <c:pt idx="3">
                  <c:v>1.12500000000001</c:v>
                </c:pt>
                <c:pt idx="4">
                  <c:v>1.1666666666666801</c:v>
                </c:pt>
                <c:pt idx="5">
                  <c:v>1.2083333333333499</c:v>
                </c:pt>
                <c:pt idx="6">
                  <c:v>1.25000000000002</c:v>
                </c:pt>
                <c:pt idx="7">
                  <c:v>1.2916666666666901</c:v>
                </c:pt>
                <c:pt idx="8">
                  <c:v>1.3333333333333599</c:v>
                </c:pt>
                <c:pt idx="9">
                  <c:v>1.37500000000003</c:v>
                </c:pt>
                <c:pt idx="10">
                  <c:v>1.4166666666667</c:v>
                </c:pt>
                <c:pt idx="11">
                  <c:v>1.4583333333333699</c:v>
                </c:pt>
                <c:pt idx="12">
                  <c:v>1.50000000000004</c:v>
                </c:pt>
                <c:pt idx="13">
                  <c:v>1.54166666666671</c:v>
                </c:pt>
                <c:pt idx="14">
                  <c:v>1.5833333333333801</c:v>
                </c:pt>
                <c:pt idx="15">
                  <c:v>1.62500000000005</c:v>
                </c:pt>
                <c:pt idx="16">
                  <c:v>1.66666666666672</c:v>
                </c:pt>
                <c:pt idx="17">
                  <c:v>1.7083333333333901</c:v>
                </c:pt>
                <c:pt idx="18">
                  <c:v>1.75000000000006</c:v>
                </c:pt>
                <c:pt idx="19">
                  <c:v>1.79166666666673</c:v>
                </c:pt>
                <c:pt idx="20">
                  <c:v>1.8333333333334001</c:v>
                </c:pt>
                <c:pt idx="21">
                  <c:v>1.8750000000000699</c:v>
                </c:pt>
                <c:pt idx="22">
                  <c:v>1.91666666666674</c:v>
                </c:pt>
                <c:pt idx="23">
                  <c:v>1.9583333333334101</c:v>
                </c:pt>
              </c:numCache>
            </c:numRef>
          </c:cat>
          <c:val>
            <c:numRef>
              <c:f>'Internal heat load'!$B$10:$B$33</c:f>
              <c:numCache>
                <c:formatCode>General</c:formatCode>
                <c:ptCount val="24"/>
                <c:pt idx="0">
                  <c:v>350</c:v>
                </c:pt>
                <c:pt idx="1">
                  <c:v>350</c:v>
                </c:pt>
                <c:pt idx="2">
                  <c:v>350</c:v>
                </c:pt>
                <c:pt idx="3">
                  <c:v>350</c:v>
                </c:pt>
                <c:pt idx="4">
                  <c:v>350</c:v>
                </c:pt>
                <c:pt idx="5">
                  <c:v>350</c:v>
                </c:pt>
                <c:pt idx="6">
                  <c:v>350</c:v>
                </c:pt>
                <c:pt idx="7">
                  <c:v>350</c:v>
                </c:pt>
                <c:pt idx="8">
                  <c:v>0</c:v>
                </c:pt>
                <c:pt idx="9">
                  <c:v>0</c:v>
                </c:pt>
                <c:pt idx="10">
                  <c:v>0</c:v>
                </c:pt>
                <c:pt idx="11">
                  <c:v>0</c:v>
                </c:pt>
                <c:pt idx="12">
                  <c:v>350</c:v>
                </c:pt>
                <c:pt idx="13">
                  <c:v>350</c:v>
                </c:pt>
                <c:pt idx="14">
                  <c:v>0</c:v>
                </c:pt>
                <c:pt idx="15">
                  <c:v>0</c:v>
                </c:pt>
                <c:pt idx="16">
                  <c:v>0</c:v>
                </c:pt>
                <c:pt idx="17">
                  <c:v>0</c:v>
                </c:pt>
                <c:pt idx="18">
                  <c:v>350</c:v>
                </c:pt>
                <c:pt idx="19">
                  <c:v>350</c:v>
                </c:pt>
                <c:pt idx="20">
                  <c:v>350</c:v>
                </c:pt>
                <c:pt idx="21">
                  <c:v>350</c:v>
                </c:pt>
                <c:pt idx="22">
                  <c:v>350</c:v>
                </c:pt>
                <c:pt idx="23">
                  <c:v>350</c:v>
                </c:pt>
              </c:numCache>
            </c:numRef>
          </c:val>
          <c:extLst>
            <c:ext xmlns:c16="http://schemas.microsoft.com/office/drawing/2014/chart" uri="{C3380CC4-5D6E-409C-BE32-E72D297353CC}">
              <c16:uniqueId val="{00000000-8F96-4AAE-853F-44671C7D14BC}"/>
            </c:ext>
          </c:extLst>
        </c:ser>
        <c:ser>
          <c:idx val="1"/>
          <c:order val="1"/>
          <c:tx>
            <c:strRef>
              <c:f>'Internal heat load'!$C$8:$C$9</c:f>
              <c:strCache>
                <c:ptCount val="2"/>
                <c:pt idx="0">
                  <c:v>Light</c:v>
                </c:pt>
                <c:pt idx="1">
                  <c:v>[W]</c:v>
                </c:pt>
              </c:strCache>
            </c:strRef>
          </c:tx>
          <c:spPr>
            <a:solidFill>
              <a:schemeClr val="accent2"/>
            </a:solidFill>
            <a:ln>
              <a:noFill/>
            </a:ln>
            <a:effectLst/>
          </c:spPr>
          <c:invertIfNegative val="0"/>
          <c:cat>
            <c:numRef>
              <c:f>'Internal heat load'!$A$10:$A$33</c:f>
              <c:numCache>
                <c:formatCode>[$-F400]h:mm:ss\ AM/PM</c:formatCode>
                <c:ptCount val="24"/>
                <c:pt idx="0">
                  <c:v>1</c:v>
                </c:pt>
                <c:pt idx="1">
                  <c:v>1.0416666666666701</c:v>
                </c:pt>
                <c:pt idx="2">
                  <c:v>1.0833333333333399</c:v>
                </c:pt>
                <c:pt idx="3">
                  <c:v>1.12500000000001</c:v>
                </c:pt>
                <c:pt idx="4">
                  <c:v>1.1666666666666801</c:v>
                </c:pt>
                <c:pt idx="5">
                  <c:v>1.2083333333333499</c:v>
                </c:pt>
                <c:pt idx="6">
                  <c:v>1.25000000000002</c:v>
                </c:pt>
                <c:pt idx="7">
                  <c:v>1.2916666666666901</c:v>
                </c:pt>
                <c:pt idx="8">
                  <c:v>1.3333333333333599</c:v>
                </c:pt>
                <c:pt idx="9">
                  <c:v>1.37500000000003</c:v>
                </c:pt>
                <c:pt idx="10">
                  <c:v>1.4166666666667</c:v>
                </c:pt>
                <c:pt idx="11">
                  <c:v>1.4583333333333699</c:v>
                </c:pt>
                <c:pt idx="12">
                  <c:v>1.50000000000004</c:v>
                </c:pt>
                <c:pt idx="13">
                  <c:v>1.54166666666671</c:v>
                </c:pt>
                <c:pt idx="14">
                  <c:v>1.5833333333333801</c:v>
                </c:pt>
                <c:pt idx="15">
                  <c:v>1.62500000000005</c:v>
                </c:pt>
                <c:pt idx="16">
                  <c:v>1.66666666666672</c:v>
                </c:pt>
                <c:pt idx="17">
                  <c:v>1.7083333333333901</c:v>
                </c:pt>
                <c:pt idx="18">
                  <c:v>1.75000000000006</c:v>
                </c:pt>
                <c:pt idx="19">
                  <c:v>1.79166666666673</c:v>
                </c:pt>
                <c:pt idx="20">
                  <c:v>1.8333333333334001</c:v>
                </c:pt>
                <c:pt idx="21">
                  <c:v>1.8750000000000699</c:v>
                </c:pt>
                <c:pt idx="22">
                  <c:v>1.91666666666674</c:v>
                </c:pt>
                <c:pt idx="23">
                  <c:v>1.9583333333334101</c:v>
                </c:pt>
              </c:numCache>
            </c:numRef>
          </c:cat>
          <c:val>
            <c:numRef>
              <c:f>'Internal heat load'!$C$10:$C$33</c:f>
              <c:numCache>
                <c:formatCode>General</c:formatCode>
                <c:ptCount val="24"/>
                <c:pt idx="0">
                  <c:v>0</c:v>
                </c:pt>
                <c:pt idx="1">
                  <c:v>0</c:v>
                </c:pt>
                <c:pt idx="2">
                  <c:v>0</c:v>
                </c:pt>
                <c:pt idx="3">
                  <c:v>0</c:v>
                </c:pt>
                <c:pt idx="4">
                  <c:v>0</c:v>
                </c:pt>
                <c:pt idx="5">
                  <c:v>0</c:v>
                </c:pt>
                <c:pt idx="6">
                  <c:v>1200</c:v>
                </c:pt>
                <c:pt idx="7">
                  <c:v>1200</c:v>
                </c:pt>
                <c:pt idx="8">
                  <c:v>1200</c:v>
                </c:pt>
                <c:pt idx="9">
                  <c:v>0</c:v>
                </c:pt>
                <c:pt idx="10">
                  <c:v>0</c:v>
                </c:pt>
                <c:pt idx="11">
                  <c:v>0</c:v>
                </c:pt>
                <c:pt idx="12">
                  <c:v>0</c:v>
                </c:pt>
                <c:pt idx="13">
                  <c:v>0</c:v>
                </c:pt>
                <c:pt idx="14">
                  <c:v>0</c:v>
                </c:pt>
                <c:pt idx="15">
                  <c:v>0</c:v>
                </c:pt>
                <c:pt idx="16">
                  <c:v>0</c:v>
                </c:pt>
                <c:pt idx="17">
                  <c:v>0</c:v>
                </c:pt>
                <c:pt idx="18">
                  <c:v>1200</c:v>
                </c:pt>
                <c:pt idx="19">
                  <c:v>1200</c:v>
                </c:pt>
                <c:pt idx="20">
                  <c:v>1200</c:v>
                </c:pt>
                <c:pt idx="21">
                  <c:v>1200</c:v>
                </c:pt>
                <c:pt idx="22">
                  <c:v>0</c:v>
                </c:pt>
                <c:pt idx="23">
                  <c:v>0</c:v>
                </c:pt>
              </c:numCache>
            </c:numRef>
          </c:val>
          <c:extLst>
            <c:ext xmlns:c16="http://schemas.microsoft.com/office/drawing/2014/chart" uri="{C3380CC4-5D6E-409C-BE32-E72D297353CC}">
              <c16:uniqueId val="{00000001-8F96-4AAE-853F-44671C7D14BC}"/>
            </c:ext>
          </c:extLst>
        </c:ser>
        <c:ser>
          <c:idx val="2"/>
          <c:order val="2"/>
          <c:tx>
            <c:strRef>
              <c:f>'Internal heat load'!$D$8:$D$9</c:f>
              <c:strCache>
                <c:ptCount val="2"/>
                <c:pt idx="0">
                  <c:v>Devices</c:v>
                </c:pt>
                <c:pt idx="1">
                  <c:v>[W]</c:v>
                </c:pt>
              </c:strCache>
            </c:strRef>
          </c:tx>
          <c:spPr>
            <a:solidFill>
              <a:schemeClr val="accent3"/>
            </a:solidFill>
            <a:ln>
              <a:noFill/>
            </a:ln>
            <a:effectLst/>
          </c:spPr>
          <c:invertIfNegative val="0"/>
          <c:cat>
            <c:numRef>
              <c:f>'Internal heat load'!$A$10:$A$33</c:f>
              <c:numCache>
                <c:formatCode>[$-F400]h:mm:ss\ AM/PM</c:formatCode>
                <c:ptCount val="24"/>
                <c:pt idx="0">
                  <c:v>1</c:v>
                </c:pt>
                <c:pt idx="1">
                  <c:v>1.0416666666666701</c:v>
                </c:pt>
                <c:pt idx="2">
                  <c:v>1.0833333333333399</c:v>
                </c:pt>
                <c:pt idx="3">
                  <c:v>1.12500000000001</c:v>
                </c:pt>
                <c:pt idx="4">
                  <c:v>1.1666666666666801</c:v>
                </c:pt>
                <c:pt idx="5">
                  <c:v>1.2083333333333499</c:v>
                </c:pt>
                <c:pt idx="6">
                  <c:v>1.25000000000002</c:v>
                </c:pt>
                <c:pt idx="7">
                  <c:v>1.2916666666666901</c:v>
                </c:pt>
                <c:pt idx="8">
                  <c:v>1.3333333333333599</c:v>
                </c:pt>
                <c:pt idx="9">
                  <c:v>1.37500000000003</c:v>
                </c:pt>
                <c:pt idx="10">
                  <c:v>1.4166666666667</c:v>
                </c:pt>
                <c:pt idx="11">
                  <c:v>1.4583333333333699</c:v>
                </c:pt>
                <c:pt idx="12">
                  <c:v>1.50000000000004</c:v>
                </c:pt>
                <c:pt idx="13">
                  <c:v>1.54166666666671</c:v>
                </c:pt>
                <c:pt idx="14">
                  <c:v>1.5833333333333801</c:v>
                </c:pt>
                <c:pt idx="15">
                  <c:v>1.62500000000005</c:v>
                </c:pt>
                <c:pt idx="16">
                  <c:v>1.66666666666672</c:v>
                </c:pt>
                <c:pt idx="17">
                  <c:v>1.7083333333333901</c:v>
                </c:pt>
                <c:pt idx="18">
                  <c:v>1.75000000000006</c:v>
                </c:pt>
                <c:pt idx="19">
                  <c:v>1.79166666666673</c:v>
                </c:pt>
                <c:pt idx="20">
                  <c:v>1.8333333333334001</c:v>
                </c:pt>
                <c:pt idx="21">
                  <c:v>1.8750000000000699</c:v>
                </c:pt>
                <c:pt idx="22">
                  <c:v>1.91666666666674</c:v>
                </c:pt>
                <c:pt idx="23">
                  <c:v>1.9583333333334101</c:v>
                </c:pt>
              </c:numCache>
            </c:numRef>
          </c:cat>
          <c:val>
            <c:numRef>
              <c:f>'Internal heat load'!$D$10:$D$33</c:f>
              <c:numCache>
                <c:formatCode>General</c:formatCode>
                <c:ptCount val="24"/>
                <c:pt idx="0">
                  <c:v>600</c:v>
                </c:pt>
                <c:pt idx="1">
                  <c:v>600</c:v>
                </c:pt>
                <c:pt idx="2">
                  <c:v>600</c:v>
                </c:pt>
                <c:pt idx="3">
                  <c:v>600</c:v>
                </c:pt>
                <c:pt idx="4">
                  <c:v>600</c:v>
                </c:pt>
                <c:pt idx="5">
                  <c:v>600</c:v>
                </c:pt>
                <c:pt idx="6">
                  <c:v>600</c:v>
                </c:pt>
                <c:pt idx="7">
                  <c:v>600</c:v>
                </c:pt>
                <c:pt idx="8">
                  <c:v>1000</c:v>
                </c:pt>
                <c:pt idx="9">
                  <c:v>1000</c:v>
                </c:pt>
                <c:pt idx="10">
                  <c:v>1000</c:v>
                </c:pt>
                <c:pt idx="11">
                  <c:v>1000</c:v>
                </c:pt>
                <c:pt idx="12">
                  <c:v>1000</c:v>
                </c:pt>
                <c:pt idx="13">
                  <c:v>1000</c:v>
                </c:pt>
                <c:pt idx="14">
                  <c:v>1000</c:v>
                </c:pt>
                <c:pt idx="15">
                  <c:v>1000</c:v>
                </c:pt>
                <c:pt idx="16">
                  <c:v>1000</c:v>
                </c:pt>
                <c:pt idx="17">
                  <c:v>1000</c:v>
                </c:pt>
                <c:pt idx="18">
                  <c:v>1000</c:v>
                </c:pt>
                <c:pt idx="19">
                  <c:v>1000</c:v>
                </c:pt>
                <c:pt idx="20">
                  <c:v>1000</c:v>
                </c:pt>
                <c:pt idx="21">
                  <c:v>1000</c:v>
                </c:pt>
                <c:pt idx="22">
                  <c:v>600</c:v>
                </c:pt>
                <c:pt idx="23">
                  <c:v>600</c:v>
                </c:pt>
              </c:numCache>
            </c:numRef>
          </c:val>
          <c:extLst>
            <c:ext xmlns:c16="http://schemas.microsoft.com/office/drawing/2014/chart" uri="{C3380CC4-5D6E-409C-BE32-E72D297353CC}">
              <c16:uniqueId val="{00000002-8F96-4AAE-853F-44671C7D14BC}"/>
            </c:ext>
          </c:extLst>
        </c:ser>
        <c:dLbls>
          <c:showLegendKey val="0"/>
          <c:showVal val="0"/>
          <c:showCatName val="0"/>
          <c:showSerName val="0"/>
          <c:showPercent val="0"/>
          <c:showBubbleSize val="0"/>
        </c:dLbls>
        <c:gapWidth val="150"/>
        <c:overlap val="100"/>
        <c:axId val="1412769887"/>
        <c:axId val="1412770303"/>
      </c:barChart>
      <c:catAx>
        <c:axId val="1412769887"/>
        <c:scaling>
          <c:orientation val="minMax"/>
        </c:scaling>
        <c:delete val="0"/>
        <c:axPos val="b"/>
        <c:numFmt formatCode="[$-F400]h:mm:ss\ AM/P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412770303"/>
        <c:crosses val="autoZero"/>
        <c:auto val="1"/>
        <c:lblAlgn val="ctr"/>
        <c:lblOffset val="100"/>
        <c:noMultiLvlLbl val="0"/>
      </c:catAx>
      <c:valAx>
        <c:axId val="14127703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412769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D309-4AE6-9107-FCD93AF43649}"/>
            </c:ext>
          </c:extLst>
        </c:ser>
        <c:dLbls>
          <c:showLegendKey val="0"/>
          <c:showVal val="0"/>
          <c:showCatName val="0"/>
          <c:showSerName val="0"/>
          <c:showPercent val="0"/>
          <c:showBubbleSize val="0"/>
        </c:dLbls>
        <c:gapWidth val="150"/>
        <c:axId val="96656768"/>
        <c:axId val="97186176"/>
      </c:barChart>
      <c:catAx>
        <c:axId val="96656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7186176"/>
        <c:crosses val="autoZero"/>
        <c:auto val="1"/>
        <c:lblAlgn val="ctr"/>
        <c:lblOffset val="100"/>
        <c:tickLblSkip val="2"/>
        <c:tickMarkSkip val="1"/>
        <c:noMultiLvlLbl val="0"/>
      </c:catAx>
      <c:valAx>
        <c:axId val="97186176"/>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6656768"/>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686C-4481-BB3F-9A6F712C75B5}"/>
            </c:ext>
          </c:extLst>
        </c:ser>
        <c:dLbls>
          <c:showLegendKey val="0"/>
          <c:showVal val="0"/>
          <c:showCatName val="0"/>
          <c:showSerName val="0"/>
          <c:showPercent val="0"/>
          <c:showBubbleSize val="0"/>
        </c:dLbls>
        <c:gapWidth val="150"/>
        <c:axId val="67120128"/>
        <c:axId val="67126016"/>
      </c:barChart>
      <c:catAx>
        <c:axId val="67120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67126016"/>
        <c:crosses val="autoZero"/>
        <c:auto val="1"/>
        <c:lblAlgn val="ctr"/>
        <c:lblOffset val="100"/>
        <c:tickLblSkip val="2"/>
        <c:tickMarkSkip val="1"/>
        <c:noMultiLvlLbl val="0"/>
      </c:catAx>
      <c:valAx>
        <c:axId val="67126016"/>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67120128"/>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4EEB-457E-9378-91A079E6BB28}"/>
            </c:ext>
          </c:extLst>
        </c:ser>
        <c:dLbls>
          <c:showLegendKey val="0"/>
          <c:showVal val="0"/>
          <c:showCatName val="0"/>
          <c:showSerName val="0"/>
          <c:showPercent val="0"/>
          <c:showBubbleSize val="0"/>
        </c:dLbls>
        <c:gapWidth val="150"/>
        <c:axId val="67149824"/>
        <c:axId val="67151360"/>
      </c:barChart>
      <c:catAx>
        <c:axId val="67149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50" b="0" i="0" u="none" strike="noStrike" baseline="0">
                <a:solidFill>
                  <a:srgbClr val="000000"/>
                </a:solidFill>
                <a:latin typeface="Arial"/>
                <a:ea typeface="Arial"/>
                <a:cs typeface="Arial"/>
              </a:defRPr>
            </a:pPr>
            <a:endParaRPr lang="de-DE"/>
          </a:p>
        </c:txPr>
        <c:crossAx val="67151360"/>
        <c:crosses val="autoZero"/>
        <c:auto val="1"/>
        <c:lblAlgn val="ctr"/>
        <c:lblOffset val="100"/>
        <c:tickLblSkip val="2"/>
        <c:tickMarkSkip val="1"/>
        <c:noMultiLvlLbl val="0"/>
      </c:catAx>
      <c:valAx>
        <c:axId val="67151360"/>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50" b="0" i="0" u="none" strike="noStrike" baseline="0">
                <a:solidFill>
                  <a:srgbClr val="000000"/>
                </a:solidFill>
                <a:latin typeface="Arial"/>
                <a:ea typeface="Arial"/>
                <a:cs typeface="Arial"/>
              </a:defRPr>
            </a:pPr>
            <a:endParaRPr lang="de-DE"/>
          </a:p>
        </c:txPr>
        <c:crossAx val="67149824"/>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Lit>
              <c:formatCode>General</c:formatCode>
              <c:ptCount val="24"/>
              <c:pt idx="0">
                <c:v>0</c:v>
              </c:pt>
              <c:pt idx="1">
                <c:v>0</c:v>
              </c:pt>
              <c:pt idx="2">
                <c:v>0</c:v>
              </c:pt>
              <c:pt idx="3">
                <c:v>0</c:v>
              </c:pt>
              <c:pt idx="4">
                <c:v>0</c:v>
              </c:pt>
              <c:pt idx="5">
                <c:v>0</c:v>
              </c:pt>
              <c:pt idx="6">
                <c:v>0</c:v>
              </c:pt>
              <c:pt idx="7">
                <c:v>100</c:v>
              </c:pt>
              <c:pt idx="8">
                <c:v>100</c:v>
              </c:pt>
              <c:pt idx="9">
                <c:v>100</c:v>
              </c:pt>
              <c:pt idx="10">
                <c:v>100</c:v>
              </c:pt>
              <c:pt idx="11">
                <c:v>100</c:v>
              </c:pt>
              <c:pt idx="12">
                <c:v>100</c:v>
              </c:pt>
              <c:pt idx="13">
                <c:v>100</c:v>
              </c:pt>
              <c:pt idx="14">
                <c:v>100</c:v>
              </c:pt>
              <c:pt idx="15">
                <c:v>100</c:v>
              </c:pt>
              <c:pt idx="16">
                <c:v>100</c:v>
              </c:pt>
              <c:pt idx="17">
                <c:v>100</c:v>
              </c:pt>
              <c:pt idx="18">
                <c:v>0</c:v>
              </c:pt>
              <c:pt idx="19">
                <c:v>0</c:v>
              </c:pt>
              <c:pt idx="20">
                <c:v>0</c:v>
              </c:pt>
              <c:pt idx="21">
                <c:v>0</c:v>
              </c:pt>
              <c:pt idx="22">
                <c:v>0</c:v>
              </c:pt>
              <c:pt idx="23">
                <c:v>0</c:v>
              </c:pt>
            </c:numLit>
          </c:val>
          <c:extLst>
            <c:ext xmlns:c16="http://schemas.microsoft.com/office/drawing/2014/chart" uri="{C3380CC4-5D6E-409C-BE32-E72D297353CC}">
              <c16:uniqueId val="{00000000-E9D7-4805-9E5E-6C887F9B8B2C}"/>
            </c:ext>
          </c:extLst>
        </c:ser>
        <c:dLbls>
          <c:showLegendKey val="0"/>
          <c:showVal val="0"/>
          <c:showCatName val="0"/>
          <c:showSerName val="0"/>
          <c:showPercent val="0"/>
          <c:showBubbleSize val="0"/>
        </c:dLbls>
        <c:gapWidth val="150"/>
        <c:axId val="97002624"/>
        <c:axId val="97004160"/>
      </c:barChart>
      <c:catAx>
        <c:axId val="97002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7004160"/>
        <c:crosses val="autoZero"/>
        <c:auto val="1"/>
        <c:lblAlgn val="ctr"/>
        <c:lblOffset val="100"/>
        <c:tickLblSkip val="2"/>
        <c:tickMarkSkip val="1"/>
        <c:noMultiLvlLbl val="0"/>
      </c:catAx>
      <c:valAx>
        <c:axId val="97004160"/>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7002624"/>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Lit>
              <c:formatCode>General</c:formatCode>
              <c:ptCount val="24"/>
              <c:pt idx="0">
                <c:v>0</c:v>
              </c:pt>
              <c:pt idx="1">
                <c:v>0</c:v>
              </c:pt>
              <c:pt idx="2">
                <c:v>0</c:v>
              </c:pt>
              <c:pt idx="3">
                <c:v>0</c:v>
              </c:pt>
              <c:pt idx="4">
                <c:v>0</c:v>
              </c:pt>
              <c:pt idx="5">
                <c:v>0</c:v>
              </c:pt>
              <c:pt idx="6">
                <c:v>0</c:v>
              </c:pt>
              <c:pt idx="7">
                <c:v>100</c:v>
              </c:pt>
              <c:pt idx="8">
                <c:v>100</c:v>
              </c:pt>
              <c:pt idx="9">
                <c:v>100</c:v>
              </c:pt>
              <c:pt idx="10">
                <c:v>100</c:v>
              </c:pt>
              <c:pt idx="11">
                <c:v>100</c:v>
              </c:pt>
              <c:pt idx="12">
                <c:v>100</c:v>
              </c:pt>
              <c:pt idx="13">
                <c:v>100</c:v>
              </c:pt>
              <c:pt idx="14">
                <c:v>100</c:v>
              </c:pt>
              <c:pt idx="15">
                <c:v>100</c:v>
              </c:pt>
              <c:pt idx="16">
                <c:v>100</c:v>
              </c:pt>
              <c:pt idx="17">
                <c:v>100</c:v>
              </c:pt>
              <c:pt idx="18">
                <c:v>0</c:v>
              </c:pt>
              <c:pt idx="19">
                <c:v>0</c:v>
              </c:pt>
              <c:pt idx="20">
                <c:v>0</c:v>
              </c:pt>
              <c:pt idx="21">
                <c:v>0</c:v>
              </c:pt>
              <c:pt idx="22">
                <c:v>0</c:v>
              </c:pt>
              <c:pt idx="23">
                <c:v>0</c:v>
              </c:pt>
            </c:numLit>
          </c:val>
          <c:extLst>
            <c:ext xmlns:c16="http://schemas.microsoft.com/office/drawing/2014/chart" uri="{C3380CC4-5D6E-409C-BE32-E72D297353CC}">
              <c16:uniqueId val="{00000000-9B3E-4536-AB09-0E1B876F4D61}"/>
            </c:ext>
          </c:extLst>
        </c:ser>
        <c:dLbls>
          <c:showLegendKey val="0"/>
          <c:showVal val="0"/>
          <c:showCatName val="0"/>
          <c:showSerName val="0"/>
          <c:showPercent val="0"/>
          <c:showBubbleSize val="0"/>
        </c:dLbls>
        <c:gapWidth val="150"/>
        <c:axId val="97015680"/>
        <c:axId val="97017216"/>
      </c:barChart>
      <c:catAx>
        <c:axId val="97015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de-DE"/>
          </a:p>
        </c:txPr>
        <c:crossAx val="97017216"/>
        <c:crosses val="autoZero"/>
        <c:auto val="1"/>
        <c:lblAlgn val="ctr"/>
        <c:lblOffset val="100"/>
        <c:tickLblSkip val="2"/>
        <c:tickMarkSkip val="1"/>
        <c:noMultiLvlLbl val="0"/>
      </c:catAx>
      <c:valAx>
        <c:axId val="97017216"/>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de-DE"/>
          </a:p>
        </c:txPr>
        <c:crossAx val="97015680"/>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F805-4A2E-BE6A-4A08F476FEE3}"/>
            </c:ext>
          </c:extLst>
        </c:ser>
        <c:dLbls>
          <c:showLegendKey val="0"/>
          <c:showVal val="0"/>
          <c:showCatName val="0"/>
          <c:showSerName val="0"/>
          <c:showPercent val="0"/>
          <c:showBubbleSize val="0"/>
        </c:dLbls>
        <c:gapWidth val="150"/>
        <c:axId val="96864512"/>
        <c:axId val="96870400"/>
      </c:barChart>
      <c:catAx>
        <c:axId val="96864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de-DE"/>
          </a:p>
        </c:txPr>
        <c:crossAx val="96870400"/>
        <c:crosses val="autoZero"/>
        <c:auto val="1"/>
        <c:lblAlgn val="ctr"/>
        <c:lblOffset val="100"/>
        <c:tickLblSkip val="2"/>
        <c:tickMarkSkip val="1"/>
        <c:noMultiLvlLbl val="0"/>
      </c:catAx>
      <c:valAx>
        <c:axId val="96870400"/>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de-DE"/>
          </a:p>
        </c:txPr>
        <c:crossAx val="96864512"/>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FF92-4CEE-BF6B-F954B1781028}"/>
            </c:ext>
          </c:extLst>
        </c:ser>
        <c:dLbls>
          <c:showLegendKey val="0"/>
          <c:showVal val="0"/>
          <c:showCatName val="0"/>
          <c:showSerName val="0"/>
          <c:showPercent val="0"/>
          <c:showBubbleSize val="0"/>
        </c:dLbls>
        <c:gapWidth val="150"/>
        <c:axId val="96877568"/>
        <c:axId val="96899840"/>
      </c:barChart>
      <c:catAx>
        <c:axId val="96877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de-DE"/>
          </a:p>
        </c:txPr>
        <c:crossAx val="96899840"/>
        <c:crosses val="autoZero"/>
        <c:auto val="1"/>
        <c:lblAlgn val="ctr"/>
        <c:lblOffset val="100"/>
        <c:tickLblSkip val="2"/>
        <c:tickMarkSkip val="1"/>
        <c:noMultiLvlLbl val="0"/>
      </c:catAx>
      <c:valAx>
        <c:axId val="96899840"/>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de-DE"/>
          </a:p>
        </c:txPr>
        <c:crossAx val="96877568"/>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684678706259519E-2"/>
          <c:y val="0.15233062741551454"/>
          <c:w val="0.89520276908221652"/>
          <c:h val="0.54594644846029849"/>
        </c:manualLayout>
      </c:layout>
      <c:stockChart>
        <c:ser>
          <c:idx val="2"/>
          <c:order val="0"/>
          <c:tx>
            <c:strRef>
              <c:f>Datenblatt!$C$239</c:f>
              <c:strCache>
                <c:ptCount val="1"/>
                <c:pt idx="0">
                  <c:v>Standard</c:v>
                </c:pt>
              </c:strCache>
            </c:strRef>
          </c:tx>
          <c:spPr>
            <a:ln w="28575">
              <a:noFill/>
            </a:ln>
          </c:spPr>
          <c:marker>
            <c:symbol val="dash"/>
            <c:size val="10"/>
            <c:spPr>
              <a:solidFill>
                <a:srgbClr val="808080"/>
              </a:solidFill>
              <a:ln>
                <a:solidFill>
                  <a:srgbClr val="808080"/>
                </a:solidFill>
                <a:prstDash val="solid"/>
              </a:ln>
            </c:spPr>
          </c:marker>
          <c:cat>
            <c:strRef>
              <c:f>Datenblatt!$E$236:$J$236</c:f>
              <c:strCache>
                <c:ptCount val="6"/>
                <c:pt idx="0">
                  <c:v>Geräte</c:v>
                </c:pt>
                <c:pt idx="1">
                  <c:v>Beleuchtung</c:v>
                </c:pt>
                <c:pt idx="2">
                  <c:v>Lüftung</c:v>
                </c:pt>
                <c:pt idx="3">
                  <c:v>Raumkühlung</c:v>
                </c:pt>
                <c:pt idx="4">
                  <c:v>Raumheizung</c:v>
                </c:pt>
                <c:pt idx="5">
                  <c:v>Warmwasser</c:v>
                </c:pt>
              </c:strCache>
            </c:strRef>
          </c:cat>
          <c:val>
            <c:numRef>
              <c:f>Datenblatt!$E$239:$I$239</c:f>
              <c:numCache>
                <c:formatCode>0</c:formatCode>
                <c:ptCount val="5"/>
                <c:pt idx="0">
                  <c:v>7</c:v>
                </c:pt>
                <c:pt idx="1">
                  <c:v>10.254988913525498</c:v>
                </c:pt>
                <c:pt idx="2">
                  <c:v>3.9600000000000004</c:v>
                </c:pt>
                <c:pt idx="3">
                  <c:v>36</c:v>
                </c:pt>
                <c:pt idx="4">
                  <c:v>36.644350326797387</c:v>
                </c:pt>
              </c:numCache>
            </c:numRef>
          </c:val>
          <c:smooth val="0"/>
          <c:extLst>
            <c:ext xmlns:c16="http://schemas.microsoft.com/office/drawing/2014/chart" uri="{C3380CC4-5D6E-409C-BE32-E72D297353CC}">
              <c16:uniqueId val="{00000000-FBAE-466B-8F17-74073F2885F4}"/>
            </c:ext>
          </c:extLst>
        </c:ser>
        <c:ser>
          <c:idx val="1"/>
          <c:order val="1"/>
          <c:tx>
            <c:strRef>
              <c:f>Datenblatt!$C$238</c:f>
              <c:strCache>
                <c:ptCount val="1"/>
                <c:pt idx="0">
                  <c:v>Zielwert</c:v>
                </c:pt>
              </c:strCache>
            </c:strRef>
          </c:tx>
          <c:spPr>
            <a:ln w="28575">
              <a:noFill/>
            </a:ln>
          </c:spPr>
          <c:marker>
            <c:symbol val="dash"/>
            <c:size val="15"/>
            <c:spPr>
              <a:solidFill>
                <a:srgbClr val="C0C0C0"/>
              </a:solidFill>
              <a:ln>
                <a:solidFill>
                  <a:srgbClr val="C0C0C0"/>
                </a:solidFill>
                <a:prstDash val="solid"/>
              </a:ln>
            </c:spPr>
          </c:marker>
          <c:cat>
            <c:strRef>
              <c:f>Datenblatt!$E$236:$J$236</c:f>
              <c:strCache>
                <c:ptCount val="6"/>
                <c:pt idx="0">
                  <c:v>Geräte</c:v>
                </c:pt>
                <c:pt idx="1">
                  <c:v>Beleuchtung</c:v>
                </c:pt>
                <c:pt idx="2">
                  <c:v>Lüftung</c:v>
                </c:pt>
                <c:pt idx="3">
                  <c:v>Raumkühlung</c:v>
                </c:pt>
                <c:pt idx="4">
                  <c:v>Raumheizung</c:v>
                </c:pt>
                <c:pt idx="5">
                  <c:v>Warmwasser</c:v>
                </c:pt>
              </c:strCache>
            </c:strRef>
          </c:cat>
          <c:val>
            <c:numRef>
              <c:f>Datenblatt!$E$238:$I$238</c:f>
              <c:numCache>
                <c:formatCode>0</c:formatCode>
                <c:ptCount val="5"/>
                <c:pt idx="0">
                  <c:v>3</c:v>
                </c:pt>
                <c:pt idx="1">
                  <c:v>7.1612164003468344</c:v>
                </c:pt>
                <c:pt idx="2">
                  <c:v>2.4480000000000004</c:v>
                </c:pt>
                <c:pt idx="3">
                  <c:v>27</c:v>
                </c:pt>
                <c:pt idx="4">
                  <c:v>24.754196078431374</c:v>
                </c:pt>
              </c:numCache>
            </c:numRef>
          </c:val>
          <c:smooth val="0"/>
          <c:extLst>
            <c:ext xmlns:c16="http://schemas.microsoft.com/office/drawing/2014/chart" uri="{C3380CC4-5D6E-409C-BE32-E72D297353CC}">
              <c16:uniqueId val="{00000001-FBAE-466B-8F17-74073F2885F4}"/>
            </c:ext>
          </c:extLst>
        </c:ser>
        <c:ser>
          <c:idx val="0"/>
          <c:order val="2"/>
          <c:tx>
            <c:strRef>
              <c:f>Datenblatt!$C$237</c:f>
              <c:strCache>
                <c:ptCount val="1"/>
                <c:pt idx="0">
                  <c:v>Bestand</c:v>
                </c:pt>
              </c:strCache>
            </c:strRef>
          </c:tx>
          <c:spPr>
            <a:ln w="28575">
              <a:noFill/>
            </a:ln>
          </c:spPr>
          <c:marker>
            <c:symbol val="dash"/>
            <c:size val="15"/>
            <c:spPr>
              <a:solidFill>
                <a:srgbClr val="333333"/>
              </a:solidFill>
              <a:ln>
                <a:solidFill>
                  <a:srgbClr val="333333"/>
                </a:solidFill>
                <a:prstDash val="solid"/>
              </a:ln>
            </c:spPr>
          </c:marker>
          <c:cat>
            <c:strRef>
              <c:f>Datenblatt!$E$236:$J$236</c:f>
              <c:strCache>
                <c:ptCount val="6"/>
                <c:pt idx="0">
                  <c:v>Geräte</c:v>
                </c:pt>
                <c:pt idx="1">
                  <c:v>Beleuchtung</c:v>
                </c:pt>
                <c:pt idx="2">
                  <c:v>Lüftung</c:v>
                </c:pt>
                <c:pt idx="3">
                  <c:v>Raumkühlung</c:v>
                </c:pt>
                <c:pt idx="4">
                  <c:v>Raumheizung</c:v>
                </c:pt>
                <c:pt idx="5">
                  <c:v>Warmwasser</c:v>
                </c:pt>
              </c:strCache>
            </c:strRef>
          </c:cat>
          <c:val>
            <c:numRef>
              <c:f>Datenblatt!$E$237:$I$237</c:f>
              <c:numCache>
                <c:formatCode>0</c:formatCode>
                <c:ptCount val="5"/>
                <c:pt idx="0">
                  <c:v>15</c:v>
                </c:pt>
                <c:pt idx="1">
                  <c:v>10.254988913525498</c:v>
                </c:pt>
                <c:pt idx="2">
                  <c:v>6.5520000000000005</c:v>
                </c:pt>
                <c:pt idx="3">
                  <c:v>48</c:v>
                </c:pt>
                <c:pt idx="4">
                  <c:v>68.46410457516339</c:v>
                </c:pt>
              </c:numCache>
            </c:numRef>
          </c:val>
          <c:smooth val="0"/>
          <c:extLst>
            <c:ext xmlns:c16="http://schemas.microsoft.com/office/drawing/2014/chart" uri="{C3380CC4-5D6E-409C-BE32-E72D297353CC}">
              <c16:uniqueId val="{00000002-FBAE-466B-8F17-74073F2885F4}"/>
            </c:ext>
          </c:extLst>
        </c:ser>
        <c:dLbls>
          <c:showLegendKey val="0"/>
          <c:showVal val="0"/>
          <c:showCatName val="0"/>
          <c:showSerName val="0"/>
          <c:showPercent val="0"/>
          <c:showBubbleSize val="0"/>
        </c:dLbls>
        <c:hiLowLines>
          <c:spPr>
            <a:ln w="12700">
              <a:solidFill>
                <a:srgbClr val="000000"/>
              </a:solidFill>
              <a:prstDash val="solid"/>
            </a:ln>
          </c:spPr>
        </c:hiLowLines>
        <c:axId val="96925568"/>
        <c:axId val="96927104"/>
      </c:stockChart>
      <c:catAx>
        <c:axId val="9692556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2700000" vert="horz"/>
          <a:lstStyle/>
          <a:p>
            <a:pPr>
              <a:defRPr sz="800" b="0" i="0" u="none" strike="noStrike" baseline="0">
                <a:solidFill>
                  <a:srgbClr val="333333"/>
                </a:solidFill>
                <a:latin typeface="Arial"/>
                <a:ea typeface="Arial"/>
                <a:cs typeface="Arial"/>
              </a:defRPr>
            </a:pPr>
            <a:endParaRPr lang="de-DE"/>
          </a:p>
        </c:txPr>
        <c:crossAx val="96927104"/>
        <c:crosses val="autoZero"/>
        <c:auto val="1"/>
        <c:lblAlgn val="ctr"/>
        <c:lblOffset val="100"/>
        <c:tickLblSkip val="1"/>
        <c:tickMarkSkip val="1"/>
        <c:noMultiLvlLbl val="0"/>
      </c:catAx>
      <c:valAx>
        <c:axId val="96927104"/>
        <c:scaling>
          <c:orientation val="minMax"/>
        </c:scaling>
        <c:delete val="0"/>
        <c:axPos val="l"/>
        <c:majorGridlines>
          <c:spPr>
            <a:ln w="3175">
              <a:solidFill>
                <a:srgbClr val="000000"/>
              </a:solidFill>
              <a:prstDash val="solid"/>
            </a:ln>
          </c:spPr>
        </c:majorGridlines>
        <c:numFmt formatCode="0" sourceLinked="0"/>
        <c:majorTickMark val="cross"/>
        <c:minorTickMark val="cross"/>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96925568"/>
        <c:crosses val="autoZero"/>
        <c:crossBetween val="between"/>
      </c:valAx>
      <c:spPr>
        <a:noFill/>
        <a:ln w="25400">
          <a:noFill/>
        </a:ln>
      </c:spPr>
    </c:plotArea>
    <c:legend>
      <c:legendPos val="t"/>
      <c:layout>
        <c:manualLayout>
          <c:xMode val="edge"/>
          <c:yMode val="edge"/>
          <c:x val="0.10276868778554162"/>
          <c:y val="4.1022742730107723E-3"/>
          <c:w val="0.35902679507860702"/>
          <c:h val="6.8965517241379309E-2"/>
        </c:manualLayout>
      </c:layout>
      <c:overlay val="0"/>
      <c:spPr>
        <a:noFill/>
        <a:ln w="25400">
          <a:noFill/>
        </a:ln>
      </c:spPr>
      <c:txPr>
        <a:bodyPr/>
        <a:lstStyle/>
        <a:p>
          <a:pPr>
            <a:defRPr sz="735" b="0" i="0" u="none" strike="noStrike" baseline="0">
              <a:solidFill>
                <a:srgbClr val="333333"/>
              </a:solidFill>
              <a:latin typeface="Arial"/>
              <a:ea typeface="Arial"/>
              <a:cs typeface="Arial"/>
            </a:defRPr>
          </a:pPr>
          <a:endParaRPr lang="de-DE"/>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horizontalDpi="-2" verticalDpi="120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343848611581833"/>
          <c:y val="4.700037456854339E-2"/>
          <c:w val="0.8764942893714196"/>
          <c:h val="0.73621637145650931"/>
        </c:manualLayout>
      </c:layout>
      <c:barChart>
        <c:barDir val="col"/>
        <c:grouping val="stacked"/>
        <c:varyColors val="0"/>
        <c:ser>
          <c:idx val="3"/>
          <c:order val="1"/>
          <c:spPr>
            <a:solidFill>
              <a:srgbClr val="C0C0C0"/>
            </a:solidFill>
            <a:ln w="25400">
              <a:noFill/>
            </a:ln>
          </c:spPr>
          <c:invertIfNegative val="0"/>
          <c:val>
            <c:numRef>
              <c:f>Profile!$C$67:$C$90</c:f>
              <c:numCache>
                <c:formatCode>0.0</c:formatCode>
                <c:ptCount val="24"/>
                <c:pt idx="0">
                  <c:v>0</c:v>
                </c:pt>
                <c:pt idx="1">
                  <c:v>0</c:v>
                </c:pt>
                <c:pt idx="2">
                  <c:v>0</c:v>
                </c:pt>
                <c:pt idx="3">
                  <c:v>0</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numCache>
            </c:numRef>
          </c:val>
          <c:extLst>
            <c:ext xmlns:c16="http://schemas.microsoft.com/office/drawing/2014/chart" uri="{C3380CC4-5D6E-409C-BE32-E72D297353CC}">
              <c16:uniqueId val="{00000000-F9C7-4ECD-B2BE-783E9EDB6B5D}"/>
            </c:ext>
          </c:extLst>
        </c:ser>
        <c:dLbls>
          <c:showLegendKey val="0"/>
          <c:showVal val="0"/>
          <c:showCatName val="0"/>
          <c:showSerName val="0"/>
          <c:showPercent val="0"/>
          <c:showBubbleSize val="0"/>
        </c:dLbls>
        <c:gapWidth val="0"/>
        <c:overlap val="100"/>
        <c:axId val="96966528"/>
        <c:axId val="96968064"/>
      </c:barChart>
      <c:barChart>
        <c:barDir val="col"/>
        <c:grouping val="clustered"/>
        <c:varyColors val="0"/>
        <c:ser>
          <c:idx val="0"/>
          <c:order val="0"/>
          <c:spPr>
            <a:solidFill>
              <a:srgbClr val="333333"/>
            </a:solidFill>
            <a:ln w="25400">
              <a:noFill/>
            </a:ln>
          </c:spPr>
          <c:invertIfNegative val="0"/>
          <c:val>
            <c:numRef>
              <c:f>Profile!$B$67:$B$90</c:f>
              <c:numCache>
                <c:formatCode>0.0</c:formatCode>
                <c:ptCount val="24"/>
                <c:pt idx="0">
                  <c:v>0</c:v>
                </c:pt>
                <c:pt idx="1">
                  <c:v>0</c:v>
                </c:pt>
                <c:pt idx="2">
                  <c:v>0</c:v>
                </c:pt>
                <c:pt idx="3">
                  <c:v>0</c:v>
                </c:pt>
                <c:pt idx="4">
                  <c:v>0.1</c:v>
                </c:pt>
                <c:pt idx="5">
                  <c:v>0.1</c:v>
                </c:pt>
                <c:pt idx="6">
                  <c:v>0.5</c:v>
                </c:pt>
                <c:pt idx="7">
                  <c:v>1</c:v>
                </c:pt>
                <c:pt idx="8">
                  <c:v>1</c:v>
                </c:pt>
                <c:pt idx="9">
                  <c:v>0.5</c:v>
                </c:pt>
                <c:pt idx="10">
                  <c:v>0.5</c:v>
                </c:pt>
                <c:pt idx="11">
                  <c:v>0.5</c:v>
                </c:pt>
                <c:pt idx="12">
                  <c:v>0.5</c:v>
                </c:pt>
                <c:pt idx="13">
                  <c:v>0.5</c:v>
                </c:pt>
                <c:pt idx="14">
                  <c:v>0.5</c:v>
                </c:pt>
                <c:pt idx="15">
                  <c:v>0.5</c:v>
                </c:pt>
                <c:pt idx="16">
                  <c:v>0.5</c:v>
                </c:pt>
                <c:pt idx="17">
                  <c:v>1</c:v>
                </c:pt>
                <c:pt idx="18">
                  <c:v>1</c:v>
                </c:pt>
                <c:pt idx="19">
                  <c:v>1</c:v>
                </c:pt>
                <c:pt idx="20">
                  <c:v>0.5</c:v>
                </c:pt>
                <c:pt idx="21">
                  <c:v>0.5</c:v>
                </c:pt>
                <c:pt idx="22">
                  <c:v>0.5</c:v>
                </c:pt>
                <c:pt idx="23">
                  <c:v>0.1</c:v>
                </c:pt>
              </c:numCache>
            </c:numRef>
          </c:val>
          <c:extLst>
            <c:ext xmlns:c16="http://schemas.microsoft.com/office/drawing/2014/chart" uri="{C3380CC4-5D6E-409C-BE32-E72D297353CC}">
              <c16:uniqueId val="{00000001-F9C7-4ECD-B2BE-783E9EDB6B5D}"/>
            </c:ext>
          </c:extLst>
        </c:ser>
        <c:dLbls>
          <c:showLegendKey val="0"/>
          <c:showVal val="0"/>
          <c:showCatName val="0"/>
          <c:showSerName val="0"/>
          <c:showPercent val="0"/>
          <c:showBubbleSize val="0"/>
        </c:dLbls>
        <c:gapWidth val="150"/>
        <c:axId val="96973952"/>
        <c:axId val="96975488"/>
      </c:barChart>
      <c:catAx>
        <c:axId val="96966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96968064"/>
        <c:crosses val="autoZero"/>
        <c:auto val="1"/>
        <c:lblAlgn val="ctr"/>
        <c:lblOffset val="100"/>
        <c:tickLblSkip val="1"/>
        <c:tickMarkSkip val="1"/>
        <c:noMultiLvlLbl val="0"/>
      </c:catAx>
      <c:valAx>
        <c:axId val="96968064"/>
        <c:scaling>
          <c:orientation val="minMax"/>
          <c:max val="1"/>
          <c:min val="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96966528"/>
        <c:crosses val="autoZero"/>
        <c:crossBetween val="between"/>
        <c:majorUnit val="0.2"/>
        <c:minorUnit val="0.01"/>
      </c:valAx>
      <c:catAx>
        <c:axId val="96973952"/>
        <c:scaling>
          <c:orientation val="minMax"/>
        </c:scaling>
        <c:delete val="1"/>
        <c:axPos val="b"/>
        <c:majorTickMark val="out"/>
        <c:minorTickMark val="none"/>
        <c:tickLblPos val="nextTo"/>
        <c:crossAx val="96975488"/>
        <c:crosses val="autoZero"/>
        <c:auto val="1"/>
        <c:lblAlgn val="ctr"/>
        <c:lblOffset val="100"/>
        <c:noMultiLvlLbl val="0"/>
      </c:catAx>
      <c:valAx>
        <c:axId val="96975488"/>
        <c:scaling>
          <c:orientation val="minMax"/>
        </c:scaling>
        <c:delete val="1"/>
        <c:axPos val="r"/>
        <c:numFmt formatCode="0.0" sourceLinked="1"/>
        <c:majorTickMark val="out"/>
        <c:minorTickMark val="none"/>
        <c:tickLblPos val="nextTo"/>
        <c:crossAx val="96973952"/>
        <c:crosses val="max"/>
        <c:crossBetween val="between"/>
      </c:valAx>
      <c:spPr>
        <a:noFill/>
        <a:ln w="25400">
          <a:noFill/>
        </a:ln>
      </c:spPr>
    </c:plotArea>
    <c:plotVisOnly val="1"/>
    <c:dispBlanksAs val="gap"/>
    <c:showDLblsOverMax val="0"/>
  </c:chart>
  <c:spPr>
    <a:no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7302-4E95-8890-0EDD1ADF62FB}"/>
            </c:ext>
          </c:extLst>
        </c:ser>
        <c:dLbls>
          <c:showLegendKey val="0"/>
          <c:showVal val="0"/>
          <c:showCatName val="0"/>
          <c:showSerName val="0"/>
          <c:showPercent val="0"/>
          <c:showBubbleSize val="0"/>
        </c:dLbls>
        <c:gapWidth val="150"/>
        <c:axId val="97338496"/>
        <c:axId val="97340032"/>
      </c:barChart>
      <c:catAx>
        <c:axId val="97338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7340032"/>
        <c:crosses val="autoZero"/>
        <c:auto val="1"/>
        <c:lblAlgn val="ctr"/>
        <c:lblOffset val="100"/>
        <c:tickLblSkip val="2"/>
        <c:tickMarkSkip val="1"/>
        <c:noMultiLvlLbl val="0"/>
      </c:catAx>
      <c:valAx>
        <c:axId val="97340032"/>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7338496"/>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408D-4774-8D93-FFBC8B645205}"/>
            </c:ext>
          </c:extLst>
        </c:ser>
        <c:dLbls>
          <c:showLegendKey val="0"/>
          <c:showVal val="0"/>
          <c:showCatName val="0"/>
          <c:showSerName val="0"/>
          <c:showPercent val="0"/>
          <c:showBubbleSize val="0"/>
        </c:dLbls>
        <c:gapWidth val="150"/>
        <c:axId val="97367936"/>
        <c:axId val="97369472"/>
      </c:barChart>
      <c:catAx>
        <c:axId val="97367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7369472"/>
        <c:crosses val="autoZero"/>
        <c:auto val="1"/>
        <c:lblAlgn val="ctr"/>
        <c:lblOffset val="100"/>
        <c:tickLblSkip val="2"/>
        <c:tickMarkSkip val="1"/>
        <c:noMultiLvlLbl val="0"/>
      </c:catAx>
      <c:valAx>
        <c:axId val="97369472"/>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7367936"/>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CCC4-4292-BB84-0AF5103ACEAF}"/>
            </c:ext>
          </c:extLst>
        </c:ser>
        <c:dLbls>
          <c:showLegendKey val="0"/>
          <c:showVal val="0"/>
          <c:showCatName val="0"/>
          <c:showSerName val="0"/>
          <c:showPercent val="0"/>
          <c:showBubbleSize val="0"/>
        </c:dLbls>
        <c:gapWidth val="150"/>
        <c:axId val="97458816"/>
        <c:axId val="97468800"/>
      </c:barChart>
      <c:catAx>
        <c:axId val="9745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7468800"/>
        <c:crosses val="autoZero"/>
        <c:auto val="1"/>
        <c:lblAlgn val="ctr"/>
        <c:lblOffset val="100"/>
        <c:tickLblSkip val="2"/>
        <c:tickMarkSkip val="1"/>
        <c:noMultiLvlLbl val="0"/>
      </c:catAx>
      <c:valAx>
        <c:axId val="97468800"/>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7458816"/>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F323-4C74-B166-854B8D7AF94B}"/>
            </c:ext>
          </c:extLst>
        </c:ser>
        <c:dLbls>
          <c:showLegendKey val="0"/>
          <c:showVal val="0"/>
          <c:showCatName val="0"/>
          <c:showSerName val="0"/>
          <c:showPercent val="0"/>
          <c:showBubbleSize val="0"/>
        </c:dLbls>
        <c:gapWidth val="150"/>
        <c:axId val="97480064"/>
        <c:axId val="97502336"/>
      </c:barChart>
      <c:catAx>
        <c:axId val="97480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7502336"/>
        <c:crosses val="autoZero"/>
        <c:auto val="1"/>
        <c:lblAlgn val="ctr"/>
        <c:lblOffset val="100"/>
        <c:tickLblSkip val="2"/>
        <c:tickMarkSkip val="1"/>
        <c:noMultiLvlLbl val="0"/>
      </c:catAx>
      <c:valAx>
        <c:axId val="97502336"/>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7480064"/>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A6E0-4F13-A294-8495EAA0C27C}"/>
            </c:ext>
          </c:extLst>
        </c:ser>
        <c:dLbls>
          <c:showLegendKey val="0"/>
          <c:showVal val="0"/>
          <c:showCatName val="0"/>
          <c:showSerName val="0"/>
          <c:showPercent val="0"/>
          <c:showBubbleSize val="0"/>
        </c:dLbls>
        <c:gapWidth val="150"/>
        <c:axId val="99291520"/>
        <c:axId val="99293056"/>
      </c:barChart>
      <c:catAx>
        <c:axId val="99291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9293056"/>
        <c:crosses val="autoZero"/>
        <c:auto val="1"/>
        <c:lblAlgn val="ctr"/>
        <c:lblOffset val="100"/>
        <c:tickLblSkip val="2"/>
        <c:tickMarkSkip val="1"/>
        <c:noMultiLvlLbl val="0"/>
      </c:catAx>
      <c:valAx>
        <c:axId val="99293056"/>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9291520"/>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1B53-4702-AD0D-1845FC953E7B}"/>
            </c:ext>
          </c:extLst>
        </c:ser>
        <c:dLbls>
          <c:showLegendKey val="0"/>
          <c:showVal val="0"/>
          <c:showCatName val="0"/>
          <c:showSerName val="0"/>
          <c:showPercent val="0"/>
          <c:showBubbleSize val="0"/>
        </c:dLbls>
        <c:gapWidth val="150"/>
        <c:axId val="99320960"/>
        <c:axId val="99322496"/>
      </c:barChart>
      <c:catAx>
        <c:axId val="99320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9322496"/>
        <c:crosses val="autoZero"/>
        <c:auto val="1"/>
        <c:lblAlgn val="ctr"/>
        <c:lblOffset val="100"/>
        <c:tickLblSkip val="2"/>
        <c:tickMarkSkip val="1"/>
        <c:noMultiLvlLbl val="0"/>
      </c:catAx>
      <c:valAx>
        <c:axId val="99322496"/>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9320960"/>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12B9-451A-8E60-51A6F4C949B8}"/>
            </c:ext>
          </c:extLst>
        </c:ser>
        <c:dLbls>
          <c:showLegendKey val="0"/>
          <c:showVal val="0"/>
          <c:showCatName val="0"/>
          <c:showSerName val="0"/>
          <c:showPercent val="0"/>
          <c:showBubbleSize val="0"/>
        </c:dLbls>
        <c:gapWidth val="150"/>
        <c:axId val="99350400"/>
        <c:axId val="99351936"/>
      </c:barChart>
      <c:catAx>
        <c:axId val="993504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9351936"/>
        <c:crosses val="autoZero"/>
        <c:auto val="1"/>
        <c:lblAlgn val="ctr"/>
        <c:lblOffset val="100"/>
        <c:tickLblSkip val="2"/>
        <c:tickMarkSkip val="1"/>
        <c:noMultiLvlLbl val="0"/>
      </c:catAx>
      <c:valAx>
        <c:axId val="99351936"/>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9350400"/>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25D2-478A-9BBF-FA48C920A44F}"/>
            </c:ext>
          </c:extLst>
        </c:ser>
        <c:dLbls>
          <c:showLegendKey val="0"/>
          <c:showVal val="0"/>
          <c:showCatName val="0"/>
          <c:showSerName val="0"/>
          <c:showPercent val="0"/>
          <c:showBubbleSize val="0"/>
        </c:dLbls>
        <c:gapWidth val="150"/>
        <c:axId val="99035776"/>
        <c:axId val="99045760"/>
      </c:barChart>
      <c:catAx>
        <c:axId val="990357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9045760"/>
        <c:crosses val="autoZero"/>
        <c:auto val="1"/>
        <c:lblAlgn val="ctr"/>
        <c:lblOffset val="100"/>
        <c:tickLblSkip val="2"/>
        <c:tickMarkSkip val="1"/>
        <c:noMultiLvlLbl val="0"/>
      </c:catAx>
      <c:valAx>
        <c:axId val="99045760"/>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9035776"/>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24443352700562"/>
          <c:y val="0.10948905109489052"/>
          <c:w val="0.86234007723737161"/>
          <c:h val="0.66423357664233573"/>
        </c:manualLayout>
      </c:layout>
      <c:barChart>
        <c:barDir val="col"/>
        <c:grouping val="clustered"/>
        <c:varyColors val="0"/>
        <c:ser>
          <c:idx val="0"/>
          <c:order val="0"/>
          <c:spPr>
            <a:solidFill>
              <a:srgbClr val="333333"/>
            </a:solidFill>
            <a:ln w="25400">
              <a:noFill/>
            </a:ln>
          </c:spPr>
          <c:invertIfNegative val="0"/>
          <c:val>
            <c:numRef>
              <c:f>Profile!$D$67:$D$90</c:f>
              <c:numCache>
                <c:formatCode>0.0</c:formatCode>
                <c:ptCount val="24"/>
                <c:pt idx="0">
                  <c:v>0.1</c:v>
                </c:pt>
                <c:pt idx="1">
                  <c:v>0.1</c:v>
                </c:pt>
                <c:pt idx="2">
                  <c:v>0.1</c:v>
                </c:pt>
                <c:pt idx="3">
                  <c:v>0.1</c:v>
                </c:pt>
                <c:pt idx="4">
                  <c:v>0.1</c:v>
                </c:pt>
                <c:pt idx="5">
                  <c:v>0.1</c:v>
                </c:pt>
                <c:pt idx="6">
                  <c:v>0.5</c:v>
                </c:pt>
                <c:pt idx="7">
                  <c:v>1</c:v>
                </c:pt>
                <c:pt idx="8">
                  <c:v>1</c:v>
                </c:pt>
                <c:pt idx="9">
                  <c:v>0.5</c:v>
                </c:pt>
                <c:pt idx="10">
                  <c:v>0.5</c:v>
                </c:pt>
                <c:pt idx="11">
                  <c:v>0.5</c:v>
                </c:pt>
                <c:pt idx="12">
                  <c:v>0.5</c:v>
                </c:pt>
                <c:pt idx="13">
                  <c:v>0.5</c:v>
                </c:pt>
                <c:pt idx="14">
                  <c:v>0.5</c:v>
                </c:pt>
                <c:pt idx="15">
                  <c:v>0.5</c:v>
                </c:pt>
                <c:pt idx="16">
                  <c:v>0.5</c:v>
                </c:pt>
                <c:pt idx="17">
                  <c:v>1</c:v>
                </c:pt>
                <c:pt idx="18">
                  <c:v>1</c:v>
                </c:pt>
                <c:pt idx="19">
                  <c:v>1</c:v>
                </c:pt>
                <c:pt idx="20">
                  <c:v>0.5</c:v>
                </c:pt>
                <c:pt idx="21">
                  <c:v>0.5</c:v>
                </c:pt>
                <c:pt idx="22">
                  <c:v>0.5</c:v>
                </c:pt>
                <c:pt idx="23">
                  <c:v>0.1</c:v>
                </c:pt>
              </c:numCache>
            </c:numRef>
          </c:val>
          <c:extLst>
            <c:ext xmlns:c16="http://schemas.microsoft.com/office/drawing/2014/chart" uri="{C3380CC4-5D6E-409C-BE32-E72D297353CC}">
              <c16:uniqueId val="{00000000-857C-4213-98AB-7F753EDB53AA}"/>
            </c:ext>
          </c:extLst>
        </c:ser>
        <c:dLbls>
          <c:showLegendKey val="0"/>
          <c:showVal val="0"/>
          <c:showCatName val="0"/>
          <c:showSerName val="0"/>
          <c:showPercent val="0"/>
          <c:showBubbleSize val="0"/>
        </c:dLbls>
        <c:gapWidth val="150"/>
        <c:axId val="99078144"/>
        <c:axId val="99079680"/>
      </c:barChart>
      <c:catAx>
        <c:axId val="99078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99079680"/>
        <c:crosses val="autoZero"/>
        <c:auto val="1"/>
        <c:lblAlgn val="ctr"/>
        <c:lblOffset val="100"/>
        <c:tickLblSkip val="1"/>
        <c:tickMarkSkip val="1"/>
        <c:noMultiLvlLbl val="0"/>
      </c:catAx>
      <c:valAx>
        <c:axId val="99079680"/>
        <c:scaling>
          <c:orientation val="minMax"/>
          <c:max val="1"/>
          <c:min val="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99078144"/>
        <c:crosses val="autoZero"/>
        <c:crossBetween val="between"/>
        <c:majorUnit val="0.2"/>
        <c:minorUnit val="0.01"/>
      </c:valAx>
      <c:spPr>
        <a:noFill/>
        <a:ln w="25400">
          <a:noFill/>
        </a:ln>
      </c:spPr>
    </c:plotArea>
    <c:plotVisOnly val="1"/>
    <c:dispBlanksAs val="gap"/>
    <c:showDLblsOverMax val="0"/>
  </c:chart>
  <c:spPr>
    <a:no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00" verticalDpi="300"/>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332326132121566E-2"/>
          <c:y val="0.16450285994512626"/>
          <c:w val="0.91955496843568008"/>
          <c:h val="0.53246978350659291"/>
        </c:manualLayout>
      </c:layout>
      <c:stockChart>
        <c:ser>
          <c:idx val="2"/>
          <c:order val="0"/>
          <c:tx>
            <c:strRef>
              <c:f>Datenblatt!$C$244</c:f>
              <c:strCache>
                <c:ptCount val="1"/>
                <c:pt idx="0">
                  <c:v>Standard</c:v>
                </c:pt>
              </c:strCache>
            </c:strRef>
          </c:tx>
          <c:spPr>
            <a:ln w="28575">
              <a:noFill/>
            </a:ln>
          </c:spPr>
          <c:marker>
            <c:symbol val="dash"/>
            <c:size val="10"/>
            <c:spPr>
              <a:solidFill>
                <a:srgbClr val="808080"/>
              </a:solidFill>
              <a:ln>
                <a:solidFill>
                  <a:srgbClr val="808080"/>
                </a:solidFill>
                <a:prstDash val="solid"/>
              </a:ln>
            </c:spPr>
          </c:marker>
          <c:cat>
            <c:strRef>
              <c:f>Datenblatt!$E$236:$J$236</c:f>
              <c:strCache>
                <c:ptCount val="6"/>
                <c:pt idx="0">
                  <c:v>Geräte</c:v>
                </c:pt>
                <c:pt idx="1">
                  <c:v>Beleuchtung</c:v>
                </c:pt>
                <c:pt idx="2">
                  <c:v>Lüftung</c:v>
                </c:pt>
                <c:pt idx="3">
                  <c:v>Raumkühlung</c:v>
                </c:pt>
                <c:pt idx="4">
                  <c:v>Raumheizung</c:v>
                </c:pt>
                <c:pt idx="5">
                  <c:v>Warmwasser</c:v>
                </c:pt>
              </c:strCache>
            </c:strRef>
          </c:cat>
          <c:val>
            <c:numRef>
              <c:f>Datenblatt!$E$244:$J$244</c:f>
              <c:numCache>
                <c:formatCode>0</c:formatCode>
                <c:ptCount val="6"/>
                <c:pt idx="0">
                  <c:v>20.93</c:v>
                </c:pt>
                <c:pt idx="1">
                  <c:v>39.994456762749444</c:v>
                </c:pt>
                <c:pt idx="2">
                  <c:v>11.127600000000001</c:v>
                </c:pt>
                <c:pt idx="3">
                  <c:v>25.517569444444444</c:v>
                </c:pt>
                <c:pt idx="4">
                  <c:v>2.2677545523408651</c:v>
                </c:pt>
                <c:pt idx="5">
                  <c:v>0</c:v>
                </c:pt>
              </c:numCache>
            </c:numRef>
          </c:val>
          <c:smooth val="0"/>
          <c:extLst>
            <c:ext xmlns:c16="http://schemas.microsoft.com/office/drawing/2014/chart" uri="{C3380CC4-5D6E-409C-BE32-E72D297353CC}">
              <c16:uniqueId val="{00000000-02AD-485E-8A3C-58568430E5E1}"/>
            </c:ext>
          </c:extLst>
        </c:ser>
        <c:ser>
          <c:idx val="1"/>
          <c:order val="1"/>
          <c:tx>
            <c:strRef>
              <c:f>Datenblatt!$C$243</c:f>
              <c:strCache>
                <c:ptCount val="1"/>
                <c:pt idx="0">
                  <c:v>Zielwert</c:v>
                </c:pt>
              </c:strCache>
            </c:strRef>
          </c:tx>
          <c:spPr>
            <a:ln w="28575">
              <a:noFill/>
            </a:ln>
          </c:spPr>
          <c:marker>
            <c:symbol val="dash"/>
            <c:size val="15"/>
            <c:spPr>
              <a:solidFill>
                <a:srgbClr val="C0C0C0"/>
              </a:solidFill>
              <a:ln>
                <a:solidFill>
                  <a:srgbClr val="C0C0C0"/>
                </a:solidFill>
                <a:prstDash val="solid"/>
              </a:ln>
            </c:spPr>
          </c:marker>
          <c:cat>
            <c:strRef>
              <c:f>Datenblatt!$E$236:$J$236</c:f>
              <c:strCache>
                <c:ptCount val="6"/>
                <c:pt idx="0">
                  <c:v>Geräte</c:v>
                </c:pt>
                <c:pt idx="1">
                  <c:v>Beleuchtung</c:v>
                </c:pt>
                <c:pt idx="2">
                  <c:v>Lüftung</c:v>
                </c:pt>
                <c:pt idx="3">
                  <c:v>Raumkühlung</c:v>
                </c:pt>
                <c:pt idx="4">
                  <c:v>Raumheizung</c:v>
                </c:pt>
                <c:pt idx="5">
                  <c:v>Warmwasser</c:v>
                </c:pt>
              </c:strCache>
            </c:strRef>
          </c:cat>
          <c:val>
            <c:numRef>
              <c:f>Datenblatt!$E$243:$J$243</c:f>
              <c:numCache>
                <c:formatCode>0</c:formatCode>
                <c:ptCount val="6"/>
                <c:pt idx="0">
                  <c:v>8.9700000000000006</c:v>
                </c:pt>
                <c:pt idx="1">
                  <c:v>22.98750464511334</c:v>
                </c:pt>
                <c:pt idx="2">
                  <c:v>6.5606400000000011</c:v>
                </c:pt>
                <c:pt idx="3">
                  <c:v>27.991944444444446</c:v>
                </c:pt>
                <c:pt idx="4">
                  <c:v>0.38811752986723469</c:v>
                </c:pt>
                <c:pt idx="5">
                  <c:v>0</c:v>
                </c:pt>
              </c:numCache>
            </c:numRef>
          </c:val>
          <c:smooth val="0"/>
          <c:extLst>
            <c:ext xmlns:c16="http://schemas.microsoft.com/office/drawing/2014/chart" uri="{C3380CC4-5D6E-409C-BE32-E72D297353CC}">
              <c16:uniqueId val="{00000001-02AD-485E-8A3C-58568430E5E1}"/>
            </c:ext>
          </c:extLst>
        </c:ser>
        <c:ser>
          <c:idx val="0"/>
          <c:order val="2"/>
          <c:tx>
            <c:strRef>
              <c:f>Datenblatt!$C$242</c:f>
              <c:strCache>
                <c:ptCount val="1"/>
                <c:pt idx="0">
                  <c:v>Bestand</c:v>
                </c:pt>
              </c:strCache>
            </c:strRef>
          </c:tx>
          <c:spPr>
            <a:ln w="28575">
              <a:noFill/>
            </a:ln>
          </c:spPr>
          <c:marker>
            <c:symbol val="dash"/>
            <c:size val="15"/>
            <c:spPr>
              <a:solidFill>
                <a:srgbClr val="333333"/>
              </a:solidFill>
              <a:ln>
                <a:solidFill>
                  <a:srgbClr val="333333"/>
                </a:solidFill>
                <a:prstDash val="solid"/>
              </a:ln>
            </c:spPr>
          </c:marker>
          <c:cat>
            <c:strRef>
              <c:f>Datenblatt!$E$236:$J$236</c:f>
              <c:strCache>
                <c:ptCount val="6"/>
                <c:pt idx="0">
                  <c:v>Geräte</c:v>
                </c:pt>
                <c:pt idx="1">
                  <c:v>Beleuchtung</c:v>
                </c:pt>
                <c:pt idx="2">
                  <c:v>Lüftung</c:v>
                </c:pt>
                <c:pt idx="3">
                  <c:v>Raumkühlung</c:v>
                </c:pt>
                <c:pt idx="4">
                  <c:v>Raumheizung</c:v>
                </c:pt>
                <c:pt idx="5">
                  <c:v>Warmwasser</c:v>
                </c:pt>
              </c:strCache>
            </c:strRef>
          </c:cat>
          <c:val>
            <c:numRef>
              <c:f>Datenblatt!$E$242:$J$242</c:f>
              <c:numCache>
                <c:formatCode>0</c:formatCode>
                <c:ptCount val="6"/>
                <c:pt idx="0">
                  <c:v>44.85</c:v>
                </c:pt>
                <c:pt idx="1">
                  <c:v>39.994456762749444</c:v>
                </c:pt>
                <c:pt idx="2">
                  <c:v>36.822240000000008</c:v>
                </c:pt>
                <c:pt idx="3" formatCode="0.0">
                  <c:v>14.724305555555556</c:v>
                </c:pt>
                <c:pt idx="4">
                  <c:v>45.357615428647577</c:v>
                </c:pt>
                <c:pt idx="5">
                  <c:v>0</c:v>
                </c:pt>
              </c:numCache>
            </c:numRef>
          </c:val>
          <c:smooth val="0"/>
          <c:extLst>
            <c:ext xmlns:c16="http://schemas.microsoft.com/office/drawing/2014/chart" uri="{C3380CC4-5D6E-409C-BE32-E72D297353CC}">
              <c16:uniqueId val="{00000002-02AD-485E-8A3C-58568430E5E1}"/>
            </c:ext>
          </c:extLst>
        </c:ser>
        <c:dLbls>
          <c:showLegendKey val="0"/>
          <c:showVal val="0"/>
          <c:showCatName val="0"/>
          <c:showSerName val="0"/>
          <c:showPercent val="0"/>
          <c:showBubbleSize val="0"/>
        </c:dLbls>
        <c:hiLowLines>
          <c:spPr>
            <a:ln w="12700">
              <a:solidFill>
                <a:srgbClr val="000000"/>
              </a:solidFill>
              <a:prstDash val="solid"/>
            </a:ln>
          </c:spPr>
        </c:hiLowLines>
        <c:axId val="99121408"/>
        <c:axId val="99135488"/>
      </c:stockChart>
      <c:catAx>
        <c:axId val="9912140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2700000" vert="horz"/>
          <a:lstStyle/>
          <a:p>
            <a:pPr>
              <a:defRPr sz="800" b="0" i="0" u="none" strike="noStrike" baseline="0">
                <a:solidFill>
                  <a:srgbClr val="333333"/>
                </a:solidFill>
                <a:latin typeface="Arial"/>
                <a:ea typeface="Arial"/>
                <a:cs typeface="Arial"/>
              </a:defRPr>
            </a:pPr>
            <a:endParaRPr lang="de-DE"/>
          </a:p>
        </c:txPr>
        <c:crossAx val="99135488"/>
        <c:crosses val="autoZero"/>
        <c:auto val="1"/>
        <c:lblAlgn val="ctr"/>
        <c:lblOffset val="100"/>
        <c:tickLblSkip val="1"/>
        <c:tickMarkSkip val="1"/>
        <c:noMultiLvlLbl val="0"/>
      </c:catAx>
      <c:valAx>
        <c:axId val="99135488"/>
        <c:scaling>
          <c:orientation val="minMax"/>
        </c:scaling>
        <c:delete val="0"/>
        <c:axPos val="l"/>
        <c:majorGridlines>
          <c:spPr>
            <a:ln w="3175">
              <a:solidFill>
                <a:srgbClr val="000000"/>
              </a:solidFill>
              <a:prstDash val="solid"/>
            </a:ln>
          </c:spPr>
        </c:majorGridlines>
        <c:numFmt formatCode="0" sourceLinked="0"/>
        <c:majorTickMark val="cross"/>
        <c:minorTickMark val="cross"/>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99121408"/>
        <c:crosses val="autoZero"/>
        <c:crossBetween val="between"/>
      </c:valAx>
      <c:spPr>
        <a:noFill/>
        <a:ln w="25400">
          <a:noFill/>
        </a:ln>
      </c:spPr>
    </c:plotArea>
    <c:legend>
      <c:legendPos val="t"/>
      <c:layout>
        <c:manualLayout>
          <c:xMode val="edge"/>
          <c:yMode val="edge"/>
          <c:x val="0.11359045413784323"/>
          <c:y val="4.1367660250283067E-3"/>
          <c:w val="0.38742436100152794"/>
          <c:h val="6.926452375271272E-2"/>
        </c:manualLayout>
      </c:layout>
      <c:overlay val="0"/>
      <c:spPr>
        <a:noFill/>
        <a:ln w="25400">
          <a:noFill/>
        </a:ln>
      </c:spPr>
      <c:txPr>
        <a:bodyPr/>
        <a:lstStyle/>
        <a:p>
          <a:pPr>
            <a:defRPr sz="735" b="0" i="0" u="none" strike="noStrike" baseline="0">
              <a:solidFill>
                <a:srgbClr val="333333"/>
              </a:solidFill>
              <a:latin typeface="Arial"/>
              <a:ea typeface="Arial"/>
              <a:cs typeface="Arial"/>
            </a:defRPr>
          </a:pPr>
          <a:endParaRPr lang="de-DE"/>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8" orientation="landscape" horizontalDpi="-3" verticalDpi="1200"/>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81015882818377"/>
          <c:y val="4.3421494699833238E-2"/>
          <c:w val="0.80661591112311914"/>
          <c:h val="0.7454412290295005"/>
        </c:manualLayout>
      </c:layout>
      <c:barChart>
        <c:barDir val="col"/>
        <c:grouping val="clustered"/>
        <c:varyColors val="0"/>
        <c:ser>
          <c:idx val="0"/>
          <c:order val="0"/>
          <c:spPr>
            <a:solidFill>
              <a:srgbClr val="333333"/>
            </a:solidFill>
            <a:ln w="25400">
              <a:noFill/>
            </a:ln>
          </c:spPr>
          <c:invertIfNegative val="0"/>
          <c:cat>
            <c:strRef>
              <c:f>Profile!$B$271:$B$282</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Profile!$D$271:$D$282</c:f>
              <c:numCache>
                <c:formatCode>0.0</c:formatCode>
                <c:ptCount val="12"/>
                <c:pt idx="0">
                  <c:v>0.7</c:v>
                </c:pt>
                <c:pt idx="1">
                  <c:v>0.7</c:v>
                </c:pt>
                <c:pt idx="2">
                  <c:v>0.7</c:v>
                </c:pt>
                <c:pt idx="3">
                  <c:v>0.7</c:v>
                </c:pt>
                <c:pt idx="4">
                  <c:v>0.7</c:v>
                </c:pt>
                <c:pt idx="5">
                  <c:v>0.7</c:v>
                </c:pt>
                <c:pt idx="6">
                  <c:v>0.7</c:v>
                </c:pt>
                <c:pt idx="7">
                  <c:v>0.7</c:v>
                </c:pt>
                <c:pt idx="8">
                  <c:v>0.7</c:v>
                </c:pt>
                <c:pt idx="9">
                  <c:v>0.7</c:v>
                </c:pt>
                <c:pt idx="10">
                  <c:v>0.7</c:v>
                </c:pt>
                <c:pt idx="11">
                  <c:v>0.7</c:v>
                </c:pt>
              </c:numCache>
            </c:numRef>
          </c:val>
          <c:extLst>
            <c:ext xmlns:c16="http://schemas.microsoft.com/office/drawing/2014/chart" uri="{C3380CC4-5D6E-409C-BE32-E72D297353CC}">
              <c16:uniqueId val="{00000000-7C20-43AF-B684-537717EFEA5A}"/>
            </c:ext>
          </c:extLst>
        </c:ser>
        <c:dLbls>
          <c:showLegendKey val="0"/>
          <c:showVal val="0"/>
          <c:showCatName val="0"/>
          <c:showSerName val="0"/>
          <c:showPercent val="0"/>
          <c:showBubbleSize val="0"/>
        </c:dLbls>
        <c:gapWidth val="300"/>
        <c:axId val="99147136"/>
        <c:axId val="99153024"/>
      </c:barChart>
      <c:catAx>
        <c:axId val="99147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99153024"/>
        <c:crosses val="autoZero"/>
        <c:auto val="1"/>
        <c:lblAlgn val="ctr"/>
        <c:lblOffset val="100"/>
        <c:tickLblSkip val="1"/>
        <c:tickMarkSkip val="1"/>
        <c:noMultiLvlLbl val="0"/>
      </c:catAx>
      <c:valAx>
        <c:axId val="99153024"/>
        <c:scaling>
          <c:orientation val="minMax"/>
          <c:max val="1"/>
          <c:min val="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99147136"/>
        <c:crosses val="autoZero"/>
        <c:crossBetween val="between"/>
        <c:majorUnit val="0.2"/>
        <c:minorUnit val="0.01"/>
      </c:valAx>
      <c:spPr>
        <a:noFill/>
        <a:ln w="25400">
          <a:noFill/>
        </a:ln>
      </c:spPr>
    </c:plotArea>
    <c:plotVisOnly val="1"/>
    <c:dispBlanksAs val="gap"/>
    <c:showDLblsOverMax val="0"/>
  </c:chart>
  <c:spPr>
    <a:no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00" verticalDpi="300"/>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3BD8-4F70-88C2-C47FF799F66A}"/>
            </c:ext>
          </c:extLst>
        </c:ser>
        <c:dLbls>
          <c:showLegendKey val="0"/>
          <c:showVal val="0"/>
          <c:showCatName val="0"/>
          <c:showSerName val="0"/>
          <c:showPercent val="0"/>
          <c:showBubbleSize val="0"/>
        </c:dLbls>
        <c:gapWidth val="150"/>
        <c:axId val="99459456"/>
        <c:axId val="99460992"/>
      </c:barChart>
      <c:catAx>
        <c:axId val="99459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9460992"/>
        <c:crosses val="autoZero"/>
        <c:auto val="1"/>
        <c:lblAlgn val="ctr"/>
        <c:lblOffset val="100"/>
        <c:tickLblSkip val="2"/>
        <c:tickMarkSkip val="1"/>
        <c:noMultiLvlLbl val="0"/>
      </c:catAx>
      <c:valAx>
        <c:axId val="99460992"/>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9459456"/>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FFC2-4B37-B67B-1C68D2FC7D45}"/>
            </c:ext>
          </c:extLst>
        </c:ser>
        <c:dLbls>
          <c:showLegendKey val="0"/>
          <c:showVal val="0"/>
          <c:showCatName val="0"/>
          <c:showSerName val="0"/>
          <c:showPercent val="0"/>
          <c:showBubbleSize val="0"/>
        </c:dLbls>
        <c:gapWidth val="150"/>
        <c:axId val="99529856"/>
        <c:axId val="99531392"/>
      </c:barChart>
      <c:catAx>
        <c:axId val="99529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9531392"/>
        <c:crosses val="autoZero"/>
        <c:auto val="1"/>
        <c:lblAlgn val="ctr"/>
        <c:lblOffset val="100"/>
        <c:tickLblSkip val="2"/>
        <c:tickMarkSkip val="1"/>
        <c:noMultiLvlLbl val="0"/>
      </c:catAx>
      <c:valAx>
        <c:axId val="99531392"/>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9529856"/>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4C3E-4ED4-A391-D8F795D8C182}"/>
            </c:ext>
          </c:extLst>
        </c:ser>
        <c:dLbls>
          <c:showLegendKey val="0"/>
          <c:showVal val="0"/>
          <c:showCatName val="0"/>
          <c:showSerName val="0"/>
          <c:showPercent val="0"/>
          <c:showBubbleSize val="0"/>
        </c:dLbls>
        <c:gapWidth val="150"/>
        <c:axId val="99567488"/>
        <c:axId val="99569024"/>
      </c:barChart>
      <c:catAx>
        <c:axId val="99567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50" b="0" i="0" u="none" strike="noStrike" baseline="0">
                <a:solidFill>
                  <a:srgbClr val="000000"/>
                </a:solidFill>
                <a:latin typeface="Arial"/>
                <a:ea typeface="Arial"/>
                <a:cs typeface="Arial"/>
              </a:defRPr>
            </a:pPr>
            <a:endParaRPr lang="de-DE"/>
          </a:p>
        </c:txPr>
        <c:crossAx val="99569024"/>
        <c:crosses val="autoZero"/>
        <c:auto val="1"/>
        <c:lblAlgn val="ctr"/>
        <c:lblOffset val="100"/>
        <c:tickLblSkip val="2"/>
        <c:tickMarkSkip val="1"/>
        <c:noMultiLvlLbl val="0"/>
      </c:catAx>
      <c:valAx>
        <c:axId val="99569024"/>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50" b="0" i="0" u="none" strike="noStrike" baseline="0">
                <a:solidFill>
                  <a:srgbClr val="000000"/>
                </a:solidFill>
                <a:latin typeface="Arial"/>
                <a:ea typeface="Arial"/>
                <a:cs typeface="Arial"/>
              </a:defRPr>
            </a:pPr>
            <a:endParaRPr lang="de-DE"/>
          </a:p>
        </c:txPr>
        <c:crossAx val="99567488"/>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Lit>
              <c:formatCode>General</c:formatCode>
              <c:ptCount val="24"/>
              <c:pt idx="0">
                <c:v>0</c:v>
              </c:pt>
              <c:pt idx="1">
                <c:v>0</c:v>
              </c:pt>
              <c:pt idx="2">
                <c:v>0</c:v>
              </c:pt>
              <c:pt idx="3">
                <c:v>0</c:v>
              </c:pt>
              <c:pt idx="4">
                <c:v>0</c:v>
              </c:pt>
              <c:pt idx="5">
                <c:v>0</c:v>
              </c:pt>
              <c:pt idx="6">
                <c:v>0</c:v>
              </c:pt>
              <c:pt idx="7">
                <c:v>100</c:v>
              </c:pt>
              <c:pt idx="8">
                <c:v>100</c:v>
              </c:pt>
              <c:pt idx="9">
                <c:v>100</c:v>
              </c:pt>
              <c:pt idx="10">
                <c:v>100</c:v>
              </c:pt>
              <c:pt idx="11">
                <c:v>100</c:v>
              </c:pt>
              <c:pt idx="12">
                <c:v>100</c:v>
              </c:pt>
              <c:pt idx="13">
                <c:v>100</c:v>
              </c:pt>
              <c:pt idx="14">
                <c:v>100</c:v>
              </c:pt>
              <c:pt idx="15">
                <c:v>100</c:v>
              </c:pt>
              <c:pt idx="16">
                <c:v>100</c:v>
              </c:pt>
              <c:pt idx="17">
                <c:v>100</c:v>
              </c:pt>
              <c:pt idx="18">
                <c:v>0</c:v>
              </c:pt>
              <c:pt idx="19">
                <c:v>0</c:v>
              </c:pt>
              <c:pt idx="20">
                <c:v>0</c:v>
              </c:pt>
              <c:pt idx="21">
                <c:v>0</c:v>
              </c:pt>
              <c:pt idx="22">
                <c:v>0</c:v>
              </c:pt>
              <c:pt idx="23">
                <c:v>0</c:v>
              </c:pt>
            </c:numLit>
          </c:val>
          <c:extLst>
            <c:ext xmlns:c16="http://schemas.microsoft.com/office/drawing/2014/chart" uri="{C3380CC4-5D6E-409C-BE32-E72D297353CC}">
              <c16:uniqueId val="{00000000-01CC-47CE-A337-B94686336250}"/>
            </c:ext>
          </c:extLst>
        </c:ser>
        <c:dLbls>
          <c:showLegendKey val="0"/>
          <c:showVal val="0"/>
          <c:showCatName val="0"/>
          <c:showSerName val="0"/>
          <c:showPercent val="0"/>
          <c:showBubbleSize val="0"/>
        </c:dLbls>
        <c:gapWidth val="150"/>
        <c:axId val="99593216"/>
        <c:axId val="99599104"/>
      </c:barChart>
      <c:catAx>
        <c:axId val="99593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9599104"/>
        <c:crosses val="autoZero"/>
        <c:auto val="1"/>
        <c:lblAlgn val="ctr"/>
        <c:lblOffset val="100"/>
        <c:tickLblSkip val="2"/>
        <c:tickMarkSkip val="1"/>
        <c:noMultiLvlLbl val="0"/>
      </c:catAx>
      <c:valAx>
        <c:axId val="99599104"/>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9593216"/>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Lit>
              <c:formatCode>General</c:formatCode>
              <c:ptCount val="24"/>
              <c:pt idx="0">
                <c:v>0</c:v>
              </c:pt>
              <c:pt idx="1">
                <c:v>0</c:v>
              </c:pt>
              <c:pt idx="2">
                <c:v>0</c:v>
              </c:pt>
              <c:pt idx="3">
                <c:v>0</c:v>
              </c:pt>
              <c:pt idx="4">
                <c:v>0</c:v>
              </c:pt>
              <c:pt idx="5">
                <c:v>0</c:v>
              </c:pt>
              <c:pt idx="6">
                <c:v>0</c:v>
              </c:pt>
              <c:pt idx="7">
                <c:v>100</c:v>
              </c:pt>
              <c:pt idx="8">
                <c:v>100</c:v>
              </c:pt>
              <c:pt idx="9">
                <c:v>100</c:v>
              </c:pt>
              <c:pt idx="10">
                <c:v>100</c:v>
              </c:pt>
              <c:pt idx="11">
                <c:v>100</c:v>
              </c:pt>
              <c:pt idx="12">
                <c:v>100</c:v>
              </c:pt>
              <c:pt idx="13">
                <c:v>100</c:v>
              </c:pt>
              <c:pt idx="14">
                <c:v>100</c:v>
              </c:pt>
              <c:pt idx="15">
                <c:v>100</c:v>
              </c:pt>
              <c:pt idx="16">
                <c:v>100</c:v>
              </c:pt>
              <c:pt idx="17">
                <c:v>100</c:v>
              </c:pt>
              <c:pt idx="18">
                <c:v>0</c:v>
              </c:pt>
              <c:pt idx="19">
                <c:v>0</c:v>
              </c:pt>
              <c:pt idx="20">
                <c:v>0</c:v>
              </c:pt>
              <c:pt idx="21">
                <c:v>0</c:v>
              </c:pt>
              <c:pt idx="22">
                <c:v>0</c:v>
              </c:pt>
              <c:pt idx="23">
                <c:v>0</c:v>
              </c:pt>
            </c:numLit>
          </c:val>
          <c:extLst>
            <c:ext xmlns:c16="http://schemas.microsoft.com/office/drawing/2014/chart" uri="{C3380CC4-5D6E-409C-BE32-E72D297353CC}">
              <c16:uniqueId val="{00000000-9E11-4ECD-B2A5-ED9E2B171A83}"/>
            </c:ext>
          </c:extLst>
        </c:ser>
        <c:dLbls>
          <c:showLegendKey val="0"/>
          <c:showVal val="0"/>
          <c:showCatName val="0"/>
          <c:showSerName val="0"/>
          <c:showPercent val="0"/>
          <c:showBubbleSize val="0"/>
        </c:dLbls>
        <c:gapWidth val="150"/>
        <c:axId val="95952896"/>
        <c:axId val="95954432"/>
      </c:barChart>
      <c:catAx>
        <c:axId val="95952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de-DE"/>
          </a:p>
        </c:txPr>
        <c:crossAx val="95954432"/>
        <c:crosses val="autoZero"/>
        <c:auto val="1"/>
        <c:lblAlgn val="ctr"/>
        <c:lblOffset val="100"/>
        <c:tickLblSkip val="2"/>
        <c:tickMarkSkip val="1"/>
        <c:noMultiLvlLbl val="0"/>
      </c:catAx>
      <c:valAx>
        <c:axId val="95954432"/>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de-DE"/>
          </a:p>
        </c:txPr>
        <c:crossAx val="95952896"/>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7962-460A-B6CA-4942B88B0CE9}"/>
            </c:ext>
          </c:extLst>
        </c:ser>
        <c:dLbls>
          <c:showLegendKey val="0"/>
          <c:showVal val="0"/>
          <c:showCatName val="0"/>
          <c:showSerName val="0"/>
          <c:showPercent val="0"/>
          <c:showBubbleSize val="0"/>
        </c:dLbls>
        <c:gapWidth val="150"/>
        <c:axId val="95981952"/>
        <c:axId val="95983488"/>
      </c:barChart>
      <c:catAx>
        <c:axId val="95981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de-DE"/>
          </a:p>
        </c:txPr>
        <c:crossAx val="95983488"/>
        <c:crosses val="autoZero"/>
        <c:auto val="1"/>
        <c:lblAlgn val="ctr"/>
        <c:lblOffset val="100"/>
        <c:tickLblSkip val="2"/>
        <c:tickMarkSkip val="1"/>
        <c:noMultiLvlLbl val="0"/>
      </c:catAx>
      <c:valAx>
        <c:axId val="95983488"/>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de-DE"/>
          </a:p>
        </c:txPr>
        <c:crossAx val="95981952"/>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813D-4608-B5D0-F3CDC1B05627}"/>
            </c:ext>
          </c:extLst>
        </c:ser>
        <c:dLbls>
          <c:showLegendKey val="0"/>
          <c:showVal val="0"/>
          <c:showCatName val="0"/>
          <c:showSerName val="0"/>
          <c:showPercent val="0"/>
          <c:showBubbleSize val="0"/>
        </c:dLbls>
        <c:gapWidth val="150"/>
        <c:axId val="98448512"/>
        <c:axId val="98450048"/>
      </c:barChart>
      <c:catAx>
        <c:axId val="98448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de-DE"/>
          </a:p>
        </c:txPr>
        <c:crossAx val="98450048"/>
        <c:crosses val="autoZero"/>
        <c:auto val="1"/>
        <c:lblAlgn val="ctr"/>
        <c:lblOffset val="100"/>
        <c:tickLblSkip val="2"/>
        <c:tickMarkSkip val="1"/>
        <c:noMultiLvlLbl val="0"/>
      </c:catAx>
      <c:valAx>
        <c:axId val="98450048"/>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de-DE"/>
          </a:p>
        </c:txPr>
        <c:crossAx val="98448512"/>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684678706259519E-2"/>
          <c:y val="0.15233062741551454"/>
          <c:w val="0.89520276908221652"/>
          <c:h val="0.54594644846029849"/>
        </c:manualLayout>
      </c:layout>
      <c:stockChart>
        <c:ser>
          <c:idx val="2"/>
          <c:order val="0"/>
          <c:tx>
            <c:strRef>
              <c:f>Raumnutzung_1!$C$239</c:f>
              <c:strCache>
                <c:ptCount val="1"/>
                <c:pt idx="0">
                  <c:v>Standard</c:v>
                </c:pt>
              </c:strCache>
            </c:strRef>
          </c:tx>
          <c:spPr>
            <a:ln w="28575">
              <a:noFill/>
            </a:ln>
          </c:spPr>
          <c:marker>
            <c:symbol val="dash"/>
            <c:size val="10"/>
            <c:spPr>
              <a:solidFill>
                <a:srgbClr val="808080"/>
              </a:solidFill>
              <a:ln>
                <a:solidFill>
                  <a:srgbClr val="808080"/>
                </a:solidFill>
                <a:prstDash val="solid"/>
              </a:ln>
            </c:spPr>
          </c:marker>
          <c:cat>
            <c:strRef>
              <c:f>Raumnutzung_1!$E$236:$J$236</c:f>
              <c:strCache>
                <c:ptCount val="6"/>
                <c:pt idx="0">
                  <c:v>Geräte</c:v>
                </c:pt>
                <c:pt idx="1">
                  <c:v>Beleuchtung</c:v>
                </c:pt>
                <c:pt idx="2">
                  <c:v>Lüftung</c:v>
                </c:pt>
                <c:pt idx="3">
                  <c:v>Raumkühlung</c:v>
                </c:pt>
                <c:pt idx="4">
                  <c:v>Raumheizung</c:v>
                </c:pt>
                <c:pt idx="5">
                  <c:v>Warmwasser</c:v>
                </c:pt>
              </c:strCache>
            </c:strRef>
          </c:cat>
          <c:val>
            <c:numRef>
              <c:f>Raumnutzung_1!$E$239:$I$239</c:f>
              <c:numCache>
                <c:formatCode>0</c:formatCode>
                <c:ptCount val="5"/>
                <c:pt idx="0">
                  <c:v>7</c:v>
                </c:pt>
                <c:pt idx="1">
                  <c:v>16.074669432201194</c:v>
                </c:pt>
                <c:pt idx="2">
                  <c:v>1.4142857142857146</c:v>
                </c:pt>
                <c:pt idx="3">
                  <c:v>27</c:v>
                </c:pt>
                <c:pt idx="4">
                  <c:v>95.216941176470598</c:v>
                </c:pt>
              </c:numCache>
            </c:numRef>
          </c:val>
          <c:smooth val="0"/>
          <c:extLst>
            <c:ext xmlns:c16="http://schemas.microsoft.com/office/drawing/2014/chart" uri="{C3380CC4-5D6E-409C-BE32-E72D297353CC}">
              <c16:uniqueId val="{00000000-0C60-43DC-AF18-F20B47248EC1}"/>
            </c:ext>
          </c:extLst>
        </c:ser>
        <c:ser>
          <c:idx val="1"/>
          <c:order val="1"/>
          <c:tx>
            <c:strRef>
              <c:f>Raumnutzung_1!$C$238</c:f>
              <c:strCache>
                <c:ptCount val="1"/>
                <c:pt idx="0">
                  <c:v>Zielwert</c:v>
                </c:pt>
              </c:strCache>
            </c:strRef>
          </c:tx>
          <c:spPr>
            <a:ln w="28575">
              <a:noFill/>
            </a:ln>
          </c:spPr>
          <c:marker>
            <c:symbol val="dash"/>
            <c:size val="15"/>
            <c:spPr>
              <a:solidFill>
                <a:srgbClr val="C0C0C0"/>
              </a:solidFill>
              <a:ln>
                <a:solidFill>
                  <a:srgbClr val="C0C0C0"/>
                </a:solidFill>
                <a:prstDash val="solid"/>
              </a:ln>
            </c:spPr>
          </c:marker>
          <c:cat>
            <c:strRef>
              <c:f>Raumnutzung_1!$E$236:$J$236</c:f>
              <c:strCache>
                <c:ptCount val="6"/>
                <c:pt idx="0">
                  <c:v>Geräte</c:v>
                </c:pt>
                <c:pt idx="1">
                  <c:v>Beleuchtung</c:v>
                </c:pt>
                <c:pt idx="2">
                  <c:v>Lüftung</c:v>
                </c:pt>
                <c:pt idx="3">
                  <c:v>Raumkühlung</c:v>
                </c:pt>
                <c:pt idx="4">
                  <c:v>Raumheizung</c:v>
                </c:pt>
                <c:pt idx="5">
                  <c:v>Warmwasser</c:v>
                </c:pt>
              </c:strCache>
            </c:strRef>
          </c:cat>
          <c:val>
            <c:numRef>
              <c:f>Raumnutzung_1!$E$238:$I$238</c:f>
              <c:numCache>
                <c:formatCode>0</c:formatCode>
                <c:ptCount val="5"/>
                <c:pt idx="0">
                  <c:v>3</c:v>
                </c:pt>
                <c:pt idx="1">
                  <c:v>11.749367050226651</c:v>
                </c:pt>
                <c:pt idx="2">
                  <c:v>0.87428571428571444</c:v>
                </c:pt>
                <c:pt idx="3">
                  <c:v>20</c:v>
                </c:pt>
                <c:pt idx="4">
                  <c:v>28.839327731092446</c:v>
                </c:pt>
              </c:numCache>
            </c:numRef>
          </c:val>
          <c:smooth val="0"/>
          <c:extLst>
            <c:ext xmlns:c16="http://schemas.microsoft.com/office/drawing/2014/chart" uri="{C3380CC4-5D6E-409C-BE32-E72D297353CC}">
              <c16:uniqueId val="{00000001-0C60-43DC-AF18-F20B47248EC1}"/>
            </c:ext>
          </c:extLst>
        </c:ser>
        <c:ser>
          <c:idx val="0"/>
          <c:order val="2"/>
          <c:tx>
            <c:strRef>
              <c:f>Raumnutzung_1!$C$237</c:f>
              <c:strCache>
                <c:ptCount val="1"/>
                <c:pt idx="0">
                  <c:v>Bestand</c:v>
                </c:pt>
              </c:strCache>
            </c:strRef>
          </c:tx>
          <c:spPr>
            <a:ln w="28575">
              <a:noFill/>
            </a:ln>
          </c:spPr>
          <c:marker>
            <c:symbol val="dash"/>
            <c:size val="15"/>
            <c:spPr>
              <a:solidFill>
                <a:srgbClr val="333333"/>
              </a:solidFill>
              <a:ln>
                <a:solidFill>
                  <a:srgbClr val="333333"/>
                </a:solidFill>
                <a:prstDash val="solid"/>
              </a:ln>
            </c:spPr>
          </c:marker>
          <c:cat>
            <c:strRef>
              <c:f>Raumnutzung_1!$E$236:$J$236</c:f>
              <c:strCache>
                <c:ptCount val="6"/>
                <c:pt idx="0">
                  <c:v>Geräte</c:v>
                </c:pt>
                <c:pt idx="1">
                  <c:v>Beleuchtung</c:v>
                </c:pt>
                <c:pt idx="2">
                  <c:v>Lüftung</c:v>
                </c:pt>
                <c:pt idx="3">
                  <c:v>Raumkühlung</c:v>
                </c:pt>
                <c:pt idx="4">
                  <c:v>Raumheizung</c:v>
                </c:pt>
                <c:pt idx="5">
                  <c:v>Warmwasser</c:v>
                </c:pt>
              </c:strCache>
            </c:strRef>
          </c:cat>
          <c:val>
            <c:numRef>
              <c:f>Raumnutzung_1!$E$237:$I$237</c:f>
              <c:numCache>
                <c:formatCode>0</c:formatCode>
                <c:ptCount val="5"/>
                <c:pt idx="0">
                  <c:v>15</c:v>
                </c:pt>
                <c:pt idx="1">
                  <c:v>16.074669432201194</c:v>
                </c:pt>
                <c:pt idx="2">
                  <c:v>2.3400000000000003</c:v>
                </c:pt>
                <c:pt idx="3">
                  <c:v>38</c:v>
                </c:pt>
                <c:pt idx="4">
                  <c:v>73.030991596638671</c:v>
                </c:pt>
              </c:numCache>
            </c:numRef>
          </c:val>
          <c:smooth val="0"/>
          <c:extLst>
            <c:ext xmlns:c16="http://schemas.microsoft.com/office/drawing/2014/chart" uri="{C3380CC4-5D6E-409C-BE32-E72D297353CC}">
              <c16:uniqueId val="{00000002-0C60-43DC-AF18-F20B47248EC1}"/>
            </c:ext>
          </c:extLst>
        </c:ser>
        <c:dLbls>
          <c:showLegendKey val="0"/>
          <c:showVal val="0"/>
          <c:showCatName val="0"/>
          <c:showSerName val="0"/>
          <c:showPercent val="0"/>
          <c:showBubbleSize val="0"/>
        </c:dLbls>
        <c:hiLowLines>
          <c:spPr>
            <a:ln w="12700">
              <a:solidFill>
                <a:srgbClr val="000000"/>
              </a:solidFill>
              <a:prstDash val="solid"/>
            </a:ln>
          </c:spPr>
        </c:hiLowLines>
        <c:axId val="98476032"/>
        <c:axId val="98477568"/>
      </c:stockChart>
      <c:catAx>
        <c:axId val="9847603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2700000" vert="horz"/>
          <a:lstStyle/>
          <a:p>
            <a:pPr>
              <a:defRPr sz="800" b="0" i="0" u="none" strike="noStrike" baseline="0">
                <a:solidFill>
                  <a:srgbClr val="333333"/>
                </a:solidFill>
                <a:latin typeface="Arial"/>
                <a:ea typeface="Arial"/>
                <a:cs typeface="Arial"/>
              </a:defRPr>
            </a:pPr>
            <a:endParaRPr lang="de-DE"/>
          </a:p>
        </c:txPr>
        <c:crossAx val="98477568"/>
        <c:crosses val="autoZero"/>
        <c:auto val="1"/>
        <c:lblAlgn val="ctr"/>
        <c:lblOffset val="100"/>
        <c:tickLblSkip val="1"/>
        <c:tickMarkSkip val="1"/>
        <c:noMultiLvlLbl val="0"/>
      </c:catAx>
      <c:valAx>
        <c:axId val="98477568"/>
        <c:scaling>
          <c:orientation val="minMax"/>
        </c:scaling>
        <c:delete val="0"/>
        <c:axPos val="l"/>
        <c:majorGridlines>
          <c:spPr>
            <a:ln w="3175">
              <a:solidFill>
                <a:srgbClr val="000000"/>
              </a:solidFill>
              <a:prstDash val="solid"/>
            </a:ln>
          </c:spPr>
        </c:majorGridlines>
        <c:numFmt formatCode="0" sourceLinked="0"/>
        <c:majorTickMark val="cross"/>
        <c:minorTickMark val="cross"/>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98476032"/>
        <c:crosses val="autoZero"/>
        <c:crossBetween val="between"/>
      </c:valAx>
      <c:spPr>
        <a:noFill/>
        <a:ln w="25400">
          <a:noFill/>
        </a:ln>
      </c:spPr>
    </c:plotArea>
    <c:legend>
      <c:legendPos val="t"/>
      <c:layout>
        <c:manualLayout>
          <c:xMode val="edge"/>
          <c:yMode val="edge"/>
          <c:x val="0.10276868778554162"/>
          <c:y val="4.1022742730107723E-3"/>
          <c:w val="0.35902679507860702"/>
          <c:h val="6.8965517241379309E-2"/>
        </c:manualLayout>
      </c:layout>
      <c:overlay val="0"/>
      <c:spPr>
        <a:noFill/>
        <a:ln w="25400">
          <a:noFill/>
        </a:ln>
      </c:spPr>
      <c:txPr>
        <a:bodyPr/>
        <a:lstStyle/>
        <a:p>
          <a:pPr>
            <a:defRPr sz="735" b="0" i="0" u="none" strike="noStrike" baseline="0">
              <a:solidFill>
                <a:srgbClr val="333333"/>
              </a:solidFill>
              <a:latin typeface="Arial"/>
              <a:ea typeface="Arial"/>
              <a:cs typeface="Arial"/>
            </a:defRPr>
          </a:pPr>
          <a:endParaRPr lang="de-DE"/>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horizontalDpi="-2" verticalDpi="1200"/>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343848611581833"/>
          <c:y val="4.700037456854339E-2"/>
          <c:w val="0.8764942893714196"/>
          <c:h val="0.73621637145650931"/>
        </c:manualLayout>
      </c:layout>
      <c:barChart>
        <c:barDir val="col"/>
        <c:grouping val="stacked"/>
        <c:varyColors val="0"/>
        <c:ser>
          <c:idx val="3"/>
          <c:order val="1"/>
          <c:spPr>
            <a:solidFill>
              <a:srgbClr val="C0C0C0"/>
            </a:solidFill>
            <a:ln w="25400">
              <a:noFill/>
            </a:ln>
          </c:spPr>
          <c:invertIfNegative val="0"/>
          <c:val>
            <c:numRef>
              <c:f>Profile!$C$67:$C$90</c:f>
              <c:numCache>
                <c:formatCode>0.0</c:formatCode>
                <c:ptCount val="24"/>
                <c:pt idx="0">
                  <c:v>0</c:v>
                </c:pt>
                <c:pt idx="1">
                  <c:v>0</c:v>
                </c:pt>
                <c:pt idx="2">
                  <c:v>0</c:v>
                </c:pt>
                <c:pt idx="3">
                  <c:v>0</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numCache>
            </c:numRef>
          </c:val>
          <c:extLst>
            <c:ext xmlns:c16="http://schemas.microsoft.com/office/drawing/2014/chart" uri="{C3380CC4-5D6E-409C-BE32-E72D297353CC}">
              <c16:uniqueId val="{00000000-9B64-49F0-92B6-111E78480C53}"/>
            </c:ext>
          </c:extLst>
        </c:ser>
        <c:dLbls>
          <c:showLegendKey val="0"/>
          <c:showVal val="0"/>
          <c:showCatName val="0"/>
          <c:showSerName val="0"/>
          <c:showPercent val="0"/>
          <c:showBubbleSize val="0"/>
        </c:dLbls>
        <c:gapWidth val="0"/>
        <c:overlap val="100"/>
        <c:axId val="98385920"/>
        <c:axId val="98387456"/>
      </c:barChart>
      <c:barChart>
        <c:barDir val="col"/>
        <c:grouping val="clustered"/>
        <c:varyColors val="0"/>
        <c:ser>
          <c:idx val="0"/>
          <c:order val="0"/>
          <c:spPr>
            <a:solidFill>
              <a:srgbClr val="333333"/>
            </a:solidFill>
            <a:ln w="25400">
              <a:noFill/>
            </a:ln>
          </c:spPr>
          <c:invertIfNegative val="0"/>
          <c:val>
            <c:numRef>
              <c:f>Profile!$B$67:$B$90</c:f>
              <c:numCache>
                <c:formatCode>0.0</c:formatCode>
                <c:ptCount val="24"/>
                <c:pt idx="0">
                  <c:v>0</c:v>
                </c:pt>
                <c:pt idx="1">
                  <c:v>0</c:v>
                </c:pt>
                <c:pt idx="2">
                  <c:v>0</c:v>
                </c:pt>
                <c:pt idx="3">
                  <c:v>0</c:v>
                </c:pt>
                <c:pt idx="4">
                  <c:v>0.1</c:v>
                </c:pt>
                <c:pt idx="5">
                  <c:v>0.1</c:v>
                </c:pt>
                <c:pt idx="6">
                  <c:v>0.5</c:v>
                </c:pt>
                <c:pt idx="7">
                  <c:v>1</c:v>
                </c:pt>
                <c:pt idx="8">
                  <c:v>1</c:v>
                </c:pt>
                <c:pt idx="9">
                  <c:v>0.5</c:v>
                </c:pt>
                <c:pt idx="10">
                  <c:v>0.5</c:v>
                </c:pt>
                <c:pt idx="11">
                  <c:v>0.5</c:v>
                </c:pt>
                <c:pt idx="12">
                  <c:v>0.5</c:v>
                </c:pt>
                <c:pt idx="13">
                  <c:v>0.5</c:v>
                </c:pt>
                <c:pt idx="14">
                  <c:v>0.5</c:v>
                </c:pt>
                <c:pt idx="15">
                  <c:v>0.5</c:v>
                </c:pt>
                <c:pt idx="16">
                  <c:v>0.5</c:v>
                </c:pt>
                <c:pt idx="17">
                  <c:v>1</c:v>
                </c:pt>
                <c:pt idx="18">
                  <c:v>1</c:v>
                </c:pt>
                <c:pt idx="19">
                  <c:v>1</c:v>
                </c:pt>
                <c:pt idx="20">
                  <c:v>0.5</c:v>
                </c:pt>
                <c:pt idx="21">
                  <c:v>0.5</c:v>
                </c:pt>
                <c:pt idx="22">
                  <c:v>0.5</c:v>
                </c:pt>
                <c:pt idx="23">
                  <c:v>0.1</c:v>
                </c:pt>
              </c:numCache>
            </c:numRef>
          </c:val>
          <c:extLst>
            <c:ext xmlns:c16="http://schemas.microsoft.com/office/drawing/2014/chart" uri="{C3380CC4-5D6E-409C-BE32-E72D297353CC}">
              <c16:uniqueId val="{00000001-9B64-49F0-92B6-111E78480C53}"/>
            </c:ext>
          </c:extLst>
        </c:ser>
        <c:dLbls>
          <c:showLegendKey val="0"/>
          <c:showVal val="0"/>
          <c:showCatName val="0"/>
          <c:showSerName val="0"/>
          <c:showPercent val="0"/>
          <c:showBubbleSize val="0"/>
        </c:dLbls>
        <c:gapWidth val="150"/>
        <c:axId val="98388992"/>
        <c:axId val="98390784"/>
      </c:barChart>
      <c:catAx>
        <c:axId val="983859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98387456"/>
        <c:crosses val="autoZero"/>
        <c:auto val="1"/>
        <c:lblAlgn val="ctr"/>
        <c:lblOffset val="100"/>
        <c:tickLblSkip val="1"/>
        <c:tickMarkSkip val="1"/>
        <c:noMultiLvlLbl val="0"/>
      </c:catAx>
      <c:valAx>
        <c:axId val="98387456"/>
        <c:scaling>
          <c:orientation val="minMax"/>
          <c:max val="1"/>
          <c:min val="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98385920"/>
        <c:crosses val="autoZero"/>
        <c:crossBetween val="between"/>
        <c:majorUnit val="0.2"/>
        <c:minorUnit val="0.01"/>
      </c:valAx>
      <c:catAx>
        <c:axId val="98388992"/>
        <c:scaling>
          <c:orientation val="minMax"/>
        </c:scaling>
        <c:delete val="1"/>
        <c:axPos val="b"/>
        <c:majorTickMark val="out"/>
        <c:minorTickMark val="none"/>
        <c:tickLblPos val="nextTo"/>
        <c:crossAx val="98390784"/>
        <c:crosses val="autoZero"/>
        <c:auto val="1"/>
        <c:lblAlgn val="ctr"/>
        <c:lblOffset val="100"/>
        <c:noMultiLvlLbl val="0"/>
      </c:catAx>
      <c:valAx>
        <c:axId val="98390784"/>
        <c:scaling>
          <c:orientation val="minMax"/>
        </c:scaling>
        <c:delete val="1"/>
        <c:axPos val="r"/>
        <c:numFmt formatCode="0.0" sourceLinked="1"/>
        <c:majorTickMark val="out"/>
        <c:minorTickMark val="none"/>
        <c:tickLblPos val="nextTo"/>
        <c:crossAx val="98388992"/>
        <c:crosses val="max"/>
        <c:crossBetween val="between"/>
      </c:valAx>
      <c:spPr>
        <a:noFill/>
        <a:ln w="25400">
          <a:noFill/>
        </a:ln>
      </c:spPr>
    </c:plotArea>
    <c:plotVisOnly val="1"/>
    <c:dispBlanksAs val="gap"/>
    <c:showDLblsOverMax val="0"/>
  </c:chart>
  <c:spPr>
    <a:no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4130-43C6-88BC-3F87BF36CF16}"/>
            </c:ext>
          </c:extLst>
        </c:ser>
        <c:dLbls>
          <c:showLegendKey val="0"/>
          <c:showVal val="0"/>
          <c:showCatName val="0"/>
          <c:showSerName val="0"/>
          <c:showPercent val="0"/>
          <c:showBubbleSize val="0"/>
        </c:dLbls>
        <c:gapWidth val="150"/>
        <c:axId val="98401280"/>
        <c:axId val="99267328"/>
      </c:barChart>
      <c:catAx>
        <c:axId val="984012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9267328"/>
        <c:crosses val="autoZero"/>
        <c:auto val="1"/>
        <c:lblAlgn val="ctr"/>
        <c:lblOffset val="100"/>
        <c:tickLblSkip val="2"/>
        <c:tickMarkSkip val="1"/>
        <c:noMultiLvlLbl val="0"/>
      </c:catAx>
      <c:valAx>
        <c:axId val="99267328"/>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8401280"/>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E258-416B-A40A-CAD7859480AD}"/>
            </c:ext>
          </c:extLst>
        </c:ser>
        <c:dLbls>
          <c:showLegendKey val="0"/>
          <c:showVal val="0"/>
          <c:showCatName val="0"/>
          <c:showSerName val="0"/>
          <c:showPercent val="0"/>
          <c:showBubbleSize val="0"/>
        </c:dLbls>
        <c:gapWidth val="150"/>
        <c:axId val="112726016"/>
        <c:axId val="112727552"/>
      </c:barChart>
      <c:catAx>
        <c:axId val="112726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112727552"/>
        <c:crosses val="autoZero"/>
        <c:auto val="1"/>
        <c:lblAlgn val="ctr"/>
        <c:lblOffset val="100"/>
        <c:tickLblSkip val="2"/>
        <c:tickMarkSkip val="1"/>
        <c:noMultiLvlLbl val="0"/>
      </c:catAx>
      <c:valAx>
        <c:axId val="112727552"/>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112726016"/>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D840-4070-BD41-475AEE424E70}"/>
            </c:ext>
          </c:extLst>
        </c:ser>
        <c:dLbls>
          <c:showLegendKey val="0"/>
          <c:showVal val="0"/>
          <c:showCatName val="0"/>
          <c:showSerName val="0"/>
          <c:showPercent val="0"/>
          <c:showBubbleSize val="0"/>
        </c:dLbls>
        <c:gapWidth val="150"/>
        <c:axId val="112763648"/>
        <c:axId val="112765184"/>
      </c:barChart>
      <c:catAx>
        <c:axId val="112763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112765184"/>
        <c:crosses val="autoZero"/>
        <c:auto val="1"/>
        <c:lblAlgn val="ctr"/>
        <c:lblOffset val="100"/>
        <c:tickLblSkip val="2"/>
        <c:tickMarkSkip val="1"/>
        <c:noMultiLvlLbl val="0"/>
      </c:catAx>
      <c:valAx>
        <c:axId val="112765184"/>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112763648"/>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8F8F-4159-96EF-E513A104885D}"/>
            </c:ext>
          </c:extLst>
        </c:ser>
        <c:dLbls>
          <c:showLegendKey val="0"/>
          <c:showVal val="0"/>
          <c:showCatName val="0"/>
          <c:showSerName val="0"/>
          <c:showPercent val="0"/>
          <c:showBubbleSize val="0"/>
        </c:dLbls>
        <c:gapWidth val="150"/>
        <c:axId val="113448448"/>
        <c:axId val="113449984"/>
      </c:barChart>
      <c:catAx>
        <c:axId val="113448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113449984"/>
        <c:crosses val="autoZero"/>
        <c:auto val="1"/>
        <c:lblAlgn val="ctr"/>
        <c:lblOffset val="100"/>
        <c:tickLblSkip val="2"/>
        <c:tickMarkSkip val="1"/>
        <c:noMultiLvlLbl val="0"/>
      </c:catAx>
      <c:valAx>
        <c:axId val="113449984"/>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113448448"/>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FAA2-4052-8BB1-EB5729E4FEAB}"/>
            </c:ext>
          </c:extLst>
        </c:ser>
        <c:dLbls>
          <c:showLegendKey val="0"/>
          <c:showVal val="0"/>
          <c:showCatName val="0"/>
          <c:showSerName val="0"/>
          <c:showPercent val="0"/>
          <c:showBubbleSize val="0"/>
        </c:dLbls>
        <c:gapWidth val="150"/>
        <c:axId val="113477888"/>
        <c:axId val="113479680"/>
      </c:barChart>
      <c:catAx>
        <c:axId val="113477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113479680"/>
        <c:crosses val="autoZero"/>
        <c:auto val="1"/>
        <c:lblAlgn val="ctr"/>
        <c:lblOffset val="100"/>
        <c:tickLblSkip val="2"/>
        <c:tickMarkSkip val="1"/>
        <c:noMultiLvlLbl val="0"/>
      </c:catAx>
      <c:valAx>
        <c:axId val="113479680"/>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113477888"/>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715D-4F7A-8139-0426D5F66961}"/>
            </c:ext>
          </c:extLst>
        </c:ser>
        <c:dLbls>
          <c:showLegendKey val="0"/>
          <c:showVal val="0"/>
          <c:showCatName val="0"/>
          <c:showSerName val="0"/>
          <c:showPercent val="0"/>
          <c:showBubbleSize val="0"/>
        </c:dLbls>
        <c:gapWidth val="150"/>
        <c:axId val="113486848"/>
        <c:axId val="113513216"/>
      </c:barChart>
      <c:catAx>
        <c:axId val="1134868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113513216"/>
        <c:crosses val="autoZero"/>
        <c:auto val="1"/>
        <c:lblAlgn val="ctr"/>
        <c:lblOffset val="100"/>
        <c:tickLblSkip val="2"/>
        <c:tickMarkSkip val="1"/>
        <c:noMultiLvlLbl val="0"/>
      </c:catAx>
      <c:valAx>
        <c:axId val="113513216"/>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113486848"/>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83AE-460E-89E4-17FC1E2C60AB}"/>
            </c:ext>
          </c:extLst>
        </c:ser>
        <c:dLbls>
          <c:showLegendKey val="0"/>
          <c:showVal val="0"/>
          <c:showCatName val="0"/>
          <c:showSerName val="0"/>
          <c:showPercent val="0"/>
          <c:showBubbleSize val="0"/>
        </c:dLbls>
        <c:gapWidth val="150"/>
        <c:axId val="113532928"/>
        <c:axId val="113534464"/>
      </c:barChart>
      <c:catAx>
        <c:axId val="113532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113534464"/>
        <c:crosses val="autoZero"/>
        <c:auto val="1"/>
        <c:lblAlgn val="ctr"/>
        <c:lblOffset val="100"/>
        <c:tickLblSkip val="2"/>
        <c:tickMarkSkip val="1"/>
        <c:noMultiLvlLbl val="0"/>
      </c:catAx>
      <c:valAx>
        <c:axId val="113534464"/>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113532928"/>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6D48-4D4B-9884-44728B9D7BE4}"/>
            </c:ext>
          </c:extLst>
        </c:ser>
        <c:dLbls>
          <c:showLegendKey val="0"/>
          <c:showVal val="0"/>
          <c:showCatName val="0"/>
          <c:showSerName val="0"/>
          <c:showPercent val="0"/>
          <c:showBubbleSize val="0"/>
        </c:dLbls>
        <c:gapWidth val="150"/>
        <c:axId val="113246976"/>
        <c:axId val="113248512"/>
      </c:barChart>
      <c:catAx>
        <c:axId val="113246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113248512"/>
        <c:crosses val="autoZero"/>
        <c:auto val="1"/>
        <c:lblAlgn val="ctr"/>
        <c:lblOffset val="100"/>
        <c:tickLblSkip val="2"/>
        <c:tickMarkSkip val="1"/>
        <c:noMultiLvlLbl val="0"/>
      </c:catAx>
      <c:valAx>
        <c:axId val="113248512"/>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113246976"/>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24443352700562"/>
          <c:y val="0.10948905109489052"/>
          <c:w val="0.86234007723737161"/>
          <c:h val="0.66423357664233573"/>
        </c:manualLayout>
      </c:layout>
      <c:barChart>
        <c:barDir val="col"/>
        <c:grouping val="clustered"/>
        <c:varyColors val="0"/>
        <c:ser>
          <c:idx val="0"/>
          <c:order val="0"/>
          <c:spPr>
            <a:solidFill>
              <a:srgbClr val="333333"/>
            </a:solidFill>
            <a:ln w="25400">
              <a:noFill/>
            </a:ln>
          </c:spPr>
          <c:invertIfNegative val="0"/>
          <c:val>
            <c:numRef>
              <c:f>Profile!$D$67:$D$90</c:f>
              <c:numCache>
                <c:formatCode>0.0</c:formatCode>
                <c:ptCount val="24"/>
                <c:pt idx="0">
                  <c:v>0.1</c:v>
                </c:pt>
                <c:pt idx="1">
                  <c:v>0.1</c:v>
                </c:pt>
                <c:pt idx="2">
                  <c:v>0.1</c:v>
                </c:pt>
                <c:pt idx="3">
                  <c:v>0.1</c:v>
                </c:pt>
                <c:pt idx="4">
                  <c:v>0.1</c:v>
                </c:pt>
                <c:pt idx="5">
                  <c:v>0.1</c:v>
                </c:pt>
                <c:pt idx="6">
                  <c:v>0.5</c:v>
                </c:pt>
                <c:pt idx="7">
                  <c:v>1</c:v>
                </c:pt>
                <c:pt idx="8">
                  <c:v>1</c:v>
                </c:pt>
                <c:pt idx="9">
                  <c:v>0.5</c:v>
                </c:pt>
                <c:pt idx="10">
                  <c:v>0.5</c:v>
                </c:pt>
                <c:pt idx="11">
                  <c:v>0.5</c:v>
                </c:pt>
                <c:pt idx="12">
                  <c:v>0.5</c:v>
                </c:pt>
                <c:pt idx="13">
                  <c:v>0.5</c:v>
                </c:pt>
                <c:pt idx="14">
                  <c:v>0.5</c:v>
                </c:pt>
                <c:pt idx="15">
                  <c:v>0.5</c:v>
                </c:pt>
                <c:pt idx="16">
                  <c:v>0.5</c:v>
                </c:pt>
                <c:pt idx="17">
                  <c:v>1</c:v>
                </c:pt>
                <c:pt idx="18">
                  <c:v>1</c:v>
                </c:pt>
                <c:pt idx="19">
                  <c:v>1</c:v>
                </c:pt>
                <c:pt idx="20">
                  <c:v>0.5</c:v>
                </c:pt>
                <c:pt idx="21">
                  <c:v>0.5</c:v>
                </c:pt>
                <c:pt idx="22">
                  <c:v>0.5</c:v>
                </c:pt>
                <c:pt idx="23">
                  <c:v>0.1</c:v>
                </c:pt>
              </c:numCache>
            </c:numRef>
          </c:val>
          <c:extLst>
            <c:ext xmlns:c16="http://schemas.microsoft.com/office/drawing/2014/chart" uri="{C3380CC4-5D6E-409C-BE32-E72D297353CC}">
              <c16:uniqueId val="{00000000-B62B-407B-A479-32C763EF34C4}"/>
            </c:ext>
          </c:extLst>
        </c:ser>
        <c:dLbls>
          <c:showLegendKey val="0"/>
          <c:showVal val="0"/>
          <c:showCatName val="0"/>
          <c:showSerName val="0"/>
          <c:showPercent val="0"/>
          <c:showBubbleSize val="0"/>
        </c:dLbls>
        <c:gapWidth val="150"/>
        <c:axId val="113264512"/>
        <c:axId val="113266048"/>
      </c:barChart>
      <c:catAx>
        <c:axId val="113264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113266048"/>
        <c:crosses val="autoZero"/>
        <c:auto val="1"/>
        <c:lblAlgn val="ctr"/>
        <c:lblOffset val="100"/>
        <c:tickLblSkip val="1"/>
        <c:tickMarkSkip val="1"/>
        <c:noMultiLvlLbl val="0"/>
      </c:catAx>
      <c:valAx>
        <c:axId val="113266048"/>
        <c:scaling>
          <c:orientation val="minMax"/>
          <c:max val="1"/>
          <c:min val="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113264512"/>
        <c:crosses val="autoZero"/>
        <c:crossBetween val="between"/>
        <c:majorUnit val="0.2"/>
        <c:minorUnit val="0.01"/>
      </c:valAx>
      <c:spPr>
        <a:noFill/>
        <a:ln w="25400">
          <a:noFill/>
        </a:ln>
      </c:spPr>
    </c:plotArea>
    <c:plotVisOnly val="1"/>
    <c:dispBlanksAs val="gap"/>
    <c:showDLblsOverMax val="0"/>
  </c:chart>
  <c:spPr>
    <a:no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00" verticalDpi="300"/>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332326132121566E-2"/>
          <c:y val="0.16450285994512626"/>
          <c:w val="0.91955496843568008"/>
          <c:h val="0.53246978350659291"/>
        </c:manualLayout>
      </c:layout>
      <c:stockChart>
        <c:ser>
          <c:idx val="2"/>
          <c:order val="0"/>
          <c:tx>
            <c:strRef>
              <c:f>Raumnutzung_1!$C$244</c:f>
              <c:strCache>
                <c:ptCount val="1"/>
                <c:pt idx="0">
                  <c:v>Standard</c:v>
                </c:pt>
              </c:strCache>
            </c:strRef>
          </c:tx>
          <c:spPr>
            <a:ln w="28575">
              <a:noFill/>
            </a:ln>
          </c:spPr>
          <c:marker>
            <c:symbol val="dash"/>
            <c:size val="10"/>
            <c:spPr>
              <a:solidFill>
                <a:srgbClr val="808080"/>
              </a:solidFill>
              <a:ln>
                <a:solidFill>
                  <a:srgbClr val="808080"/>
                </a:solidFill>
                <a:prstDash val="solid"/>
              </a:ln>
            </c:spPr>
          </c:marker>
          <c:cat>
            <c:strRef>
              <c:f>Raumnutzung_1!$E$236:$J$236</c:f>
              <c:strCache>
                <c:ptCount val="6"/>
                <c:pt idx="0">
                  <c:v>Geräte</c:v>
                </c:pt>
                <c:pt idx="1">
                  <c:v>Beleuchtung</c:v>
                </c:pt>
                <c:pt idx="2">
                  <c:v>Lüftung</c:v>
                </c:pt>
                <c:pt idx="3">
                  <c:v>Raumkühlung</c:v>
                </c:pt>
                <c:pt idx="4">
                  <c:v>Raumheizung</c:v>
                </c:pt>
                <c:pt idx="5">
                  <c:v>Warmwasser</c:v>
                </c:pt>
              </c:strCache>
            </c:strRef>
          </c:cat>
          <c:val>
            <c:numRef>
              <c:f>Raumnutzung_1!$E$244:$J$244</c:f>
              <c:numCache>
                <c:formatCode>0</c:formatCode>
                <c:ptCount val="6"/>
                <c:pt idx="0">
                  <c:v>20.93</c:v>
                </c:pt>
                <c:pt idx="1">
                  <c:v>32.310085558724403</c:v>
                </c:pt>
                <c:pt idx="2">
                  <c:v>7.9482857142857153</c:v>
                </c:pt>
                <c:pt idx="3">
                  <c:v>13.349444444444444</c:v>
                </c:pt>
                <c:pt idx="4">
                  <c:v>2.2677545523408651</c:v>
                </c:pt>
                <c:pt idx="5">
                  <c:v>3.2438571428571428</c:v>
                </c:pt>
              </c:numCache>
            </c:numRef>
          </c:val>
          <c:smooth val="0"/>
          <c:extLst>
            <c:ext xmlns:c16="http://schemas.microsoft.com/office/drawing/2014/chart" uri="{C3380CC4-5D6E-409C-BE32-E72D297353CC}">
              <c16:uniqueId val="{00000000-0E07-4BC3-A3AD-9B1ABA934009}"/>
            </c:ext>
          </c:extLst>
        </c:ser>
        <c:ser>
          <c:idx val="1"/>
          <c:order val="1"/>
          <c:tx>
            <c:strRef>
              <c:f>Raumnutzung_1!$C$243</c:f>
              <c:strCache>
                <c:ptCount val="1"/>
                <c:pt idx="0">
                  <c:v>Zielwert</c:v>
                </c:pt>
              </c:strCache>
            </c:strRef>
          </c:tx>
          <c:spPr>
            <a:ln w="28575">
              <a:noFill/>
            </a:ln>
          </c:spPr>
          <c:marker>
            <c:symbol val="dash"/>
            <c:size val="15"/>
            <c:spPr>
              <a:solidFill>
                <a:srgbClr val="C0C0C0"/>
              </a:solidFill>
              <a:ln>
                <a:solidFill>
                  <a:srgbClr val="C0C0C0"/>
                </a:solidFill>
                <a:prstDash val="solid"/>
              </a:ln>
            </c:spPr>
          </c:marker>
          <c:cat>
            <c:strRef>
              <c:f>Raumnutzung_1!$E$236:$J$236</c:f>
              <c:strCache>
                <c:ptCount val="6"/>
                <c:pt idx="0">
                  <c:v>Geräte</c:v>
                </c:pt>
                <c:pt idx="1">
                  <c:v>Beleuchtung</c:v>
                </c:pt>
                <c:pt idx="2">
                  <c:v>Lüftung</c:v>
                </c:pt>
                <c:pt idx="3">
                  <c:v>Raumkühlung</c:v>
                </c:pt>
                <c:pt idx="4">
                  <c:v>Raumheizung</c:v>
                </c:pt>
                <c:pt idx="5">
                  <c:v>Warmwasser</c:v>
                </c:pt>
              </c:strCache>
            </c:strRef>
          </c:cat>
          <c:val>
            <c:numRef>
              <c:f>Raumnutzung_1!$E$243:$J$243</c:f>
              <c:numCache>
                <c:formatCode>0</c:formatCode>
                <c:ptCount val="6"/>
                <c:pt idx="0">
                  <c:v>8.9700000000000006</c:v>
                </c:pt>
                <c:pt idx="1">
                  <c:v>14.216734130774247</c:v>
                </c:pt>
                <c:pt idx="2">
                  <c:v>2.4567428571428578</c:v>
                </c:pt>
                <c:pt idx="3">
                  <c:v>10.801388888888889</c:v>
                </c:pt>
                <c:pt idx="4">
                  <c:v>0.38811752986723469</c:v>
                </c:pt>
                <c:pt idx="5">
                  <c:v>3.2438571428571428</c:v>
                </c:pt>
              </c:numCache>
            </c:numRef>
          </c:val>
          <c:smooth val="0"/>
          <c:extLst>
            <c:ext xmlns:c16="http://schemas.microsoft.com/office/drawing/2014/chart" uri="{C3380CC4-5D6E-409C-BE32-E72D297353CC}">
              <c16:uniqueId val="{00000001-0E07-4BC3-A3AD-9B1ABA934009}"/>
            </c:ext>
          </c:extLst>
        </c:ser>
        <c:ser>
          <c:idx val="0"/>
          <c:order val="2"/>
          <c:tx>
            <c:strRef>
              <c:f>Raumnutzung_1!$C$242</c:f>
              <c:strCache>
                <c:ptCount val="1"/>
                <c:pt idx="0">
                  <c:v>Bestand</c:v>
                </c:pt>
              </c:strCache>
            </c:strRef>
          </c:tx>
          <c:spPr>
            <a:ln w="28575">
              <a:noFill/>
            </a:ln>
          </c:spPr>
          <c:marker>
            <c:symbol val="dash"/>
            <c:size val="15"/>
            <c:spPr>
              <a:solidFill>
                <a:srgbClr val="333333"/>
              </a:solidFill>
              <a:ln>
                <a:solidFill>
                  <a:srgbClr val="333333"/>
                </a:solidFill>
                <a:prstDash val="solid"/>
              </a:ln>
            </c:spPr>
          </c:marker>
          <c:cat>
            <c:strRef>
              <c:f>Raumnutzung_1!$E$236:$J$236</c:f>
              <c:strCache>
                <c:ptCount val="6"/>
                <c:pt idx="0">
                  <c:v>Geräte</c:v>
                </c:pt>
                <c:pt idx="1">
                  <c:v>Beleuchtung</c:v>
                </c:pt>
                <c:pt idx="2">
                  <c:v>Lüftung</c:v>
                </c:pt>
                <c:pt idx="3">
                  <c:v>Raumkühlung</c:v>
                </c:pt>
                <c:pt idx="4">
                  <c:v>Raumheizung</c:v>
                </c:pt>
                <c:pt idx="5">
                  <c:v>Warmwasser</c:v>
                </c:pt>
              </c:strCache>
            </c:strRef>
          </c:cat>
          <c:val>
            <c:numRef>
              <c:f>Raumnutzung_1!$E$242:$J$242</c:f>
              <c:numCache>
                <c:formatCode>0</c:formatCode>
                <c:ptCount val="6"/>
                <c:pt idx="0">
                  <c:v>44.85</c:v>
                </c:pt>
                <c:pt idx="1">
                  <c:v>32.310085558724403</c:v>
                </c:pt>
                <c:pt idx="2">
                  <c:v>13.1508</c:v>
                </c:pt>
                <c:pt idx="3" formatCode="0.0">
                  <c:v>7.673055555555556</c:v>
                </c:pt>
                <c:pt idx="4">
                  <c:v>45.357615428647577</c:v>
                </c:pt>
                <c:pt idx="5">
                  <c:v>3.2438571428571428</c:v>
                </c:pt>
              </c:numCache>
            </c:numRef>
          </c:val>
          <c:smooth val="0"/>
          <c:extLst>
            <c:ext xmlns:c16="http://schemas.microsoft.com/office/drawing/2014/chart" uri="{C3380CC4-5D6E-409C-BE32-E72D297353CC}">
              <c16:uniqueId val="{00000002-0E07-4BC3-A3AD-9B1ABA934009}"/>
            </c:ext>
          </c:extLst>
        </c:ser>
        <c:dLbls>
          <c:showLegendKey val="0"/>
          <c:showVal val="0"/>
          <c:showCatName val="0"/>
          <c:showSerName val="0"/>
          <c:showPercent val="0"/>
          <c:showBubbleSize val="0"/>
        </c:dLbls>
        <c:hiLowLines>
          <c:spPr>
            <a:ln w="12700">
              <a:solidFill>
                <a:srgbClr val="000000"/>
              </a:solidFill>
              <a:prstDash val="solid"/>
            </a:ln>
          </c:spPr>
        </c:hiLowLines>
        <c:axId val="113324416"/>
        <c:axId val="113325952"/>
      </c:stockChart>
      <c:catAx>
        <c:axId val="11332441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2700000" vert="horz"/>
          <a:lstStyle/>
          <a:p>
            <a:pPr>
              <a:defRPr sz="800" b="0" i="0" u="none" strike="noStrike" baseline="0">
                <a:solidFill>
                  <a:srgbClr val="333333"/>
                </a:solidFill>
                <a:latin typeface="Arial"/>
                <a:ea typeface="Arial"/>
                <a:cs typeface="Arial"/>
              </a:defRPr>
            </a:pPr>
            <a:endParaRPr lang="de-DE"/>
          </a:p>
        </c:txPr>
        <c:crossAx val="113325952"/>
        <c:crosses val="autoZero"/>
        <c:auto val="1"/>
        <c:lblAlgn val="ctr"/>
        <c:lblOffset val="100"/>
        <c:tickLblSkip val="1"/>
        <c:tickMarkSkip val="1"/>
        <c:noMultiLvlLbl val="0"/>
      </c:catAx>
      <c:valAx>
        <c:axId val="113325952"/>
        <c:scaling>
          <c:orientation val="minMax"/>
        </c:scaling>
        <c:delete val="0"/>
        <c:axPos val="l"/>
        <c:majorGridlines>
          <c:spPr>
            <a:ln w="3175">
              <a:solidFill>
                <a:srgbClr val="000000"/>
              </a:solidFill>
              <a:prstDash val="solid"/>
            </a:ln>
          </c:spPr>
        </c:majorGridlines>
        <c:numFmt formatCode="0" sourceLinked="0"/>
        <c:majorTickMark val="cross"/>
        <c:minorTickMark val="cross"/>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113324416"/>
        <c:crosses val="autoZero"/>
        <c:crossBetween val="between"/>
      </c:valAx>
      <c:spPr>
        <a:noFill/>
        <a:ln w="25400">
          <a:noFill/>
        </a:ln>
      </c:spPr>
    </c:plotArea>
    <c:legend>
      <c:legendPos val="t"/>
      <c:layout>
        <c:manualLayout>
          <c:xMode val="edge"/>
          <c:yMode val="edge"/>
          <c:x val="0.11359045413784323"/>
          <c:y val="4.1367660250283067E-3"/>
          <c:w val="0.38742436100152794"/>
          <c:h val="6.926452375271272E-2"/>
        </c:manualLayout>
      </c:layout>
      <c:overlay val="0"/>
      <c:spPr>
        <a:noFill/>
        <a:ln w="25400">
          <a:noFill/>
        </a:ln>
      </c:spPr>
      <c:txPr>
        <a:bodyPr/>
        <a:lstStyle/>
        <a:p>
          <a:pPr>
            <a:defRPr sz="735" b="0" i="0" u="none" strike="noStrike" baseline="0">
              <a:solidFill>
                <a:srgbClr val="333333"/>
              </a:solidFill>
              <a:latin typeface="Arial"/>
              <a:ea typeface="Arial"/>
              <a:cs typeface="Arial"/>
            </a:defRPr>
          </a:pPr>
          <a:endParaRPr lang="de-DE"/>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8" orientation="landscape" horizontalDpi="-3" verticalDpi="1200"/>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81015882818377"/>
          <c:y val="4.3421494699833238E-2"/>
          <c:w val="0.80661591112311914"/>
          <c:h val="0.7454412290295005"/>
        </c:manualLayout>
      </c:layout>
      <c:barChart>
        <c:barDir val="col"/>
        <c:grouping val="clustered"/>
        <c:varyColors val="0"/>
        <c:ser>
          <c:idx val="0"/>
          <c:order val="0"/>
          <c:spPr>
            <a:solidFill>
              <a:srgbClr val="333333"/>
            </a:solidFill>
            <a:ln w="25400">
              <a:noFill/>
            </a:ln>
          </c:spPr>
          <c:invertIfNegative val="0"/>
          <c:cat>
            <c:strRef>
              <c:f>Profile!$B$271:$B$282</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Profile!$D$271:$D$282</c:f>
              <c:numCache>
                <c:formatCode>0.0</c:formatCode>
                <c:ptCount val="12"/>
                <c:pt idx="0">
                  <c:v>0.7</c:v>
                </c:pt>
                <c:pt idx="1">
                  <c:v>0.7</c:v>
                </c:pt>
                <c:pt idx="2">
                  <c:v>0.7</c:v>
                </c:pt>
                <c:pt idx="3">
                  <c:v>0.7</c:v>
                </c:pt>
                <c:pt idx="4">
                  <c:v>0.7</c:v>
                </c:pt>
                <c:pt idx="5">
                  <c:v>0.7</c:v>
                </c:pt>
                <c:pt idx="6">
                  <c:v>0.7</c:v>
                </c:pt>
                <c:pt idx="7">
                  <c:v>0.7</c:v>
                </c:pt>
                <c:pt idx="8">
                  <c:v>0.7</c:v>
                </c:pt>
                <c:pt idx="9">
                  <c:v>0.7</c:v>
                </c:pt>
                <c:pt idx="10">
                  <c:v>0.7</c:v>
                </c:pt>
                <c:pt idx="11">
                  <c:v>0.7</c:v>
                </c:pt>
              </c:numCache>
            </c:numRef>
          </c:val>
          <c:extLst>
            <c:ext xmlns:c16="http://schemas.microsoft.com/office/drawing/2014/chart" uri="{C3380CC4-5D6E-409C-BE32-E72D297353CC}">
              <c16:uniqueId val="{00000000-BC42-41E8-8C85-49F20436218A}"/>
            </c:ext>
          </c:extLst>
        </c:ser>
        <c:dLbls>
          <c:showLegendKey val="0"/>
          <c:showVal val="0"/>
          <c:showCatName val="0"/>
          <c:showSerName val="0"/>
          <c:showPercent val="0"/>
          <c:showBubbleSize val="0"/>
        </c:dLbls>
        <c:gapWidth val="300"/>
        <c:axId val="113354240"/>
        <c:axId val="113355776"/>
      </c:barChart>
      <c:catAx>
        <c:axId val="113354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113355776"/>
        <c:crosses val="autoZero"/>
        <c:auto val="1"/>
        <c:lblAlgn val="ctr"/>
        <c:lblOffset val="100"/>
        <c:tickLblSkip val="1"/>
        <c:tickMarkSkip val="1"/>
        <c:noMultiLvlLbl val="0"/>
      </c:catAx>
      <c:valAx>
        <c:axId val="113355776"/>
        <c:scaling>
          <c:orientation val="minMax"/>
          <c:max val="1"/>
          <c:min val="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113354240"/>
        <c:crosses val="autoZero"/>
        <c:crossBetween val="between"/>
        <c:majorUnit val="0.2"/>
        <c:minorUnit val="0.01"/>
      </c:valAx>
      <c:spPr>
        <a:noFill/>
        <a:ln w="25400">
          <a:noFill/>
        </a:ln>
      </c:spPr>
    </c:plotArea>
    <c:plotVisOnly val="1"/>
    <c:dispBlanksAs val="gap"/>
    <c:showDLblsOverMax val="0"/>
  </c:chart>
  <c:spPr>
    <a:no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00" verticalDpi="300"/>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59384228063858E-2"/>
          <c:y val="3.0757670553688374E-2"/>
          <c:w val="0.93455554037412214"/>
          <c:h val="0.84243080074323962"/>
        </c:manualLayout>
      </c:layout>
      <c:barChart>
        <c:barDir val="col"/>
        <c:grouping val="clustered"/>
        <c:varyColors val="0"/>
        <c:ser>
          <c:idx val="0"/>
          <c:order val="0"/>
          <c:tx>
            <c:v>SIA 2024: 2006</c:v>
          </c:tx>
          <c:invertIfNegative val="0"/>
          <c:cat>
            <c:strRef>
              <c:f>Int_Wärmelasten!$A$7:$A$51</c:f>
              <c:strCache>
                <c:ptCount val="45"/>
                <c:pt idx="0">
                  <c:v>1.1</c:v>
                </c:pt>
                <c:pt idx="1">
                  <c:v>1.2</c:v>
                </c:pt>
                <c:pt idx="2">
                  <c:v>2.1</c:v>
                </c:pt>
                <c:pt idx="3">
                  <c:v>2.2</c:v>
                </c:pt>
                <c:pt idx="4">
                  <c:v>3.1</c:v>
                </c:pt>
                <c:pt idx="5">
                  <c:v>3.2</c:v>
                </c:pt>
                <c:pt idx="6">
                  <c:v>3.3</c:v>
                </c:pt>
                <c:pt idx="7">
                  <c:v>3.4</c:v>
                </c:pt>
                <c:pt idx="8">
                  <c:v>4.1</c:v>
                </c:pt>
                <c:pt idx="9">
                  <c:v>4.2</c:v>
                </c:pt>
                <c:pt idx="10">
                  <c:v>4.3</c:v>
                </c:pt>
                <c:pt idx="11">
                  <c:v>4.4</c:v>
                </c:pt>
                <c:pt idx="12">
                  <c:v>4.5</c:v>
                </c:pt>
                <c:pt idx="13">
                  <c:v>5.1</c:v>
                </c:pt>
                <c:pt idx="14">
                  <c:v>5.2</c:v>
                </c:pt>
                <c:pt idx="15">
                  <c:v>5.3</c:v>
                </c:pt>
                <c:pt idx="16">
                  <c:v>6.1</c:v>
                </c:pt>
                <c:pt idx="17">
                  <c:v>6.2</c:v>
                </c:pt>
                <c:pt idx="18">
                  <c:v>6.3</c:v>
                </c:pt>
                <c:pt idx="19">
                  <c:v>6.4</c:v>
                </c:pt>
                <c:pt idx="20">
                  <c:v>7.1</c:v>
                </c:pt>
                <c:pt idx="21">
                  <c:v>7.2</c:v>
                </c:pt>
                <c:pt idx="22">
                  <c:v>7.3</c:v>
                </c:pt>
                <c:pt idx="23">
                  <c:v>8.1</c:v>
                </c:pt>
                <c:pt idx="24">
                  <c:v>8.2</c:v>
                </c:pt>
                <c:pt idx="25">
                  <c:v>8.3</c:v>
                </c:pt>
                <c:pt idx="26">
                  <c:v>9.1</c:v>
                </c:pt>
                <c:pt idx="27">
                  <c:v>9.2</c:v>
                </c:pt>
                <c:pt idx="28">
                  <c:v>9.3</c:v>
                </c:pt>
                <c:pt idx="29">
                  <c:v>10.1</c:v>
                </c:pt>
                <c:pt idx="30">
                  <c:v>11.1</c:v>
                </c:pt>
                <c:pt idx="31">
                  <c:v>11.2</c:v>
                </c:pt>
                <c:pt idx="32">
                  <c:v>11.3</c:v>
                </c:pt>
                <c:pt idx="33">
                  <c:v>12.1</c:v>
                </c:pt>
                <c:pt idx="34">
                  <c:v>12.2</c:v>
                </c:pt>
                <c:pt idx="35">
                  <c:v>12.3</c:v>
                </c:pt>
                <c:pt idx="36">
                  <c:v>12.4</c:v>
                </c:pt>
                <c:pt idx="37">
                  <c:v>12.5</c:v>
                </c:pt>
                <c:pt idx="38">
                  <c:v>12.6</c:v>
                </c:pt>
                <c:pt idx="39">
                  <c:v>12.7</c:v>
                </c:pt>
                <c:pt idx="40">
                  <c:v>12.8</c:v>
                </c:pt>
                <c:pt idx="41">
                  <c:v>12.9</c:v>
                </c:pt>
                <c:pt idx="42">
                  <c:v>12.10</c:v>
                </c:pt>
                <c:pt idx="43">
                  <c:v>12.1</c:v>
                </c:pt>
                <c:pt idx="44">
                  <c:v>12.1</c:v>
                </c:pt>
              </c:strCache>
            </c:strRef>
          </c:cat>
          <c:val>
            <c:numRef>
              <c:f>Int_Wärmelasten!$R$7:$R$51</c:f>
              <c:numCache>
                <c:formatCode>0</c:formatCode>
                <c:ptCount val="45"/>
                <c:pt idx="1">
                  <c:v>80</c:v>
                </c:pt>
                <c:pt idx="2">
                  <c:v>120</c:v>
                </c:pt>
                <c:pt idx="3">
                  <c:v>270</c:v>
                </c:pt>
                <c:pt idx="4">
                  <c:v>80</c:v>
                </c:pt>
                <c:pt idx="5">
                  <c:v>190</c:v>
                </c:pt>
                <c:pt idx="6">
                  <c:v>100</c:v>
                </c:pt>
                <c:pt idx="7">
                  <c:v>90</c:v>
                </c:pt>
                <c:pt idx="8">
                  <c:v>160</c:v>
                </c:pt>
                <c:pt idx="9">
                  <c:v>170</c:v>
                </c:pt>
                <c:pt idx="10">
                  <c:v>130</c:v>
                </c:pt>
                <c:pt idx="11">
                  <c:v>310</c:v>
                </c:pt>
                <c:pt idx="12">
                  <c:v>130</c:v>
                </c:pt>
                <c:pt idx="13">
                  <c:v>230</c:v>
                </c:pt>
                <c:pt idx="14">
                  <c:v>480</c:v>
                </c:pt>
                <c:pt idx="15">
                  <c:v>260</c:v>
                </c:pt>
                <c:pt idx="16">
                  <c:v>200</c:v>
                </c:pt>
                <c:pt idx="17">
                  <c:v>150</c:v>
                </c:pt>
                <c:pt idx="18">
                  <c:v>1800</c:v>
                </c:pt>
                <c:pt idx="19">
                  <c:v>1460</c:v>
                </c:pt>
                <c:pt idx="20">
                  <c:v>390</c:v>
                </c:pt>
                <c:pt idx="21">
                  <c:v>430</c:v>
                </c:pt>
                <c:pt idx="22">
                  <c:v>540</c:v>
                </c:pt>
                <c:pt idx="23">
                  <c:v>150</c:v>
                </c:pt>
                <c:pt idx="24">
                  <c:v>370</c:v>
                </c:pt>
                <c:pt idx="25">
                  <c:v>350</c:v>
                </c:pt>
                <c:pt idx="26">
                  <c:v>440</c:v>
                </c:pt>
                <c:pt idx="27">
                  <c:v>560</c:v>
                </c:pt>
                <c:pt idx="29">
                  <c:v>140</c:v>
                </c:pt>
                <c:pt idx="30">
                  <c:v>120</c:v>
                </c:pt>
                <c:pt idx="31">
                  <c:v>360</c:v>
                </c:pt>
                <c:pt idx="32">
                  <c:v>130</c:v>
                </c:pt>
                <c:pt idx="33">
                  <c:v>0</c:v>
                </c:pt>
                <c:pt idx="36">
                  <c:v>0</c:v>
                </c:pt>
                <c:pt idx="37">
                  <c:v>470</c:v>
                </c:pt>
                <c:pt idx="38">
                  <c:v>70</c:v>
                </c:pt>
                <c:pt idx="39">
                  <c:v>50</c:v>
                </c:pt>
                <c:pt idx="40">
                  <c:v>100</c:v>
                </c:pt>
                <c:pt idx="41">
                  <c:v>20</c:v>
                </c:pt>
                <c:pt idx="42">
                  <c:v>130</c:v>
                </c:pt>
                <c:pt idx="43">
                  <c:v>0</c:v>
                </c:pt>
                <c:pt idx="44">
                  <c:v>12000</c:v>
                </c:pt>
              </c:numCache>
            </c:numRef>
          </c:val>
          <c:extLst>
            <c:ext xmlns:c16="http://schemas.microsoft.com/office/drawing/2014/chart" uri="{C3380CC4-5D6E-409C-BE32-E72D297353CC}">
              <c16:uniqueId val="{00000000-C27B-4ACA-A69F-31D98505F6AA}"/>
            </c:ext>
          </c:extLst>
        </c:ser>
        <c:ser>
          <c:idx val="1"/>
          <c:order val="1"/>
          <c:tx>
            <c:v>SIA 2024: 2013 VL</c:v>
          </c:tx>
          <c:invertIfNegative val="0"/>
          <c:cat>
            <c:strRef>
              <c:f>Int_Wärmelasten!$A$7:$A$51</c:f>
              <c:strCache>
                <c:ptCount val="45"/>
                <c:pt idx="0">
                  <c:v>1.1</c:v>
                </c:pt>
                <c:pt idx="1">
                  <c:v>1.2</c:v>
                </c:pt>
                <c:pt idx="2">
                  <c:v>2.1</c:v>
                </c:pt>
                <c:pt idx="3">
                  <c:v>2.2</c:v>
                </c:pt>
                <c:pt idx="4">
                  <c:v>3.1</c:v>
                </c:pt>
                <c:pt idx="5">
                  <c:v>3.2</c:v>
                </c:pt>
                <c:pt idx="6">
                  <c:v>3.3</c:v>
                </c:pt>
                <c:pt idx="7">
                  <c:v>3.4</c:v>
                </c:pt>
                <c:pt idx="8">
                  <c:v>4.1</c:v>
                </c:pt>
                <c:pt idx="9">
                  <c:v>4.2</c:v>
                </c:pt>
                <c:pt idx="10">
                  <c:v>4.3</c:v>
                </c:pt>
                <c:pt idx="11">
                  <c:v>4.4</c:v>
                </c:pt>
                <c:pt idx="12">
                  <c:v>4.5</c:v>
                </c:pt>
                <c:pt idx="13">
                  <c:v>5.1</c:v>
                </c:pt>
                <c:pt idx="14">
                  <c:v>5.2</c:v>
                </c:pt>
                <c:pt idx="15">
                  <c:v>5.3</c:v>
                </c:pt>
                <c:pt idx="16">
                  <c:v>6.1</c:v>
                </c:pt>
                <c:pt idx="17">
                  <c:v>6.2</c:v>
                </c:pt>
                <c:pt idx="18">
                  <c:v>6.3</c:v>
                </c:pt>
                <c:pt idx="19">
                  <c:v>6.4</c:v>
                </c:pt>
                <c:pt idx="20">
                  <c:v>7.1</c:v>
                </c:pt>
                <c:pt idx="21">
                  <c:v>7.2</c:v>
                </c:pt>
                <c:pt idx="22">
                  <c:v>7.3</c:v>
                </c:pt>
                <c:pt idx="23">
                  <c:v>8.1</c:v>
                </c:pt>
                <c:pt idx="24">
                  <c:v>8.2</c:v>
                </c:pt>
                <c:pt idx="25">
                  <c:v>8.3</c:v>
                </c:pt>
                <c:pt idx="26">
                  <c:v>9.1</c:v>
                </c:pt>
                <c:pt idx="27">
                  <c:v>9.2</c:v>
                </c:pt>
                <c:pt idx="28">
                  <c:v>9.3</c:v>
                </c:pt>
                <c:pt idx="29">
                  <c:v>10.1</c:v>
                </c:pt>
                <c:pt idx="30">
                  <c:v>11.1</c:v>
                </c:pt>
                <c:pt idx="31">
                  <c:v>11.2</c:v>
                </c:pt>
                <c:pt idx="32">
                  <c:v>11.3</c:v>
                </c:pt>
                <c:pt idx="33">
                  <c:v>12.1</c:v>
                </c:pt>
                <c:pt idx="34">
                  <c:v>12.2</c:v>
                </c:pt>
                <c:pt idx="35">
                  <c:v>12.3</c:v>
                </c:pt>
                <c:pt idx="36">
                  <c:v>12.4</c:v>
                </c:pt>
                <c:pt idx="37">
                  <c:v>12.5</c:v>
                </c:pt>
                <c:pt idx="38">
                  <c:v>12.6</c:v>
                </c:pt>
                <c:pt idx="39">
                  <c:v>12.7</c:v>
                </c:pt>
                <c:pt idx="40">
                  <c:v>12.8</c:v>
                </c:pt>
                <c:pt idx="41">
                  <c:v>12.9</c:v>
                </c:pt>
                <c:pt idx="42">
                  <c:v>12.10</c:v>
                </c:pt>
                <c:pt idx="43">
                  <c:v>12.1</c:v>
                </c:pt>
                <c:pt idx="44">
                  <c:v>12.1</c:v>
                </c:pt>
              </c:strCache>
            </c:strRef>
          </c:cat>
          <c:val>
            <c:numRef>
              <c:f>Int_Wärmelasten!$S$7:$S$51</c:f>
              <c:numCache>
                <c:formatCode>0</c:formatCode>
                <c:ptCount val="45"/>
                <c:pt idx="1">
                  <c:v>127.99811273195876</c:v>
                </c:pt>
                <c:pt idx="2">
                  <c:v>135.22558226574134</c:v>
                </c:pt>
                <c:pt idx="3">
                  <c:v>355.71379005521885</c:v>
                </c:pt>
                <c:pt idx="4">
                  <c:v>185.92830021766713</c:v>
                </c:pt>
                <c:pt idx="5">
                  <c:v>244.5861287337238</c:v>
                </c:pt>
                <c:pt idx="6">
                  <c:v>154.88816375509117</c:v>
                </c:pt>
                <c:pt idx="7">
                  <c:v>144.16773109205781</c:v>
                </c:pt>
                <c:pt idx="8">
                  <c:v>302.35039522941366</c:v>
                </c:pt>
                <c:pt idx="9">
                  <c:v>234.5737979906819</c:v>
                </c:pt>
                <c:pt idx="10">
                  <c:v>145.1582236794124</c:v>
                </c:pt>
                <c:pt idx="11">
                  <c:v>411.98612873372383</c:v>
                </c:pt>
                <c:pt idx="12">
                  <c:v>231.67039522941366</c:v>
                </c:pt>
                <c:pt idx="13">
                  <c:v>172.10760280833858</c:v>
                </c:pt>
                <c:pt idx="14">
                  <c:v>497.30760280833852</c:v>
                </c:pt>
                <c:pt idx="15">
                  <c:v>289.2882236509106</c:v>
                </c:pt>
                <c:pt idx="16">
                  <c:v>252.02681618060899</c:v>
                </c:pt>
                <c:pt idx="17">
                  <c:v>153.39491981566766</c:v>
                </c:pt>
                <c:pt idx="18">
                  <c:v>2225.1050894834971</c:v>
                </c:pt>
                <c:pt idx="19">
                  <c:v>1480.9704689639555</c:v>
                </c:pt>
                <c:pt idx="20">
                  <c:v>302.77312638580929</c:v>
                </c:pt>
                <c:pt idx="21">
                  <c:v>395.80478799666673</c:v>
                </c:pt>
                <c:pt idx="22">
                  <c:v>429.4047879966667</c:v>
                </c:pt>
                <c:pt idx="23">
                  <c:v>192.54827141631685</c:v>
                </c:pt>
                <c:pt idx="24">
                  <c:v>498.46938914688667</c:v>
                </c:pt>
                <c:pt idx="25">
                  <c:v>358.62830021766712</c:v>
                </c:pt>
                <c:pt idx="26">
                  <c:v>346.69410063524771</c:v>
                </c:pt>
                <c:pt idx="27">
                  <c:v>241.8530632813945</c:v>
                </c:pt>
                <c:pt idx="28">
                  <c:v>318.49639698188207</c:v>
                </c:pt>
                <c:pt idx="29">
                  <c:v>85.064930085079837</c:v>
                </c:pt>
                <c:pt idx="30">
                  <c:v>169.43735768472166</c:v>
                </c:pt>
                <c:pt idx="31">
                  <c:v>273.33305323254604</c:v>
                </c:pt>
                <c:pt idx="32">
                  <c:v>213.36052006898359</c:v>
                </c:pt>
                <c:pt idx="33">
                  <c:v>57.595525732006919</c:v>
                </c:pt>
                <c:pt idx="34">
                  <c:v>173.11157515193597</c:v>
                </c:pt>
                <c:pt idx="35">
                  <c:v>57.595525732006919</c:v>
                </c:pt>
                <c:pt idx="36">
                  <c:v>40.028361086803471</c:v>
                </c:pt>
                <c:pt idx="37">
                  <c:v>351.26399904789645</c:v>
                </c:pt>
                <c:pt idx="38">
                  <c:v>60.358612203503867</c:v>
                </c:pt>
                <c:pt idx="39">
                  <c:v>189.21798857289977</c:v>
                </c:pt>
                <c:pt idx="40">
                  <c:v>92.960190639896808</c:v>
                </c:pt>
                <c:pt idx="41">
                  <c:v>31.562038404726742</c:v>
                </c:pt>
                <c:pt idx="42">
                  <c:v>229.93168767562378</c:v>
                </c:pt>
                <c:pt idx="43">
                  <c:v>0</c:v>
                </c:pt>
                <c:pt idx="44">
                  <c:v>2400</c:v>
                </c:pt>
              </c:numCache>
            </c:numRef>
          </c:val>
          <c:extLst>
            <c:ext xmlns:c16="http://schemas.microsoft.com/office/drawing/2014/chart" uri="{C3380CC4-5D6E-409C-BE32-E72D297353CC}">
              <c16:uniqueId val="{00000001-C27B-4ACA-A69F-31D98505F6AA}"/>
            </c:ext>
          </c:extLst>
        </c:ser>
        <c:ser>
          <c:idx val="2"/>
          <c:order val="2"/>
          <c:tx>
            <c:v>SIA 2024 Vorschlag 19.03.2014</c:v>
          </c:tx>
          <c:invertIfNegative val="0"/>
          <c:cat>
            <c:strRef>
              <c:f>Int_Wärmelasten!$A$7:$A$51</c:f>
              <c:strCache>
                <c:ptCount val="45"/>
                <c:pt idx="0">
                  <c:v>1.1</c:v>
                </c:pt>
                <c:pt idx="1">
                  <c:v>1.2</c:v>
                </c:pt>
                <c:pt idx="2">
                  <c:v>2.1</c:v>
                </c:pt>
                <c:pt idx="3">
                  <c:v>2.2</c:v>
                </c:pt>
                <c:pt idx="4">
                  <c:v>3.1</c:v>
                </c:pt>
                <c:pt idx="5">
                  <c:v>3.2</c:v>
                </c:pt>
                <c:pt idx="6">
                  <c:v>3.3</c:v>
                </c:pt>
                <c:pt idx="7">
                  <c:v>3.4</c:v>
                </c:pt>
                <c:pt idx="8">
                  <c:v>4.1</c:v>
                </c:pt>
                <c:pt idx="9">
                  <c:v>4.2</c:v>
                </c:pt>
                <c:pt idx="10">
                  <c:v>4.3</c:v>
                </c:pt>
                <c:pt idx="11">
                  <c:v>4.4</c:v>
                </c:pt>
                <c:pt idx="12">
                  <c:v>4.5</c:v>
                </c:pt>
                <c:pt idx="13">
                  <c:v>5.1</c:v>
                </c:pt>
                <c:pt idx="14">
                  <c:v>5.2</c:v>
                </c:pt>
                <c:pt idx="15">
                  <c:v>5.3</c:v>
                </c:pt>
                <c:pt idx="16">
                  <c:v>6.1</c:v>
                </c:pt>
                <c:pt idx="17">
                  <c:v>6.2</c:v>
                </c:pt>
                <c:pt idx="18">
                  <c:v>6.3</c:v>
                </c:pt>
                <c:pt idx="19">
                  <c:v>6.4</c:v>
                </c:pt>
                <c:pt idx="20">
                  <c:v>7.1</c:v>
                </c:pt>
                <c:pt idx="21">
                  <c:v>7.2</c:v>
                </c:pt>
                <c:pt idx="22">
                  <c:v>7.3</c:v>
                </c:pt>
                <c:pt idx="23">
                  <c:v>8.1</c:v>
                </c:pt>
                <c:pt idx="24">
                  <c:v>8.2</c:v>
                </c:pt>
                <c:pt idx="25">
                  <c:v>8.3</c:v>
                </c:pt>
                <c:pt idx="26">
                  <c:v>9.1</c:v>
                </c:pt>
                <c:pt idx="27">
                  <c:v>9.2</c:v>
                </c:pt>
                <c:pt idx="28">
                  <c:v>9.3</c:v>
                </c:pt>
                <c:pt idx="29">
                  <c:v>10.1</c:v>
                </c:pt>
                <c:pt idx="30">
                  <c:v>11.1</c:v>
                </c:pt>
                <c:pt idx="31">
                  <c:v>11.2</c:v>
                </c:pt>
                <c:pt idx="32">
                  <c:v>11.3</c:v>
                </c:pt>
                <c:pt idx="33">
                  <c:v>12.1</c:v>
                </c:pt>
                <c:pt idx="34">
                  <c:v>12.2</c:v>
                </c:pt>
                <c:pt idx="35">
                  <c:v>12.3</c:v>
                </c:pt>
                <c:pt idx="36">
                  <c:v>12.4</c:v>
                </c:pt>
                <c:pt idx="37">
                  <c:v>12.5</c:v>
                </c:pt>
                <c:pt idx="38">
                  <c:v>12.6</c:v>
                </c:pt>
                <c:pt idx="39">
                  <c:v>12.7</c:v>
                </c:pt>
                <c:pt idx="40">
                  <c:v>12.8</c:v>
                </c:pt>
                <c:pt idx="41">
                  <c:v>12.9</c:v>
                </c:pt>
                <c:pt idx="42">
                  <c:v>12.10</c:v>
                </c:pt>
                <c:pt idx="43">
                  <c:v>12.1</c:v>
                </c:pt>
                <c:pt idx="44">
                  <c:v>12.1</c:v>
                </c:pt>
              </c:strCache>
            </c:strRef>
          </c:cat>
          <c:val>
            <c:numRef>
              <c:f>Int_Wärmelasten!$U$7:$U$51</c:f>
              <c:numCache>
                <c:formatCode>0</c:formatCode>
                <c:ptCount val="45"/>
                <c:pt idx="1">
                  <c:v>71.144092301475752</c:v>
                </c:pt>
                <c:pt idx="2">
                  <c:v>108.08367098742613</c:v>
                </c:pt>
                <c:pt idx="3">
                  <c:v>331.91654660728619</c:v>
                </c:pt>
                <c:pt idx="4">
                  <c:v>106.88184453194128</c:v>
                </c:pt>
                <c:pt idx="5">
                  <c:v>234.68301296320766</c:v>
                </c:pt>
                <c:pt idx="6">
                  <c:v>112.66575048119464</c:v>
                </c:pt>
                <c:pt idx="7">
                  <c:v>96.507530909778069</c:v>
                </c:pt>
                <c:pt idx="8">
                  <c:v>244.96902965911369</c:v>
                </c:pt>
                <c:pt idx="9">
                  <c:v>174.3029936084738</c:v>
                </c:pt>
                <c:pt idx="10">
                  <c:v>120.25300780185464</c:v>
                </c:pt>
                <c:pt idx="11">
                  <c:v>402.08301296320769</c:v>
                </c:pt>
                <c:pt idx="12">
                  <c:v>174.28902965911371</c:v>
                </c:pt>
                <c:pt idx="13">
                  <c:v>132.21454428368259</c:v>
                </c:pt>
                <c:pt idx="14">
                  <c:v>468.41454428368252</c:v>
                </c:pt>
                <c:pt idx="15">
                  <c:v>269.67454428368251</c:v>
                </c:pt>
                <c:pt idx="16">
                  <c:v>239.95634932444844</c:v>
                </c:pt>
                <c:pt idx="17">
                  <c:v>153.93006721064222</c:v>
                </c:pt>
                <c:pt idx="18">
                  <c:v>2152.2728414590247</c:v>
                </c:pt>
                <c:pt idx="19">
                  <c:v>1475.7010109688676</c:v>
                </c:pt>
                <c:pt idx="20">
                  <c:v>324.39175166297116</c:v>
                </c:pt>
                <c:pt idx="21">
                  <c:v>335.12491912551997</c:v>
                </c:pt>
                <c:pt idx="22">
                  <c:v>368.72491912551993</c:v>
                </c:pt>
                <c:pt idx="23">
                  <c:v>161.55810292900239</c:v>
                </c:pt>
                <c:pt idx="24">
                  <c:v>514.7042401762244</c:v>
                </c:pt>
                <c:pt idx="25">
                  <c:v>279.58184453194127</c:v>
                </c:pt>
                <c:pt idx="26">
                  <c:v>361.67942023416742</c:v>
                </c:pt>
                <c:pt idx="27">
                  <c:v>201.54466161921201</c:v>
                </c:pt>
                <c:pt idx="28">
                  <c:v>230.67647765971938</c:v>
                </c:pt>
                <c:pt idx="29">
                  <c:v>90.450261256793098</c:v>
                </c:pt>
                <c:pt idx="30">
                  <c:v>115.08650111497667</c:v>
                </c:pt>
                <c:pt idx="31">
                  <c:v>262.15693266525739</c:v>
                </c:pt>
                <c:pt idx="32">
                  <c:v>174.82297797776386</c:v>
                </c:pt>
                <c:pt idx="33">
                  <c:v>45.173709565444362</c:v>
                </c:pt>
                <c:pt idx="34">
                  <c:v>239.57402993912567</c:v>
                </c:pt>
                <c:pt idx="35">
                  <c:v>45.173709565444362</c:v>
                </c:pt>
                <c:pt idx="36">
                  <c:v>1.1966846696036487E-2</c:v>
                </c:pt>
                <c:pt idx="37">
                  <c:v>407.40090333664625</c:v>
                </c:pt>
                <c:pt idx="38">
                  <c:v>12.233789798768562</c:v>
                </c:pt>
                <c:pt idx="39">
                  <c:v>223.55329012981105</c:v>
                </c:pt>
                <c:pt idx="40">
                  <c:v>11.540396242992143</c:v>
                </c:pt>
                <c:pt idx="41">
                  <c:v>44.600590841949781</c:v>
                </c:pt>
                <c:pt idx="42">
                  <c:v>157.5403962429921</c:v>
                </c:pt>
                <c:pt idx="43">
                  <c:v>11.301044634377966</c:v>
                </c:pt>
                <c:pt idx="44">
                  <c:v>2413.2621082621081</c:v>
                </c:pt>
              </c:numCache>
            </c:numRef>
          </c:val>
          <c:extLst>
            <c:ext xmlns:c16="http://schemas.microsoft.com/office/drawing/2014/chart" uri="{C3380CC4-5D6E-409C-BE32-E72D297353CC}">
              <c16:uniqueId val="{00000002-C27B-4ACA-A69F-31D98505F6AA}"/>
            </c:ext>
          </c:extLst>
        </c:ser>
        <c:dLbls>
          <c:showLegendKey val="0"/>
          <c:showVal val="0"/>
          <c:showCatName val="0"/>
          <c:showSerName val="0"/>
          <c:showPercent val="0"/>
          <c:showBubbleSize val="0"/>
        </c:dLbls>
        <c:gapWidth val="150"/>
        <c:axId val="127505152"/>
        <c:axId val="127506688"/>
      </c:barChart>
      <c:catAx>
        <c:axId val="127505152"/>
        <c:scaling>
          <c:orientation val="minMax"/>
        </c:scaling>
        <c:delete val="0"/>
        <c:axPos val="b"/>
        <c:numFmt formatCode="General" sourceLinked="1"/>
        <c:majorTickMark val="out"/>
        <c:minorTickMark val="none"/>
        <c:tickLblPos val="nextTo"/>
        <c:crossAx val="127506688"/>
        <c:crosses val="autoZero"/>
        <c:auto val="1"/>
        <c:lblAlgn val="ctr"/>
        <c:lblOffset val="100"/>
        <c:noMultiLvlLbl val="0"/>
      </c:catAx>
      <c:valAx>
        <c:axId val="127506688"/>
        <c:scaling>
          <c:orientation val="minMax"/>
          <c:max val="1000"/>
        </c:scaling>
        <c:delete val="0"/>
        <c:axPos val="l"/>
        <c:majorGridlines/>
        <c:title>
          <c:tx>
            <c:rich>
              <a:bodyPr rot="-5400000" vert="horz"/>
              <a:lstStyle/>
              <a:p>
                <a:pPr>
                  <a:defRPr/>
                </a:pPr>
                <a:r>
                  <a:rPr lang="en-US"/>
                  <a:t>Interne Wärmeeinträge pro Tag, in Wh/m2d</a:t>
                </a:r>
              </a:p>
            </c:rich>
          </c:tx>
          <c:overlay val="0"/>
        </c:title>
        <c:numFmt formatCode="0" sourceLinked="1"/>
        <c:majorTickMark val="out"/>
        <c:minorTickMark val="none"/>
        <c:tickLblPos val="nextTo"/>
        <c:crossAx val="127505152"/>
        <c:crosses val="autoZero"/>
        <c:crossBetween val="between"/>
      </c:valAx>
    </c:plotArea>
    <c:legend>
      <c:legendPos val="r"/>
      <c:layout>
        <c:manualLayout>
          <c:xMode val="edge"/>
          <c:yMode val="edge"/>
          <c:x val="0.76143565632761057"/>
          <c:y val="8.2195394701165617E-2"/>
          <c:w val="0.16454133265221857"/>
          <c:h val="0.1867962757115785"/>
        </c:manualLayout>
      </c:layout>
      <c:overlay val="1"/>
      <c:spPr>
        <a:solidFill>
          <a:schemeClr val="bg1"/>
        </a:solidFill>
      </c:spPr>
    </c:legend>
    <c:plotVisOnly val="1"/>
    <c:dispBlanksAs val="gap"/>
    <c:showDLblsOverMax val="0"/>
  </c:chart>
  <c:spPr>
    <a:solidFill>
      <a:schemeClr val="bg1"/>
    </a:solidFill>
    <a:ln>
      <a:noFill/>
    </a:ln>
  </c:spPr>
  <c:txPr>
    <a:bodyPr/>
    <a:lstStyle/>
    <a:p>
      <a:pPr>
        <a:defRPr sz="1200"/>
      </a:pPr>
      <a:endParaRPr lang="de-DE"/>
    </a:p>
  </c:txPr>
  <c:printSettings>
    <c:headerFooter/>
    <c:pageMargins b="0.78740157499999996" l="0.7" r="0.7" t="0.78740157499999996"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4117259647362928E-2"/>
          <c:y val="3.5614166214459043E-2"/>
          <c:w val="0.9375803353526424"/>
          <c:h val="0.83777839209757221"/>
        </c:manualLayout>
      </c:layout>
      <c:barChart>
        <c:barDir val="col"/>
        <c:grouping val="stacked"/>
        <c:varyColors val="0"/>
        <c:ser>
          <c:idx val="0"/>
          <c:order val="0"/>
          <c:tx>
            <c:strRef>
              <c:f>Int_Wärmelasten!$W$5</c:f>
              <c:strCache>
                <c:ptCount val="1"/>
                <c:pt idx="0">
                  <c:v>Personen</c:v>
                </c:pt>
              </c:strCache>
            </c:strRef>
          </c:tx>
          <c:spPr>
            <a:solidFill>
              <a:srgbClr val="92D050"/>
            </a:solidFill>
          </c:spPr>
          <c:invertIfNegative val="0"/>
          <c:cat>
            <c:strRef>
              <c:f>Int_Wärmelasten!$A$7:$A$51</c:f>
              <c:strCache>
                <c:ptCount val="45"/>
                <c:pt idx="0">
                  <c:v>1.1</c:v>
                </c:pt>
                <c:pt idx="1">
                  <c:v>1.2</c:v>
                </c:pt>
                <c:pt idx="2">
                  <c:v>2.1</c:v>
                </c:pt>
                <c:pt idx="3">
                  <c:v>2.2</c:v>
                </c:pt>
                <c:pt idx="4">
                  <c:v>3.1</c:v>
                </c:pt>
                <c:pt idx="5">
                  <c:v>3.2</c:v>
                </c:pt>
                <c:pt idx="6">
                  <c:v>3.3</c:v>
                </c:pt>
                <c:pt idx="7">
                  <c:v>3.4</c:v>
                </c:pt>
                <c:pt idx="8">
                  <c:v>4.1</c:v>
                </c:pt>
                <c:pt idx="9">
                  <c:v>4.2</c:v>
                </c:pt>
                <c:pt idx="10">
                  <c:v>4.3</c:v>
                </c:pt>
                <c:pt idx="11">
                  <c:v>4.4</c:v>
                </c:pt>
                <c:pt idx="12">
                  <c:v>4.5</c:v>
                </c:pt>
                <c:pt idx="13">
                  <c:v>5.1</c:v>
                </c:pt>
                <c:pt idx="14">
                  <c:v>5.2</c:v>
                </c:pt>
                <c:pt idx="15">
                  <c:v>5.3</c:v>
                </c:pt>
                <c:pt idx="16">
                  <c:v>6.1</c:v>
                </c:pt>
                <c:pt idx="17">
                  <c:v>6.2</c:v>
                </c:pt>
                <c:pt idx="18">
                  <c:v>6.3</c:v>
                </c:pt>
                <c:pt idx="19">
                  <c:v>6.4</c:v>
                </c:pt>
                <c:pt idx="20">
                  <c:v>7.1</c:v>
                </c:pt>
                <c:pt idx="21">
                  <c:v>7.2</c:v>
                </c:pt>
                <c:pt idx="22">
                  <c:v>7.3</c:v>
                </c:pt>
                <c:pt idx="23">
                  <c:v>8.1</c:v>
                </c:pt>
                <c:pt idx="24">
                  <c:v>8.2</c:v>
                </c:pt>
                <c:pt idx="25">
                  <c:v>8.3</c:v>
                </c:pt>
                <c:pt idx="26">
                  <c:v>9.1</c:v>
                </c:pt>
                <c:pt idx="27">
                  <c:v>9.2</c:v>
                </c:pt>
                <c:pt idx="28">
                  <c:v>9.3</c:v>
                </c:pt>
                <c:pt idx="29">
                  <c:v>10.1</c:v>
                </c:pt>
                <c:pt idx="30">
                  <c:v>11.1</c:v>
                </c:pt>
                <c:pt idx="31">
                  <c:v>11.2</c:v>
                </c:pt>
                <c:pt idx="32">
                  <c:v>11.3</c:v>
                </c:pt>
                <c:pt idx="33">
                  <c:v>12.1</c:v>
                </c:pt>
                <c:pt idx="34">
                  <c:v>12.2</c:v>
                </c:pt>
                <c:pt idx="35">
                  <c:v>12.3</c:v>
                </c:pt>
                <c:pt idx="36">
                  <c:v>12.4</c:v>
                </c:pt>
                <c:pt idx="37">
                  <c:v>12.5</c:v>
                </c:pt>
                <c:pt idx="38">
                  <c:v>12.6</c:v>
                </c:pt>
                <c:pt idx="39">
                  <c:v>12.7</c:v>
                </c:pt>
                <c:pt idx="40">
                  <c:v>12.8</c:v>
                </c:pt>
                <c:pt idx="41">
                  <c:v>12.9</c:v>
                </c:pt>
                <c:pt idx="42">
                  <c:v>12.10</c:v>
                </c:pt>
                <c:pt idx="43">
                  <c:v>12.1</c:v>
                </c:pt>
                <c:pt idx="44">
                  <c:v>12.1</c:v>
                </c:pt>
              </c:strCache>
            </c:strRef>
          </c:cat>
          <c:val>
            <c:numRef>
              <c:f>Int_Wärmelasten!$W$7:$W$51</c:f>
              <c:numCache>
                <c:formatCode>0</c:formatCode>
                <c:ptCount val="45"/>
                <c:pt idx="0">
                  <c:v>32.200000000000003</c:v>
                </c:pt>
                <c:pt idx="1">
                  <c:v>19.600000000000001</c:v>
                </c:pt>
                <c:pt idx="2">
                  <c:v>57.340000000000011</c:v>
                </c:pt>
                <c:pt idx="3">
                  <c:v>158.19999999999999</c:v>
                </c:pt>
                <c:pt idx="4">
                  <c:v>36</c:v>
                </c:pt>
                <c:pt idx="5">
                  <c:v>50.399999999999991</c:v>
                </c:pt>
                <c:pt idx="6">
                  <c:v>93.2</c:v>
                </c:pt>
                <c:pt idx="7">
                  <c:v>41.76</c:v>
                </c:pt>
                <c:pt idx="8">
                  <c:v>177.07999999999998</c:v>
                </c:pt>
                <c:pt idx="9">
                  <c:v>139.80000000000001</c:v>
                </c:pt>
                <c:pt idx="10">
                  <c:v>84</c:v>
                </c:pt>
                <c:pt idx="11">
                  <c:v>266</c:v>
                </c:pt>
                <c:pt idx="12">
                  <c:v>106.39999999999999</c:v>
                </c:pt>
                <c:pt idx="13">
                  <c:v>58.08</c:v>
                </c:pt>
                <c:pt idx="14">
                  <c:v>58.08</c:v>
                </c:pt>
                <c:pt idx="15">
                  <c:v>29.139999999999997</c:v>
                </c:pt>
                <c:pt idx="16">
                  <c:v>182.00000000000003</c:v>
                </c:pt>
                <c:pt idx="17">
                  <c:v>105</c:v>
                </c:pt>
                <c:pt idx="18">
                  <c:v>154.79999999999998</c:v>
                </c:pt>
                <c:pt idx="19">
                  <c:v>90.000000000000014</c:v>
                </c:pt>
                <c:pt idx="20">
                  <c:v>177.08</c:v>
                </c:pt>
                <c:pt idx="21">
                  <c:v>242.31999999999994</c:v>
                </c:pt>
                <c:pt idx="22">
                  <c:v>242.31999999999994</c:v>
                </c:pt>
                <c:pt idx="23">
                  <c:v>112.80000000000001</c:v>
                </c:pt>
                <c:pt idx="24">
                  <c:v>251.6399999999999</c:v>
                </c:pt>
                <c:pt idx="25">
                  <c:v>100.79999999999998</c:v>
                </c:pt>
                <c:pt idx="26">
                  <c:v>85.199999999999989</c:v>
                </c:pt>
                <c:pt idx="27">
                  <c:v>33.839999999999996</c:v>
                </c:pt>
                <c:pt idx="28">
                  <c:v>33.839999999999996</c:v>
                </c:pt>
                <c:pt idx="29">
                  <c:v>32.659999999999997</c:v>
                </c:pt>
                <c:pt idx="30">
                  <c:v>69.600000000000009</c:v>
                </c:pt>
                <c:pt idx="31">
                  <c:v>139.20000000000002</c:v>
                </c:pt>
                <c:pt idx="32">
                  <c:v>81.200000000000017</c:v>
                </c:pt>
                <c:pt idx="33">
                  <c:v>0</c:v>
                </c:pt>
                <c:pt idx="34">
                  <c:v>0</c:v>
                </c:pt>
                <c:pt idx="35">
                  <c:v>0</c:v>
                </c:pt>
                <c:pt idx="36">
                  <c:v>0</c:v>
                </c:pt>
                <c:pt idx="37">
                  <c:v>64.399999999999991</c:v>
                </c:pt>
                <c:pt idx="38">
                  <c:v>0</c:v>
                </c:pt>
                <c:pt idx="39">
                  <c:v>0</c:v>
                </c:pt>
                <c:pt idx="40">
                  <c:v>0</c:v>
                </c:pt>
                <c:pt idx="41">
                  <c:v>0</c:v>
                </c:pt>
                <c:pt idx="42">
                  <c:v>21</c:v>
                </c:pt>
                <c:pt idx="43">
                  <c:v>0</c:v>
                </c:pt>
                <c:pt idx="44">
                  <c:v>0</c:v>
                </c:pt>
              </c:numCache>
            </c:numRef>
          </c:val>
          <c:extLst>
            <c:ext xmlns:c16="http://schemas.microsoft.com/office/drawing/2014/chart" uri="{C3380CC4-5D6E-409C-BE32-E72D297353CC}">
              <c16:uniqueId val="{00000000-1923-4C0E-81AB-ABC70D89E5A4}"/>
            </c:ext>
          </c:extLst>
        </c:ser>
        <c:ser>
          <c:idx val="1"/>
          <c:order val="1"/>
          <c:tx>
            <c:strRef>
              <c:f>Int_Wärmelasten!$X$5</c:f>
              <c:strCache>
                <c:ptCount val="1"/>
                <c:pt idx="0">
                  <c:v>Betriebseinrichtungen</c:v>
                </c:pt>
              </c:strCache>
            </c:strRef>
          </c:tx>
          <c:spPr>
            <a:solidFill>
              <a:srgbClr val="00B050"/>
            </a:solidFill>
          </c:spPr>
          <c:invertIfNegative val="0"/>
          <c:cat>
            <c:strRef>
              <c:f>Int_Wärmelasten!$A$7:$A$51</c:f>
              <c:strCache>
                <c:ptCount val="45"/>
                <c:pt idx="0">
                  <c:v>1.1</c:v>
                </c:pt>
                <c:pt idx="1">
                  <c:v>1.2</c:v>
                </c:pt>
                <c:pt idx="2">
                  <c:v>2.1</c:v>
                </c:pt>
                <c:pt idx="3">
                  <c:v>2.2</c:v>
                </c:pt>
                <c:pt idx="4">
                  <c:v>3.1</c:v>
                </c:pt>
                <c:pt idx="5">
                  <c:v>3.2</c:v>
                </c:pt>
                <c:pt idx="6">
                  <c:v>3.3</c:v>
                </c:pt>
                <c:pt idx="7">
                  <c:v>3.4</c:v>
                </c:pt>
                <c:pt idx="8">
                  <c:v>4.1</c:v>
                </c:pt>
                <c:pt idx="9">
                  <c:v>4.2</c:v>
                </c:pt>
                <c:pt idx="10">
                  <c:v>4.3</c:v>
                </c:pt>
                <c:pt idx="11">
                  <c:v>4.4</c:v>
                </c:pt>
                <c:pt idx="12">
                  <c:v>4.5</c:v>
                </c:pt>
                <c:pt idx="13">
                  <c:v>5.1</c:v>
                </c:pt>
                <c:pt idx="14">
                  <c:v>5.2</c:v>
                </c:pt>
                <c:pt idx="15">
                  <c:v>5.3</c:v>
                </c:pt>
                <c:pt idx="16">
                  <c:v>6.1</c:v>
                </c:pt>
                <c:pt idx="17">
                  <c:v>6.2</c:v>
                </c:pt>
                <c:pt idx="18">
                  <c:v>6.3</c:v>
                </c:pt>
                <c:pt idx="19">
                  <c:v>6.4</c:v>
                </c:pt>
                <c:pt idx="20">
                  <c:v>7.1</c:v>
                </c:pt>
                <c:pt idx="21">
                  <c:v>7.2</c:v>
                </c:pt>
                <c:pt idx="22">
                  <c:v>7.3</c:v>
                </c:pt>
                <c:pt idx="23">
                  <c:v>8.1</c:v>
                </c:pt>
                <c:pt idx="24">
                  <c:v>8.2</c:v>
                </c:pt>
                <c:pt idx="25">
                  <c:v>8.3</c:v>
                </c:pt>
                <c:pt idx="26">
                  <c:v>9.1</c:v>
                </c:pt>
                <c:pt idx="27">
                  <c:v>9.2</c:v>
                </c:pt>
                <c:pt idx="28">
                  <c:v>9.3</c:v>
                </c:pt>
                <c:pt idx="29">
                  <c:v>10.1</c:v>
                </c:pt>
                <c:pt idx="30">
                  <c:v>11.1</c:v>
                </c:pt>
                <c:pt idx="31">
                  <c:v>11.2</c:v>
                </c:pt>
                <c:pt idx="32">
                  <c:v>11.3</c:v>
                </c:pt>
                <c:pt idx="33">
                  <c:v>12.1</c:v>
                </c:pt>
                <c:pt idx="34">
                  <c:v>12.2</c:v>
                </c:pt>
                <c:pt idx="35">
                  <c:v>12.3</c:v>
                </c:pt>
                <c:pt idx="36">
                  <c:v>12.4</c:v>
                </c:pt>
                <c:pt idx="37">
                  <c:v>12.5</c:v>
                </c:pt>
                <c:pt idx="38">
                  <c:v>12.6</c:v>
                </c:pt>
                <c:pt idx="39">
                  <c:v>12.7</c:v>
                </c:pt>
                <c:pt idx="40">
                  <c:v>12.8</c:v>
                </c:pt>
                <c:pt idx="41">
                  <c:v>12.9</c:v>
                </c:pt>
                <c:pt idx="42">
                  <c:v>12.10</c:v>
                </c:pt>
                <c:pt idx="43">
                  <c:v>12.1</c:v>
                </c:pt>
                <c:pt idx="44">
                  <c:v>12.1</c:v>
                </c:pt>
              </c:strCache>
            </c:strRef>
          </c:cat>
          <c:val>
            <c:numRef>
              <c:f>Int_Wärmelasten!$X$7:$X$51</c:f>
              <c:numCache>
                <c:formatCode>0</c:formatCode>
                <c:ptCount val="45"/>
                <c:pt idx="0">
                  <c:v>48.800000000000011</c:v>
                </c:pt>
                <c:pt idx="1">
                  <c:v>48.800000000000011</c:v>
                </c:pt>
                <c:pt idx="2">
                  <c:v>48.000000000000007</c:v>
                </c:pt>
                <c:pt idx="3">
                  <c:v>81.899999999999991</c:v>
                </c:pt>
                <c:pt idx="4">
                  <c:v>58.09999999999998</c:v>
                </c:pt>
                <c:pt idx="5">
                  <c:v>82.999999999999972</c:v>
                </c:pt>
                <c:pt idx="6">
                  <c:v>11.599999999999996</c:v>
                </c:pt>
                <c:pt idx="7">
                  <c:v>33.199999999999989</c:v>
                </c:pt>
                <c:pt idx="8">
                  <c:v>34.79999999999999</c:v>
                </c:pt>
                <c:pt idx="9">
                  <c:v>29.199999999999992</c:v>
                </c:pt>
                <c:pt idx="10">
                  <c:v>14.599999999999996</c:v>
                </c:pt>
                <c:pt idx="11">
                  <c:v>34.79999999999999</c:v>
                </c:pt>
                <c:pt idx="12">
                  <c:v>34.79999999999999</c:v>
                </c:pt>
                <c:pt idx="13">
                  <c:v>704.99999999999989</c:v>
                </c:pt>
                <c:pt idx="14">
                  <c:v>28.199999999999996</c:v>
                </c:pt>
                <c:pt idx="15">
                  <c:v>26.399999999999995</c:v>
                </c:pt>
                <c:pt idx="16">
                  <c:v>17.2</c:v>
                </c:pt>
                <c:pt idx="17">
                  <c:v>13.199999999999994</c:v>
                </c:pt>
                <c:pt idx="18">
                  <c:v>1939.9999999999998</c:v>
                </c:pt>
                <c:pt idx="19">
                  <c:v>1299.9999999999995</c:v>
                </c:pt>
                <c:pt idx="20">
                  <c:v>17.599999999999998</c:v>
                </c:pt>
                <c:pt idx="21">
                  <c:v>44.79999999999999</c:v>
                </c:pt>
                <c:pt idx="22">
                  <c:v>78.399999999999977</c:v>
                </c:pt>
                <c:pt idx="23">
                  <c:v>24.000000000000007</c:v>
                </c:pt>
                <c:pt idx="24">
                  <c:v>75.599999999999966</c:v>
                </c:pt>
                <c:pt idx="25">
                  <c:v>165.99999999999994</c:v>
                </c:pt>
                <c:pt idx="26">
                  <c:v>142</c:v>
                </c:pt>
                <c:pt idx="27">
                  <c:v>97.999999999999943</c:v>
                </c:pt>
                <c:pt idx="28">
                  <c:v>195.99999999999989</c:v>
                </c:pt>
                <c:pt idx="29">
                  <c:v>0</c:v>
                </c:pt>
                <c:pt idx="30">
                  <c:v>0</c:v>
                </c:pt>
                <c:pt idx="31">
                  <c:v>25.000000000000004</c:v>
                </c:pt>
                <c:pt idx="32">
                  <c:v>25.000000000000004</c:v>
                </c:pt>
                <c:pt idx="33">
                  <c:v>0</c:v>
                </c:pt>
                <c:pt idx="34">
                  <c:v>0</c:v>
                </c:pt>
                <c:pt idx="35">
                  <c:v>0</c:v>
                </c:pt>
                <c:pt idx="36">
                  <c:v>0</c:v>
                </c:pt>
                <c:pt idx="37">
                  <c:v>235.99999999999994</c:v>
                </c:pt>
                <c:pt idx="38">
                  <c:v>0</c:v>
                </c:pt>
                <c:pt idx="39">
                  <c:v>0</c:v>
                </c:pt>
                <c:pt idx="40">
                  <c:v>0</c:v>
                </c:pt>
                <c:pt idx="41">
                  <c:v>0</c:v>
                </c:pt>
                <c:pt idx="42">
                  <c:v>145.99999999999997</c:v>
                </c:pt>
                <c:pt idx="43">
                  <c:v>0</c:v>
                </c:pt>
                <c:pt idx="44">
                  <c:v>2400</c:v>
                </c:pt>
              </c:numCache>
            </c:numRef>
          </c:val>
          <c:extLst>
            <c:ext xmlns:c16="http://schemas.microsoft.com/office/drawing/2014/chart" uri="{C3380CC4-5D6E-409C-BE32-E72D297353CC}">
              <c16:uniqueId val="{00000001-1923-4C0E-81AB-ABC70D89E5A4}"/>
            </c:ext>
          </c:extLst>
        </c:ser>
        <c:ser>
          <c:idx val="2"/>
          <c:order val="2"/>
          <c:tx>
            <c:strRef>
              <c:f>Int_Wärmelasten!$Y$5</c:f>
              <c:strCache>
                <c:ptCount val="1"/>
                <c:pt idx="0">
                  <c:v>Beleuchtung (Formel anpassen!)</c:v>
                </c:pt>
              </c:strCache>
            </c:strRef>
          </c:tx>
          <c:spPr>
            <a:solidFill>
              <a:srgbClr val="FFFF66"/>
            </a:solidFill>
          </c:spPr>
          <c:invertIfNegative val="0"/>
          <c:cat>
            <c:strRef>
              <c:f>Int_Wärmelasten!$A$7:$A$51</c:f>
              <c:strCache>
                <c:ptCount val="45"/>
                <c:pt idx="0">
                  <c:v>1.1</c:v>
                </c:pt>
                <c:pt idx="1">
                  <c:v>1.2</c:v>
                </c:pt>
                <c:pt idx="2">
                  <c:v>2.1</c:v>
                </c:pt>
                <c:pt idx="3">
                  <c:v>2.2</c:v>
                </c:pt>
                <c:pt idx="4">
                  <c:v>3.1</c:v>
                </c:pt>
                <c:pt idx="5">
                  <c:v>3.2</c:v>
                </c:pt>
                <c:pt idx="6">
                  <c:v>3.3</c:v>
                </c:pt>
                <c:pt idx="7">
                  <c:v>3.4</c:v>
                </c:pt>
                <c:pt idx="8">
                  <c:v>4.1</c:v>
                </c:pt>
                <c:pt idx="9">
                  <c:v>4.2</c:v>
                </c:pt>
                <c:pt idx="10">
                  <c:v>4.3</c:v>
                </c:pt>
                <c:pt idx="11">
                  <c:v>4.4</c:v>
                </c:pt>
                <c:pt idx="12">
                  <c:v>4.5</c:v>
                </c:pt>
                <c:pt idx="13">
                  <c:v>5.1</c:v>
                </c:pt>
                <c:pt idx="14">
                  <c:v>5.2</c:v>
                </c:pt>
                <c:pt idx="15">
                  <c:v>5.3</c:v>
                </c:pt>
                <c:pt idx="16">
                  <c:v>6.1</c:v>
                </c:pt>
                <c:pt idx="17">
                  <c:v>6.2</c:v>
                </c:pt>
                <c:pt idx="18">
                  <c:v>6.3</c:v>
                </c:pt>
                <c:pt idx="19">
                  <c:v>6.4</c:v>
                </c:pt>
                <c:pt idx="20">
                  <c:v>7.1</c:v>
                </c:pt>
                <c:pt idx="21">
                  <c:v>7.2</c:v>
                </c:pt>
                <c:pt idx="22">
                  <c:v>7.3</c:v>
                </c:pt>
                <c:pt idx="23">
                  <c:v>8.1</c:v>
                </c:pt>
                <c:pt idx="24">
                  <c:v>8.2</c:v>
                </c:pt>
                <c:pt idx="25">
                  <c:v>8.3</c:v>
                </c:pt>
                <c:pt idx="26">
                  <c:v>9.1</c:v>
                </c:pt>
                <c:pt idx="27">
                  <c:v>9.2</c:v>
                </c:pt>
                <c:pt idx="28">
                  <c:v>9.3</c:v>
                </c:pt>
                <c:pt idx="29">
                  <c:v>10.1</c:v>
                </c:pt>
                <c:pt idx="30">
                  <c:v>11.1</c:v>
                </c:pt>
                <c:pt idx="31">
                  <c:v>11.2</c:v>
                </c:pt>
                <c:pt idx="32">
                  <c:v>11.3</c:v>
                </c:pt>
                <c:pt idx="33">
                  <c:v>12.1</c:v>
                </c:pt>
                <c:pt idx="34">
                  <c:v>12.2</c:v>
                </c:pt>
                <c:pt idx="35">
                  <c:v>12.3</c:v>
                </c:pt>
                <c:pt idx="36">
                  <c:v>12.4</c:v>
                </c:pt>
                <c:pt idx="37">
                  <c:v>12.5</c:v>
                </c:pt>
                <c:pt idx="38">
                  <c:v>12.6</c:v>
                </c:pt>
                <c:pt idx="39">
                  <c:v>12.7</c:v>
                </c:pt>
                <c:pt idx="40">
                  <c:v>12.8</c:v>
                </c:pt>
                <c:pt idx="41">
                  <c:v>12.9</c:v>
                </c:pt>
                <c:pt idx="42">
                  <c:v>12.10</c:v>
                </c:pt>
                <c:pt idx="43">
                  <c:v>12.1</c:v>
                </c:pt>
                <c:pt idx="44">
                  <c:v>12.1</c:v>
                </c:pt>
              </c:strCache>
            </c:strRef>
          </c:cat>
          <c:val>
            <c:numRef>
              <c:f>Int_Wärmelasten!$Y$7:$Y$51</c:f>
              <c:numCache>
                <c:formatCode>0</c:formatCode>
                <c:ptCount val="45"/>
                <c:pt idx="0">
                  <c:v>13.647065992570242</c:v>
                </c:pt>
                <c:pt idx="1">
                  <c:v>13.647065992570242</c:v>
                </c:pt>
                <c:pt idx="2">
                  <c:v>12.291472807311118</c:v>
                </c:pt>
                <c:pt idx="3">
                  <c:v>156.63374570932089</c:v>
                </c:pt>
                <c:pt idx="4">
                  <c:v>91.828300217667163</c:v>
                </c:pt>
                <c:pt idx="5">
                  <c:v>111.18612873372382</c:v>
                </c:pt>
                <c:pt idx="6">
                  <c:v>50.088163755091173</c:v>
                </c:pt>
                <c:pt idx="7">
                  <c:v>69.207731092057813</c:v>
                </c:pt>
                <c:pt idx="8">
                  <c:v>90.470395229413683</c:v>
                </c:pt>
                <c:pt idx="9">
                  <c:v>65.573797990681882</c:v>
                </c:pt>
                <c:pt idx="10">
                  <c:v>46.558223679412407</c:v>
                </c:pt>
                <c:pt idx="11">
                  <c:v>111.18612873372382</c:v>
                </c:pt>
                <c:pt idx="12">
                  <c:v>90.470395229413683</c:v>
                </c:pt>
                <c:pt idx="13">
                  <c:v>227.08910493467744</c:v>
                </c:pt>
                <c:pt idx="14">
                  <c:v>355.15060706101633</c:v>
                </c:pt>
                <c:pt idx="15">
                  <c:v>205.8097257772495</c:v>
                </c:pt>
                <c:pt idx="16">
                  <c:v>66.542526903801004</c:v>
                </c:pt>
                <c:pt idx="17">
                  <c:v>35.194919815667681</c:v>
                </c:pt>
                <c:pt idx="18">
                  <c:v>146.18530726934117</c:v>
                </c:pt>
                <c:pt idx="19">
                  <c:v>90.970468963955867</c:v>
                </c:pt>
                <c:pt idx="20">
                  <c:v>129.71175166297115</c:v>
                </c:pt>
                <c:pt idx="21">
                  <c:v>119.49410063524773</c:v>
                </c:pt>
                <c:pt idx="22">
                  <c:v>119.49410063524773</c:v>
                </c:pt>
                <c:pt idx="23">
                  <c:v>46.726429061141154</c:v>
                </c:pt>
                <c:pt idx="24">
                  <c:v>298.27113143363817</c:v>
                </c:pt>
                <c:pt idx="25">
                  <c:v>91.828300217667163</c:v>
                </c:pt>
                <c:pt idx="26">
                  <c:v>205.96860174389516</c:v>
                </c:pt>
                <c:pt idx="27">
                  <c:v>110.01306328139455</c:v>
                </c:pt>
                <c:pt idx="28">
                  <c:v>88.656396981882196</c:v>
                </c:pt>
                <c:pt idx="29">
                  <c:v>91.037408717558478</c:v>
                </c:pt>
                <c:pt idx="30">
                  <c:v>110.34179227452211</c:v>
                </c:pt>
                <c:pt idx="31">
                  <c:v>119.05544791103827</c:v>
                </c:pt>
                <c:pt idx="32">
                  <c:v>118.43546463661104</c:v>
                </c:pt>
                <c:pt idx="33">
                  <c:v>85.743673880155072</c:v>
                </c:pt>
                <c:pt idx="34">
                  <c:v>271.66519111203576</c:v>
                </c:pt>
                <c:pt idx="35">
                  <c:v>85.743673880155072</c:v>
                </c:pt>
                <c:pt idx="36">
                  <c:v>56.540220138483726</c:v>
                </c:pt>
                <c:pt idx="37">
                  <c:v>52.932550447148365</c:v>
                </c:pt>
                <c:pt idx="38">
                  <c:v>62.26052437210037</c:v>
                </c:pt>
                <c:pt idx="39">
                  <c:v>189.21798857289977</c:v>
                </c:pt>
                <c:pt idx="40">
                  <c:v>98.299434974044416</c:v>
                </c:pt>
                <c:pt idx="41">
                  <c:v>31.562038404726742</c:v>
                </c:pt>
                <c:pt idx="42">
                  <c:v>58.73168767562381</c:v>
                </c:pt>
                <c:pt idx="43">
                  <c:v>0</c:v>
                </c:pt>
                <c:pt idx="44">
                  <c:v>0</c:v>
                </c:pt>
              </c:numCache>
            </c:numRef>
          </c:val>
          <c:extLst>
            <c:ext xmlns:c16="http://schemas.microsoft.com/office/drawing/2014/chart" uri="{C3380CC4-5D6E-409C-BE32-E72D297353CC}">
              <c16:uniqueId val="{00000002-1923-4C0E-81AB-ABC70D89E5A4}"/>
            </c:ext>
          </c:extLst>
        </c:ser>
        <c:dLbls>
          <c:showLegendKey val="0"/>
          <c:showVal val="0"/>
          <c:showCatName val="0"/>
          <c:showSerName val="0"/>
          <c:showPercent val="0"/>
          <c:showBubbleSize val="0"/>
        </c:dLbls>
        <c:gapWidth val="150"/>
        <c:overlap val="100"/>
        <c:axId val="113857664"/>
        <c:axId val="113859200"/>
      </c:barChart>
      <c:catAx>
        <c:axId val="113857664"/>
        <c:scaling>
          <c:orientation val="minMax"/>
        </c:scaling>
        <c:delete val="0"/>
        <c:axPos val="b"/>
        <c:numFmt formatCode="General" sourceLinked="1"/>
        <c:majorTickMark val="out"/>
        <c:minorTickMark val="none"/>
        <c:tickLblPos val="nextTo"/>
        <c:crossAx val="113859200"/>
        <c:crosses val="autoZero"/>
        <c:auto val="1"/>
        <c:lblAlgn val="ctr"/>
        <c:lblOffset val="100"/>
        <c:noMultiLvlLbl val="0"/>
      </c:catAx>
      <c:valAx>
        <c:axId val="113859200"/>
        <c:scaling>
          <c:orientation val="minMax"/>
          <c:max val="1000"/>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solidFill>
                    <a:latin typeface="+mn-lt"/>
                    <a:ea typeface="+mn-ea"/>
                    <a:cs typeface="+mn-cs"/>
                  </a:defRPr>
                </a:pPr>
                <a:r>
                  <a:rPr lang="en-US" sz="1200" b="1" i="0" baseline="0">
                    <a:effectLst/>
                  </a:rPr>
                  <a:t>nterne Wärmeeinträge pro Tag, in Wh/m2d</a:t>
                </a:r>
                <a:endParaRPr lang="de-CH" sz="1200">
                  <a:effectLst/>
                </a:endParaRPr>
              </a:p>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solidFill>
                    <a:latin typeface="+mn-lt"/>
                    <a:ea typeface="+mn-ea"/>
                    <a:cs typeface="+mn-cs"/>
                  </a:defRPr>
                </a:pPr>
                <a:endParaRPr lang="de-CH" sz="1200"/>
              </a:p>
            </c:rich>
          </c:tx>
          <c:overlay val="0"/>
        </c:title>
        <c:numFmt formatCode="0" sourceLinked="1"/>
        <c:majorTickMark val="out"/>
        <c:minorTickMark val="none"/>
        <c:tickLblPos val="nextTo"/>
        <c:crossAx val="113857664"/>
        <c:crosses val="autoZero"/>
        <c:crossBetween val="between"/>
      </c:valAx>
    </c:plotArea>
    <c:legend>
      <c:legendPos val="r"/>
      <c:layout>
        <c:manualLayout>
          <c:xMode val="edge"/>
          <c:yMode val="edge"/>
          <c:x val="0.74834394367969159"/>
          <c:y val="8.7497340791630684E-2"/>
          <c:w val="0.19438280440006597"/>
          <c:h val="0.17773978096086443"/>
        </c:manualLayout>
      </c:layout>
      <c:overlay val="0"/>
      <c:spPr>
        <a:solidFill>
          <a:sysClr val="window" lastClr="FFFFFF"/>
        </a:solidFill>
      </c:spPr>
    </c:legend>
    <c:plotVisOnly val="1"/>
    <c:dispBlanksAs val="gap"/>
    <c:showDLblsOverMax val="0"/>
  </c:chart>
  <c:spPr>
    <a:ln>
      <a:noFill/>
    </a:ln>
  </c:spPr>
  <c:txPr>
    <a:bodyPr/>
    <a:lstStyle/>
    <a:p>
      <a:pPr>
        <a:defRPr sz="1200"/>
      </a:pPr>
      <a:endParaRPr lang="de-DE"/>
    </a:p>
  </c:txPr>
  <c:printSettings>
    <c:headerFooter/>
    <c:pageMargins b="0.78740157499999996" l="0.7" r="0.7" t="0.78740157499999996"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40481995922113"/>
          <c:y val="0.10489514155758657"/>
          <c:w val="0.83202024674893305"/>
          <c:h val="0.67832167832167833"/>
        </c:manualLayout>
      </c:layout>
      <c:barChart>
        <c:barDir val="col"/>
        <c:grouping val="stacked"/>
        <c:varyColors val="0"/>
        <c:ser>
          <c:idx val="3"/>
          <c:order val="1"/>
          <c:spPr>
            <a:solidFill>
              <a:srgbClr val="C0C0C0"/>
            </a:solidFill>
            <a:ln w="25400">
              <a:noFill/>
            </a:ln>
          </c:spPr>
          <c:invertIfNegative val="0"/>
          <c:val>
            <c:numRef>
              <c:f>Profile!$C$67:$C$90</c:f>
              <c:numCache>
                <c:formatCode>0.0</c:formatCode>
                <c:ptCount val="24"/>
                <c:pt idx="0">
                  <c:v>0</c:v>
                </c:pt>
                <c:pt idx="1">
                  <c:v>0</c:v>
                </c:pt>
                <c:pt idx="2">
                  <c:v>0</c:v>
                </c:pt>
                <c:pt idx="3">
                  <c:v>0</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numCache>
            </c:numRef>
          </c:val>
          <c:extLst>
            <c:ext xmlns:c16="http://schemas.microsoft.com/office/drawing/2014/chart" uri="{C3380CC4-5D6E-409C-BE32-E72D297353CC}">
              <c16:uniqueId val="{00000000-01C4-4697-9FAD-96FEA650C0C3}"/>
            </c:ext>
          </c:extLst>
        </c:ser>
        <c:dLbls>
          <c:showLegendKey val="0"/>
          <c:showVal val="0"/>
          <c:showCatName val="0"/>
          <c:showSerName val="0"/>
          <c:showPercent val="0"/>
          <c:showBubbleSize val="0"/>
        </c:dLbls>
        <c:gapWidth val="0"/>
        <c:overlap val="100"/>
        <c:axId val="128678912"/>
        <c:axId val="128680704"/>
      </c:barChart>
      <c:barChart>
        <c:barDir val="col"/>
        <c:grouping val="clustered"/>
        <c:varyColors val="0"/>
        <c:ser>
          <c:idx val="0"/>
          <c:order val="0"/>
          <c:spPr>
            <a:solidFill>
              <a:srgbClr val="92D050"/>
            </a:solidFill>
            <a:ln w="25400">
              <a:noFill/>
            </a:ln>
          </c:spPr>
          <c:invertIfNegative val="0"/>
          <c:val>
            <c:numRef>
              <c:f>Profile!$B$67:$B$90</c:f>
              <c:numCache>
                <c:formatCode>0.0</c:formatCode>
                <c:ptCount val="24"/>
                <c:pt idx="0">
                  <c:v>0</c:v>
                </c:pt>
                <c:pt idx="1">
                  <c:v>0</c:v>
                </c:pt>
                <c:pt idx="2">
                  <c:v>0</c:v>
                </c:pt>
                <c:pt idx="3">
                  <c:v>0</c:v>
                </c:pt>
                <c:pt idx="4">
                  <c:v>0.1</c:v>
                </c:pt>
                <c:pt idx="5">
                  <c:v>0.1</c:v>
                </c:pt>
                <c:pt idx="6">
                  <c:v>0.5</c:v>
                </c:pt>
                <c:pt idx="7">
                  <c:v>1</c:v>
                </c:pt>
                <c:pt idx="8">
                  <c:v>1</c:v>
                </c:pt>
                <c:pt idx="9">
                  <c:v>0.5</c:v>
                </c:pt>
                <c:pt idx="10">
                  <c:v>0.5</c:v>
                </c:pt>
                <c:pt idx="11">
                  <c:v>0.5</c:v>
                </c:pt>
                <c:pt idx="12">
                  <c:v>0.5</c:v>
                </c:pt>
                <c:pt idx="13">
                  <c:v>0.5</c:v>
                </c:pt>
                <c:pt idx="14">
                  <c:v>0.5</c:v>
                </c:pt>
                <c:pt idx="15">
                  <c:v>0.5</c:v>
                </c:pt>
                <c:pt idx="16">
                  <c:v>0.5</c:v>
                </c:pt>
                <c:pt idx="17">
                  <c:v>1</c:v>
                </c:pt>
                <c:pt idx="18">
                  <c:v>1</c:v>
                </c:pt>
                <c:pt idx="19">
                  <c:v>1</c:v>
                </c:pt>
                <c:pt idx="20">
                  <c:v>0.5</c:v>
                </c:pt>
                <c:pt idx="21">
                  <c:v>0.5</c:v>
                </c:pt>
                <c:pt idx="22">
                  <c:v>0.5</c:v>
                </c:pt>
                <c:pt idx="23">
                  <c:v>0.1</c:v>
                </c:pt>
              </c:numCache>
            </c:numRef>
          </c:val>
          <c:extLst>
            <c:ext xmlns:c16="http://schemas.microsoft.com/office/drawing/2014/chart" uri="{C3380CC4-5D6E-409C-BE32-E72D297353CC}">
              <c16:uniqueId val="{00000001-01C4-4697-9FAD-96FEA650C0C3}"/>
            </c:ext>
          </c:extLst>
        </c:ser>
        <c:dLbls>
          <c:showLegendKey val="0"/>
          <c:showVal val="0"/>
          <c:showCatName val="0"/>
          <c:showSerName val="0"/>
          <c:showPercent val="0"/>
          <c:showBubbleSize val="0"/>
        </c:dLbls>
        <c:gapWidth val="150"/>
        <c:axId val="128682624"/>
        <c:axId val="128684416"/>
      </c:barChart>
      <c:catAx>
        <c:axId val="128678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128680704"/>
        <c:crosses val="autoZero"/>
        <c:auto val="1"/>
        <c:lblAlgn val="ctr"/>
        <c:lblOffset val="100"/>
        <c:tickLblSkip val="1"/>
        <c:tickMarkSkip val="1"/>
        <c:noMultiLvlLbl val="0"/>
      </c:catAx>
      <c:valAx>
        <c:axId val="128680704"/>
        <c:scaling>
          <c:orientation val="minMax"/>
          <c:max val="1"/>
          <c:min val="0"/>
        </c:scaling>
        <c:delete val="0"/>
        <c:axPos val="l"/>
        <c:majorGridlines>
          <c:spPr>
            <a:ln w="3175">
              <a:solidFill>
                <a:srgbClr val="000000"/>
              </a:solidFill>
              <a:prstDash val="solid"/>
            </a:ln>
          </c:spPr>
        </c:majorGridlines>
        <c:title>
          <c:tx>
            <c:rich>
              <a:bodyPr/>
              <a:lstStyle/>
              <a:p>
                <a:pPr>
                  <a:defRPr sz="800" b="0" i="0" u="none" strike="noStrike" baseline="0">
                    <a:solidFill>
                      <a:srgbClr val="333333"/>
                    </a:solidFill>
                    <a:latin typeface="Arial"/>
                    <a:ea typeface="Arial"/>
                    <a:cs typeface="Arial"/>
                  </a:defRPr>
                </a:pPr>
                <a:r>
                  <a:rPr lang="de-CH"/>
                  <a:t>Personenprofil</a:t>
                </a:r>
              </a:p>
            </c:rich>
          </c:tx>
          <c:layout>
            <c:manualLayout>
              <c:xMode val="edge"/>
              <c:yMode val="edge"/>
              <c:x val="1.0377036203807857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128678912"/>
        <c:crosses val="autoZero"/>
        <c:crossBetween val="between"/>
        <c:majorUnit val="0.2"/>
        <c:minorUnit val="0.01"/>
      </c:valAx>
      <c:catAx>
        <c:axId val="128682624"/>
        <c:scaling>
          <c:orientation val="minMax"/>
        </c:scaling>
        <c:delete val="1"/>
        <c:axPos val="b"/>
        <c:majorTickMark val="out"/>
        <c:minorTickMark val="none"/>
        <c:tickLblPos val="nextTo"/>
        <c:crossAx val="128684416"/>
        <c:crosses val="autoZero"/>
        <c:auto val="1"/>
        <c:lblAlgn val="ctr"/>
        <c:lblOffset val="100"/>
        <c:noMultiLvlLbl val="0"/>
      </c:catAx>
      <c:valAx>
        <c:axId val="128684416"/>
        <c:scaling>
          <c:orientation val="minMax"/>
        </c:scaling>
        <c:delete val="1"/>
        <c:axPos val="r"/>
        <c:numFmt formatCode="0.0" sourceLinked="1"/>
        <c:majorTickMark val="out"/>
        <c:minorTickMark val="none"/>
        <c:tickLblPos val="nextTo"/>
        <c:crossAx val="128682624"/>
        <c:crosses val="max"/>
        <c:crossBetween val="between"/>
      </c:valAx>
      <c:spPr>
        <a:noFill/>
        <a:ln w="25400">
          <a:noFill/>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40481995922113"/>
          <c:y val="0.10489514155758657"/>
          <c:w val="0.83202024674893305"/>
          <c:h val="0.67832167832167833"/>
        </c:manualLayout>
      </c:layout>
      <c:barChart>
        <c:barDir val="col"/>
        <c:grouping val="stacked"/>
        <c:varyColors val="0"/>
        <c:ser>
          <c:idx val="3"/>
          <c:order val="1"/>
          <c:spPr>
            <a:solidFill>
              <a:srgbClr val="C0C0C0"/>
            </a:solidFill>
            <a:ln w="25400">
              <a:noFill/>
            </a:ln>
          </c:spPr>
          <c:invertIfNegative val="0"/>
          <c:cat>
            <c:numRef>
              <c:f>Profile!$A$97:$A$264</c:f>
              <c:numCache>
                <c:formatCode>General</c:formatCode>
                <c:ptCount val="168"/>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4</c:v>
                </c:pt>
                <c:pt idx="49">
                  <c:v>4</c:v>
                </c:pt>
                <c:pt idx="50">
                  <c:v>4</c:v>
                </c:pt>
                <c:pt idx="51">
                  <c:v>4</c:v>
                </c:pt>
                <c:pt idx="52">
                  <c:v>4</c:v>
                </c:pt>
                <c:pt idx="53">
                  <c:v>4</c:v>
                </c:pt>
                <c:pt idx="54">
                  <c:v>4</c:v>
                </c:pt>
                <c:pt idx="55">
                  <c:v>4</c:v>
                </c:pt>
                <c:pt idx="56">
                  <c:v>4</c:v>
                </c:pt>
                <c:pt idx="57">
                  <c:v>4</c:v>
                </c:pt>
                <c:pt idx="58">
                  <c:v>4</c:v>
                </c:pt>
                <c:pt idx="59">
                  <c:v>4</c:v>
                </c:pt>
                <c:pt idx="60">
                  <c:v>4</c:v>
                </c:pt>
                <c:pt idx="61">
                  <c:v>4</c:v>
                </c:pt>
                <c:pt idx="62">
                  <c:v>4</c:v>
                </c:pt>
                <c:pt idx="63">
                  <c:v>4</c:v>
                </c:pt>
                <c:pt idx="64">
                  <c:v>4</c:v>
                </c:pt>
                <c:pt idx="65">
                  <c:v>4</c:v>
                </c:pt>
                <c:pt idx="66">
                  <c:v>4</c:v>
                </c:pt>
                <c:pt idx="67">
                  <c:v>4</c:v>
                </c:pt>
                <c:pt idx="68">
                  <c:v>4</c:v>
                </c:pt>
                <c:pt idx="69">
                  <c:v>4</c:v>
                </c:pt>
                <c:pt idx="70">
                  <c:v>4</c:v>
                </c:pt>
                <c:pt idx="71">
                  <c:v>4</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6</c:v>
                </c:pt>
                <c:pt idx="97">
                  <c:v>6</c:v>
                </c:pt>
                <c:pt idx="98">
                  <c:v>6</c:v>
                </c:pt>
                <c:pt idx="99">
                  <c:v>6</c:v>
                </c:pt>
                <c:pt idx="100">
                  <c:v>6</c:v>
                </c:pt>
                <c:pt idx="101">
                  <c:v>6</c:v>
                </c:pt>
                <c:pt idx="102">
                  <c:v>6</c:v>
                </c:pt>
                <c:pt idx="103">
                  <c:v>6</c:v>
                </c:pt>
                <c:pt idx="104">
                  <c:v>6</c:v>
                </c:pt>
                <c:pt idx="105">
                  <c:v>6</c:v>
                </c:pt>
                <c:pt idx="106">
                  <c:v>6</c:v>
                </c:pt>
                <c:pt idx="107">
                  <c:v>6</c:v>
                </c:pt>
                <c:pt idx="108">
                  <c:v>6</c:v>
                </c:pt>
                <c:pt idx="109">
                  <c:v>6</c:v>
                </c:pt>
                <c:pt idx="110">
                  <c:v>6</c:v>
                </c:pt>
                <c:pt idx="111">
                  <c:v>6</c:v>
                </c:pt>
                <c:pt idx="112">
                  <c:v>6</c:v>
                </c:pt>
                <c:pt idx="113">
                  <c:v>6</c:v>
                </c:pt>
                <c:pt idx="114">
                  <c:v>6</c:v>
                </c:pt>
                <c:pt idx="115">
                  <c:v>6</c:v>
                </c:pt>
                <c:pt idx="116">
                  <c:v>6</c:v>
                </c:pt>
                <c:pt idx="117">
                  <c:v>6</c:v>
                </c:pt>
                <c:pt idx="118">
                  <c:v>6</c:v>
                </c:pt>
                <c:pt idx="119">
                  <c:v>6</c:v>
                </c:pt>
                <c:pt idx="120">
                  <c:v>7</c:v>
                </c:pt>
                <c:pt idx="121">
                  <c:v>7</c:v>
                </c:pt>
                <c:pt idx="122">
                  <c:v>7</c:v>
                </c:pt>
                <c:pt idx="123">
                  <c:v>7</c:v>
                </c:pt>
                <c:pt idx="124">
                  <c:v>7</c:v>
                </c:pt>
                <c:pt idx="125">
                  <c:v>7</c:v>
                </c:pt>
                <c:pt idx="126">
                  <c:v>7</c:v>
                </c:pt>
                <c:pt idx="127">
                  <c:v>7</c:v>
                </c:pt>
                <c:pt idx="128">
                  <c:v>7</c:v>
                </c:pt>
                <c:pt idx="129">
                  <c:v>7</c:v>
                </c:pt>
                <c:pt idx="130">
                  <c:v>7</c:v>
                </c:pt>
                <c:pt idx="131">
                  <c:v>7</c:v>
                </c:pt>
                <c:pt idx="132">
                  <c:v>7</c:v>
                </c:pt>
                <c:pt idx="133">
                  <c:v>7</c:v>
                </c:pt>
                <c:pt idx="134">
                  <c:v>7</c:v>
                </c:pt>
                <c:pt idx="135">
                  <c:v>7</c:v>
                </c:pt>
                <c:pt idx="136">
                  <c:v>7</c:v>
                </c:pt>
                <c:pt idx="137">
                  <c:v>7</c:v>
                </c:pt>
                <c:pt idx="138">
                  <c:v>7</c:v>
                </c:pt>
                <c:pt idx="139">
                  <c:v>7</c:v>
                </c:pt>
                <c:pt idx="140">
                  <c:v>7</c:v>
                </c:pt>
                <c:pt idx="141">
                  <c:v>7</c:v>
                </c:pt>
                <c:pt idx="142">
                  <c:v>7</c:v>
                </c:pt>
                <c:pt idx="143">
                  <c:v>7</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cat>
          <c:val>
            <c:numRef>
              <c:f>Profile!$E$97:$E$264</c:f>
              <c:numCache>
                <c:formatCode>0.0</c:formatCode>
                <c:ptCount val="168"/>
                <c:pt idx="0">
                  <c:v>0</c:v>
                </c:pt>
                <c:pt idx="1">
                  <c:v>0</c:v>
                </c:pt>
                <c:pt idx="2">
                  <c:v>0</c:v>
                </c:pt>
                <c:pt idx="3">
                  <c:v>0</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0</c:v>
                </c:pt>
                <c:pt idx="25">
                  <c:v>0</c:v>
                </c:pt>
                <c:pt idx="26">
                  <c:v>0</c:v>
                </c:pt>
                <c:pt idx="27">
                  <c:v>0</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0</c:v>
                </c:pt>
                <c:pt idx="49">
                  <c:v>0</c:v>
                </c:pt>
                <c:pt idx="50">
                  <c:v>0</c:v>
                </c:pt>
                <c:pt idx="51">
                  <c:v>0</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0</c:v>
                </c:pt>
                <c:pt idx="73">
                  <c:v>0</c:v>
                </c:pt>
                <c:pt idx="74">
                  <c:v>0</c:v>
                </c:pt>
                <c:pt idx="75">
                  <c:v>0</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0</c:v>
                </c:pt>
                <c:pt idx="97">
                  <c:v>0</c:v>
                </c:pt>
                <c:pt idx="98">
                  <c:v>0</c:v>
                </c:pt>
                <c:pt idx="99">
                  <c:v>0</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0</c:v>
                </c:pt>
                <c:pt idx="121">
                  <c:v>0</c:v>
                </c:pt>
                <c:pt idx="122">
                  <c:v>0</c:v>
                </c:pt>
                <c:pt idx="123">
                  <c:v>0</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0</c:v>
                </c:pt>
                <c:pt idx="145">
                  <c:v>0</c:v>
                </c:pt>
                <c:pt idx="146">
                  <c:v>0</c:v>
                </c:pt>
                <c:pt idx="147">
                  <c:v>0</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val>
          <c:extLst>
            <c:ext xmlns:c16="http://schemas.microsoft.com/office/drawing/2014/chart" uri="{C3380CC4-5D6E-409C-BE32-E72D297353CC}">
              <c16:uniqueId val="{00000000-8BB6-49C3-BF02-2E46C74084DB}"/>
            </c:ext>
          </c:extLst>
        </c:ser>
        <c:dLbls>
          <c:showLegendKey val="0"/>
          <c:showVal val="0"/>
          <c:showCatName val="0"/>
          <c:showSerName val="0"/>
          <c:showPercent val="0"/>
          <c:showBubbleSize val="0"/>
        </c:dLbls>
        <c:gapWidth val="0"/>
        <c:overlap val="100"/>
        <c:axId val="128709376"/>
        <c:axId val="128710912"/>
      </c:barChart>
      <c:barChart>
        <c:barDir val="col"/>
        <c:grouping val="clustered"/>
        <c:varyColors val="0"/>
        <c:ser>
          <c:idx val="0"/>
          <c:order val="0"/>
          <c:spPr>
            <a:solidFill>
              <a:srgbClr val="92D050"/>
            </a:solidFill>
            <a:ln w="25400">
              <a:noFill/>
            </a:ln>
          </c:spPr>
          <c:invertIfNegative val="0"/>
          <c:cat>
            <c:numRef>
              <c:f>Profile!$A$97:$A$264</c:f>
              <c:numCache>
                <c:formatCode>General</c:formatCode>
                <c:ptCount val="168"/>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4</c:v>
                </c:pt>
                <c:pt idx="49">
                  <c:v>4</c:v>
                </c:pt>
                <c:pt idx="50">
                  <c:v>4</c:v>
                </c:pt>
                <c:pt idx="51">
                  <c:v>4</c:v>
                </c:pt>
                <c:pt idx="52">
                  <c:v>4</c:v>
                </c:pt>
                <c:pt idx="53">
                  <c:v>4</c:v>
                </c:pt>
                <c:pt idx="54">
                  <c:v>4</c:v>
                </c:pt>
                <c:pt idx="55">
                  <c:v>4</c:v>
                </c:pt>
                <c:pt idx="56">
                  <c:v>4</c:v>
                </c:pt>
                <c:pt idx="57">
                  <c:v>4</c:v>
                </c:pt>
                <c:pt idx="58">
                  <c:v>4</c:v>
                </c:pt>
                <c:pt idx="59">
                  <c:v>4</c:v>
                </c:pt>
                <c:pt idx="60">
                  <c:v>4</c:v>
                </c:pt>
                <c:pt idx="61">
                  <c:v>4</c:v>
                </c:pt>
                <c:pt idx="62">
                  <c:v>4</c:v>
                </c:pt>
                <c:pt idx="63">
                  <c:v>4</c:v>
                </c:pt>
                <c:pt idx="64">
                  <c:v>4</c:v>
                </c:pt>
                <c:pt idx="65">
                  <c:v>4</c:v>
                </c:pt>
                <c:pt idx="66">
                  <c:v>4</c:v>
                </c:pt>
                <c:pt idx="67">
                  <c:v>4</c:v>
                </c:pt>
                <c:pt idx="68">
                  <c:v>4</c:v>
                </c:pt>
                <c:pt idx="69">
                  <c:v>4</c:v>
                </c:pt>
                <c:pt idx="70">
                  <c:v>4</c:v>
                </c:pt>
                <c:pt idx="71">
                  <c:v>4</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6</c:v>
                </c:pt>
                <c:pt idx="97">
                  <c:v>6</c:v>
                </c:pt>
                <c:pt idx="98">
                  <c:v>6</c:v>
                </c:pt>
                <c:pt idx="99">
                  <c:v>6</c:v>
                </c:pt>
                <c:pt idx="100">
                  <c:v>6</c:v>
                </c:pt>
                <c:pt idx="101">
                  <c:v>6</c:v>
                </c:pt>
                <c:pt idx="102">
                  <c:v>6</c:v>
                </c:pt>
                <c:pt idx="103">
                  <c:v>6</c:v>
                </c:pt>
                <c:pt idx="104">
                  <c:v>6</c:v>
                </c:pt>
                <c:pt idx="105">
                  <c:v>6</c:v>
                </c:pt>
                <c:pt idx="106">
                  <c:v>6</c:v>
                </c:pt>
                <c:pt idx="107">
                  <c:v>6</c:v>
                </c:pt>
                <c:pt idx="108">
                  <c:v>6</c:v>
                </c:pt>
                <c:pt idx="109">
                  <c:v>6</c:v>
                </c:pt>
                <c:pt idx="110">
                  <c:v>6</c:v>
                </c:pt>
                <c:pt idx="111">
                  <c:v>6</c:v>
                </c:pt>
                <c:pt idx="112">
                  <c:v>6</c:v>
                </c:pt>
                <c:pt idx="113">
                  <c:v>6</c:v>
                </c:pt>
                <c:pt idx="114">
                  <c:v>6</c:v>
                </c:pt>
                <c:pt idx="115">
                  <c:v>6</c:v>
                </c:pt>
                <c:pt idx="116">
                  <c:v>6</c:v>
                </c:pt>
                <c:pt idx="117">
                  <c:v>6</c:v>
                </c:pt>
                <c:pt idx="118">
                  <c:v>6</c:v>
                </c:pt>
                <c:pt idx="119">
                  <c:v>6</c:v>
                </c:pt>
                <c:pt idx="120">
                  <c:v>7</c:v>
                </c:pt>
                <c:pt idx="121">
                  <c:v>7</c:v>
                </c:pt>
                <c:pt idx="122">
                  <c:v>7</c:v>
                </c:pt>
                <c:pt idx="123">
                  <c:v>7</c:v>
                </c:pt>
                <c:pt idx="124">
                  <c:v>7</c:v>
                </c:pt>
                <c:pt idx="125">
                  <c:v>7</c:v>
                </c:pt>
                <c:pt idx="126">
                  <c:v>7</c:v>
                </c:pt>
                <c:pt idx="127">
                  <c:v>7</c:v>
                </c:pt>
                <c:pt idx="128">
                  <c:v>7</c:v>
                </c:pt>
                <c:pt idx="129">
                  <c:v>7</c:v>
                </c:pt>
                <c:pt idx="130">
                  <c:v>7</c:v>
                </c:pt>
                <c:pt idx="131">
                  <c:v>7</c:v>
                </c:pt>
                <c:pt idx="132">
                  <c:v>7</c:v>
                </c:pt>
                <c:pt idx="133">
                  <c:v>7</c:v>
                </c:pt>
                <c:pt idx="134">
                  <c:v>7</c:v>
                </c:pt>
                <c:pt idx="135">
                  <c:v>7</c:v>
                </c:pt>
                <c:pt idx="136">
                  <c:v>7</c:v>
                </c:pt>
                <c:pt idx="137">
                  <c:v>7</c:v>
                </c:pt>
                <c:pt idx="138">
                  <c:v>7</c:v>
                </c:pt>
                <c:pt idx="139">
                  <c:v>7</c:v>
                </c:pt>
                <c:pt idx="140">
                  <c:v>7</c:v>
                </c:pt>
                <c:pt idx="141">
                  <c:v>7</c:v>
                </c:pt>
                <c:pt idx="142">
                  <c:v>7</c:v>
                </c:pt>
                <c:pt idx="143">
                  <c:v>7</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cat>
          <c:val>
            <c:numRef>
              <c:f>Profile!$D$97:$D$264</c:f>
              <c:numCache>
                <c:formatCode>General</c:formatCode>
                <c:ptCount val="168"/>
                <c:pt idx="0">
                  <c:v>0</c:v>
                </c:pt>
                <c:pt idx="1">
                  <c:v>0</c:v>
                </c:pt>
                <c:pt idx="2">
                  <c:v>0</c:v>
                </c:pt>
                <c:pt idx="3">
                  <c:v>0</c:v>
                </c:pt>
                <c:pt idx="4">
                  <c:v>0.1</c:v>
                </c:pt>
                <c:pt idx="5">
                  <c:v>0.1</c:v>
                </c:pt>
                <c:pt idx="6">
                  <c:v>0.5</c:v>
                </c:pt>
                <c:pt idx="7">
                  <c:v>1</c:v>
                </c:pt>
                <c:pt idx="8">
                  <c:v>1</c:v>
                </c:pt>
                <c:pt idx="9">
                  <c:v>0.5</c:v>
                </c:pt>
                <c:pt idx="10">
                  <c:v>0.5</c:v>
                </c:pt>
                <c:pt idx="11">
                  <c:v>0.5</c:v>
                </c:pt>
                <c:pt idx="12">
                  <c:v>0.5</c:v>
                </c:pt>
                <c:pt idx="13">
                  <c:v>0.5</c:v>
                </c:pt>
                <c:pt idx="14">
                  <c:v>0.5</c:v>
                </c:pt>
                <c:pt idx="15">
                  <c:v>0.5</c:v>
                </c:pt>
                <c:pt idx="16">
                  <c:v>0.5</c:v>
                </c:pt>
                <c:pt idx="17">
                  <c:v>1</c:v>
                </c:pt>
                <c:pt idx="18">
                  <c:v>1</c:v>
                </c:pt>
                <c:pt idx="19">
                  <c:v>1</c:v>
                </c:pt>
                <c:pt idx="20">
                  <c:v>0.5</c:v>
                </c:pt>
                <c:pt idx="21">
                  <c:v>0.5</c:v>
                </c:pt>
                <c:pt idx="22">
                  <c:v>0.5</c:v>
                </c:pt>
                <c:pt idx="23">
                  <c:v>0.1</c:v>
                </c:pt>
                <c:pt idx="24">
                  <c:v>0</c:v>
                </c:pt>
                <c:pt idx="25">
                  <c:v>0</c:v>
                </c:pt>
                <c:pt idx="26">
                  <c:v>0</c:v>
                </c:pt>
                <c:pt idx="27">
                  <c:v>0</c:v>
                </c:pt>
                <c:pt idx="28">
                  <c:v>0.1</c:v>
                </c:pt>
                <c:pt idx="29">
                  <c:v>0.1</c:v>
                </c:pt>
                <c:pt idx="30">
                  <c:v>0.5</c:v>
                </c:pt>
                <c:pt idx="31">
                  <c:v>1</c:v>
                </c:pt>
                <c:pt idx="32">
                  <c:v>1</c:v>
                </c:pt>
                <c:pt idx="33">
                  <c:v>0.5</c:v>
                </c:pt>
                <c:pt idx="34">
                  <c:v>0.5</c:v>
                </c:pt>
                <c:pt idx="35">
                  <c:v>0.5</c:v>
                </c:pt>
                <c:pt idx="36">
                  <c:v>0.5</c:v>
                </c:pt>
                <c:pt idx="37">
                  <c:v>0.5</c:v>
                </c:pt>
                <c:pt idx="38">
                  <c:v>0.5</c:v>
                </c:pt>
                <c:pt idx="39">
                  <c:v>0.5</c:v>
                </c:pt>
                <c:pt idx="40">
                  <c:v>0.5</c:v>
                </c:pt>
                <c:pt idx="41">
                  <c:v>1</c:v>
                </c:pt>
                <c:pt idx="42">
                  <c:v>1</c:v>
                </c:pt>
                <c:pt idx="43">
                  <c:v>1</c:v>
                </c:pt>
                <c:pt idx="44">
                  <c:v>0.5</c:v>
                </c:pt>
                <c:pt idx="45">
                  <c:v>0.5</c:v>
                </c:pt>
                <c:pt idx="46">
                  <c:v>0.5</c:v>
                </c:pt>
                <c:pt idx="47">
                  <c:v>0.1</c:v>
                </c:pt>
                <c:pt idx="48">
                  <c:v>0</c:v>
                </c:pt>
                <c:pt idx="49">
                  <c:v>0</c:v>
                </c:pt>
                <c:pt idx="50">
                  <c:v>0</c:v>
                </c:pt>
                <c:pt idx="51">
                  <c:v>0</c:v>
                </c:pt>
                <c:pt idx="52">
                  <c:v>0.1</c:v>
                </c:pt>
                <c:pt idx="53">
                  <c:v>0.1</c:v>
                </c:pt>
                <c:pt idx="54">
                  <c:v>0.5</c:v>
                </c:pt>
                <c:pt idx="55">
                  <c:v>1</c:v>
                </c:pt>
                <c:pt idx="56">
                  <c:v>1</c:v>
                </c:pt>
                <c:pt idx="57">
                  <c:v>0.5</c:v>
                </c:pt>
                <c:pt idx="58">
                  <c:v>0.5</c:v>
                </c:pt>
                <c:pt idx="59">
                  <c:v>0.5</c:v>
                </c:pt>
                <c:pt idx="60">
                  <c:v>0.5</c:v>
                </c:pt>
                <c:pt idx="61">
                  <c:v>0.5</c:v>
                </c:pt>
                <c:pt idx="62">
                  <c:v>0.5</c:v>
                </c:pt>
                <c:pt idx="63">
                  <c:v>0.5</c:v>
                </c:pt>
                <c:pt idx="64">
                  <c:v>0.5</c:v>
                </c:pt>
                <c:pt idx="65">
                  <c:v>1</c:v>
                </c:pt>
                <c:pt idx="66">
                  <c:v>1</c:v>
                </c:pt>
                <c:pt idx="67">
                  <c:v>1</c:v>
                </c:pt>
                <c:pt idx="68">
                  <c:v>0.5</c:v>
                </c:pt>
                <c:pt idx="69">
                  <c:v>0.5</c:v>
                </c:pt>
                <c:pt idx="70">
                  <c:v>0.5</c:v>
                </c:pt>
                <c:pt idx="71">
                  <c:v>0.1</c:v>
                </c:pt>
                <c:pt idx="72">
                  <c:v>0</c:v>
                </c:pt>
                <c:pt idx="73">
                  <c:v>0</c:v>
                </c:pt>
                <c:pt idx="74">
                  <c:v>0</c:v>
                </c:pt>
                <c:pt idx="75">
                  <c:v>0</c:v>
                </c:pt>
                <c:pt idx="76">
                  <c:v>0.1</c:v>
                </c:pt>
                <c:pt idx="77">
                  <c:v>0.1</c:v>
                </c:pt>
                <c:pt idx="78">
                  <c:v>0.5</c:v>
                </c:pt>
                <c:pt idx="79">
                  <c:v>1</c:v>
                </c:pt>
                <c:pt idx="80">
                  <c:v>1</c:v>
                </c:pt>
                <c:pt idx="81">
                  <c:v>0.5</c:v>
                </c:pt>
                <c:pt idx="82">
                  <c:v>0.5</c:v>
                </c:pt>
                <c:pt idx="83">
                  <c:v>0.5</c:v>
                </c:pt>
                <c:pt idx="84">
                  <c:v>0.5</c:v>
                </c:pt>
                <c:pt idx="85">
                  <c:v>0.5</c:v>
                </c:pt>
                <c:pt idx="86">
                  <c:v>0.5</c:v>
                </c:pt>
                <c:pt idx="87">
                  <c:v>0.5</c:v>
                </c:pt>
                <c:pt idx="88">
                  <c:v>0.5</c:v>
                </c:pt>
                <c:pt idx="89">
                  <c:v>1</c:v>
                </c:pt>
                <c:pt idx="90">
                  <c:v>1</c:v>
                </c:pt>
                <c:pt idx="91">
                  <c:v>1</c:v>
                </c:pt>
                <c:pt idx="92">
                  <c:v>0.5</c:v>
                </c:pt>
                <c:pt idx="93">
                  <c:v>0.5</c:v>
                </c:pt>
                <c:pt idx="94">
                  <c:v>0.5</c:v>
                </c:pt>
                <c:pt idx="95">
                  <c:v>0.1</c:v>
                </c:pt>
                <c:pt idx="96">
                  <c:v>0</c:v>
                </c:pt>
                <c:pt idx="97">
                  <c:v>0</c:v>
                </c:pt>
                <c:pt idx="98">
                  <c:v>0</c:v>
                </c:pt>
                <c:pt idx="99">
                  <c:v>0</c:v>
                </c:pt>
                <c:pt idx="100">
                  <c:v>0.1</c:v>
                </c:pt>
                <c:pt idx="101">
                  <c:v>0.1</c:v>
                </c:pt>
                <c:pt idx="102">
                  <c:v>0.5</c:v>
                </c:pt>
                <c:pt idx="103">
                  <c:v>1</c:v>
                </c:pt>
                <c:pt idx="104">
                  <c:v>1</c:v>
                </c:pt>
                <c:pt idx="105">
                  <c:v>0.5</c:v>
                </c:pt>
                <c:pt idx="106">
                  <c:v>0.5</c:v>
                </c:pt>
                <c:pt idx="107">
                  <c:v>0.5</c:v>
                </c:pt>
                <c:pt idx="108">
                  <c:v>0.5</c:v>
                </c:pt>
                <c:pt idx="109">
                  <c:v>0.5</c:v>
                </c:pt>
                <c:pt idx="110">
                  <c:v>0.5</c:v>
                </c:pt>
                <c:pt idx="111">
                  <c:v>0.5</c:v>
                </c:pt>
                <c:pt idx="112">
                  <c:v>0.5</c:v>
                </c:pt>
                <c:pt idx="113">
                  <c:v>1</c:v>
                </c:pt>
                <c:pt idx="114">
                  <c:v>1</c:v>
                </c:pt>
                <c:pt idx="115">
                  <c:v>1</c:v>
                </c:pt>
                <c:pt idx="116">
                  <c:v>0.5</c:v>
                </c:pt>
                <c:pt idx="117">
                  <c:v>0.5</c:v>
                </c:pt>
                <c:pt idx="118">
                  <c:v>0.5</c:v>
                </c:pt>
                <c:pt idx="119">
                  <c:v>0.1</c:v>
                </c:pt>
                <c:pt idx="120">
                  <c:v>0</c:v>
                </c:pt>
                <c:pt idx="121">
                  <c:v>0</c:v>
                </c:pt>
                <c:pt idx="122">
                  <c:v>0</c:v>
                </c:pt>
                <c:pt idx="123">
                  <c:v>0</c:v>
                </c:pt>
                <c:pt idx="124">
                  <c:v>0.1</c:v>
                </c:pt>
                <c:pt idx="125">
                  <c:v>0.1</c:v>
                </c:pt>
                <c:pt idx="126">
                  <c:v>0.5</c:v>
                </c:pt>
                <c:pt idx="127">
                  <c:v>1</c:v>
                </c:pt>
                <c:pt idx="128">
                  <c:v>1</c:v>
                </c:pt>
                <c:pt idx="129">
                  <c:v>0.5</c:v>
                </c:pt>
                <c:pt idx="130">
                  <c:v>0.5</c:v>
                </c:pt>
                <c:pt idx="131">
                  <c:v>0.5</c:v>
                </c:pt>
                <c:pt idx="132">
                  <c:v>0.5</c:v>
                </c:pt>
                <c:pt idx="133">
                  <c:v>0.5</c:v>
                </c:pt>
                <c:pt idx="134">
                  <c:v>0.5</c:v>
                </c:pt>
                <c:pt idx="135">
                  <c:v>0.5</c:v>
                </c:pt>
                <c:pt idx="136">
                  <c:v>0.5</c:v>
                </c:pt>
                <c:pt idx="137">
                  <c:v>1</c:v>
                </c:pt>
                <c:pt idx="138">
                  <c:v>1</c:v>
                </c:pt>
                <c:pt idx="139">
                  <c:v>1</c:v>
                </c:pt>
                <c:pt idx="140">
                  <c:v>0.5</c:v>
                </c:pt>
                <c:pt idx="141">
                  <c:v>0.5</c:v>
                </c:pt>
                <c:pt idx="142">
                  <c:v>0.5</c:v>
                </c:pt>
                <c:pt idx="143">
                  <c:v>0.1</c:v>
                </c:pt>
                <c:pt idx="144">
                  <c:v>0</c:v>
                </c:pt>
                <c:pt idx="145">
                  <c:v>0</c:v>
                </c:pt>
                <c:pt idx="146">
                  <c:v>0</c:v>
                </c:pt>
                <c:pt idx="147">
                  <c:v>0</c:v>
                </c:pt>
                <c:pt idx="148">
                  <c:v>0.1</c:v>
                </c:pt>
                <c:pt idx="149">
                  <c:v>0.1</c:v>
                </c:pt>
                <c:pt idx="150">
                  <c:v>0.5</c:v>
                </c:pt>
                <c:pt idx="151">
                  <c:v>1</c:v>
                </c:pt>
                <c:pt idx="152">
                  <c:v>1</c:v>
                </c:pt>
                <c:pt idx="153">
                  <c:v>0.5</c:v>
                </c:pt>
                <c:pt idx="154">
                  <c:v>0.5</c:v>
                </c:pt>
                <c:pt idx="155">
                  <c:v>0.5</c:v>
                </c:pt>
                <c:pt idx="156">
                  <c:v>0.5</c:v>
                </c:pt>
                <c:pt idx="157">
                  <c:v>0.5</c:v>
                </c:pt>
                <c:pt idx="158">
                  <c:v>0.5</c:v>
                </c:pt>
                <c:pt idx="159">
                  <c:v>0.5</c:v>
                </c:pt>
                <c:pt idx="160">
                  <c:v>0.5</c:v>
                </c:pt>
                <c:pt idx="161">
                  <c:v>1</c:v>
                </c:pt>
                <c:pt idx="162">
                  <c:v>1</c:v>
                </c:pt>
                <c:pt idx="163">
                  <c:v>1</c:v>
                </c:pt>
                <c:pt idx="164">
                  <c:v>0.5</c:v>
                </c:pt>
                <c:pt idx="165">
                  <c:v>0.5</c:v>
                </c:pt>
                <c:pt idx="166">
                  <c:v>0.5</c:v>
                </c:pt>
                <c:pt idx="167">
                  <c:v>0.1</c:v>
                </c:pt>
              </c:numCache>
            </c:numRef>
          </c:val>
          <c:extLst>
            <c:ext xmlns:c16="http://schemas.microsoft.com/office/drawing/2014/chart" uri="{C3380CC4-5D6E-409C-BE32-E72D297353CC}">
              <c16:uniqueId val="{00000001-8BB6-49C3-BF02-2E46C74084DB}"/>
            </c:ext>
          </c:extLst>
        </c:ser>
        <c:dLbls>
          <c:showLegendKey val="0"/>
          <c:showVal val="0"/>
          <c:showCatName val="0"/>
          <c:showSerName val="0"/>
          <c:showPercent val="0"/>
          <c:showBubbleSize val="0"/>
        </c:dLbls>
        <c:gapWidth val="0"/>
        <c:axId val="127861120"/>
        <c:axId val="127862656"/>
      </c:barChart>
      <c:catAx>
        <c:axId val="128709376"/>
        <c:scaling>
          <c:orientation val="minMax"/>
        </c:scaling>
        <c:delete val="0"/>
        <c:axPos val="b"/>
        <c:numFmt formatCode="ddd"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128710912"/>
        <c:crosses val="autoZero"/>
        <c:auto val="1"/>
        <c:lblAlgn val="ctr"/>
        <c:lblOffset val="100"/>
        <c:tickLblSkip val="24"/>
        <c:noMultiLvlLbl val="0"/>
      </c:catAx>
      <c:valAx>
        <c:axId val="128710912"/>
        <c:scaling>
          <c:orientation val="minMax"/>
          <c:max val="1"/>
          <c:min val="0"/>
        </c:scaling>
        <c:delete val="0"/>
        <c:axPos val="l"/>
        <c:majorGridlines>
          <c:spPr>
            <a:ln w="3175">
              <a:solidFill>
                <a:srgbClr val="000000"/>
              </a:solidFill>
              <a:prstDash val="solid"/>
            </a:ln>
          </c:spPr>
        </c:majorGridlines>
        <c:title>
          <c:tx>
            <c:rich>
              <a:bodyPr/>
              <a:lstStyle/>
              <a:p>
                <a:pPr>
                  <a:defRPr sz="800" b="0" i="0" u="none" strike="noStrike" baseline="0">
                    <a:solidFill>
                      <a:srgbClr val="333333"/>
                    </a:solidFill>
                    <a:latin typeface="Arial"/>
                    <a:ea typeface="Arial"/>
                    <a:cs typeface="Arial"/>
                  </a:defRPr>
                </a:pPr>
                <a:r>
                  <a:rPr lang="de-CH"/>
                  <a:t>Personenprofil</a:t>
                </a:r>
              </a:p>
            </c:rich>
          </c:tx>
          <c:layout>
            <c:manualLayout>
              <c:xMode val="edge"/>
              <c:yMode val="edge"/>
              <c:x val="1.0376913545705264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128709376"/>
        <c:crosses val="autoZero"/>
        <c:crossBetween val="between"/>
        <c:majorUnit val="0.2"/>
        <c:minorUnit val="0.01"/>
      </c:valAx>
      <c:catAx>
        <c:axId val="127861120"/>
        <c:scaling>
          <c:orientation val="minMax"/>
        </c:scaling>
        <c:delete val="1"/>
        <c:axPos val="b"/>
        <c:numFmt formatCode="General" sourceLinked="1"/>
        <c:majorTickMark val="out"/>
        <c:minorTickMark val="none"/>
        <c:tickLblPos val="nextTo"/>
        <c:crossAx val="127862656"/>
        <c:crosses val="autoZero"/>
        <c:auto val="1"/>
        <c:lblAlgn val="ctr"/>
        <c:lblOffset val="100"/>
        <c:noMultiLvlLbl val="0"/>
      </c:catAx>
      <c:valAx>
        <c:axId val="127862656"/>
        <c:scaling>
          <c:orientation val="minMax"/>
        </c:scaling>
        <c:delete val="1"/>
        <c:axPos val="r"/>
        <c:numFmt formatCode="General" sourceLinked="1"/>
        <c:majorTickMark val="out"/>
        <c:minorTickMark val="none"/>
        <c:tickLblPos val="nextTo"/>
        <c:crossAx val="127861120"/>
        <c:crosses val="max"/>
        <c:crossBetween val="between"/>
      </c:valAx>
      <c:spPr>
        <a:noFill/>
        <a:ln w="25400">
          <a:noFill/>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40481995922113"/>
          <c:y val="0.10489514155758657"/>
          <c:w val="0.83202024674893305"/>
          <c:h val="0.67832167832167833"/>
        </c:manualLayout>
      </c:layout>
      <c:barChart>
        <c:barDir val="col"/>
        <c:grouping val="stacked"/>
        <c:varyColors val="0"/>
        <c:ser>
          <c:idx val="3"/>
          <c:order val="0"/>
          <c:spPr>
            <a:solidFill>
              <a:srgbClr val="C0C0C0"/>
            </a:solidFill>
            <a:ln w="25400">
              <a:noFill/>
            </a:ln>
          </c:spPr>
          <c:invertIfNegative val="0"/>
          <c:cat>
            <c:numRef>
              <c:f>Profile!$A$292:$A$655</c:f>
              <c:numCache>
                <c:formatCode>General</c:formatCode>
                <c:ptCount val="36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3</c:v>
                </c:pt>
                <c:pt idx="60">
                  <c:v>3</c:v>
                </c:pt>
                <c:pt idx="61">
                  <c:v>3</c:v>
                </c:pt>
                <c:pt idx="62">
                  <c:v>3</c:v>
                </c:pt>
                <c:pt idx="63">
                  <c:v>3</c:v>
                </c:pt>
                <c:pt idx="64">
                  <c:v>3</c:v>
                </c:pt>
                <c:pt idx="65">
                  <c:v>3</c:v>
                </c:pt>
                <c:pt idx="66">
                  <c:v>3</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4</c:v>
                </c:pt>
                <c:pt idx="118">
                  <c:v>4</c:v>
                </c:pt>
                <c:pt idx="119">
                  <c:v>4</c:v>
                </c:pt>
                <c:pt idx="120">
                  <c:v>5</c:v>
                </c:pt>
                <c:pt idx="121">
                  <c:v>5</c:v>
                </c:pt>
                <c:pt idx="122">
                  <c:v>5</c:v>
                </c:pt>
                <c:pt idx="123">
                  <c:v>5</c:v>
                </c:pt>
                <c:pt idx="124">
                  <c:v>5</c:v>
                </c:pt>
                <c:pt idx="125">
                  <c:v>5</c:v>
                </c:pt>
                <c:pt idx="126">
                  <c:v>5</c:v>
                </c:pt>
                <c:pt idx="127">
                  <c:v>5</c:v>
                </c:pt>
                <c:pt idx="128">
                  <c:v>5</c:v>
                </c:pt>
                <c:pt idx="129">
                  <c:v>5</c:v>
                </c:pt>
                <c:pt idx="130">
                  <c:v>5</c:v>
                </c:pt>
                <c:pt idx="131">
                  <c:v>5</c:v>
                </c:pt>
                <c:pt idx="132">
                  <c:v>5</c:v>
                </c:pt>
                <c:pt idx="133">
                  <c:v>5</c:v>
                </c:pt>
                <c:pt idx="134">
                  <c:v>5</c:v>
                </c:pt>
                <c:pt idx="135">
                  <c:v>5</c:v>
                </c:pt>
                <c:pt idx="136">
                  <c:v>5</c:v>
                </c:pt>
                <c:pt idx="137">
                  <c:v>5</c:v>
                </c:pt>
                <c:pt idx="138">
                  <c:v>5</c:v>
                </c:pt>
                <c:pt idx="139">
                  <c:v>5</c:v>
                </c:pt>
                <c:pt idx="140">
                  <c:v>5</c:v>
                </c:pt>
                <c:pt idx="141">
                  <c:v>5</c:v>
                </c:pt>
                <c:pt idx="142">
                  <c:v>5</c:v>
                </c:pt>
                <c:pt idx="143">
                  <c:v>5</c:v>
                </c:pt>
                <c:pt idx="144">
                  <c:v>5</c:v>
                </c:pt>
                <c:pt idx="145">
                  <c:v>5</c:v>
                </c:pt>
                <c:pt idx="146">
                  <c:v>5</c:v>
                </c:pt>
                <c:pt idx="147">
                  <c:v>5</c:v>
                </c:pt>
                <c:pt idx="148">
                  <c:v>5</c:v>
                </c:pt>
                <c:pt idx="149">
                  <c:v>5</c:v>
                </c:pt>
                <c:pt idx="150">
                  <c:v>5</c:v>
                </c:pt>
                <c:pt idx="151">
                  <c:v>6</c:v>
                </c:pt>
                <c:pt idx="152">
                  <c:v>6</c:v>
                </c:pt>
                <c:pt idx="153">
                  <c:v>6</c:v>
                </c:pt>
                <c:pt idx="154">
                  <c:v>6</c:v>
                </c:pt>
                <c:pt idx="155">
                  <c:v>6</c:v>
                </c:pt>
                <c:pt idx="156">
                  <c:v>6</c:v>
                </c:pt>
                <c:pt idx="157">
                  <c:v>6</c:v>
                </c:pt>
                <c:pt idx="158">
                  <c:v>6</c:v>
                </c:pt>
                <c:pt idx="159">
                  <c:v>6</c:v>
                </c:pt>
                <c:pt idx="160">
                  <c:v>6</c:v>
                </c:pt>
                <c:pt idx="161">
                  <c:v>6</c:v>
                </c:pt>
                <c:pt idx="162">
                  <c:v>6</c:v>
                </c:pt>
                <c:pt idx="163">
                  <c:v>6</c:v>
                </c:pt>
                <c:pt idx="164">
                  <c:v>6</c:v>
                </c:pt>
                <c:pt idx="165">
                  <c:v>6</c:v>
                </c:pt>
                <c:pt idx="166">
                  <c:v>6</c:v>
                </c:pt>
                <c:pt idx="167">
                  <c:v>6</c:v>
                </c:pt>
                <c:pt idx="168">
                  <c:v>6</c:v>
                </c:pt>
                <c:pt idx="169">
                  <c:v>6</c:v>
                </c:pt>
                <c:pt idx="170">
                  <c:v>6</c:v>
                </c:pt>
                <c:pt idx="171">
                  <c:v>6</c:v>
                </c:pt>
                <c:pt idx="172">
                  <c:v>6</c:v>
                </c:pt>
                <c:pt idx="173">
                  <c:v>6</c:v>
                </c:pt>
                <c:pt idx="174">
                  <c:v>6</c:v>
                </c:pt>
                <c:pt idx="175">
                  <c:v>6</c:v>
                </c:pt>
                <c:pt idx="176">
                  <c:v>6</c:v>
                </c:pt>
                <c:pt idx="177">
                  <c:v>6</c:v>
                </c:pt>
                <c:pt idx="178">
                  <c:v>6</c:v>
                </c:pt>
                <c:pt idx="179">
                  <c:v>6</c:v>
                </c:pt>
                <c:pt idx="180">
                  <c:v>6</c:v>
                </c:pt>
                <c:pt idx="181">
                  <c:v>7</c:v>
                </c:pt>
                <c:pt idx="182">
                  <c:v>7</c:v>
                </c:pt>
                <c:pt idx="183">
                  <c:v>7</c:v>
                </c:pt>
                <c:pt idx="184">
                  <c:v>7</c:v>
                </c:pt>
                <c:pt idx="185">
                  <c:v>7</c:v>
                </c:pt>
                <c:pt idx="186">
                  <c:v>7</c:v>
                </c:pt>
                <c:pt idx="187">
                  <c:v>7</c:v>
                </c:pt>
                <c:pt idx="188">
                  <c:v>7</c:v>
                </c:pt>
                <c:pt idx="189">
                  <c:v>7</c:v>
                </c:pt>
                <c:pt idx="190">
                  <c:v>7</c:v>
                </c:pt>
                <c:pt idx="191">
                  <c:v>7</c:v>
                </c:pt>
                <c:pt idx="192">
                  <c:v>7</c:v>
                </c:pt>
                <c:pt idx="193">
                  <c:v>7</c:v>
                </c:pt>
                <c:pt idx="194">
                  <c:v>7</c:v>
                </c:pt>
                <c:pt idx="195">
                  <c:v>7</c:v>
                </c:pt>
                <c:pt idx="196">
                  <c:v>7</c:v>
                </c:pt>
                <c:pt idx="197">
                  <c:v>7</c:v>
                </c:pt>
                <c:pt idx="198">
                  <c:v>7</c:v>
                </c:pt>
                <c:pt idx="199">
                  <c:v>7</c:v>
                </c:pt>
                <c:pt idx="200">
                  <c:v>7</c:v>
                </c:pt>
                <c:pt idx="201">
                  <c:v>7</c:v>
                </c:pt>
                <c:pt idx="202">
                  <c:v>7</c:v>
                </c:pt>
                <c:pt idx="203">
                  <c:v>7</c:v>
                </c:pt>
                <c:pt idx="204">
                  <c:v>7</c:v>
                </c:pt>
                <c:pt idx="205">
                  <c:v>7</c:v>
                </c:pt>
                <c:pt idx="206">
                  <c:v>7</c:v>
                </c:pt>
                <c:pt idx="207">
                  <c:v>7</c:v>
                </c:pt>
                <c:pt idx="208">
                  <c:v>7</c:v>
                </c:pt>
                <c:pt idx="209">
                  <c:v>7</c:v>
                </c:pt>
                <c:pt idx="210">
                  <c:v>7</c:v>
                </c:pt>
                <c:pt idx="211">
                  <c:v>7</c:v>
                </c:pt>
                <c:pt idx="212">
                  <c:v>8</c:v>
                </c:pt>
                <c:pt idx="213">
                  <c:v>8</c:v>
                </c:pt>
                <c:pt idx="214">
                  <c:v>8</c:v>
                </c:pt>
                <c:pt idx="215">
                  <c:v>8</c:v>
                </c:pt>
                <c:pt idx="216">
                  <c:v>8</c:v>
                </c:pt>
                <c:pt idx="217">
                  <c:v>8</c:v>
                </c:pt>
                <c:pt idx="218">
                  <c:v>8</c:v>
                </c:pt>
                <c:pt idx="219">
                  <c:v>8</c:v>
                </c:pt>
                <c:pt idx="220">
                  <c:v>8</c:v>
                </c:pt>
                <c:pt idx="221">
                  <c:v>8</c:v>
                </c:pt>
                <c:pt idx="222">
                  <c:v>8</c:v>
                </c:pt>
                <c:pt idx="223">
                  <c:v>8</c:v>
                </c:pt>
                <c:pt idx="224">
                  <c:v>8</c:v>
                </c:pt>
                <c:pt idx="225">
                  <c:v>8</c:v>
                </c:pt>
                <c:pt idx="226">
                  <c:v>8</c:v>
                </c:pt>
                <c:pt idx="227">
                  <c:v>8</c:v>
                </c:pt>
                <c:pt idx="228">
                  <c:v>8</c:v>
                </c:pt>
                <c:pt idx="229">
                  <c:v>8</c:v>
                </c:pt>
                <c:pt idx="230">
                  <c:v>8</c:v>
                </c:pt>
                <c:pt idx="231">
                  <c:v>8</c:v>
                </c:pt>
                <c:pt idx="232">
                  <c:v>8</c:v>
                </c:pt>
                <c:pt idx="233">
                  <c:v>8</c:v>
                </c:pt>
                <c:pt idx="234">
                  <c:v>8</c:v>
                </c:pt>
                <c:pt idx="235">
                  <c:v>8</c:v>
                </c:pt>
                <c:pt idx="236">
                  <c:v>8</c:v>
                </c:pt>
                <c:pt idx="237">
                  <c:v>8</c:v>
                </c:pt>
                <c:pt idx="238">
                  <c:v>8</c:v>
                </c:pt>
                <c:pt idx="239">
                  <c:v>8</c:v>
                </c:pt>
                <c:pt idx="240">
                  <c:v>8</c:v>
                </c:pt>
                <c:pt idx="241">
                  <c:v>8</c:v>
                </c:pt>
                <c:pt idx="242">
                  <c:v>8</c:v>
                </c:pt>
                <c:pt idx="243">
                  <c:v>9</c:v>
                </c:pt>
                <c:pt idx="244">
                  <c:v>9</c:v>
                </c:pt>
                <c:pt idx="245">
                  <c:v>9</c:v>
                </c:pt>
                <c:pt idx="246">
                  <c:v>9</c:v>
                </c:pt>
                <c:pt idx="247">
                  <c:v>9</c:v>
                </c:pt>
                <c:pt idx="248">
                  <c:v>9</c:v>
                </c:pt>
                <c:pt idx="249">
                  <c:v>9</c:v>
                </c:pt>
                <c:pt idx="250">
                  <c:v>9</c:v>
                </c:pt>
                <c:pt idx="251">
                  <c:v>9</c:v>
                </c:pt>
                <c:pt idx="252">
                  <c:v>9</c:v>
                </c:pt>
                <c:pt idx="253">
                  <c:v>9</c:v>
                </c:pt>
                <c:pt idx="254">
                  <c:v>9</c:v>
                </c:pt>
                <c:pt idx="255">
                  <c:v>9</c:v>
                </c:pt>
                <c:pt idx="256">
                  <c:v>9</c:v>
                </c:pt>
                <c:pt idx="257">
                  <c:v>9</c:v>
                </c:pt>
                <c:pt idx="258">
                  <c:v>9</c:v>
                </c:pt>
                <c:pt idx="259">
                  <c:v>9</c:v>
                </c:pt>
                <c:pt idx="260">
                  <c:v>9</c:v>
                </c:pt>
                <c:pt idx="261">
                  <c:v>9</c:v>
                </c:pt>
                <c:pt idx="262">
                  <c:v>9</c:v>
                </c:pt>
                <c:pt idx="263">
                  <c:v>9</c:v>
                </c:pt>
                <c:pt idx="264">
                  <c:v>9</c:v>
                </c:pt>
                <c:pt idx="265">
                  <c:v>9</c:v>
                </c:pt>
                <c:pt idx="266">
                  <c:v>9</c:v>
                </c:pt>
                <c:pt idx="267">
                  <c:v>9</c:v>
                </c:pt>
                <c:pt idx="268">
                  <c:v>9</c:v>
                </c:pt>
                <c:pt idx="269">
                  <c:v>9</c:v>
                </c:pt>
                <c:pt idx="270">
                  <c:v>9</c:v>
                </c:pt>
                <c:pt idx="271">
                  <c:v>9</c:v>
                </c:pt>
                <c:pt idx="272">
                  <c:v>9</c:v>
                </c:pt>
                <c:pt idx="273">
                  <c:v>10</c:v>
                </c:pt>
                <c:pt idx="274">
                  <c:v>10</c:v>
                </c:pt>
                <c:pt idx="275">
                  <c:v>10</c:v>
                </c:pt>
                <c:pt idx="276">
                  <c:v>10</c:v>
                </c:pt>
                <c:pt idx="277">
                  <c:v>10</c:v>
                </c:pt>
                <c:pt idx="278">
                  <c:v>10</c:v>
                </c:pt>
                <c:pt idx="279">
                  <c:v>10</c:v>
                </c:pt>
                <c:pt idx="280">
                  <c:v>10</c:v>
                </c:pt>
                <c:pt idx="281">
                  <c:v>10</c:v>
                </c:pt>
                <c:pt idx="282">
                  <c:v>10</c:v>
                </c:pt>
                <c:pt idx="283">
                  <c:v>10</c:v>
                </c:pt>
                <c:pt idx="284">
                  <c:v>10</c:v>
                </c:pt>
                <c:pt idx="285">
                  <c:v>10</c:v>
                </c:pt>
                <c:pt idx="286">
                  <c:v>10</c:v>
                </c:pt>
                <c:pt idx="287">
                  <c:v>10</c:v>
                </c:pt>
                <c:pt idx="288">
                  <c:v>10</c:v>
                </c:pt>
                <c:pt idx="289">
                  <c:v>10</c:v>
                </c:pt>
                <c:pt idx="290">
                  <c:v>10</c:v>
                </c:pt>
                <c:pt idx="291">
                  <c:v>10</c:v>
                </c:pt>
                <c:pt idx="292">
                  <c:v>10</c:v>
                </c:pt>
                <c:pt idx="293">
                  <c:v>10</c:v>
                </c:pt>
                <c:pt idx="294">
                  <c:v>10</c:v>
                </c:pt>
                <c:pt idx="295">
                  <c:v>10</c:v>
                </c:pt>
                <c:pt idx="296">
                  <c:v>10</c:v>
                </c:pt>
                <c:pt idx="297">
                  <c:v>10</c:v>
                </c:pt>
                <c:pt idx="298">
                  <c:v>10</c:v>
                </c:pt>
                <c:pt idx="299">
                  <c:v>10</c:v>
                </c:pt>
                <c:pt idx="300">
                  <c:v>10</c:v>
                </c:pt>
                <c:pt idx="301">
                  <c:v>10</c:v>
                </c:pt>
                <c:pt idx="302">
                  <c:v>10</c:v>
                </c:pt>
                <c:pt idx="303">
                  <c:v>10</c:v>
                </c:pt>
                <c:pt idx="304">
                  <c:v>11</c:v>
                </c:pt>
                <c:pt idx="305">
                  <c:v>11</c:v>
                </c:pt>
                <c:pt idx="306">
                  <c:v>11</c:v>
                </c:pt>
                <c:pt idx="307">
                  <c:v>11</c:v>
                </c:pt>
                <c:pt idx="308">
                  <c:v>11</c:v>
                </c:pt>
                <c:pt idx="309">
                  <c:v>11</c:v>
                </c:pt>
                <c:pt idx="310">
                  <c:v>11</c:v>
                </c:pt>
                <c:pt idx="311">
                  <c:v>11</c:v>
                </c:pt>
                <c:pt idx="312">
                  <c:v>11</c:v>
                </c:pt>
                <c:pt idx="313">
                  <c:v>11</c:v>
                </c:pt>
                <c:pt idx="314">
                  <c:v>11</c:v>
                </c:pt>
                <c:pt idx="315">
                  <c:v>11</c:v>
                </c:pt>
                <c:pt idx="316">
                  <c:v>11</c:v>
                </c:pt>
                <c:pt idx="317">
                  <c:v>11</c:v>
                </c:pt>
                <c:pt idx="318">
                  <c:v>11</c:v>
                </c:pt>
                <c:pt idx="319">
                  <c:v>11</c:v>
                </c:pt>
                <c:pt idx="320">
                  <c:v>11</c:v>
                </c:pt>
                <c:pt idx="321">
                  <c:v>11</c:v>
                </c:pt>
                <c:pt idx="322">
                  <c:v>11</c:v>
                </c:pt>
                <c:pt idx="323">
                  <c:v>11</c:v>
                </c:pt>
                <c:pt idx="324">
                  <c:v>11</c:v>
                </c:pt>
                <c:pt idx="325">
                  <c:v>11</c:v>
                </c:pt>
                <c:pt idx="326">
                  <c:v>11</c:v>
                </c:pt>
                <c:pt idx="327">
                  <c:v>11</c:v>
                </c:pt>
                <c:pt idx="328">
                  <c:v>11</c:v>
                </c:pt>
                <c:pt idx="329">
                  <c:v>11</c:v>
                </c:pt>
                <c:pt idx="330">
                  <c:v>11</c:v>
                </c:pt>
                <c:pt idx="331">
                  <c:v>11</c:v>
                </c:pt>
                <c:pt idx="332">
                  <c:v>11</c:v>
                </c:pt>
                <c:pt idx="333">
                  <c:v>11</c:v>
                </c:pt>
                <c:pt idx="334">
                  <c:v>12</c:v>
                </c:pt>
                <c:pt idx="335">
                  <c:v>12</c:v>
                </c:pt>
                <c:pt idx="336">
                  <c:v>12</c:v>
                </c:pt>
                <c:pt idx="337">
                  <c:v>12</c:v>
                </c:pt>
                <c:pt idx="338">
                  <c:v>12</c:v>
                </c:pt>
                <c:pt idx="339">
                  <c:v>12</c:v>
                </c:pt>
                <c:pt idx="340">
                  <c:v>12</c:v>
                </c:pt>
                <c:pt idx="341">
                  <c:v>12</c:v>
                </c:pt>
                <c:pt idx="342">
                  <c:v>12</c:v>
                </c:pt>
                <c:pt idx="343">
                  <c:v>12</c:v>
                </c:pt>
                <c:pt idx="344">
                  <c:v>12</c:v>
                </c:pt>
                <c:pt idx="345">
                  <c:v>12</c:v>
                </c:pt>
                <c:pt idx="346">
                  <c:v>12</c:v>
                </c:pt>
                <c:pt idx="347">
                  <c:v>12</c:v>
                </c:pt>
                <c:pt idx="348">
                  <c:v>12</c:v>
                </c:pt>
                <c:pt idx="349">
                  <c:v>12</c:v>
                </c:pt>
                <c:pt idx="350">
                  <c:v>12</c:v>
                </c:pt>
                <c:pt idx="351">
                  <c:v>12</c:v>
                </c:pt>
                <c:pt idx="352">
                  <c:v>12</c:v>
                </c:pt>
                <c:pt idx="353">
                  <c:v>12</c:v>
                </c:pt>
                <c:pt idx="354">
                  <c:v>12</c:v>
                </c:pt>
                <c:pt idx="355">
                  <c:v>12</c:v>
                </c:pt>
                <c:pt idx="356">
                  <c:v>12</c:v>
                </c:pt>
                <c:pt idx="357">
                  <c:v>12</c:v>
                </c:pt>
                <c:pt idx="358">
                  <c:v>12</c:v>
                </c:pt>
                <c:pt idx="359">
                  <c:v>12</c:v>
                </c:pt>
                <c:pt idx="360">
                  <c:v>12</c:v>
                </c:pt>
                <c:pt idx="361">
                  <c:v>12</c:v>
                </c:pt>
                <c:pt idx="362">
                  <c:v>12</c:v>
                </c:pt>
                <c:pt idx="363">
                  <c:v>12</c:v>
                </c:pt>
              </c:numCache>
            </c:numRef>
          </c:cat>
          <c:val>
            <c:numRef>
              <c:f>Profile!$F$292:$F$656</c:f>
              <c:numCache>
                <c:formatCode>0.0</c:formatCode>
                <c:ptCount val="365"/>
                <c:pt idx="0">
                  <c:v>0.8</c:v>
                </c:pt>
                <c:pt idx="1">
                  <c:v>0.8</c:v>
                </c:pt>
                <c:pt idx="2">
                  <c:v>0.8</c:v>
                </c:pt>
                <c:pt idx="3">
                  <c:v>0.8</c:v>
                </c:pt>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0.6</c:v>
                </c:pt>
                <c:pt idx="32">
                  <c:v>0.6</c:v>
                </c:pt>
                <c:pt idx="33">
                  <c:v>0.6</c:v>
                </c:pt>
                <c:pt idx="34">
                  <c:v>0.6</c:v>
                </c:pt>
                <c:pt idx="35">
                  <c:v>0.6</c:v>
                </c:pt>
                <c:pt idx="36">
                  <c:v>0.6</c:v>
                </c:pt>
                <c:pt idx="37">
                  <c:v>0.6</c:v>
                </c:pt>
                <c:pt idx="38">
                  <c:v>0.6</c:v>
                </c:pt>
                <c:pt idx="39">
                  <c:v>0.6</c:v>
                </c:pt>
                <c:pt idx="40">
                  <c:v>0.6</c:v>
                </c:pt>
                <c:pt idx="41">
                  <c:v>0.6</c:v>
                </c:pt>
                <c:pt idx="42">
                  <c:v>0.6</c:v>
                </c:pt>
                <c:pt idx="43">
                  <c:v>0.6</c:v>
                </c:pt>
                <c:pt idx="44">
                  <c:v>0.6</c:v>
                </c:pt>
                <c:pt idx="45">
                  <c:v>0.6</c:v>
                </c:pt>
                <c:pt idx="46">
                  <c:v>0.6</c:v>
                </c:pt>
                <c:pt idx="47">
                  <c:v>0.6</c:v>
                </c:pt>
                <c:pt idx="48">
                  <c:v>0.6</c:v>
                </c:pt>
                <c:pt idx="49">
                  <c:v>0.6</c:v>
                </c:pt>
                <c:pt idx="50">
                  <c:v>0.6</c:v>
                </c:pt>
                <c:pt idx="51">
                  <c:v>0.6</c:v>
                </c:pt>
                <c:pt idx="52">
                  <c:v>0.6</c:v>
                </c:pt>
                <c:pt idx="53">
                  <c:v>0.6</c:v>
                </c:pt>
                <c:pt idx="54">
                  <c:v>0.6</c:v>
                </c:pt>
                <c:pt idx="55">
                  <c:v>0.6</c:v>
                </c:pt>
                <c:pt idx="56">
                  <c:v>0.6</c:v>
                </c:pt>
                <c:pt idx="57">
                  <c:v>0.6</c:v>
                </c:pt>
                <c:pt idx="58">
                  <c:v>0.6</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0.8</c:v>
                </c:pt>
                <c:pt idx="91">
                  <c:v>0.8</c:v>
                </c:pt>
                <c:pt idx="92">
                  <c:v>0.8</c:v>
                </c:pt>
                <c:pt idx="93">
                  <c:v>0.8</c:v>
                </c:pt>
                <c:pt idx="94">
                  <c:v>0.8</c:v>
                </c:pt>
                <c:pt idx="95">
                  <c:v>0.8</c:v>
                </c:pt>
                <c:pt idx="96">
                  <c:v>0.8</c:v>
                </c:pt>
                <c:pt idx="97">
                  <c:v>0.8</c:v>
                </c:pt>
                <c:pt idx="98">
                  <c:v>0.8</c:v>
                </c:pt>
                <c:pt idx="99">
                  <c:v>0.8</c:v>
                </c:pt>
                <c:pt idx="100">
                  <c:v>0.8</c:v>
                </c:pt>
                <c:pt idx="101">
                  <c:v>0.8</c:v>
                </c:pt>
                <c:pt idx="102">
                  <c:v>0.8</c:v>
                </c:pt>
                <c:pt idx="103">
                  <c:v>0.8</c:v>
                </c:pt>
                <c:pt idx="104">
                  <c:v>0.8</c:v>
                </c:pt>
                <c:pt idx="105">
                  <c:v>0.8</c:v>
                </c:pt>
                <c:pt idx="106">
                  <c:v>0.8</c:v>
                </c:pt>
                <c:pt idx="107">
                  <c:v>0.8</c:v>
                </c:pt>
                <c:pt idx="108">
                  <c:v>0.8</c:v>
                </c:pt>
                <c:pt idx="109">
                  <c:v>0.8</c:v>
                </c:pt>
                <c:pt idx="110">
                  <c:v>0.8</c:v>
                </c:pt>
                <c:pt idx="111">
                  <c:v>0.8</c:v>
                </c:pt>
                <c:pt idx="112">
                  <c:v>0.8</c:v>
                </c:pt>
                <c:pt idx="113">
                  <c:v>0.8</c:v>
                </c:pt>
                <c:pt idx="114">
                  <c:v>0.8</c:v>
                </c:pt>
                <c:pt idx="115">
                  <c:v>0.8</c:v>
                </c:pt>
                <c:pt idx="116">
                  <c:v>0.8</c:v>
                </c:pt>
                <c:pt idx="117">
                  <c:v>0.8</c:v>
                </c:pt>
                <c:pt idx="118">
                  <c:v>0.8</c:v>
                </c:pt>
                <c:pt idx="119">
                  <c:v>0.8</c:v>
                </c:pt>
                <c:pt idx="120">
                  <c:v>0.6</c:v>
                </c:pt>
                <c:pt idx="121">
                  <c:v>0.6</c:v>
                </c:pt>
                <c:pt idx="122">
                  <c:v>0.6</c:v>
                </c:pt>
                <c:pt idx="123">
                  <c:v>0.6</c:v>
                </c:pt>
                <c:pt idx="124">
                  <c:v>0.6</c:v>
                </c:pt>
                <c:pt idx="125">
                  <c:v>0.6</c:v>
                </c:pt>
                <c:pt idx="126">
                  <c:v>0.6</c:v>
                </c:pt>
                <c:pt idx="127">
                  <c:v>0.6</c:v>
                </c:pt>
                <c:pt idx="128">
                  <c:v>0.6</c:v>
                </c:pt>
                <c:pt idx="129">
                  <c:v>0.6</c:v>
                </c:pt>
                <c:pt idx="130">
                  <c:v>0.6</c:v>
                </c:pt>
                <c:pt idx="131">
                  <c:v>0.6</c:v>
                </c:pt>
                <c:pt idx="132">
                  <c:v>0.6</c:v>
                </c:pt>
                <c:pt idx="133">
                  <c:v>0.6</c:v>
                </c:pt>
                <c:pt idx="134">
                  <c:v>0.6</c:v>
                </c:pt>
                <c:pt idx="135">
                  <c:v>0.6</c:v>
                </c:pt>
                <c:pt idx="136">
                  <c:v>0.6</c:v>
                </c:pt>
                <c:pt idx="137">
                  <c:v>0.6</c:v>
                </c:pt>
                <c:pt idx="138">
                  <c:v>0.6</c:v>
                </c:pt>
                <c:pt idx="139">
                  <c:v>0.6</c:v>
                </c:pt>
                <c:pt idx="140">
                  <c:v>0.6</c:v>
                </c:pt>
                <c:pt idx="141">
                  <c:v>0.6</c:v>
                </c:pt>
                <c:pt idx="142">
                  <c:v>0.6</c:v>
                </c:pt>
                <c:pt idx="143">
                  <c:v>0.6</c:v>
                </c:pt>
                <c:pt idx="144">
                  <c:v>0.6</c:v>
                </c:pt>
                <c:pt idx="145">
                  <c:v>0.6</c:v>
                </c:pt>
                <c:pt idx="146">
                  <c:v>0.6</c:v>
                </c:pt>
                <c:pt idx="147">
                  <c:v>0.6</c:v>
                </c:pt>
                <c:pt idx="148">
                  <c:v>0.6</c:v>
                </c:pt>
                <c:pt idx="149">
                  <c:v>0.6</c:v>
                </c:pt>
                <c:pt idx="150">
                  <c:v>0.6</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0.6</c:v>
                </c:pt>
                <c:pt idx="182">
                  <c:v>0.6</c:v>
                </c:pt>
                <c:pt idx="183">
                  <c:v>0.6</c:v>
                </c:pt>
                <c:pt idx="184">
                  <c:v>0.6</c:v>
                </c:pt>
                <c:pt idx="185">
                  <c:v>0.6</c:v>
                </c:pt>
                <c:pt idx="186">
                  <c:v>0.6</c:v>
                </c:pt>
                <c:pt idx="187">
                  <c:v>0.6</c:v>
                </c:pt>
                <c:pt idx="188">
                  <c:v>0.6</c:v>
                </c:pt>
                <c:pt idx="189">
                  <c:v>0.6</c:v>
                </c:pt>
                <c:pt idx="190">
                  <c:v>0.6</c:v>
                </c:pt>
                <c:pt idx="191">
                  <c:v>0.6</c:v>
                </c:pt>
                <c:pt idx="192">
                  <c:v>0.6</c:v>
                </c:pt>
                <c:pt idx="193">
                  <c:v>0.6</c:v>
                </c:pt>
                <c:pt idx="194">
                  <c:v>0.6</c:v>
                </c:pt>
                <c:pt idx="195">
                  <c:v>0.6</c:v>
                </c:pt>
                <c:pt idx="196">
                  <c:v>0.6</c:v>
                </c:pt>
                <c:pt idx="197">
                  <c:v>0.6</c:v>
                </c:pt>
                <c:pt idx="198">
                  <c:v>0.6</c:v>
                </c:pt>
                <c:pt idx="199">
                  <c:v>0.6</c:v>
                </c:pt>
                <c:pt idx="200">
                  <c:v>0.6</c:v>
                </c:pt>
                <c:pt idx="201">
                  <c:v>0.6</c:v>
                </c:pt>
                <c:pt idx="202">
                  <c:v>0.6</c:v>
                </c:pt>
                <c:pt idx="203">
                  <c:v>0.6</c:v>
                </c:pt>
                <c:pt idx="204">
                  <c:v>0.6</c:v>
                </c:pt>
                <c:pt idx="205">
                  <c:v>0.6</c:v>
                </c:pt>
                <c:pt idx="206">
                  <c:v>0.6</c:v>
                </c:pt>
                <c:pt idx="207">
                  <c:v>0.6</c:v>
                </c:pt>
                <c:pt idx="208">
                  <c:v>0.6</c:v>
                </c:pt>
                <c:pt idx="209">
                  <c:v>0.6</c:v>
                </c:pt>
                <c:pt idx="210">
                  <c:v>0.6</c:v>
                </c:pt>
                <c:pt idx="211">
                  <c:v>0.6</c:v>
                </c:pt>
                <c:pt idx="212">
                  <c:v>0.6</c:v>
                </c:pt>
                <c:pt idx="213">
                  <c:v>0.6</c:v>
                </c:pt>
                <c:pt idx="214">
                  <c:v>0.6</c:v>
                </c:pt>
                <c:pt idx="215">
                  <c:v>0.6</c:v>
                </c:pt>
                <c:pt idx="216">
                  <c:v>0.6</c:v>
                </c:pt>
                <c:pt idx="217">
                  <c:v>0.6</c:v>
                </c:pt>
                <c:pt idx="218">
                  <c:v>0.6</c:v>
                </c:pt>
                <c:pt idx="219">
                  <c:v>0.6</c:v>
                </c:pt>
                <c:pt idx="220">
                  <c:v>0.6</c:v>
                </c:pt>
                <c:pt idx="221">
                  <c:v>0.6</c:v>
                </c:pt>
                <c:pt idx="222">
                  <c:v>0.6</c:v>
                </c:pt>
                <c:pt idx="223">
                  <c:v>0.6</c:v>
                </c:pt>
                <c:pt idx="224">
                  <c:v>0.6</c:v>
                </c:pt>
                <c:pt idx="225">
                  <c:v>0.6</c:v>
                </c:pt>
                <c:pt idx="226">
                  <c:v>0.6</c:v>
                </c:pt>
                <c:pt idx="227">
                  <c:v>0.6</c:v>
                </c:pt>
                <c:pt idx="228">
                  <c:v>0.6</c:v>
                </c:pt>
                <c:pt idx="229">
                  <c:v>0.6</c:v>
                </c:pt>
                <c:pt idx="230">
                  <c:v>0.6</c:v>
                </c:pt>
                <c:pt idx="231">
                  <c:v>0.6</c:v>
                </c:pt>
                <c:pt idx="232">
                  <c:v>0.6</c:v>
                </c:pt>
                <c:pt idx="233">
                  <c:v>0.6</c:v>
                </c:pt>
                <c:pt idx="234">
                  <c:v>0.6</c:v>
                </c:pt>
                <c:pt idx="235">
                  <c:v>0.6</c:v>
                </c:pt>
                <c:pt idx="236">
                  <c:v>0.6</c:v>
                </c:pt>
                <c:pt idx="237">
                  <c:v>0.6</c:v>
                </c:pt>
                <c:pt idx="238">
                  <c:v>0.6</c:v>
                </c:pt>
                <c:pt idx="239">
                  <c:v>0.6</c:v>
                </c:pt>
                <c:pt idx="240">
                  <c:v>0.6</c:v>
                </c:pt>
                <c:pt idx="241">
                  <c:v>0.6</c:v>
                </c:pt>
                <c:pt idx="242">
                  <c:v>0.6</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0.8</c:v>
                </c:pt>
                <c:pt idx="274">
                  <c:v>0.8</c:v>
                </c:pt>
                <c:pt idx="275">
                  <c:v>0.8</c:v>
                </c:pt>
                <c:pt idx="276">
                  <c:v>0.8</c:v>
                </c:pt>
                <c:pt idx="277">
                  <c:v>0.8</c:v>
                </c:pt>
                <c:pt idx="278">
                  <c:v>0.8</c:v>
                </c:pt>
                <c:pt idx="279">
                  <c:v>0.8</c:v>
                </c:pt>
                <c:pt idx="280">
                  <c:v>0.8</c:v>
                </c:pt>
                <c:pt idx="281">
                  <c:v>0.8</c:v>
                </c:pt>
                <c:pt idx="282">
                  <c:v>0.8</c:v>
                </c:pt>
                <c:pt idx="283">
                  <c:v>0.8</c:v>
                </c:pt>
                <c:pt idx="284">
                  <c:v>0.8</c:v>
                </c:pt>
                <c:pt idx="285">
                  <c:v>0.8</c:v>
                </c:pt>
                <c:pt idx="286">
                  <c:v>0.8</c:v>
                </c:pt>
                <c:pt idx="287">
                  <c:v>0.8</c:v>
                </c:pt>
                <c:pt idx="288">
                  <c:v>0.8</c:v>
                </c:pt>
                <c:pt idx="289">
                  <c:v>0.8</c:v>
                </c:pt>
                <c:pt idx="290">
                  <c:v>0.8</c:v>
                </c:pt>
                <c:pt idx="291">
                  <c:v>0.8</c:v>
                </c:pt>
                <c:pt idx="292">
                  <c:v>0.8</c:v>
                </c:pt>
                <c:pt idx="293">
                  <c:v>0.8</c:v>
                </c:pt>
                <c:pt idx="294">
                  <c:v>0.8</c:v>
                </c:pt>
                <c:pt idx="295">
                  <c:v>0.8</c:v>
                </c:pt>
                <c:pt idx="296">
                  <c:v>0.8</c:v>
                </c:pt>
                <c:pt idx="297">
                  <c:v>0.8</c:v>
                </c:pt>
                <c:pt idx="298">
                  <c:v>0.8</c:v>
                </c:pt>
                <c:pt idx="299">
                  <c:v>0.8</c:v>
                </c:pt>
                <c:pt idx="300">
                  <c:v>0.8</c:v>
                </c:pt>
                <c:pt idx="301">
                  <c:v>0.8</c:v>
                </c:pt>
                <c:pt idx="302">
                  <c:v>0.8</c:v>
                </c:pt>
                <c:pt idx="303">
                  <c:v>0.8</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0.6</c:v>
                </c:pt>
                <c:pt idx="335">
                  <c:v>0.6</c:v>
                </c:pt>
                <c:pt idx="336">
                  <c:v>0.6</c:v>
                </c:pt>
                <c:pt idx="337">
                  <c:v>0.6</c:v>
                </c:pt>
                <c:pt idx="338">
                  <c:v>0.6</c:v>
                </c:pt>
                <c:pt idx="339">
                  <c:v>0.6</c:v>
                </c:pt>
                <c:pt idx="340">
                  <c:v>0.6</c:v>
                </c:pt>
                <c:pt idx="341">
                  <c:v>0.6</c:v>
                </c:pt>
                <c:pt idx="342">
                  <c:v>0.6</c:v>
                </c:pt>
                <c:pt idx="343">
                  <c:v>0.6</c:v>
                </c:pt>
                <c:pt idx="344">
                  <c:v>0.6</c:v>
                </c:pt>
                <c:pt idx="345">
                  <c:v>0.6</c:v>
                </c:pt>
                <c:pt idx="346">
                  <c:v>0.6</c:v>
                </c:pt>
                <c:pt idx="347">
                  <c:v>0.6</c:v>
                </c:pt>
                <c:pt idx="348">
                  <c:v>0.6</c:v>
                </c:pt>
                <c:pt idx="349">
                  <c:v>0.6</c:v>
                </c:pt>
                <c:pt idx="350">
                  <c:v>0.6</c:v>
                </c:pt>
                <c:pt idx="351">
                  <c:v>0.6</c:v>
                </c:pt>
                <c:pt idx="352">
                  <c:v>0.6</c:v>
                </c:pt>
                <c:pt idx="353">
                  <c:v>0.6</c:v>
                </c:pt>
                <c:pt idx="354">
                  <c:v>0.6</c:v>
                </c:pt>
                <c:pt idx="355">
                  <c:v>0.6</c:v>
                </c:pt>
                <c:pt idx="356">
                  <c:v>0.6</c:v>
                </c:pt>
                <c:pt idx="357">
                  <c:v>0.6</c:v>
                </c:pt>
                <c:pt idx="358">
                  <c:v>0.6</c:v>
                </c:pt>
                <c:pt idx="359">
                  <c:v>0.6</c:v>
                </c:pt>
                <c:pt idx="360">
                  <c:v>0.6</c:v>
                </c:pt>
                <c:pt idx="361">
                  <c:v>0.6</c:v>
                </c:pt>
                <c:pt idx="362">
                  <c:v>0.6</c:v>
                </c:pt>
                <c:pt idx="363">
                  <c:v>0.6</c:v>
                </c:pt>
                <c:pt idx="364">
                  <c:v>0.6</c:v>
                </c:pt>
              </c:numCache>
            </c:numRef>
          </c:val>
          <c:extLst>
            <c:ext xmlns:c16="http://schemas.microsoft.com/office/drawing/2014/chart" uri="{C3380CC4-5D6E-409C-BE32-E72D297353CC}">
              <c16:uniqueId val="{00000000-6B5D-4D43-A3E9-14852B3055BD}"/>
            </c:ext>
          </c:extLst>
        </c:ser>
        <c:dLbls>
          <c:showLegendKey val="0"/>
          <c:showVal val="0"/>
          <c:showCatName val="0"/>
          <c:showSerName val="0"/>
          <c:showPercent val="0"/>
          <c:showBubbleSize val="0"/>
        </c:dLbls>
        <c:gapWidth val="0"/>
        <c:overlap val="100"/>
        <c:axId val="127902848"/>
        <c:axId val="127904384"/>
      </c:barChart>
      <c:catAx>
        <c:axId val="12790284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127904384"/>
        <c:crosses val="autoZero"/>
        <c:auto val="1"/>
        <c:lblAlgn val="ctr"/>
        <c:lblOffset val="100"/>
        <c:tickLblSkip val="31"/>
        <c:tickMarkSkip val="7"/>
        <c:noMultiLvlLbl val="0"/>
      </c:catAx>
      <c:valAx>
        <c:axId val="127904384"/>
        <c:scaling>
          <c:orientation val="minMax"/>
          <c:max val="1"/>
          <c:min val="0"/>
        </c:scaling>
        <c:delete val="0"/>
        <c:axPos val="l"/>
        <c:majorGridlines>
          <c:spPr>
            <a:ln w="3175">
              <a:solidFill>
                <a:srgbClr val="000000"/>
              </a:solidFill>
              <a:prstDash val="solid"/>
            </a:ln>
          </c:spPr>
        </c:majorGridlines>
        <c:title>
          <c:tx>
            <c:rich>
              <a:bodyPr/>
              <a:lstStyle/>
              <a:p>
                <a:pPr>
                  <a:defRPr sz="800" b="0" i="0" u="none" strike="noStrike" baseline="0">
                    <a:solidFill>
                      <a:srgbClr val="333333"/>
                    </a:solidFill>
                    <a:latin typeface="Arial"/>
                    <a:ea typeface="Arial"/>
                    <a:cs typeface="Arial"/>
                  </a:defRPr>
                </a:pPr>
                <a:r>
                  <a:rPr lang="de-CH"/>
                  <a:t>Personenprofil</a:t>
                </a:r>
              </a:p>
            </c:rich>
          </c:tx>
          <c:layout>
            <c:manualLayout>
              <c:xMode val="edge"/>
              <c:yMode val="edge"/>
              <c:x val="1.0377036203807857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127902848"/>
        <c:crosses val="autoZero"/>
        <c:crossBetween val="between"/>
        <c:majorUnit val="0.2"/>
        <c:minorUnit val="0.01"/>
      </c:valAx>
      <c:spPr>
        <a:noFill/>
        <a:ln w="25400">
          <a:noFill/>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40481995922113"/>
          <c:y val="0.10489514155758657"/>
          <c:w val="0.83202024674893305"/>
          <c:h val="0.67832167832167833"/>
        </c:manualLayout>
      </c:layout>
      <c:barChart>
        <c:barDir val="col"/>
        <c:grouping val="stacked"/>
        <c:varyColors val="0"/>
        <c:ser>
          <c:idx val="3"/>
          <c:order val="1"/>
          <c:spPr>
            <a:solidFill>
              <a:srgbClr val="C0C0C0"/>
            </a:solidFill>
            <a:ln w="25400">
              <a:noFill/>
            </a:ln>
          </c:spPr>
          <c:invertIfNegative val="0"/>
          <c:val>
            <c:numRef>
              <c:f>Profile!$C$67:$C$90</c:f>
              <c:numCache>
                <c:formatCode>0.0</c:formatCode>
                <c:ptCount val="24"/>
                <c:pt idx="0">
                  <c:v>0</c:v>
                </c:pt>
                <c:pt idx="1">
                  <c:v>0</c:v>
                </c:pt>
                <c:pt idx="2">
                  <c:v>0</c:v>
                </c:pt>
                <c:pt idx="3">
                  <c:v>0</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numCache>
            </c:numRef>
          </c:val>
          <c:extLst>
            <c:ext xmlns:c16="http://schemas.microsoft.com/office/drawing/2014/chart" uri="{C3380CC4-5D6E-409C-BE32-E72D297353CC}">
              <c16:uniqueId val="{00000000-0B84-4E74-90D0-3281D4B02149}"/>
            </c:ext>
          </c:extLst>
        </c:ser>
        <c:dLbls>
          <c:showLegendKey val="0"/>
          <c:showVal val="0"/>
          <c:showCatName val="0"/>
          <c:showSerName val="0"/>
          <c:showPercent val="0"/>
          <c:showBubbleSize val="0"/>
        </c:dLbls>
        <c:gapWidth val="0"/>
        <c:overlap val="100"/>
        <c:axId val="128988288"/>
        <c:axId val="128989824"/>
      </c:barChart>
      <c:barChart>
        <c:barDir val="col"/>
        <c:grouping val="clustered"/>
        <c:varyColors val="0"/>
        <c:ser>
          <c:idx val="0"/>
          <c:order val="0"/>
          <c:spPr>
            <a:solidFill>
              <a:srgbClr val="00B050"/>
            </a:solidFill>
            <a:ln w="25400">
              <a:noFill/>
            </a:ln>
          </c:spPr>
          <c:invertIfNegative val="0"/>
          <c:val>
            <c:numRef>
              <c:f>Profile!$D$67:$D$90</c:f>
              <c:numCache>
                <c:formatCode>0.0</c:formatCode>
                <c:ptCount val="24"/>
                <c:pt idx="0">
                  <c:v>0.1</c:v>
                </c:pt>
                <c:pt idx="1">
                  <c:v>0.1</c:v>
                </c:pt>
                <c:pt idx="2">
                  <c:v>0.1</c:v>
                </c:pt>
                <c:pt idx="3">
                  <c:v>0.1</c:v>
                </c:pt>
                <c:pt idx="4">
                  <c:v>0.1</c:v>
                </c:pt>
                <c:pt idx="5">
                  <c:v>0.1</c:v>
                </c:pt>
                <c:pt idx="6">
                  <c:v>0.5</c:v>
                </c:pt>
                <c:pt idx="7">
                  <c:v>1</c:v>
                </c:pt>
                <c:pt idx="8">
                  <c:v>1</c:v>
                </c:pt>
                <c:pt idx="9">
                  <c:v>0.5</c:v>
                </c:pt>
                <c:pt idx="10">
                  <c:v>0.5</c:v>
                </c:pt>
                <c:pt idx="11">
                  <c:v>0.5</c:v>
                </c:pt>
                <c:pt idx="12">
                  <c:v>0.5</c:v>
                </c:pt>
                <c:pt idx="13">
                  <c:v>0.5</c:v>
                </c:pt>
                <c:pt idx="14">
                  <c:v>0.5</c:v>
                </c:pt>
                <c:pt idx="15">
                  <c:v>0.5</c:v>
                </c:pt>
                <c:pt idx="16">
                  <c:v>0.5</c:v>
                </c:pt>
                <c:pt idx="17">
                  <c:v>1</c:v>
                </c:pt>
                <c:pt idx="18">
                  <c:v>1</c:v>
                </c:pt>
                <c:pt idx="19">
                  <c:v>1</c:v>
                </c:pt>
                <c:pt idx="20">
                  <c:v>0.5</c:v>
                </c:pt>
                <c:pt idx="21">
                  <c:v>0.5</c:v>
                </c:pt>
                <c:pt idx="22">
                  <c:v>0.5</c:v>
                </c:pt>
                <c:pt idx="23">
                  <c:v>0.1</c:v>
                </c:pt>
              </c:numCache>
            </c:numRef>
          </c:val>
          <c:extLst>
            <c:ext xmlns:c16="http://schemas.microsoft.com/office/drawing/2014/chart" uri="{C3380CC4-5D6E-409C-BE32-E72D297353CC}">
              <c16:uniqueId val="{00000001-0B84-4E74-90D0-3281D4B02149}"/>
            </c:ext>
          </c:extLst>
        </c:ser>
        <c:dLbls>
          <c:showLegendKey val="0"/>
          <c:showVal val="0"/>
          <c:showCatName val="0"/>
          <c:showSerName val="0"/>
          <c:showPercent val="0"/>
          <c:showBubbleSize val="0"/>
        </c:dLbls>
        <c:gapWidth val="150"/>
        <c:axId val="128996096"/>
        <c:axId val="128997632"/>
      </c:barChart>
      <c:catAx>
        <c:axId val="12898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128989824"/>
        <c:crosses val="autoZero"/>
        <c:auto val="1"/>
        <c:lblAlgn val="ctr"/>
        <c:lblOffset val="100"/>
        <c:tickLblSkip val="1"/>
        <c:tickMarkSkip val="1"/>
        <c:noMultiLvlLbl val="0"/>
      </c:catAx>
      <c:valAx>
        <c:axId val="128989824"/>
        <c:scaling>
          <c:orientation val="minMax"/>
          <c:max val="1"/>
          <c:min val="0"/>
        </c:scaling>
        <c:delete val="0"/>
        <c:axPos val="l"/>
        <c:majorGridlines>
          <c:spPr>
            <a:ln w="3175">
              <a:solidFill>
                <a:srgbClr val="000000"/>
              </a:solidFill>
              <a:prstDash val="solid"/>
            </a:ln>
          </c:spPr>
        </c:majorGridlines>
        <c:title>
          <c:tx>
            <c:rich>
              <a:bodyPr/>
              <a:lstStyle/>
              <a:p>
                <a:pPr>
                  <a:defRPr sz="800" b="0" i="0" u="none" strike="noStrike" baseline="0">
                    <a:solidFill>
                      <a:srgbClr val="333333"/>
                    </a:solidFill>
                    <a:latin typeface="Arial"/>
                    <a:ea typeface="Arial"/>
                    <a:cs typeface="Arial"/>
                  </a:defRPr>
                </a:pPr>
                <a:r>
                  <a:rPr lang="de-CH"/>
                  <a:t>Geräteprofil</a:t>
                </a:r>
              </a:p>
            </c:rich>
          </c:tx>
          <c:layout>
            <c:manualLayout>
              <c:xMode val="edge"/>
              <c:yMode val="edge"/>
              <c:x val="1.0377036203807857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128988288"/>
        <c:crosses val="autoZero"/>
        <c:crossBetween val="between"/>
        <c:majorUnit val="0.2"/>
        <c:minorUnit val="0.01"/>
      </c:valAx>
      <c:catAx>
        <c:axId val="128996096"/>
        <c:scaling>
          <c:orientation val="minMax"/>
        </c:scaling>
        <c:delete val="1"/>
        <c:axPos val="b"/>
        <c:majorTickMark val="out"/>
        <c:minorTickMark val="none"/>
        <c:tickLblPos val="nextTo"/>
        <c:crossAx val="128997632"/>
        <c:crosses val="autoZero"/>
        <c:auto val="1"/>
        <c:lblAlgn val="ctr"/>
        <c:lblOffset val="100"/>
        <c:noMultiLvlLbl val="0"/>
      </c:catAx>
      <c:valAx>
        <c:axId val="128997632"/>
        <c:scaling>
          <c:orientation val="minMax"/>
        </c:scaling>
        <c:delete val="1"/>
        <c:axPos val="r"/>
        <c:numFmt formatCode="0.0" sourceLinked="1"/>
        <c:majorTickMark val="out"/>
        <c:minorTickMark val="none"/>
        <c:tickLblPos val="nextTo"/>
        <c:crossAx val="128996096"/>
        <c:crosses val="max"/>
        <c:crossBetween val="between"/>
      </c:valAx>
      <c:spPr>
        <a:noFill/>
        <a:ln w="25400">
          <a:noFill/>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40481995922113"/>
          <c:y val="0.10489514155758657"/>
          <c:w val="0.83202024674893305"/>
          <c:h val="0.67832167832167833"/>
        </c:manualLayout>
      </c:layout>
      <c:barChart>
        <c:barDir val="col"/>
        <c:grouping val="stacked"/>
        <c:varyColors val="0"/>
        <c:ser>
          <c:idx val="3"/>
          <c:order val="1"/>
          <c:spPr>
            <a:solidFill>
              <a:srgbClr val="C0C0C0"/>
            </a:solidFill>
            <a:ln w="25400">
              <a:noFill/>
            </a:ln>
          </c:spPr>
          <c:invertIfNegative val="0"/>
          <c:val>
            <c:numRef>
              <c:f>Profile!$C$67:$C$90</c:f>
              <c:numCache>
                <c:formatCode>0.0</c:formatCode>
                <c:ptCount val="24"/>
                <c:pt idx="0">
                  <c:v>0</c:v>
                </c:pt>
                <c:pt idx="1">
                  <c:v>0</c:v>
                </c:pt>
                <c:pt idx="2">
                  <c:v>0</c:v>
                </c:pt>
                <c:pt idx="3">
                  <c:v>0</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numCache>
            </c:numRef>
          </c:val>
          <c:extLst>
            <c:ext xmlns:c16="http://schemas.microsoft.com/office/drawing/2014/chart" uri="{C3380CC4-5D6E-409C-BE32-E72D297353CC}">
              <c16:uniqueId val="{00000000-784D-47C5-965D-780879BE6E6D}"/>
            </c:ext>
          </c:extLst>
        </c:ser>
        <c:dLbls>
          <c:showLegendKey val="0"/>
          <c:showVal val="0"/>
          <c:showCatName val="0"/>
          <c:showSerName val="0"/>
          <c:showPercent val="0"/>
          <c:showBubbleSize val="0"/>
        </c:dLbls>
        <c:gapWidth val="0"/>
        <c:overlap val="100"/>
        <c:axId val="129031552"/>
        <c:axId val="129037440"/>
      </c:barChart>
      <c:barChart>
        <c:barDir val="col"/>
        <c:grouping val="clustered"/>
        <c:varyColors val="0"/>
        <c:ser>
          <c:idx val="0"/>
          <c:order val="0"/>
          <c:spPr>
            <a:solidFill>
              <a:srgbClr val="FFFF00"/>
            </a:solidFill>
            <a:ln w="25400">
              <a:noFill/>
            </a:ln>
          </c:spPr>
          <c:invertIfNegative val="0"/>
          <c:val>
            <c:numRef>
              <c:f>Profile!$T$67:$T$90</c:f>
              <c:numCache>
                <c:formatCode>General</c:formatCode>
                <c:ptCount val="24"/>
                <c:pt idx="0">
                  <c:v>0</c:v>
                </c:pt>
                <c:pt idx="1">
                  <c:v>0</c:v>
                </c:pt>
                <c:pt idx="2">
                  <c:v>0</c:v>
                </c:pt>
                <c:pt idx="3">
                  <c:v>0</c:v>
                </c:pt>
                <c:pt idx="4">
                  <c:v>0</c:v>
                </c:pt>
                <c:pt idx="5">
                  <c:v>0</c:v>
                </c:pt>
                <c:pt idx="6">
                  <c:v>1</c:v>
                </c:pt>
                <c:pt idx="7">
                  <c:v>0</c:v>
                </c:pt>
                <c:pt idx="8">
                  <c:v>1</c:v>
                </c:pt>
                <c:pt idx="9">
                  <c:v>1</c:v>
                </c:pt>
                <c:pt idx="10">
                  <c:v>1</c:v>
                </c:pt>
                <c:pt idx="11">
                  <c:v>0</c:v>
                </c:pt>
                <c:pt idx="12">
                  <c:v>1</c:v>
                </c:pt>
                <c:pt idx="13">
                  <c:v>1</c:v>
                </c:pt>
                <c:pt idx="14">
                  <c:v>1</c:v>
                </c:pt>
                <c:pt idx="15">
                  <c:v>1</c:v>
                </c:pt>
                <c:pt idx="16">
                  <c:v>0</c:v>
                </c:pt>
                <c:pt idx="17">
                  <c:v>1</c:v>
                </c:pt>
                <c:pt idx="18">
                  <c:v>1</c:v>
                </c:pt>
                <c:pt idx="19">
                  <c:v>1</c:v>
                </c:pt>
                <c:pt idx="20">
                  <c:v>1</c:v>
                </c:pt>
                <c:pt idx="21">
                  <c:v>1</c:v>
                </c:pt>
                <c:pt idx="22">
                  <c:v>0</c:v>
                </c:pt>
                <c:pt idx="23">
                  <c:v>0</c:v>
                </c:pt>
              </c:numCache>
            </c:numRef>
          </c:val>
          <c:extLst>
            <c:ext xmlns:c16="http://schemas.microsoft.com/office/drawing/2014/chart" uri="{C3380CC4-5D6E-409C-BE32-E72D297353CC}">
              <c16:uniqueId val="{00000001-784D-47C5-965D-780879BE6E6D}"/>
            </c:ext>
          </c:extLst>
        </c:ser>
        <c:dLbls>
          <c:showLegendKey val="0"/>
          <c:showVal val="0"/>
          <c:showCatName val="0"/>
          <c:showSerName val="0"/>
          <c:showPercent val="0"/>
          <c:showBubbleSize val="0"/>
        </c:dLbls>
        <c:gapWidth val="150"/>
        <c:axId val="129039360"/>
        <c:axId val="130093824"/>
      </c:barChart>
      <c:catAx>
        <c:axId val="129031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129037440"/>
        <c:crosses val="autoZero"/>
        <c:auto val="1"/>
        <c:lblAlgn val="ctr"/>
        <c:lblOffset val="100"/>
        <c:tickLblSkip val="1"/>
        <c:tickMarkSkip val="1"/>
        <c:noMultiLvlLbl val="0"/>
      </c:catAx>
      <c:valAx>
        <c:axId val="129037440"/>
        <c:scaling>
          <c:orientation val="minMax"/>
          <c:max val="1"/>
          <c:min val="0"/>
        </c:scaling>
        <c:delete val="0"/>
        <c:axPos val="l"/>
        <c:majorGridlines>
          <c:spPr>
            <a:ln w="3175">
              <a:solidFill>
                <a:srgbClr val="000000"/>
              </a:solidFill>
              <a:prstDash val="solid"/>
            </a:ln>
          </c:spPr>
        </c:majorGridlines>
        <c:title>
          <c:tx>
            <c:rich>
              <a:bodyPr/>
              <a:lstStyle/>
              <a:p>
                <a:pPr>
                  <a:defRPr sz="800" b="0" i="0" u="none" strike="noStrike" baseline="0">
                    <a:solidFill>
                      <a:srgbClr val="333333"/>
                    </a:solidFill>
                    <a:latin typeface="Arial"/>
                    <a:ea typeface="Arial"/>
                    <a:cs typeface="Arial"/>
                  </a:defRPr>
                </a:pPr>
                <a:r>
                  <a:rPr lang="de-CH"/>
                  <a:t>Beleuchtungsprofil</a:t>
                </a:r>
              </a:p>
            </c:rich>
          </c:tx>
          <c:layout>
            <c:manualLayout>
              <c:xMode val="edge"/>
              <c:yMode val="edge"/>
              <c:x val="1.0377036203807857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129031552"/>
        <c:crosses val="autoZero"/>
        <c:crossBetween val="between"/>
        <c:majorUnit val="0.2"/>
        <c:minorUnit val="0.01"/>
      </c:valAx>
      <c:catAx>
        <c:axId val="129039360"/>
        <c:scaling>
          <c:orientation val="minMax"/>
        </c:scaling>
        <c:delete val="1"/>
        <c:axPos val="b"/>
        <c:majorTickMark val="out"/>
        <c:minorTickMark val="none"/>
        <c:tickLblPos val="nextTo"/>
        <c:crossAx val="130093824"/>
        <c:crosses val="autoZero"/>
        <c:auto val="1"/>
        <c:lblAlgn val="ctr"/>
        <c:lblOffset val="100"/>
        <c:noMultiLvlLbl val="0"/>
      </c:catAx>
      <c:valAx>
        <c:axId val="130093824"/>
        <c:scaling>
          <c:orientation val="minMax"/>
        </c:scaling>
        <c:delete val="1"/>
        <c:axPos val="r"/>
        <c:numFmt formatCode="General" sourceLinked="1"/>
        <c:majorTickMark val="out"/>
        <c:minorTickMark val="none"/>
        <c:tickLblPos val="nextTo"/>
        <c:crossAx val="129039360"/>
        <c:crosses val="max"/>
        <c:crossBetween val="between"/>
      </c:valAx>
      <c:spPr>
        <a:noFill/>
        <a:ln w="25400">
          <a:noFill/>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40481995922113"/>
          <c:y val="0.10489514155758657"/>
          <c:w val="0.83202024674893305"/>
          <c:h val="0.67832167832167833"/>
        </c:manualLayout>
      </c:layout>
      <c:barChart>
        <c:barDir val="col"/>
        <c:grouping val="stacked"/>
        <c:varyColors val="0"/>
        <c:ser>
          <c:idx val="3"/>
          <c:order val="1"/>
          <c:spPr>
            <a:solidFill>
              <a:srgbClr val="C0C0C0"/>
            </a:solidFill>
            <a:ln w="25400">
              <a:noFill/>
            </a:ln>
          </c:spPr>
          <c:invertIfNegative val="0"/>
          <c:cat>
            <c:numRef>
              <c:f>Profile!$A$292:$A$655</c:f>
              <c:numCache>
                <c:formatCode>General</c:formatCode>
                <c:ptCount val="36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3</c:v>
                </c:pt>
                <c:pt idx="60">
                  <c:v>3</c:v>
                </c:pt>
                <c:pt idx="61">
                  <c:v>3</c:v>
                </c:pt>
                <c:pt idx="62">
                  <c:v>3</c:v>
                </c:pt>
                <c:pt idx="63">
                  <c:v>3</c:v>
                </c:pt>
                <c:pt idx="64">
                  <c:v>3</c:v>
                </c:pt>
                <c:pt idx="65">
                  <c:v>3</c:v>
                </c:pt>
                <c:pt idx="66">
                  <c:v>3</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4</c:v>
                </c:pt>
                <c:pt idx="118">
                  <c:v>4</c:v>
                </c:pt>
                <c:pt idx="119">
                  <c:v>4</c:v>
                </c:pt>
                <c:pt idx="120">
                  <c:v>5</c:v>
                </c:pt>
                <c:pt idx="121">
                  <c:v>5</c:v>
                </c:pt>
                <c:pt idx="122">
                  <c:v>5</c:v>
                </c:pt>
                <c:pt idx="123">
                  <c:v>5</c:v>
                </c:pt>
                <c:pt idx="124">
                  <c:v>5</c:v>
                </c:pt>
                <c:pt idx="125">
                  <c:v>5</c:v>
                </c:pt>
                <c:pt idx="126">
                  <c:v>5</c:v>
                </c:pt>
                <c:pt idx="127">
                  <c:v>5</c:v>
                </c:pt>
                <c:pt idx="128">
                  <c:v>5</c:v>
                </c:pt>
                <c:pt idx="129">
                  <c:v>5</c:v>
                </c:pt>
                <c:pt idx="130">
                  <c:v>5</c:v>
                </c:pt>
                <c:pt idx="131">
                  <c:v>5</c:v>
                </c:pt>
                <c:pt idx="132">
                  <c:v>5</c:v>
                </c:pt>
                <c:pt idx="133">
                  <c:v>5</c:v>
                </c:pt>
                <c:pt idx="134">
                  <c:v>5</c:v>
                </c:pt>
                <c:pt idx="135">
                  <c:v>5</c:v>
                </c:pt>
                <c:pt idx="136">
                  <c:v>5</c:v>
                </c:pt>
                <c:pt idx="137">
                  <c:v>5</c:v>
                </c:pt>
                <c:pt idx="138">
                  <c:v>5</c:v>
                </c:pt>
                <c:pt idx="139">
                  <c:v>5</c:v>
                </c:pt>
                <c:pt idx="140">
                  <c:v>5</c:v>
                </c:pt>
                <c:pt idx="141">
                  <c:v>5</c:v>
                </c:pt>
                <c:pt idx="142">
                  <c:v>5</c:v>
                </c:pt>
                <c:pt idx="143">
                  <c:v>5</c:v>
                </c:pt>
                <c:pt idx="144">
                  <c:v>5</c:v>
                </c:pt>
                <c:pt idx="145">
                  <c:v>5</c:v>
                </c:pt>
                <c:pt idx="146">
                  <c:v>5</c:v>
                </c:pt>
                <c:pt idx="147">
                  <c:v>5</c:v>
                </c:pt>
                <c:pt idx="148">
                  <c:v>5</c:v>
                </c:pt>
                <c:pt idx="149">
                  <c:v>5</c:v>
                </c:pt>
                <c:pt idx="150">
                  <c:v>5</c:v>
                </c:pt>
                <c:pt idx="151">
                  <c:v>6</c:v>
                </c:pt>
                <c:pt idx="152">
                  <c:v>6</c:v>
                </c:pt>
                <c:pt idx="153">
                  <c:v>6</c:v>
                </c:pt>
                <c:pt idx="154">
                  <c:v>6</c:v>
                </c:pt>
                <c:pt idx="155">
                  <c:v>6</c:v>
                </c:pt>
                <c:pt idx="156">
                  <c:v>6</c:v>
                </c:pt>
                <c:pt idx="157">
                  <c:v>6</c:v>
                </c:pt>
                <c:pt idx="158">
                  <c:v>6</c:v>
                </c:pt>
                <c:pt idx="159">
                  <c:v>6</c:v>
                </c:pt>
                <c:pt idx="160">
                  <c:v>6</c:v>
                </c:pt>
                <c:pt idx="161">
                  <c:v>6</c:v>
                </c:pt>
                <c:pt idx="162">
                  <c:v>6</c:v>
                </c:pt>
                <c:pt idx="163">
                  <c:v>6</c:v>
                </c:pt>
                <c:pt idx="164">
                  <c:v>6</c:v>
                </c:pt>
                <c:pt idx="165">
                  <c:v>6</c:v>
                </c:pt>
                <c:pt idx="166">
                  <c:v>6</c:v>
                </c:pt>
                <c:pt idx="167">
                  <c:v>6</c:v>
                </c:pt>
                <c:pt idx="168">
                  <c:v>6</c:v>
                </c:pt>
                <c:pt idx="169">
                  <c:v>6</c:v>
                </c:pt>
                <c:pt idx="170">
                  <c:v>6</c:v>
                </c:pt>
                <c:pt idx="171">
                  <c:v>6</c:v>
                </c:pt>
                <c:pt idx="172">
                  <c:v>6</c:v>
                </c:pt>
                <c:pt idx="173">
                  <c:v>6</c:v>
                </c:pt>
                <c:pt idx="174">
                  <c:v>6</c:v>
                </c:pt>
                <c:pt idx="175">
                  <c:v>6</c:v>
                </c:pt>
                <c:pt idx="176">
                  <c:v>6</c:v>
                </c:pt>
                <c:pt idx="177">
                  <c:v>6</c:v>
                </c:pt>
                <c:pt idx="178">
                  <c:v>6</c:v>
                </c:pt>
                <c:pt idx="179">
                  <c:v>6</c:v>
                </c:pt>
                <c:pt idx="180">
                  <c:v>6</c:v>
                </c:pt>
                <c:pt idx="181">
                  <c:v>7</c:v>
                </c:pt>
                <c:pt idx="182">
                  <c:v>7</c:v>
                </c:pt>
                <c:pt idx="183">
                  <c:v>7</c:v>
                </c:pt>
                <c:pt idx="184">
                  <c:v>7</c:v>
                </c:pt>
                <c:pt idx="185">
                  <c:v>7</c:v>
                </c:pt>
                <c:pt idx="186">
                  <c:v>7</c:v>
                </c:pt>
                <c:pt idx="187">
                  <c:v>7</c:v>
                </c:pt>
                <c:pt idx="188">
                  <c:v>7</c:v>
                </c:pt>
                <c:pt idx="189">
                  <c:v>7</c:v>
                </c:pt>
                <c:pt idx="190">
                  <c:v>7</c:v>
                </c:pt>
                <c:pt idx="191">
                  <c:v>7</c:v>
                </c:pt>
                <c:pt idx="192">
                  <c:v>7</c:v>
                </c:pt>
                <c:pt idx="193">
                  <c:v>7</c:v>
                </c:pt>
                <c:pt idx="194">
                  <c:v>7</c:v>
                </c:pt>
                <c:pt idx="195">
                  <c:v>7</c:v>
                </c:pt>
                <c:pt idx="196">
                  <c:v>7</c:v>
                </c:pt>
                <c:pt idx="197">
                  <c:v>7</c:v>
                </c:pt>
                <c:pt idx="198">
                  <c:v>7</c:v>
                </c:pt>
                <c:pt idx="199">
                  <c:v>7</c:v>
                </c:pt>
                <c:pt idx="200">
                  <c:v>7</c:v>
                </c:pt>
                <c:pt idx="201">
                  <c:v>7</c:v>
                </c:pt>
                <c:pt idx="202">
                  <c:v>7</c:v>
                </c:pt>
                <c:pt idx="203">
                  <c:v>7</c:v>
                </c:pt>
                <c:pt idx="204">
                  <c:v>7</c:v>
                </c:pt>
                <c:pt idx="205">
                  <c:v>7</c:v>
                </c:pt>
                <c:pt idx="206">
                  <c:v>7</c:v>
                </c:pt>
                <c:pt idx="207">
                  <c:v>7</c:v>
                </c:pt>
                <c:pt idx="208">
                  <c:v>7</c:v>
                </c:pt>
                <c:pt idx="209">
                  <c:v>7</c:v>
                </c:pt>
                <c:pt idx="210">
                  <c:v>7</c:v>
                </c:pt>
                <c:pt idx="211">
                  <c:v>7</c:v>
                </c:pt>
                <c:pt idx="212">
                  <c:v>8</c:v>
                </c:pt>
                <c:pt idx="213">
                  <c:v>8</c:v>
                </c:pt>
                <c:pt idx="214">
                  <c:v>8</c:v>
                </c:pt>
                <c:pt idx="215">
                  <c:v>8</c:v>
                </c:pt>
                <c:pt idx="216">
                  <c:v>8</c:v>
                </c:pt>
                <c:pt idx="217">
                  <c:v>8</c:v>
                </c:pt>
                <c:pt idx="218">
                  <c:v>8</c:v>
                </c:pt>
                <c:pt idx="219">
                  <c:v>8</c:v>
                </c:pt>
                <c:pt idx="220">
                  <c:v>8</c:v>
                </c:pt>
                <c:pt idx="221">
                  <c:v>8</c:v>
                </c:pt>
                <c:pt idx="222">
                  <c:v>8</c:v>
                </c:pt>
                <c:pt idx="223">
                  <c:v>8</c:v>
                </c:pt>
                <c:pt idx="224">
                  <c:v>8</c:v>
                </c:pt>
                <c:pt idx="225">
                  <c:v>8</c:v>
                </c:pt>
                <c:pt idx="226">
                  <c:v>8</c:v>
                </c:pt>
                <c:pt idx="227">
                  <c:v>8</c:v>
                </c:pt>
                <c:pt idx="228">
                  <c:v>8</c:v>
                </c:pt>
                <c:pt idx="229">
                  <c:v>8</c:v>
                </c:pt>
                <c:pt idx="230">
                  <c:v>8</c:v>
                </c:pt>
                <c:pt idx="231">
                  <c:v>8</c:v>
                </c:pt>
                <c:pt idx="232">
                  <c:v>8</c:v>
                </c:pt>
                <c:pt idx="233">
                  <c:v>8</c:v>
                </c:pt>
                <c:pt idx="234">
                  <c:v>8</c:v>
                </c:pt>
                <c:pt idx="235">
                  <c:v>8</c:v>
                </c:pt>
                <c:pt idx="236">
                  <c:v>8</c:v>
                </c:pt>
                <c:pt idx="237">
                  <c:v>8</c:v>
                </c:pt>
                <c:pt idx="238">
                  <c:v>8</c:v>
                </c:pt>
                <c:pt idx="239">
                  <c:v>8</c:v>
                </c:pt>
                <c:pt idx="240">
                  <c:v>8</c:v>
                </c:pt>
                <c:pt idx="241">
                  <c:v>8</c:v>
                </c:pt>
                <c:pt idx="242">
                  <c:v>8</c:v>
                </c:pt>
                <c:pt idx="243">
                  <c:v>9</c:v>
                </c:pt>
                <c:pt idx="244">
                  <c:v>9</c:v>
                </c:pt>
                <c:pt idx="245">
                  <c:v>9</c:v>
                </c:pt>
                <c:pt idx="246">
                  <c:v>9</c:v>
                </c:pt>
                <c:pt idx="247">
                  <c:v>9</c:v>
                </c:pt>
                <c:pt idx="248">
                  <c:v>9</c:v>
                </c:pt>
                <c:pt idx="249">
                  <c:v>9</c:v>
                </c:pt>
                <c:pt idx="250">
                  <c:v>9</c:v>
                </c:pt>
                <c:pt idx="251">
                  <c:v>9</c:v>
                </c:pt>
                <c:pt idx="252">
                  <c:v>9</c:v>
                </c:pt>
                <c:pt idx="253">
                  <c:v>9</c:v>
                </c:pt>
                <c:pt idx="254">
                  <c:v>9</c:v>
                </c:pt>
                <c:pt idx="255">
                  <c:v>9</c:v>
                </c:pt>
                <c:pt idx="256">
                  <c:v>9</c:v>
                </c:pt>
                <c:pt idx="257">
                  <c:v>9</c:v>
                </c:pt>
                <c:pt idx="258">
                  <c:v>9</c:v>
                </c:pt>
                <c:pt idx="259">
                  <c:v>9</c:v>
                </c:pt>
                <c:pt idx="260">
                  <c:v>9</c:v>
                </c:pt>
                <c:pt idx="261">
                  <c:v>9</c:v>
                </c:pt>
                <c:pt idx="262">
                  <c:v>9</c:v>
                </c:pt>
                <c:pt idx="263">
                  <c:v>9</c:v>
                </c:pt>
                <c:pt idx="264">
                  <c:v>9</c:v>
                </c:pt>
                <c:pt idx="265">
                  <c:v>9</c:v>
                </c:pt>
                <c:pt idx="266">
                  <c:v>9</c:v>
                </c:pt>
                <c:pt idx="267">
                  <c:v>9</c:v>
                </c:pt>
                <c:pt idx="268">
                  <c:v>9</c:v>
                </c:pt>
                <c:pt idx="269">
                  <c:v>9</c:v>
                </c:pt>
                <c:pt idx="270">
                  <c:v>9</c:v>
                </c:pt>
                <c:pt idx="271">
                  <c:v>9</c:v>
                </c:pt>
                <c:pt idx="272">
                  <c:v>9</c:v>
                </c:pt>
                <c:pt idx="273">
                  <c:v>10</c:v>
                </c:pt>
                <c:pt idx="274">
                  <c:v>10</c:v>
                </c:pt>
                <c:pt idx="275">
                  <c:v>10</c:v>
                </c:pt>
                <c:pt idx="276">
                  <c:v>10</c:v>
                </c:pt>
                <c:pt idx="277">
                  <c:v>10</c:v>
                </c:pt>
                <c:pt idx="278">
                  <c:v>10</c:v>
                </c:pt>
                <c:pt idx="279">
                  <c:v>10</c:v>
                </c:pt>
                <c:pt idx="280">
                  <c:v>10</c:v>
                </c:pt>
                <c:pt idx="281">
                  <c:v>10</c:v>
                </c:pt>
                <c:pt idx="282">
                  <c:v>10</c:v>
                </c:pt>
                <c:pt idx="283">
                  <c:v>10</c:v>
                </c:pt>
                <c:pt idx="284">
                  <c:v>10</c:v>
                </c:pt>
                <c:pt idx="285">
                  <c:v>10</c:v>
                </c:pt>
                <c:pt idx="286">
                  <c:v>10</c:v>
                </c:pt>
                <c:pt idx="287">
                  <c:v>10</c:v>
                </c:pt>
                <c:pt idx="288">
                  <c:v>10</c:v>
                </c:pt>
                <c:pt idx="289">
                  <c:v>10</c:v>
                </c:pt>
                <c:pt idx="290">
                  <c:v>10</c:v>
                </c:pt>
                <c:pt idx="291">
                  <c:v>10</c:v>
                </c:pt>
                <c:pt idx="292">
                  <c:v>10</c:v>
                </c:pt>
                <c:pt idx="293">
                  <c:v>10</c:v>
                </c:pt>
                <c:pt idx="294">
                  <c:v>10</c:v>
                </c:pt>
                <c:pt idx="295">
                  <c:v>10</c:v>
                </c:pt>
                <c:pt idx="296">
                  <c:v>10</c:v>
                </c:pt>
                <c:pt idx="297">
                  <c:v>10</c:v>
                </c:pt>
                <c:pt idx="298">
                  <c:v>10</c:v>
                </c:pt>
                <c:pt idx="299">
                  <c:v>10</c:v>
                </c:pt>
                <c:pt idx="300">
                  <c:v>10</c:v>
                </c:pt>
                <c:pt idx="301">
                  <c:v>10</c:v>
                </c:pt>
                <c:pt idx="302">
                  <c:v>10</c:v>
                </c:pt>
                <c:pt idx="303">
                  <c:v>10</c:v>
                </c:pt>
                <c:pt idx="304">
                  <c:v>11</c:v>
                </c:pt>
                <c:pt idx="305">
                  <c:v>11</c:v>
                </c:pt>
                <c:pt idx="306">
                  <c:v>11</c:v>
                </c:pt>
                <c:pt idx="307">
                  <c:v>11</c:v>
                </c:pt>
                <c:pt idx="308">
                  <c:v>11</c:v>
                </c:pt>
                <c:pt idx="309">
                  <c:v>11</c:v>
                </c:pt>
                <c:pt idx="310">
                  <c:v>11</c:v>
                </c:pt>
                <c:pt idx="311">
                  <c:v>11</c:v>
                </c:pt>
                <c:pt idx="312">
                  <c:v>11</c:v>
                </c:pt>
                <c:pt idx="313">
                  <c:v>11</c:v>
                </c:pt>
                <c:pt idx="314">
                  <c:v>11</c:v>
                </c:pt>
                <c:pt idx="315">
                  <c:v>11</c:v>
                </c:pt>
                <c:pt idx="316">
                  <c:v>11</c:v>
                </c:pt>
                <c:pt idx="317">
                  <c:v>11</c:v>
                </c:pt>
                <c:pt idx="318">
                  <c:v>11</c:v>
                </c:pt>
                <c:pt idx="319">
                  <c:v>11</c:v>
                </c:pt>
                <c:pt idx="320">
                  <c:v>11</c:v>
                </c:pt>
                <c:pt idx="321">
                  <c:v>11</c:v>
                </c:pt>
                <c:pt idx="322">
                  <c:v>11</c:v>
                </c:pt>
                <c:pt idx="323">
                  <c:v>11</c:v>
                </c:pt>
                <c:pt idx="324">
                  <c:v>11</c:v>
                </c:pt>
                <c:pt idx="325">
                  <c:v>11</c:v>
                </c:pt>
                <c:pt idx="326">
                  <c:v>11</c:v>
                </c:pt>
                <c:pt idx="327">
                  <c:v>11</c:v>
                </c:pt>
                <c:pt idx="328">
                  <c:v>11</c:v>
                </c:pt>
                <c:pt idx="329">
                  <c:v>11</c:v>
                </c:pt>
                <c:pt idx="330">
                  <c:v>11</c:v>
                </c:pt>
                <c:pt idx="331">
                  <c:v>11</c:v>
                </c:pt>
                <c:pt idx="332">
                  <c:v>11</c:v>
                </c:pt>
                <c:pt idx="333">
                  <c:v>11</c:v>
                </c:pt>
                <c:pt idx="334">
                  <c:v>12</c:v>
                </c:pt>
                <c:pt idx="335">
                  <c:v>12</c:v>
                </c:pt>
                <c:pt idx="336">
                  <c:v>12</c:v>
                </c:pt>
                <c:pt idx="337">
                  <c:v>12</c:v>
                </c:pt>
                <c:pt idx="338">
                  <c:v>12</c:v>
                </c:pt>
                <c:pt idx="339">
                  <c:v>12</c:v>
                </c:pt>
                <c:pt idx="340">
                  <c:v>12</c:v>
                </c:pt>
                <c:pt idx="341">
                  <c:v>12</c:v>
                </c:pt>
                <c:pt idx="342">
                  <c:v>12</c:v>
                </c:pt>
                <c:pt idx="343">
                  <c:v>12</c:v>
                </c:pt>
                <c:pt idx="344">
                  <c:v>12</c:v>
                </c:pt>
                <c:pt idx="345">
                  <c:v>12</c:v>
                </c:pt>
                <c:pt idx="346">
                  <c:v>12</c:v>
                </c:pt>
                <c:pt idx="347">
                  <c:v>12</c:v>
                </c:pt>
                <c:pt idx="348">
                  <c:v>12</c:v>
                </c:pt>
                <c:pt idx="349">
                  <c:v>12</c:v>
                </c:pt>
                <c:pt idx="350">
                  <c:v>12</c:v>
                </c:pt>
                <c:pt idx="351">
                  <c:v>12</c:v>
                </c:pt>
                <c:pt idx="352">
                  <c:v>12</c:v>
                </c:pt>
                <c:pt idx="353">
                  <c:v>12</c:v>
                </c:pt>
                <c:pt idx="354">
                  <c:v>12</c:v>
                </c:pt>
                <c:pt idx="355">
                  <c:v>12</c:v>
                </c:pt>
                <c:pt idx="356">
                  <c:v>12</c:v>
                </c:pt>
                <c:pt idx="357">
                  <c:v>12</c:v>
                </c:pt>
                <c:pt idx="358">
                  <c:v>12</c:v>
                </c:pt>
                <c:pt idx="359">
                  <c:v>12</c:v>
                </c:pt>
                <c:pt idx="360">
                  <c:v>12</c:v>
                </c:pt>
                <c:pt idx="361">
                  <c:v>12</c:v>
                </c:pt>
                <c:pt idx="362">
                  <c:v>12</c:v>
                </c:pt>
                <c:pt idx="363">
                  <c:v>12</c:v>
                </c:pt>
              </c:numCache>
            </c:numRef>
          </c:cat>
          <c:val>
            <c:numRef>
              <c:f>Profile!$G$292:$G$656</c:f>
              <c:numCache>
                <c:formatCode>General</c:formatCode>
                <c:ptCount val="36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pt idx="15">
                  <c:v>0.7</c:v>
                </c:pt>
                <c:pt idx="16">
                  <c:v>0.7</c:v>
                </c:pt>
                <c:pt idx="17">
                  <c:v>0.7</c:v>
                </c:pt>
                <c:pt idx="18">
                  <c:v>0.7</c:v>
                </c:pt>
                <c:pt idx="19">
                  <c:v>0.7</c:v>
                </c:pt>
                <c:pt idx="20">
                  <c:v>0.7</c:v>
                </c:pt>
                <c:pt idx="21">
                  <c:v>0.7</c:v>
                </c:pt>
                <c:pt idx="22">
                  <c:v>0.7</c:v>
                </c:pt>
                <c:pt idx="23">
                  <c:v>0.7</c:v>
                </c:pt>
                <c:pt idx="24">
                  <c:v>0.7</c:v>
                </c:pt>
                <c:pt idx="25">
                  <c:v>0.7</c:v>
                </c:pt>
                <c:pt idx="26">
                  <c:v>0.7</c:v>
                </c:pt>
                <c:pt idx="27">
                  <c:v>0.7</c:v>
                </c:pt>
                <c:pt idx="28">
                  <c:v>0.7</c:v>
                </c:pt>
                <c:pt idx="29">
                  <c:v>0.7</c:v>
                </c:pt>
                <c:pt idx="30">
                  <c:v>0.7</c:v>
                </c:pt>
                <c:pt idx="31">
                  <c:v>0.7</c:v>
                </c:pt>
                <c:pt idx="32">
                  <c:v>0.7</c:v>
                </c:pt>
                <c:pt idx="33">
                  <c:v>0.7</c:v>
                </c:pt>
                <c:pt idx="34">
                  <c:v>0.7</c:v>
                </c:pt>
                <c:pt idx="35">
                  <c:v>0.7</c:v>
                </c:pt>
                <c:pt idx="36">
                  <c:v>0.7</c:v>
                </c:pt>
                <c:pt idx="37">
                  <c:v>0.7</c:v>
                </c:pt>
                <c:pt idx="38">
                  <c:v>0.7</c:v>
                </c:pt>
                <c:pt idx="39">
                  <c:v>0.7</c:v>
                </c:pt>
                <c:pt idx="40">
                  <c:v>0.7</c:v>
                </c:pt>
                <c:pt idx="41">
                  <c:v>0.7</c:v>
                </c:pt>
                <c:pt idx="42">
                  <c:v>0.7</c:v>
                </c:pt>
                <c:pt idx="43">
                  <c:v>0.7</c:v>
                </c:pt>
                <c:pt idx="44">
                  <c:v>0.7</c:v>
                </c:pt>
                <c:pt idx="45">
                  <c:v>0.7</c:v>
                </c:pt>
                <c:pt idx="46">
                  <c:v>0.7</c:v>
                </c:pt>
                <c:pt idx="47">
                  <c:v>0.7</c:v>
                </c:pt>
                <c:pt idx="48">
                  <c:v>0.7</c:v>
                </c:pt>
                <c:pt idx="49">
                  <c:v>0.7</c:v>
                </c:pt>
                <c:pt idx="50">
                  <c:v>0.7</c:v>
                </c:pt>
                <c:pt idx="51">
                  <c:v>0.7</c:v>
                </c:pt>
                <c:pt idx="52">
                  <c:v>0.7</c:v>
                </c:pt>
                <c:pt idx="53">
                  <c:v>0.7</c:v>
                </c:pt>
                <c:pt idx="54">
                  <c:v>0.7</c:v>
                </c:pt>
                <c:pt idx="55">
                  <c:v>0.7</c:v>
                </c:pt>
                <c:pt idx="56">
                  <c:v>0.7</c:v>
                </c:pt>
                <c:pt idx="57">
                  <c:v>0.7</c:v>
                </c:pt>
                <c:pt idx="58">
                  <c:v>0.7</c:v>
                </c:pt>
                <c:pt idx="59">
                  <c:v>0.7</c:v>
                </c:pt>
                <c:pt idx="60">
                  <c:v>0.7</c:v>
                </c:pt>
                <c:pt idx="61">
                  <c:v>0.7</c:v>
                </c:pt>
                <c:pt idx="62">
                  <c:v>0.7</c:v>
                </c:pt>
                <c:pt idx="63">
                  <c:v>0.7</c:v>
                </c:pt>
                <c:pt idx="64">
                  <c:v>0.7</c:v>
                </c:pt>
                <c:pt idx="65">
                  <c:v>0.7</c:v>
                </c:pt>
                <c:pt idx="66">
                  <c:v>0.7</c:v>
                </c:pt>
                <c:pt idx="67">
                  <c:v>0.7</c:v>
                </c:pt>
                <c:pt idx="68">
                  <c:v>0.7</c:v>
                </c:pt>
                <c:pt idx="69">
                  <c:v>0.7</c:v>
                </c:pt>
                <c:pt idx="70">
                  <c:v>0.7</c:v>
                </c:pt>
                <c:pt idx="71">
                  <c:v>0.7</c:v>
                </c:pt>
                <c:pt idx="72">
                  <c:v>0.7</c:v>
                </c:pt>
                <c:pt idx="73">
                  <c:v>0.7</c:v>
                </c:pt>
                <c:pt idx="74">
                  <c:v>0.7</c:v>
                </c:pt>
                <c:pt idx="75">
                  <c:v>0.7</c:v>
                </c:pt>
                <c:pt idx="76">
                  <c:v>0.7</c:v>
                </c:pt>
                <c:pt idx="77">
                  <c:v>0.7</c:v>
                </c:pt>
                <c:pt idx="78">
                  <c:v>0.7</c:v>
                </c:pt>
                <c:pt idx="79">
                  <c:v>0.7</c:v>
                </c:pt>
                <c:pt idx="80">
                  <c:v>0.7</c:v>
                </c:pt>
                <c:pt idx="81">
                  <c:v>0.7</c:v>
                </c:pt>
                <c:pt idx="82">
                  <c:v>0.7</c:v>
                </c:pt>
                <c:pt idx="83">
                  <c:v>0.7</c:v>
                </c:pt>
                <c:pt idx="84">
                  <c:v>0.7</c:v>
                </c:pt>
                <c:pt idx="85">
                  <c:v>0.7</c:v>
                </c:pt>
                <c:pt idx="86">
                  <c:v>0.7</c:v>
                </c:pt>
                <c:pt idx="87">
                  <c:v>0.7</c:v>
                </c:pt>
                <c:pt idx="88">
                  <c:v>0.7</c:v>
                </c:pt>
                <c:pt idx="89">
                  <c:v>0.7</c:v>
                </c:pt>
                <c:pt idx="90">
                  <c:v>0.7</c:v>
                </c:pt>
                <c:pt idx="91">
                  <c:v>0.7</c:v>
                </c:pt>
                <c:pt idx="92">
                  <c:v>0.7</c:v>
                </c:pt>
                <c:pt idx="93">
                  <c:v>0.7</c:v>
                </c:pt>
                <c:pt idx="94">
                  <c:v>0.7</c:v>
                </c:pt>
                <c:pt idx="95">
                  <c:v>0.7</c:v>
                </c:pt>
                <c:pt idx="96">
                  <c:v>0.7</c:v>
                </c:pt>
                <c:pt idx="97">
                  <c:v>0.7</c:v>
                </c:pt>
                <c:pt idx="98">
                  <c:v>0.7</c:v>
                </c:pt>
                <c:pt idx="99">
                  <c:v>0.7</c:v>
                </c:pt>
                <c:pt idx="100">
                  <c:v>0.7</c:v>
                </c:pt>
                <c:pt idx="101">
                  <c:v>0.7</c:v>
                </c:pt>
                <c:pt idx="102">
                  <c:v>0.7</c:v>
                </c:pt>
                <c:pt idx="103">
                  <c:v>0.7</c:v>
                </c:pt>
                <c:pt idx="104">
                  <c:v>0.7</c:v>
                </c:pt>
                <c:pt idx="105">
                  <c:v>0.7</c:v>
                </c:pt>
                <c:pt idx="106">
                  <c:v>0.7</c:v>
                </c:pt>
                <c:pt idx="107">
                  <c:v>0.7</c:v>
                </c:pt>
                <c:pt idx="108">
                  <c:v>0.7</c:v>
                </c:pt>
                <c:pt idx="109">
                  <c:v>0.7</c:v>
                </c:pt>
                <c:pt idx="110">
                  <c:v>0.7</c:v>
                </c:pt>
                <c:pt idx="111">
                  <c:v>0.7</c:v>
                </c:pt>
                <c:pt idx="112">
                  <c:v>0.7</c:v>
                </c:pt>
                <c:pt idx="113">
                  <c:v>0.7</c:v>
                </c:pt>
                <c:pt idx="114">
                  <c:v>0.7</c:v>
                </c:pt>
                <c:pt idx="115">
                  <c:v>0.7</c:v>
                </c:pt>
                <c:pt idx="116">
                  <c:v>0.7</c:v>
                </c:pt>
                <c:pt idx="117">
                  <c:v>0.7</c:v>
                </c:pt>
                <c:pt idx="118">
                  <c:v>0.7</c:v>
                </c:pt>
                <c:pt idx="119">
                  <c:v>0.7</c:v>
                </c:pt>
                <c:pt idx="120">
                  <c:v>0.7</c:v>
                </c:pt>
                <c:pt idx="121">
                  <c:v>0.7</c:v>
                </c:pt>
                <c:pt idx="122">
                  <c:v>0.7</c:v>
                </c:pt>
                <c:pt idx="123">
                  <c:v>0.7</c:v>
                </c:pt>
                <c:pt idx="124">
                  <c:v>0.7</c:v>
                </c:pt>
                <c:pt idx="125">
                  <c:v>0.7</c:v>
                </c:pt>
                <c:pt idx="126">
                  <c:v>0.7</c:v>
                </c:pt>
                <c:pt idx="127">
                  <c:v>0.7</c:v>
                </c:pt>
                <c:pt idx="128">
                  <c:v>0.7</c:v>
                </c:pt>
                <c:pt idx="129">
                  <c:v>0.7</c:v>
                </c:pt>
                <c:pt idx="130">
                  <c:v>0.7</c:v>
                </c:pt>
                <c:pt idx="131">
                  <c:v>0.7</c:v>
                </c:pt>
                <c:pt idx="132">
                  <c:v>0.7</c:v>
                </c:pt>
                <c:pt idx="133">
                  <c:v>0.7</c:v>
                </c:pt>
                <c:pt idx="134">
                  <c:v>0.7</c:v>
                </c:pt>
                <c:pt idx="135">
                  <c:v>0.7</c:v>
                </c:pt>
                <c:pt idx="136">
                  <c:v>0.7</c:v>
                </c:pt>
                <c:pt idx="137">
                  <c:v>0.7</c:v>
                </c:pt>
                <c:pt idx="138">
                  <c:v>0.7</c:v>
                </c:pt>
                <c:pt idx="139">
                  <c:v>0.7</c:v>
                </c:pt>
                <c:pt idx="140">
                  <c:v>0.7</c:v>
                </c:pt>
                <c:pt idx="141">
                  <c:v>0.7</c:v>
                </c:pt>
                <c:pt idx="142">
                  <c:v>0.7</c:v>
                </c:pt>
                <c:pt idx="143">
                  <c:v>0.7</c:v>
                </c:pt>
                <c:pt idx="144">
                  <c:v>0.7</c:v>
                </c:pt>
                <c:pt idx="145">
                  <c:v>0.7</c:v>
                </c:pt>
                <c:pt idx="146">
                  <c:v>0.7</c:v>
                </c:pt>
                <c:pt idx="147">
                  <c:v>0.7</c:v>
                </c:pt>
                <c:pt idx="148">
                  <c:v>0.7</c:v>
                </c:pt>
                <c:pt idx="149">
                  <c:v>0.7</c:v>
                </c:pt>
                <c:pt idx="150">
                  <c:v>0.7</c:v>
                </c:pt>
                <c:pt idx="151">
                  <c:v>0.7</c:v>
                </c:pt>
                <c:pt idx="152">
                  <c:v>0.7</c:v>
                </c:pt>
                <c:pt idx="153">
                  <c:v>0.7</c:v>
                </c:pt>
                <c:pt idx="154">
                  <c:v>0.7</c:v>
                </c:pt>
                <c:pt idx="155">
                  <c:v>0.7</c:v>
                </c:pt>
                <c:pt idx="156">
                  <c:v>0.7</c:v>
                </c:pt>
                <c:pt idx="157">
                  <c:v>0.7</c:v>
                </c:pt>
                <c:pt idx="158">
                  <c:v>0.7</c:v>
                </c:pt>
                <c:pt idx="159">
                  <c:v>0.7</c:v>
                </c:pt>
                <c:pt idx="160">
                  <c:v>0.7</c:v>
                </c:pt>
                <c:pt idx="161">
                  <c:v>0.7</c:v>
                </c:pt>
                <c:pt idx="162">
                  <c:v>0.7</c:v>
                </c:pt>
                <c:pt idx="163">
                  <c:v>0.7</c:v>
                </c:pt>
                <c:pt idx="164">
                  <c:v>0.7</c:v>
                </c:pt>
                <c:pt idx="165">
                  <c:v>0.7</c:v>
                </c:pt>
                <c:pt idx="166">
                  <c:v>0.7</c:v>
                </c:pt>
                <c:pt idx="167">
                  <c:v>0.7</c:v>
                </c:pt>
                <c:pt idx="168">
                  <c:v>0.7</c:v>
                </c:pt>
                <c:pt idx="169">
                  <c:v>0.7</c:v>
                </c:pt>
                <c:pt idx="170">
                  <c:v>0.7</c:v>
                </c:pt>
                <c:pt idx="171">
                  <c:v>0.7</c:v>
                </c:pt>
                <c:pt idx="172">
                  <c:v>0.7</c:v>
                </c:pt>
                <c:pt idx="173">
                  <c:v>0.7</c:v>
                </c:pt>
                <c:pt idx="174">
                  <c:v>0.7</c:v>
                </c:pt>
                <c:pt idx="175">
                  <c:v>0.7</c:v>
                </c:pt>
                <c:pt idx="176">
                  <c:v>0.7</c:v>
                </c:pt>
                <c:pt idx="177">
                  <c:v>0.7</c:v>
                </c:pt>
                <c:pt idx="178">
                  <c:v>0.7</c:v>
                </c:pt>
                <c:pt idx="179">
                  <c:v>0.7</c:v>
                </c:pt>
                <c:pt idx="180">
                  <c:v>0.7</c:v>
                </c:pt>
                <c:pt idx="181">
                  <c:v>0.7</c:v>
                </c:pt>
                <c:pt idx="182">
                  <c:v>0.7</c:v>
                </c:pt>
                <c:pt idx="183">
                  <c:v>0.7</c:v>
                </c:pt>
                <c:pt idx="184">
                  <c:v>0.7</c:v>
                </c:pt>
                <c:pt idx="185">
                  <c:v>0.7</c:v>
                </c:pt>
                <c:pt idx="186">
                  <c:v>0.7</c:v>
                </c:pt>
                <c:pt idx="187">
                  <c:v>0.7</c:v>
                </c:pt>
                <c:pt idx="188">
                  <c:v>0.7</c:v>
                </c:pt>
                <c:pt idx="189">
                  <c:v>0.7</c:v>
                </c:pt>
                <c:pt idx="190">
                  <c:v>0.7</c:v>
                </c:pt>
                <c:pt idx="191">
                  <c:v>0.7</c:v>
                </c:pt>
                <c:pt idx="192">
                  <c:v>0.7</c:v>
                </c:pt>
                <c:pt idx="193">
                  <c:v>0.7</c:v>
                </c:pt>
                <c:pt idx="194">
                  <c:v>0.7</c:v>
                </c:pt>
                <c:pt idx="195">
                  <c:v>0.7</c:v>
                </c:pt>
                <c:pt idx="196">
                  <c:v>0.7</c:v>
                </c:pt>
                <c:pt idx="197">
                  <c:v>0.7</c:v>
                </c:pt>
                <c:pt idx="198">
                  <c:v>0.7</c:v>
                </c:pt>
                <c:pt idx="199">
                  <c:v>0.7</c:v>
                </c:pt>
                <c:pt idx="200">
                  <c:v>0.7</c:v>
                </c:pt>
                <c:pt idx="201">
                  <c:v>0.7</c:v>
                </c:pt>
                <c:pt idx="202">
                  <c:v>0.7</c:v>
                </c:pt>
                <c:pt idx="203">
                  <c:v>0.7</c:v>
                </c:pt>
                <c:pt idx="204">
                  <c:v>0.7</c:v>
                </c:pt>
                <c:pt idx="205">
                  <c:v>0.7</c:v>
                </c:pt>
                <c:pt idx="206">
                  <c:v>0.7</c:v>
                </c:pt>
                <c:pt idx="207">
                  <c:v>0.7</c:v>
                </c:pt>
                <c:pt idx="208">
                  <c:v>0.7</c:v>
                </c:pt>
                <c:pt idx="209">
                  <c:v>0.7</c:v>
                </c:pt>
                <c:pt idx="210">
                  <c:v>0.7</c:v>
                </c:pt>
                <c:pt idx="211">
                  <c:v>0.7</c:v>
                </c:pt>
                <c:pt idx="212">
                  <c:v>0.7</c:v>
                </c:pt>
                <c:pt idx="213">
                  <c:v>0.7</c:v>
                </c:pt>
                <c:pt idx="214">
                  <c:v>0.7</c:v>
                </c:pt>
                <c:pt idx="215">
                  <c:v>0.7</c:v>
                </c:pt>
                <c:pt idx="216">
                  <c:v>0.7</c:v>
                </c:pt>
                <c:pt idx="217">
                  <c:v>0.7</c:v>
                </c:pt>
                <c:pt idx="218">
                  <c:v>0.7</c:v>
                </c:pt>
                <c:pt idx="219">
                  <c:v>0.7</c:v>
                </c:pt>
                <c:pt idx="220">
                  <c:v>0.7</c:v>
                </c:pt>
                <c:pt idx="221">
                  <c:v>0.7</c:v>
                </c:pt>
                <c:pt idx="222">
                  <c:v>0.7</c:v>
                </c:pt>
                <c:pt idx="223">
                  <c:v>0.7</c:v>
                </c:pt>
                <c:pt idx="224">
                  <c:v>0.7</c:v>
                </c:pt>
                <c:pt idx="225">
                  <c:v>0.7</c:v>
                </c:pt>
                <c:pt idx="226">
                  <c:v>0.7</c:v>
                </c:pt>
                <c:pt idx="227">
                  <c:v>0.7</c:v>
                </c:pt>
                <c:pt idx="228">
                  <c:v>0.7</c:v>
                </c:pt>
                <c:pt idx="229">
                  <c:v>0.7</c:v>
                </c:pt>
                <c:pt idx="230">
                  <c:v>0.7</c:v>
                </c:pt>
                <c:pt idx="231">
                  <c:v>0.7</c:v>
                </c:pt>
                <c:pt idx="232">
                  <c:v>0.7</c:v>
                </c:pt>
                <c:pt idx="233">
                  <c:v>0.7</c:v>
                </c:pt>
                <c:pt idx="234">
                  <c:v>0.7</c:v>
                </c:pt>
                <c:pt idx="235">
                  <c:v>0.7</c:v>
                </c:pt>
                <c:pt idx="236">
                  <c:v>0.7</c:v>
                </c:pt>
                <c:pt idx="237">
                  <c:v>0.7</c:v>
                </c:pt>
                <c:pt idx="238">
                  <c:v>0.7</c:v>
                </c:pt>
                <c:pt idx="239">
                  <c:v>0.7</c:v>
                </c:pt>
                <c:pt idx="240">
                  <c:v>0.7</c:v>
                </c:pt>
                <c:pt idx="241">
                  <c:v>0.7</c:v>
                </c:pt>
                <c:pt idx="242">
                  <c:v>0.7</c:v>
                </c:pt>
                <c:pt idx="243">
                  <c:v>0.7</c:v>
                </c:pt>
                <c:pt idx="244">
                  <c:v>0.7</c:v>
                </c:pt>
                <c:pt idx="245">
                  <c:v>0.7</c:v>
                </c:pt>
                <c:pt idx="246">
                  <c:v>0.7</c:v>
                </c:pt>
                <c:pt idx="247">
                  <c:v>0.7</c:v>
                </c:pt>
                <c:pt idx="248">
                  <c:v>0.7</c:v>
                </c:pt>
                <c:pt idx="249">
                  <c:v>0.7</c:v>
                </c:pt>
                <c:pt idx="250">
                  <c:v>0.7</c:v>
                </c:pt>
                <c:pt idx="251">
                  <c:v>0.7</c:v>
                </c:pt>
                <c:pt idx="252">
                  <c:v>0.7</c:v>
                </c:pt>
                <c:pt idx="253">
                  <c:v>0.7</c:v>
                </c:pt>
                <c:pt idx="254">
                  <c:v>0.7</c:v>
                </c:pt>
                <c:pt idx="255">
                  <c:v>0.7</c:v>
                </c:pt>
                <c:pt idx="256">
                  <c:v>0.7</c:v>
                </c:pt>
                <c:pt idx="257">
                  <c:v>0.7</c:v>
                </c:pt>
                <c:pt idx="258">
                  <c:v>0.7</c:v>
                </c:pt>
                <c:pt idx="259">
                  <c:v>0.7</c:v>
                </c:pt>
                <c:pt idx="260">
                  <c:v>0.7</c:v>
                </c:pt>
                <c:pt idx="261">
                  <c:v>0.7</c:v>
                </c:pt>
                <c:pt idx="262">
                  <c:v>0.7</c:v>
                </c:pt>
                <c:pt idx="263">
                  <c:v>0.7</c:v>
                </c:pt>
                <c:pt idx="264">
                  <c:v>0.7</c:v>
                </c:pt>
                <c:pt idx="265">
                  <c:v>0.7</c:v>
                </c:pt>
                <c:pt idx="266">
                  <c:v>0.7</c:v>
                </c:pt>
                <c:pt idx="267">
                  <c:v>0.7</c:v>
                </c:pt>
                <c:pt idx="268">
                  <c:v>0.7</c:v>
                </c:pt>
                <c:pt idx="269">
                  <c:v>0.7</c:v>
                </c:pt>
                <c:pt idx="270">
                  <c:v>0.7</c:v>
                </c:pt>
                <c:pt idx="271">
                  <c:v>0.7</c:v>
                </c:pt>
                <c:pt idx="272">
                  <c:v>0.7</c:v>
                </c:pt>
                <c:pt idx="273">
                  <c:v>0.7</c:v>
                </c:pt>
                <c:pt idx="274">
                  <c:v>0.7</c:v>
                </c:pt>
                <c:pt idx="275">
                  <c:v>0.7</c:v>
                </c:pt>
                <c:pt idx="276">
                  <c:v>0.7</c:v>
                </c:pt>
                <c:pt idx="277">
                  <c:v>0.7</c:v>
                </c:pt>
                <c:pt idx="278">
                  <c:v>0.7</c:v>
                </c:pt>
                <c:pt idx="279">
                  <c:v>0.7</c:v>
                </c:pt>
                <c:pt idx="280">
                  <c:v>0.7</c:v>
                </c:pt>
                <c:pt idx="281">
                  <c:v>0.7</c:v>
                </c:pt>
                <c:pt idx="282">
                  <c:v>0.7</c:v>
                </c:pt>
                <c:pt idx="283">
                  <c:v>0.7</c:v>
                </c:pt>
                <c:pt idx="284">
                  <c:v>0.7</c:v>
                </c:pt>
                <c:pt idx="285">
                  <c:v>0.7</c:v>
                </c:pt>
                <c:pt idx="286">
                  <c:v>0.7</c:v>
                </c:pt>
                <c:pt idx="287">
                  <c:v>0.7</c:v>
                </c:pt>
                <c:pt idx="288">
                  <c:v>0.7</c:v>
                </c:pt>
                <c:pt idx="289">
                  <c:v>0.7</c:v>
                </c:pt>
                <c:pt idx="290">
                  <c:v>0.7</c:v>
                </c:pt>
                <c:pt idx="291">
                  <c:v>0.7</c:v>
                </c:pt>
                <c:pt idx="292">
                  <c:v>0.7</c:v>
                </c:pt>
                <c:pt idx="293">
                  <c:v>0.7</c:v>
                </c:pt>
                <c:pt idx="294">
                  <c:v>0.7</c:v>
                </c:pt>
                <c:pt idx="295">
                  <c:v>0.7</c:v>
                </c:pt>
                <c:pt idx="296">
                  <c:v>0.7</c:v>
                </c:pt>
                <c:pt idx="297">
                  <c:v>0.7</c:v>
                </c:pt>
                <c:pt idx="298">
                  <c:v>0.7</c:v>
                </c:pt>
                <c:pt idx="299">
                  <c:v>0.7</c:v>
                </c:pt>
                <c:pt idx="300">
                  <c:v>0.7</c:v>
                </c:pt>
                <c:pt idx="301">
                  <c:v>0.7</c:v>
                </c:pt>
                <c:pt idx="302">
                  <c:v>0.7</c:v>
                </c:pt>
                <c:pt idx="303">
                  <c:v>0.7</c:v>
                </c:pt>
                <c:pt idx="304">
                  <c:v>0.7</c:v>
                </c:pt>
                <c:pt idx="305">
                  <c:v>0.7</c:v>
                </c:pt>
                <c:pt idx="306">
                  <c:v>0.7</c:v>
                </c:pt>
                <c:pt idx="307">
                  <c:v>0.7</c:v>
                </c:pt>
                <c:pt idx="308">
                  <c:v>0.7</c:v>
                </c:pt>
                <c:pt idx="309">
                  <c:v>0.7</c:v>
                </c:pt>
                <c:pt idx="310">
                  <c:v>0.7</c:v>
                </c:pt>
                <c:pt idx="311">
                  <c:v>0.7</c:v>
                </c:pt>
                <c:pt idx="312">
                  <c:v>0.7</c:v>
                </c:pt>
                <c:pt idx="313">
                  <c:v>0.7</c:v>
                </c:pt>
                <c:pt idx="314">
                  <c:v>0.7</c:v>
                </c:pt>
                <c:pt idx="315">
                  <c:v>0.7</c:v>
                </c:pt>
                <c:pt idx="316">
                  <c:v>0.7</c:v>
                </c:pt>
                <c:pt idx="317">
                  <c:v>0.7</c:v>
                </c:pt>
                <c:pt idx="318">
                  <c:v>0.7</c:v>
                </c:pt>
                <c:pt idx="319">
                  <c:v>0.7</c:v>
                </c:pt>
                <c:pt idx="320">
                  <c:v>0.7</c:v>
                </c:pt>
                <c:pt idx="321">
                  <c:v>0.7</c:v>
                </c:pt>
                <c:pt idx="322">
                  <c:v>0.7</c:v>
                </c:pt>
                <c:pt idx="323">
                  <c:v>0.7</c:v>
                </c:pt>
                <c:pt idx="324">
                  <c:v>0.7</c:v>
                </c:pt>
                <c:pt idx="325">
                  <c:v>0.7</c:v>
                </c:pt>
                <c:pt idx="326">
                  <c:v>0.7</c:v>
                </c:pt>
                <c:pt idx="327">
                  <c:v>0.7</c:v>
                </c:pt>
                <c:pt idx="328">
                  <c:v>0.7</c:v>
                </c:pt>
                <c:pt idx="329">
                  <c:v>0.7</c:v>
                </c:pt>
                <c:pt idx="330">
                  <c:v>0.7</c:v>
                </c:pt>
                <c:pt idx="331">
                  <c:v>0.7</c:v>
                </c:pt>
                <c:pt idx="332">
                  <c:v>0.7</c:v>
                </c:pt>
                <c:pt idx="333">
                  <c:v>0.7</c:v>
                </c:pt>
                <c:pt idx="334">
                  <c:v>0.7</c:v>
                </c:pt>
                <c:pt idx="335">
                  <c:v>0.7</c:v>
                </c:pt>
                <c:pt idx="336">
                  <c:v>0.7</c:v>
                </c:pt>
                <c:pt idx="337">
                  <c:v>0.7</c:v>
                </c:pt>
                <c:pt idx="338">
                  <c:v>0.7</c:v>
                </c:pt>
                <c:pt idx="339">
                  <c:v>0.7</c:v>
                </c:pt>
                <c:pt idx="340">
                  <c:v>0.7</c:v>
                </c:pt>
                <c:pt idx="341">
                  <c:v>0.7</c:v>
                </c:pt>
                <c:pt idx="342">
                  <c:v>0.7</c:v>
                </c:pt>
                <c:pt idx="343">
                  <c:v>0.7</c:v>
                </c:pt>
                <c:pt idx="344">
                  <c:v>0.7</c:v>
                </c:pt>
                <c:pt idx="345">
                  <c:v>0.7</c:v>
                </c:pt>
                <c:pt idx="346">
                  <c:v>0.7</c:v>
                </c:pt>
                <c:pt idx="347">
                  <c:v>0.7</c:v>
                </c:pt>
                <c:pt idx="348">
                  <c:v>0.7</c:v>
                </c:pt>
                <c:pt idx="349">
                  <c:v>0.7</c:v>
                </c:pt>
                <c:pt idx="350">
                  <c:v>0.7</c:v>
                </c:pt>
                <c:pt idx="351">
                  <c:v>0.7</c:v>
                </c:pt>
                <c:pt idx="352">
                  <c:v>0.7</c:v>
                </c:pt>
                <c:pt idx="353">
                  <c:v>0.7</c:v>
                </c:pt>
                <c:pt idx="354">
                  <c:v>0.7</c:v>
                </c:pt>
                <c:pt idx="355">
                  <c:v>0.7</c:v>
                </c:pt>
                <c:pt idx="356">
                  <c:v>0.7</c:v>
                </c:pt>
                <c:pt idx="357">
                  <c:v>0.7</c:v>
                </c:pt>
                <c:pt idx="358">
                  <c:v>0.7</c:v>
                </c:pt>
                <c:pt idx="359">
                  <c:v>0.7</c:v>
                </c:pt>
                <c:pt idx="360">
                  <c:v>0.7</c:v>
                </c:pt>
                <c:pt idx="361">
                  <c:v>0.7</c:v>
                </c:pt>
                <c:pt idx="362">
                  <c:v>0.7</c:v>
                </c:pt>
                <c:pt idx="363">
                  <c:v>0.7</c:v>
                </c:pt>
                <c:pt idx="364">
                  <c:v>0.7</c:v>
                </c:pt>
              </c:numCache>
            </c:numRef>
          </c:val>
          <c:extLst>
            <c:ext xmlns:c16="http://schemas.microsoft.com/office/drawing/2014/chart" uri="{C3380CC4-5D6E-409C-BE32-E72D297353CC}">
              <c16:uniqueId val="{00000000-1FB6-43C1-BCE1-89491CD12026}"/>
            </c:ext>
          </c:extLst>
        </c:ser>
        <c:dLbls>
          <c:showLegendKey val="0"/>
          <c:showVal val="0"/>
          <c:showCatName val="0"/>
          <c:showSerName val="0"/>
          <c:showPercent val="0"/>
          <c:showBubbleSize val="0"/>
        </c:dLbls>
        <c:gapWidth val="0"/>
        <c:overlap val="100"/>
        <c:axId val="130115072"/>
        <c:axId val="130116608"/>
      </c:barChart>
      <c:barChart>
        <c:barDir val="col"/>
        <c:grouping val="clustered"/>
        <c:varyColors val="0"/>
        <c:ser>
          <c:idx val="0"/>
          <c:order val="0"/>
          <c:spPr>
            <a:solidFill>
              <a:schemeClr val="bg1">
                <a:lumMod val="75000"/>
              </a:schemeClr>
            </a:solidFill>
            <a:ln w="25400">
              <a:noFill/>
            </a:ln>
          </c:spPr>
          <c:invertIfNegative val="0"/>
          <c:dPt>
            <c:idx val="204"/>
            <c:invertIfNegative val="0"/>
            <c:bubble3D val="0"/>
            <c:spPr>
              <a:solidFill>
                <a:schemeClr val="bg1"/>
              </a:solidFill>
              <a:ln w="25400">
                <a:noFill/>
              </a:ln>
            </c:spPr>
            <c:extLst>
              <c:ext xmlns:c16="http://schemas.microsoft.com/office/drawing/2014/chart" uri="{C3380CC4-5D6E-409C-BE32-E72D297353CC}">
                <c16:uniqueId val="{00000002-1FB6-43C1-BCE1-89491CD12026}"/>
              </c:ext>
            </c:extLst>
          </c:dPt>
          <c:cat>
            <c:numRef>
              <c:f>Profile!$F$292:$F$656</c:f>
              <c:numCache>
                <c:formatCode>0.0</c:formatCode>
                <c:ptCount val="365"/>
                <c:pt idx="0">
                  <c:v>0.8</c:v>
                </c:pt>
                <c:pt idx="1">
                  <c:v>0.8</c:v>
                </c:pt>
                <c:pt idx="2">
                  <c:v>0.8</c:v>
                </c:pt>
                <c:pt idx="3">
                  <c:v>0.8</c:v>
                </c:pt>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0.6</c:v>
                </c:pt>
                <c:pt idx="32">
                  <c:v>0.6</c:v>
                </c:pt>
                <c:pt idx="33">
                  <c:v>0.6</c:v>
                </c:pt>
                <c:pt idx="34">
                  <c:v>0.6</c:v>
                </c:pt>
                <c:pt idx="35">
                  <c:v>0.6</c:v>
                </c:pt>
                <c:pt idx="36">
                  <c:v>0.6</c:v>
                </c:pt>
                <c:pt idx="37">
                  <c:v>0.6</c:v>
                </c:pt>
                <c:pt idx="38">
                  <c:v>0.6</c:v>
                </c:pt>
                <c:pt idx="39">
                  <c:v>0.6</c:v>
                </c:pt>
                <c:pt idx="40">
                  <c:v>0.6</c:v>
                </c:pt>
                <c:pt idx="41">
                  <c:v>0.6</c:v>
                </c:pt>
                <c:pt idx="42">
                  <c:v>0.6</c:v>
                </c:pt>
                <c:pt idx="43">
                  <c:v>0.6</c:v>
                </c:pt>
                <c:pt idx="44">
                  <c:v>0.6</c:v>
                </c:pt>
                <c:pt idx="45">
                  <c:v>0.6</c:v>
                </c:pt>
                <c:pt idx="46">
                  <c:v>0.6</c:v>
                </c:pt>
                <c:pt idx="47">
                  <c:v>0.6</c:v>
                </c:pt>
                <c:pt idx="48">
                  <c:v>0.6</c:v>
                </c:pt>
                <c:pt idx="49">
                  <c:v>0.6</c:v>
                </c:pt>
                <c:pt idx="50">
                  <c:v>0.6</c:v>
                </c:pt>
                <c:pt idx="51">
                  <c:v>0.6</c:v>
                </c:pt>
                <c:pt idx="52">
                  <c:v>0.6</c:v>
                </c:pt>
                <c:pt idx="53">
                  <c:v>0.6</c:v>
                </c:pt>
                <c:pt idx="54">
                  <c:v>0.6</c:v>
                </c:pt>
                <c:pt idx="55">
                  <c:v>0.6</c:v>
                </c:pt>
                <c:pt idx="56">
                  <c:v>0.6</c:v>
                </c:pt>
                <c:pt idx="57">
                  <c:v>0.6</c:v>
                </c:pt>
                <c:pt idx="58">
                  <c:v>0.6</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0.8</c:v>
                </c:pt>
                <c:pt idx="91">
                  <c:v>0.8</c:v>
                </c:pt>
                <c:pt idx="92">
                  <c:v>0.8</c:v>
                </c:pt>
                <c:pt idx="93">
                  <c:v>0.8</c:v>
                </c:pt>
                <c:pt idx="94">
                  <c:v>0.8</c:v>
                </c:pt>
                <c:pt idx="95">
                  <c:v>0.8</c:v>
                </c:pt>
                <c:pt idx="96">
                  <c:v>0.8</c:v>
                </c:pt>
                <c:pt idx="97">
                  <c:v>0.8</c:v>
                </c:pt>
                <c:pt idx="98">
                  <c:v>0.8</c:v>
                </c:pt>
                <c:pt idx="99">
                  <c:v>0.8</c:v>
                </c:pt>
                <c:pt idx="100">
                  <c:v>0.8</c:v>
                </c:pt>
                <c:pt idx="101">
                  <c:v>0.8</c:v>
                </c:pt>
                <c:pt idx="102">
                  <c:v>0.8</c:v>
                </c:pt>
                <c:pt idx="103">
                  <c:v>0.8</c:v>
                </c:pt>
                <c:pt idx="104">
                  <c:v>0.8</c:v>
                </c:pt>
                <c:pt idx="105">
                  <c:v>0.8</c:v>
                </c:pt>
                <c:pt idx="106">
                  <c:v>0.8</c:v>
                </c:pt>
                <c:pt idx="107">
                  <c:v>0.8</c:v>
                </c:pt>
                <c:pt idx="108">
                  <c:v>0.8</c:v>
                </c:pt>
                <c:pt idx="109">
                  <c:v>0.8</c:v>
                </c:pt>
                <c:pt idx="110">
                  <c:v>0.8</c:v>
                </c:pt>
                <c:pt idx="111">
                  <c:v>0.8</c:v>
                </c:pt>
                <c:pt idx="112">
                  <c:v>0.8</c:v>
                </c:pt>
                <c:pt idx="113">
                  <c:v>0.8</c:v>
                </c:pt>
                <c:pt idx="114">
                  <c:v>0.8</c:v>
                </c:pt>
                <c:pt idx="115">
                  <c:v>0.8</c:v>
                </c:pt>
                <c:pt idx="116">
                  <c:v>0.8</c:v>
                </c:pt>
                <c:pt idx="117">
                  <c:v>0.8</c:v>
                </c:pt>
                <c:pt idx="118">
                  <c:v>0.8</c:v>
                </c:pt>
                <c:pt idx="119">
                  <c:v>0.8</c:v>
                </c:pt>
                <c:pt idx="120">
                  <c:v>0.6</c:v>
                </c:pt>
                <c:pt idx="121">
                  <c:v>0.6</c:v>
                </c:pt>
                <c:pt idx="122">
                  <c:v>0.6</c:v>
                </c:pt>
                <c:pt idx="123">
                  <c:v>0.6</c:v>
                </c:pt>
                <c:pt idx="124">
                  <c:v>0.6</c:v>
                </c:pt>
                <c:pt idx="125">
                  <c:v>0.6</c:v>
                </c:pt>
                <c:pt idx="126">
                  <c:v>0.6</c:v>
                </c:pt>
                <c:pt idx="127">
                  <c:v>0.6</c:v>
                </c:pt>
                <c:pt idx="128">
                  <c:v>0.6</c:v>
                </c:pt>
                <c:pt idx="129">
                  <c:v>0.6</c:v>
                </c:pt>
                <c:pt idx="130">
                  <c:v>0.6</c:v>
                </c:pt>
                <c:pt idx="131">
                  <c:v>0.6</c:v>
                </c:pt>
                <c:pt idx="132">
                  <c:v>0.6</c:v>
                </c:pt>
                <c:pt idx="133">
                  <c:v>0.6</c:v>
                </c:pt>
                <c:pt idx="134">
                  <c:v>0.6</c:v>
                </c:pt>
                <c:pt idx="135">
                  <c:v>0.6</c:v>
                </c:pt>
                <c:pt idx="136">
                  <c:v>0.6</c:v>
                </c:pt>
                <c:pt idx="137">
                  <c:v>0.6</c:v>
                </c:pt>
                <c:pt idx="138">
                  <c:v>0.6</c:v>
                </c:pt>
                <c:pt idx="139">
                  <c:v>0.6</c:v>
                </c:pt>
                <c:pt idx="140">
                  <c:v>0.6</c:v>
                </c:pt>
                <c:pt idx="141">
                  <c:v>0.6</c:v>
                </c:pt>
                <c:pt idx="142">
                  <c:v>0.6</c:v>
                </c:pt>
                <c:pt idx="143">
                  <c:v>0.6</c:v>
                </c:pt>
                <c:pt idx="144">
                  <c:v>0.6</c:v>
                </c:pt>
                <c:pt idx="145">
                  <c:v>0.6</c:v>
                </c:pt>
                <c:pt idx="146">
                  <c:v>0.6</c:v>
                </c:pt>
                <c:pt idx="147">
                  <c:v>0.6</c:v>
                </c:pt>
                <c:pt idx="148">
                  <c:v>0.6</c:v>
                </c:pt>
                <c:pt idx="149">
                  <c:v>0.6</c:v>
                </c:pt>
                <c:pt idx="150">
                  <c:v>0.6</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0.6</c:v>
                </c:pt>
                <c:pt idx="182">
                  <c:v>0.6</c:v>
                </c:pt>
                <c:pt idx="183">
                  <c:v>0.6</c:v>
                </c:pt>
                <c:pt idx="184">
                  <c:v>0.6</c:v>
                </c:pt>
                <c:pt idx="185">
                  <c:v>0.6</c:v>
                </c:pt>
                <c:pt idx="186">
                  <c:v>0.6</c:v>
                </c:pt>
                <c:pt idx="187">
                  <c:v>0.6</c:v>
                </c:pt>
                <c:pt idx="188">
                  <c:v>0.6</c:v>
                </c:pt>
                <c:pt idx="189">
                  <c:v>0.6</c:v>
                </c:pt>
                <c:pt idx="190">
                  <c:v>0.6</c:v>
                </c:pt>
                <c:pt idx="191">
                  <c:v>0.6</c:v>
                </c:pt>
                <c:pt idx="192">
                  <c:v>0.6</c:v>
                </c:pt>
                <c:pt idx="193">
                  <c:v>0.6</c:v>
                </c:pt>
                <c:pt idx="194">
                  <c:v>0.6</c:v>
                </c:pt>
                <c:pt idx="195">
                  <c:v>0.6</c:v>
                </c:pt>
                <c:pt idx="196">
                  <c:v>0.6</c:v>
                </c:pt>
                <c:pt idx="197">
                  <c:v>0.6</c:v>
                </c:pt>
                <c:pt idx="198">
                  <c:v>0.6</c:v>
                </c:pt>
                <c:pt idx="199">
                  <c:v>0.6</c:v>
                </c:pt>
                <c:pt idx="200">
                  <c:v>0.6</c:v>
                </c:pt>
                <c:pt idx="201">
                  <c:v>0.6</c:v>
                </c:pt>
                <c:pt idx="202">
                  <c:v>0.6</c:v>
                </c:pt>
                <c:pt idx="203">
                  <c:v>0.6</c:v>
                </c:pt>
                <c:pt idx="204">
                  <c:v>0.6</c:v>
                </c:pt>
                <c:pt idx="205">
                  <c:v>0.6</c:v>
                </c:pt>
                <c:pt idx="206">
                  <c:v>0.6</c:v>
                </c:pt>
                <c:pt idx="207">
                  <c:v>0.6</c:v>
                </c:pt>
                <c:pt idx="208">
                  <c:v>0.6</c:v>
                </c:pt>
                <c:pt idx="209">
                  <c:v>0.6</c:v>
                </c:pt>
                <c:pt idx="210">
                  <c:v>0.6</c:v>
                </c:pt>
                <c:pt idx="211">
                  <c:v>0.6</c:v>
                </c:pt>
                <c:pt idx="212">
                  <c:v>0.6</c:v>
                </c:pt>
                <c:pt idx="213">
                  <c:v>0.6</c:v>
                </c:pt>
                <c:pt idx="214">
                  <c:v>0.6</c:v>
                </c:pt>
                <c:pt idx="215">
                  <c:v>0.6</c:v>
                </c:pt>
                <c:pt idx="216">
                  <c:v>0.6</c:v>
                </c:pt>
                <c:pt idx="217">
                  <c:v>0.6</c:v>
                </c:pt>
                <c:pt idx="218">
                  <c:v>0.6</c:v>
                </c:pt>
                <c:pt idx="219">
                  <c:v>0.6</c:v>
                </c:pt>
                <c:pt idx="220">
                  <c:v>0.6</c:v>
                </c:pt>
                <c:pt idx="221">
                  <c:v>0.6</c:v>
                </c:pt>
                <c:pt idx="222">
                  <c:v>0.6</c:v>
                </c:pt>
                <c:pt idx="223">
                  <c:v>0.6</c:v>
                </c:pt>
                <c:pt idx="224">
                  <c:v>0.6</c:v>
                </c:pt>
                <c:pt idx="225">
                  <c:v>0.6</c:v>
                </c:pt>
                <c:pt idx="226">
                  <c:v>0.6</c:v>
                </c:pt>
                <c:pt idx="227">
                  <c:v>0.6</c:v>
                </c:pt>
                <c:pt idx="228">
                  <c:v>0.6</c:v>
                </c:pt>
                <c:pt idx="229">
                  <c:v>0.6</c:v>
                </c:pt>
                <c:pt idx="230">
                  <c:v>0.6</c:v>
                </c:pt>
                <c:pt idx="231">
                  <c:v>0.6</c:v>
                </c:pt>
                <c:pt idx="232">
                  <c:v>0.6</c:v>
                </c:pt>
                <c:pt idx="233">
                  <c:v>0.6</c:v>
                </c:pt>
                <c:pt idx="234">
                  <c:v>0.6</c:v>
                </c:pt>
                <c:pt idx="235">
                  <c:v>0.6</c:v>
                </c:pt>
                <c:pt idx="236">
                  <c:v>0.6</c:v>
                </c:pt>
                <c:pt idx="237">
                  <c:v>0.6</c:v>
                </c:pt>
                <c:pt idx="238">
                  <c:v>0.6</c:v>
                </c:pt>
                <c:pt idx="239">
                  <c:v>0.6</c:v>
                </c:pt>
                <c:pt idx="240">
                  <c:v>0.6</c:v>
                </c:pt>
                <c:pt idx="241">
                  <c:v>0.6</c:v>
                </c:pt>
                <c:pt idx="242">
                  <c:v>0.6</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0.8</c:v>
                </c:pt>
                <c:pt idx="274">
                  <c:v>0.8</c:v>
                </c:pt>
                <c:pt idx="275">
                  <c:v>0.8</c:v>
                </c:pt>
                <c:pt idx="276">
                  <c:v>0.8</c:v>
                </c:pt>
                <c:pt idx="277">
                  <c:v>0.8</c:v>
                </c:pt>
                <c:pt idx="278">
                  <c:v>0.8</c:v>
                </c:pt>
                <c:pt idx="279">
                  <c:v>0.8</c:v>
                </c:pt>
                <c:pt idx="280">
                  <c:v>0.8</c:v>
                </c:pt>
                <c:pt idx="281">
                  <c:v>0.8</c:v>
                </c:pt>
                <c:pt idx="282">
                  <c:v>0.8</c:v>
                </c:pt>
                <c:pt idx="283">
                  <c:v>0.8</c:v>
                </c:pt>
                <c:pt idx="284">
                  <c:v>0.8</c:v>
                </c:pt>
                <c:pt idx="285">
                  <c:v>0.8</c:v>
                </c:pt>
                <c:pt idx="286">
                  <c:v>0.8</c:v>
                </c:pt>
                <c:pt idx="287">
                  <c:v>0.8</c:v>
                </c:pt>
                <c:pt idx="288">
                  <c:v>0.8</c:v>
                </c:pt>
                <c:pt idx="289">
                  <c:v>0.8</c:v>
                </c:pt>
                <c:pt idx="290">
                  <c:v>0.8</c:v>
                </c:pt>
                <c:pt idx="291">
                  <c:v>0.8</c:v>
                </c:pt>
                <c:pt idx="292">
                  <c:v>0.8</c:v>
                </c:pt>
                <c:pt idx="293">
                  <c:v>0.8</c:v>
                </c:pt>
                <c:pt idx="294">
                  <c:v>0.8</c:v>
                </c:pt>
                <c:pt idx="295">
                  <c:v>0.8</c:v>
                </c:pt>
                <c:pt idx="296">
                  <c:v>0.8</c:v>
                </c:pt>
                <c:pt idx="297">
                  <c:v>0.8</c:v>
                </c:pt>
                <c:pt idx="298">
                  <c:v>0.8</c:v>
                </c:pt>
                <c:pt idx="299">
                  <c:v>0.8</c:v>
                </c:pt>
                <c:pt idx="300">
                  <c:v>0.8</c:v>
                </c:pt>
                <c:pt idx="301">
                  <c:v>0.8</c:v>
                </c:pt>
                <c:pt idx="302">
                  <c:v>0.8</c:v>
                </c:pt>
                <c:pt idx="303">
                  <c:v>0.8</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0.6</c:v>
                </c:pt>
                <c:pt idx="335">
                  <c:v>0.6</c:v>
                </c:pt>
                <c:pt idx="336">
                  <c:v>0.6</c:v>
                </c:pt>
                <c:pt idx="337">
                  <c:v>0.6</c:v>
                </c:pt>
                <c:pt idx="338">
                  <c:v>0.6</c:v>
                </c:pt>
                <c:pt idx="339">
                  <c:v>0.6</c:v>
                </c:pt>
                <c:pt idx="340">
                  <c:v>0.6</c:v>
                </c:pt>
                <c:pt idx="341">
                  <c:v>0.6</c:v>
                </c:pt>
                <c:pt idx="342">
                  <c:v>0.6</c:v>
                </c:pt>
                <c:pt idx="343">
                  <c:v>0.6</c:v>
                </c:pt>
                <c:pt idx="344">
                  <c:v>0.6</c:v>
                </c:pt>
                <c:pt idx="345">
                  <c:v>0.6</c:v>
                </c:pt>
                <c:pt idx="346">
                  <c:v>0.6</c:v>
                </c:pt>
                <c:pt idx="347">
                  <c:v>0.6</c:v>
                </c:pt>
                <c:pt idx="348">
                  <c:v>0.6</c:v>
                </c:pt>
                <c:pt idx="349">
                  <c:v>0.6</c:v>
                </c:pt>
                <c:pt idx="350">
                  <c:v>0.6</c:v>
                </c:pt>
                <c:pt idx="351">
                  <c:v>0.6</c:v>
                </c:pt>
                <c:pt idx="352">
                  <c:v>0.6</c:v>
                </c:pt>
                <c:pt idx="353">
                  <c:v>0.6</c:v>
                </c:pt>
                <c:pt idx="354">
                  <c:v>0.6</c:v>
                </c:pt>
                <c:pt idx="355">
                  <c:v>0.6</c:v>
                </c:pt>
                <c:pt idx="356">
                  <c:v>0.6</c:v>
                </c:pt>
                <c:pt idx="357">
                  <c:v>0.6</c:v>
                </c:pt>
                <c:pt idx="358">
                  <c:v>0.6</c:v>
                </c:pt>
                <c:pt idx="359">
                  <c:v>0.6</c:v>
                </c:pt>
                <c:pt idx="360">
                  <c:v>0.6</c:v>
                </c:pt>
                <c:pt idx="361">
                  <c:v>0.6</c:v>
                </c:pt>
                <c:pt idx="362">
                  <c:v>0.6</c:v>
                </c:pt>
                <c:pt idx="363">
                  <c:v>0.6</c:v>
                </c:pt>
                <c:pt idx="364">
                  <c:v>0.6</c:v>
                </c:pt>
              </c:numCache>
            </c:numRef>
          </c:cat>
          <c:val>
            <c:numRef>
              <c:f>Profile!$M$300:$M$656</c:f>
              <c:numCache>
                <c:formatCode>0.0</c:formatCode>
                <c:ptCount val="357"/>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pt idx="15">
                  <c:v>0.7</c:v>
                </c:pt>
                <c:pt idx="16">
                  <c:v>0.7</c:v>
                </c:pt>
                <c:pt idx="17">
                  <c:v>0.7</c:v>
                </c:pt>
                <c:pt idx="18">
                  <c:v>0.7</c:v>
                </c:pt>
                <c:pt idx="19">
                  <c:v>0.7</c:v>
                </c:pt>
                <c:pt idx="20">
                  <c:v>0.7</c:v>
                </c:pt>
                <c:pt idx="21">
                  <c:v>0.7</c:v>
                </c:pt>
                <c:pt idx="22">
                  <c:v>0.7</c:v>
                </c:pt>
                <c:pt idx="23">
                  <c:v>0.7</c:v>
                </c:pt>
                <c:pt idx="24">
                  <c:v>0.7</c:v>
                </c:pt>
                <c:pt idx="25">
                  <c:v>0.7</c:v>
                </c:pt>
                <c:pt idx="26">
                  <c:v>0.7</c:v>
                </c:pt>
                <c:pt idx="27">
                  <c:v>0.7</c:v>
                </c:pt>
                <c:pt idx="28">
                  <c:v>0.7</c:v>
                </c:pt>
                <c:pt idx="29">
                  <c:v>0.7</c:v>
                </c:pt>
                <c:pt idx="30">
                  <c:v>0.7</c:v>
                </c:pt>
                <c:pt idx="31">
                  <c:v>0.7</c:v>
                </c:pt>
                <c:pt idx="32">
                  <c:v>0.7</c:v>
                </c:pt>
                <c:pt idx="33">
                  <c:v>0.7</c:v>
                </c:pt>
                <c:pt idx="34">
                  <c:v>0.7</c:v>
                </c:pt>
                <c:pt idx="35">
                  <c:v>0.7</c:v>
                </c:pt>
                <c:pt idx="36">
                  <c:v>0.7</c:v>
                </c:pt>
                <c:pt idx="37">
                  <c:v>0.7</c:v>
                </c:pt>
                <c:pt idx="38">
                  <c:v>0.7</c:v>
                </c:pt>
                <c:pt idx="39">
                  <c:v>0.7</c:v>
                </c:pt>
                <c:pt idx="40">
                  <c:v>0.7</c:v>
                </c:pt>
                <c:pt idx="41">
                  <c:v>0.7</c:v>
                </c:pt>
                <c:pt idx="42">
                  <c:v>0.7</c:v>
                </c:pt>
                <c:pt idx="43">
                  <c:v>0.7</c:v>
                </c:pt>
                <c:pt idx="44">
                  <c:v>0.7</c:v>
                </c:pt>
                <c:pt idx="45">
                  <c:v>0.7</c:v>
                </c:pt>
                <c:pt idx="46">
                  <c:v>0.7</c:v>
                </c:pt>
                <c:pt idx="47">
                  <c:v>0.7</c:v>
                </c:pt>
                <c:pt idx="48">
                  <c:v>0.7</c:v>
                </c:pt>
                <c:pt idx="49">
                  <c:v>0.7</c:v>
                </c:pt>
                <c:pt idx="50">
                  <c:v>0.7</c:v>
                </c:pt>
                <c:pt idx="51">
                  <c:v>0.7</c:v>
                </c:pt>
                <c:pt idx="52">
                  <c:v>0.7</c:v>
                </c:pt>
                <c:pt idx="53">
                  <c:v>0.7</c:v>
                </c:pt>
                <c:pt idx="54">
                  <c:v>0.7</c:v>
                </c:pt>
                <c:pt idx="55">
                  <c:v>0.7</c:v>
                </c:pt>
                <c:pt idx="56">
                  <c:v>0.7</c:v>
                </c:pt>
                <c:pt idx="57">
                  <c:v>0.7</c:v>
                </c:pt>
                <c:pt idx="58">
                  <c:v>0.7</c:v>
                </c:pt>
                <c:pt idx="59">
                  <c:v>0.7</c:v>
                </c:pt>
                <c:pt idx="60">
                  <c:v>0.7</c:v>
                </c:pt>
                <c:pt idx="61">
                  <c:v>0.7</c:v>
                </c:pt>
                <c:pt idx="62">
                  <c:v>0.7</c:v>
                </c:pt>
                <c:pt idx="63">
                  <c:v>0.7</c:v>
                </c:pt>
                <c:pt idx="64">
                  <c:v>0.7</c:v>
                </c:pt>
                <c:pt idx="65">
                  <c:v>0.7</c:v>
                </c:pt>
                <c:pt idx="66">
                  <c:v>0.7</c:v>
                </c:pt>
                <c:pt idx="67">
                  <c:v>0.7</c:v>
                </c:pt>
                <c:pt idx="68">
                  <c:v>0.7</c:v>
                </c:pt>
                <c:pt idx="69">
                  <c:v>0.7</c:v>
                </c:pt>
                <c:pt idx="70">
                  <c:v>0.7</c:v>
                </c:pt>
                <c:pt idx="71">
                  <c:v>0.7</c:v>
                </c:pt>
                <c:pt idx="72">
                  <c:v>0.7</c:v>
                </c:pt>
                <c:pt idx="73">
                  <c:v>0.7</c:v>
                </c:pt>
                <c:pt idx="74">
                  <c:v>0.7</c:v>
                </c:pt>
                <c:pt idx="75">
                  <c:v>0.7</c:v>
                </c:pt>
                <c:pt idx="76">
                  <c:v>0.7</c:v>
                </c:pt>
                <c:pt idx="77">
                  <c:v>0.7</c:v>
                </c:pt>
                <c:pt idx="78">
                  <c:v>0.7</c:v>
                </c:pt>
                <c:pt idx="79">
                  <c:v>0.7</c:v>
                </c:pt>
                <c:pt idx="80">
                  <c:v>0.7</c:v>
                </c:pt>
                <c:pt idx="81">
                  <c:v>0.7</c:v>
                </c:pt>
                <c:pt idx="82">
                  <c:v>0.7</c:v>
                </c:pt>
                <c:pt idx="83">
                  <c:v>0.7</c:v>
                </c:pt>
                <c:pt idx="84">
                  <c:v>0.7</c:v>
                </c:pt>
                <c:pt idx="85">
                  <c:v>0.7</c:v>
                </c:pt>
                <c:pt idx="86">
                  <c:v>0.7</c:v>
                </c:pt>
                <c:pt idx="87">
                  <c:v>0.7</c:v>
                </c:pt>
                <c:pt idx="88">
                  <c:v>0.7</c:v>
                </c:pt>
                <c:pt idx="89">
                  <c:v>0.7</c:v>
                </c:pt>
                <c:pt idx="90">
                  <c:v>0.7</c:v>
                </c:pt>
                <c:pt idx="91">
                  <c:v>0.7</c:v>
                </c:pt>
                <c:pt idx="92">
                  <c:v>0.7</c:v>
                </c:pt>
                <c:pt idx="93">
                  <c:v>0.7</c:v>
                </c:pt>
                <c:pt idx="94">
                  <c:v>0.7</c:v>
                </c:pt>
                <c:pt idx="95">
                  <c:v>0.7</c:v>
                </c:pt>
                <c:pt idx="96">
                  <c:v>0.7</c:v>
                </c:pt>
                <c:pt idx="97">
                  <c:v>0.7</c:v>
                </c:pt>
                <c:pt idx="98">
                  <c:v>0.7</c:v>
                </c:pt>
                <c:pt idx="99">
                  <c:v>0.7</c:v>
                </c:pt>
                <c:pt idx="100">
                  <c:v>0.7</c:v>
                </c:pt>
                <c:pt idx="101">
                  <c:v>0.7</c:v>
                </c:pt>
                <c:pt idx="102">
                  <c:v>0.7</c:v>
                </c:pt>
                <c:pt idx="103">
                  <c:v>0.7</c:v>
                </c:pt>
                <c:pt idx="104">
                  <c:v>0.7</c:v>
                </c:pt>
                <c:pt idx="105">
                  <c:v>0.7</c:v>
                </c:pt>
                <c:pt idx="106">
                  <c:v>0.7</c:v>
                </c:pt>
                <c:pt idx="107">
                  <c:v>0.7</c:v>
                </c:pt>
                <c:pt idx="108">
                  <c:v>0.7</c:v>
                </c:pt>
                <c:pt idx="109">
                  <c:v>0.7</c:v>
                </c:pt>
                <c:pt idx="110">
                  <c:v>0.7</c:v>
                </c:pt>
                <c:pt idx="111">
                  <c:v>0.7</c:v>
                </c:pt>
                <c:pt idx="112">
                  <c:v>0.7</c:v>
                </c:pt>
                <c:pt idx="113">
                  <c:v>0.7</c:v>
                </c:pt>
                <c:pt idx="114">
                  <c:v>0.7</c:v>
                </c:pt>
                <c:pt idx="115">
                  <c:v>0.7</c:v>
                </c:pt>
                <c:pt idx="116">
                  <c:v>0.7</c:v>
                </c:pt>
                <c:pt idx="117">
                  <c:v>0.7</c:v>
                </c:pt>
                <c:pt idx="118">
                  <c:v>0.7</c:v>
                </c:pt>
                <c:pt idx="119">
                  <c:v>0.7</c:v>
                </c:pt>
                <c:pt idx="120">
                  <c:v>0.7</c:v>
                </c:pt>
                <c:pt idx="121">
                  <c:v>0.7</c:v>
                </c:pt>
                <c:pt idx="122">
                  <c:v>0.7</c:v>
                </c:pt>
                <c:pt idx="123">
                  <c:v>0.7</c:v>
                </c:pt>
                <c:pt idx="124">
                  <c:v>0.7</c:v>
                </c:pt>
                <c:pt idx="125">
                  <c:v>0.7</c:v>
                </c:pt>
                <c:pt idx="126">
                  <c:v>0.7</c:v>
                </c:pt>
                <c:pt idx="127">
                  <c:v>0.7</c:v>
                </c:pt>
                <c:pt idx="128">
                  <c:v>0.7</c:v>
                </c:pt>
                <c:pt idx="129">
                  <c:v>0.7</c:v>
                </c:pt>
                <c:pt idx="130">
                  <c:v>0.7</c:v>
                </c:pt>
                <c:pt idx="131">
                  <c:v>0.7</c:v>
                </c:pt>
                <c:pt idx="132">
                  <c:v>0.7</c:v>
                </c:pt>
                <c:pt idx="133">
                  <c:v>0.7</c:v>
                </c:pt>
                <c:pt idx="134">
                  <c:v>0.7</c:v>
                </c:pt>
                <c:pt idx="135">
                  <c:v>0.7</c:v>
                </c:pt>
                <c:pt idx="136">
                  <c:v>0.7</c:v>
                </c:pt>
                <c:pt idx="137">
                  <c:v>0.7</c:v>
                </c:pt>
                <c:pt idx="138">
                  <c:v>0.7</c:v>
                </c:pt>
                <c:pt idx="139">
                  <c:v>0.7</c:v>
                </c:pt>
                <c:pt idx="140">
                  <c:v>0.7</c:v>
                </c:pt>
                <c:pt idx="141">
                  <c:v>0.7</c:v>
                </c:pt>
                <c:pt idx="142">
                  <c:v>0.7</c:v>
                </c:pt>
                <c:pt idx="143">
                  <c:v>0.7</c:v>
                </c:pt>
                <c:pt idx="144">
                  <c:v>0.7</c:v>
                </c:pt>
                <c:pt idx="145">
                  <c:v>0.7</c:v>
                </c:pt>
                <c:pt idx="146">
                  <c:v>0.7</c:v>
                </c:pt>
                <c:pt idx="147">
                  <c:v>0.7</c:v>
                </c:pt>
                <c:pt idx="148">
                  <c:v>0.7</c:v>
                </c:pt>
                <c:pt idx="149">
                  <c:v>0.7</c:v>
                </c:pt>
                <c:pt idx="150">
                  <c:v>0.7</c:v>
                </c:pt>
                <c:pt idx="151">
                  <c:v>0.7</c:v>
                </c:pt>
                <c:pt idx="152">
                  <c:v>0.7</c:v>
                </c:pt>
                <c:pt idx="153">
                  <c:v>0.7</c:v>
                </c:pt>
                <c:pt idx="154">
                  <c:v>0.7</c:v>
                </c:pt>
                <c:pt idx="155">
                  <c:v>0.7</c:v>
                </c:pt>
                <c:pt idx="156">
                  <c:v>0.7</c:v>
                </c:pt>
                <c:pt idx="157">
                  <c:v>0.7</c:v>
                </c:pt>
                <c:pt idx="158">
                  <c:v>0.7</c:v>
                </c:pt>
                <c:pt idx="159">
                  <c:v>0.7</c:v>
                </c:pt>
                <c:pt idx="160">
                  <c:v>0.7</c:v>
                </c:pt>
                <c:pt idx="161">
                  <c:v>0.7</c:v>
                </c:pt>
                <c:pt idx="162">
                  <c:v>0.7</c:v>
                </c:pt>
                <c:pt idx="163">
                  <c:v>0.7</c:v>
                </c:pt>
                <c:pt idx="164">
                  <c:v>0.7</c:v>
                </c:pt>
                <c:pt idx="165">
                  <c:v>0.7</c:v>
                </c:pt>
                <c:pt idx="166">
                  <c:v>0.7</c:v>
                </c:pt>
                <c:pt idx="167">
                  <c:v>0.7</c:v>
                </c:pt>
                <c:pt idx="168">
                  <c:v>0.7</c:v>
                </c:pt>
                <c:pt idx="169">
                  <c:v>0.7</c:v>
                </c:pt>
                <c:pt idx="170">
                  <c:v>0.7</c:v>
                </c:pt>
                <c:pt idx="171">
                  <c:v>0.7</c:v>
                </c:pt>
                <c:pt idx="172">
                  <c:v>0.7</c:v>
                </c:pt>
                <c:pt idx="173">
                  <c:v>0.7</c:v>
                </c:pt>
                <c:pt idx="174">
                  <c:v>0.7</c:v>
                </c:pt>
                <c:pt idx="175">
                  <c:v>0.7</c:v>
                </c:pt>
                <c:pt idx="176">
                  <c:v>0.7</c:v>
                </c:pt>
                <c:pt idx="177">
                  <c:v>0.7</c:v>
                </c:pt>
                <c:pt idx="178">
                  <c:v>0.7</c:v>
                </c:pt>
                <c:pt idx="179">
                  <c:v>0.7</c:v>
                </c:pt>
                <c:pt idx="180">
                  <c:v>0.7</c:v>
                </c:pt>
                <c:pt idx="181">
                  <c:v>0.7</c:v>
                </c:pt>
                <c:pt idx="182">
                  <c:v>0.7</c:v>
                </c:pt>
                <c:pt idx="183">
                  <c:v>0.7</c:v>
                </c:pt>
                <c:pt idx="184">
                  <c:v>0.7</c:v>
                </c:pt>
                <c:pt idx="185">
                  <c:v>0.7</c:v>
                </c:pt>
                <c:pt idx="186">
                  <c:v>0.7</c:v>
                </c:pt>
                <c:pt idx="187">
                  <c:v>0.7</c:v>
                </c:pt>
                <c:pt idx="188">
                  <c:v>0.7</c:v>
                </c:pt>
                <c:pt idx="189">
                  <c:v>0.7</c:v>
                </c:pt>
                <c:pt idx="190">
                  <c:v>0.7</c:v>
                </c:pt>
                <c:pt idx="191">
                  <c:v>0.7</c:v>
                </c:pt>
                <c:pt idx="192">
                  <c:v>0.7</c:v>
                </c:pt>
                <c:pt idx="193">
                  <c:v>0.7</c:v>
                </c:pt>
                <c:pt idx="194">
                  <c:v>0.7</c:v>
                </c:pt>
                <c:pt idx="195">
                  <c:v>0.7</c:v>
                </c:pt>
                <c:pt idx="196">
                  <c:v>0.7</c:v>
                </c:pt>
                <c:pt idx="197">
                  <c:v>0.7</c:v>
                </c:pt>
                <c:pt idx="198">
                  <c:v>0.7</c:v>
                </c:pt>
                <c:pt idx="199">
                  <c:v>0.7</c:v>
                </c:pt>
                <c:pt idx="200">
                  <c:v>0.7</c:v>
                </c:pt>
                <c:pt idx="201">
                  <c:v>0.7</c:v>
                </c:pt>
                <c:pt idx="202">
                  <c:v>0.7</c:v>
                </c:pt>
                <c:pt idx="203">
                  <c:v>0.7</c:v>
                </c:pt>
                <c:pt idx="204">
                  <c:v>0.7</c:v>
                </c:pt>
                <c:pt idx="205">
                  <c:v>0.7</c:v>
                </c:pt>
                <c:pt idx="206">
                  <c:v>0.7</c:v>
                </c:pt>
                <c:pt idx="207">
                  <c:v>0.7</c:v>
                </c:pt>
                <c:pt idx="208">
                  <c:v>0.7</c:v>
                </c:pt>
                <c:pt idx="209">
                  <c:v>0.7</c:v>
                </c:pt>
                <c:pt idx="210">
                  <c:v>0.7</c:v>
                </c:pt>
                <c:pt idx="211">
                  <c:v>0.7</c:v>
                </c:pt>
                <c:pt idx="212">
                  <c:v>0.7</c:v>
                </c:pt>
                <c:pt idx="213">
                  <c:v>0.7</c:v>
                </c:pt>
                <c:pt idx="214">
                  <c:v>0.7</c:v>
                </c:pt>
                <c:pt idx="215">
                  <c:v>0.7</c:v>
                </c:pt>
                <c:pt idx="216">
                  <c:v>0.7</c:v>
                </c:pt>
                <c:pt idx="217">
                  <c:v>0.7</c:v>
                </c:pt>
                <c:pt idx="218">
                  <c:v>0.7</c:v>
                </c:pt>
                <c:pt idx="219">
                  <c:v>0.7</c:v>
                </c:pt>
                <c:pt idx="220">
                  <c:v>0.7</c:v>
                </c:pt>
                <c:pt idx="221">
                  <c:v>0.7</c:v>
                </c:pt>
                <c:pt idx="222">
                  <c:v>0.7</c:v>
                </c:pt>
                <c:pt idx="223">
                  <c:v>0.7</c:v>
                </c:pt>
                <c:pt idx="224">
                  <c:v>0.7</c:v>
                </c:pt>
                <c:pt idx="225">
                  <c:v>0.7</c:v>
                </c:pt>
                <c:pt idx="226">
                  <c:v>0.7</c:v>
                </c:pt>
                <c:pt idx="227">
                  <c:v>0.7</c:v>
                </c:pt>
                <c:pt idx="228">
                  <c:v>0.7</c:v>
                </c:pt>
                <c:pt idx="229">
                  <c:v>0.7</c:v>
                </c:pt>
                <c:pt idx="230">
                  <c:v>0.7</c:v>
                </c:pt>
                <c:pt idx="231">
                  <c:v>0.7</c:v>
                </c:pt>
                <c:pt idx="232">
                  <c:v>0.7</c:v>
                </c:pt>
                <c:pt idx="233">
                  <c:v>0.7</c:v>
                </c:pt>
                <c:pt idx="234">
                  <c:v>0.7</c:v>
                </c:pt>
                <c:pt idx="235">
                  <c:v>0.7</c:v>
                </c:pt>
                <c:pt idx="236">
                  <c:v>0.7</c:v>
                </c:pt>
                <c:pt idx="237">
                  <c:v>0.7</c:v>
                </c:pt>
                <c:pt idx="238">
                  <c:v>0.7</c:v>
                </c:pt>
                <c:pt idx="239">
                  <c:v>0.7</c:v>
                </c:pt>
                <c:pt idx="240">
                  <c:v>0.7</c:v>
                </c:pt>
                <c:pt idx="241">
                  <c:v>0.7</c:v>
                </c:pt>
                <c:pt idx="242">
                  <c:v>0.7</c:v>
                </c:pt>
                <c:pt idx="243">
                  <c:v>0.7</c:v>
                </c:pt>
                <c:pt idx="244">
                  <c:v>0.7</c:v>
                </c:pt>
                <c:pt idx="245">
                  <c:v>0.7</c:v>
                </c:pt>
                <c:pt idx="246">
                  <c:v>0.7</c:v>
                </c:pt>
                <c:pt idx="247">
                  <c:v>0.7</c:v>
                </c:pt>
                <c:pt idx="248">
                  <c:v>0.7</c:v>
                </c:pt>
                <c:pt idx="249">
                  <c:v>0.7</c:v>
                </c:pt>
                <c:pt idx="250">
                  <c:v>0.7</c:v>
                </c:pt>
                <c:pt idx="251">
                  <c:v>0.7</c:v>
                </c:pt>
                <c:pt idx="252">
                  <c:v>0.7</c:v>
                </c:pt>
                <c:pt idx="253">
                  <c:v>0.7</c:v>
                </c:pt>
                <c:pt idx="254">
                  <c:v>0.7</c:v>
                </c:pt>
                <c:pt idx="255">
                  <c:v>0.7</c:v>
                </c:pt>
                <c:pt idx="256">
                  <c:v>0.7</c:v>
                </c:pt>
                <c:pt idx="257">
                  <c:v>0.7</c:v>
                </c:pt>
                <c:pt idx="258">
                  <c:v>0.7</c:v>
                </c:pt>
                <c:pt idx="259">
                  <c:v>0.7</c:v>
                </c:pt>
                <c:pt idx="260">
                  <c:v>0.7</c:v>
                </c:pt>
                <c:pt idx="261">
                  <c:v>0.7</c:v>
                </c:pt>
                <c:pt idx="262">
                  <c:v>0.7</c:v>
                </c:pt>
                <c:pt idx="263">
                  <c:v>0.7</c:v>
                </c:pt>
                <c:pt idx="264">
                  <c:v>0.7</c:v>
                </c:pt>
                <c:pt idx="265">
                  <c:v>0.7</c:v>
                </c:pt>
                <c:pt idx="266">
                  <c:v>0.7</c:v>
                </c:pt>
                <c:pt idx="267">
                  <c:v>0.7</c:v>
                </c:pt>
                <c:pt idx="268">
                  <c:v>0.7</c:v>
                </c:pt>
                <c:pt idx="269">
                  <c:v>0.7</c:v>
                </c:pt>
                <c:pt idx="270">
                  <c:v>0.7</c:v>
                </c:pt>
                <c:pt idx="271">
                  <c:v>0.7</c:v>
                </c:pt>
                <c:pt idx="272">
                  <c:v>0.7</c:v>
                </c:pt>
                <c:pt idx="273">
                  <c:v>0.7</c:v>
                </c:pt>
                <c:pt idx="274">
                  <c:v>0.7</c:v>
                </c:pt>
                <c:pt idx="275">
                  <c:v>0.7</c:v>
                </c:pt>
                <c:pt idx="276">
                  <c:v>0.7</c:v>
                </c:pt>
                <c:pt idx="277">
                  <c:v>0.7</c:v>
                </c:pt>
                <c:pt idx="278">
                  <c:v>0.7</c:v>
                </c:pt>
                <c:pt idx="279">
                  <c:v>0.7</c:v>
                </c:pt>
                <c:pt idx="280">
                  <c:v>0.7</c:v>
                </c:pt>
                <c:pt idx="281">
                  <c:v>0.7</c:v>
                </c:pt>
                <c:pt idx="282">
                  <c:v>0.7</c:v>
                </c:pt>
                <c:pt idx="283">
                  <c:v>0.7</c:v>
                </c:pt>
                <c:pt idx="284">
                  <c:v>0.7</c:v>
                </c:pt>
                <c:pt idx="285">
                  <c:v>0.7</c:v>
                </c:pt>
                <c:pt idx="286">
                  <c:v>0.7</c:v>
                </c:pt>
                <c:pt idx="287">
                  <c:v>0.7</c:v>
                </c:pt>
                <c:pt idx="288">
                  <c:v>0.7</c:v>
                </c:pt>
                <c:pt idx="289">
                  <c:v>0.7</c:v>
                </c:pt>
                <c:pt idx="290">
                  <c:v>0.7</c:v>
                </c:pt>
                <c:pt idx="291">
                  <c:v>0.7</c:v>
                </c:pt>
                <c:pt idx="292">
                  <c:v>0.7</c:v>
                </c:pt>
                <c:pt idx="293">
                  <c:v>0.7</c:v>
                </c:pt>
                <c:pt idx="294">
                  <c:v>0.7</c:v>
                </c:pt>
                <c:pt idx="295">
                  <c:v>0.7</c:v>
                </c:pt>
                <c:pt idx="296">
                  <c:v>0.7</c:v>
                </c:pt>
                <c:pt idx="297">
                  <c:v>0.7</c:v>
                </c:pt>
                <c:pt idx="298">
                  <c:v>0.7</c:v>
                </c:pt>
                <c:pt idx="299">
                  <c:v>0.7</c:v>
                </c:pt>
                <c:pt idx="300">
                  <c:v>0.7</c:v>
                </c:pt>
                <c:pt idx="301">
                  <c:v>0.7</c:v>
                </c:pt>
                <c:pt idx="302">
                  <c:v>0.7</c:v>
                </c:pt>
                <c:pt idx="303">
                  <c:v>0.7</c:v>
                </c:pt>
                <c:pt idx="304">
                  <c:v>0.7</c:v>
                </c:pt>
                <c:pt idx="305">
                  <c:v>0.7</c:v>
                </c:pt>
                <c:pt idx="306">
                  <c:v>0.7</c:v>
                </c:pt>
                <c:pt idx="307">
                  <c:v>0.7</c:v>
                </c:pt>
                <c:pt idx="308">
                  <c:v>0.7</c:v>
                </c:pt>
                <c:pt idx="309">
                  <c:v>0.7</c:v>
                </c:pt>
                <c:pt idx="310">
                  <c:v>0.7</c:v>
                </c:pt>
                <c:pt idx="311">
                  <c:v>0.7</c:v>
                </c:pt>
                <c:pt idx="312">
                  <c:v>0.7</c:v>
                </c:pt>
                <c:pt idx="313">
                  <c:v>0.7</c:v>
                </c:pt>
                <c:pt idx="314">
                  <c:v>0.7</c:v>
                </c:pt>
                <c:pt idx="315">
                  <c:v>0.7</c:v>
                </c:pt>
                <c:pt idx="316">
                  <c:v>0.7</c:v>
                </c:pt>
                <c:pt idx="317">
                  <c:v>0.7</c:v>
                </c:pt>
                <c:pt idx="318">
                  <c:v>0.7</c:v>
                </c:pt>
                <c:pt idx="319">
                  <c:v>0.7</c:v>
                </c:pt>
                <c:pt idx="320">
                  <c:v>0.7</c:v>
                </c:pt>
                <c:pt idx="321">
                  <c:v>0.7</c:v>
                </c:pt>
                <c:pt idx="322">
                  <c:v>0.7</c:v>
                </c:pt>
                <c:pt idx="323">
                  <c:v>0.7</c:v>
                </c:pt>
                <c:pt idx="324">
                  <c:v>0.7</c:v>
                </c:pt>
                <c:pt idx="325">
                  <c:v>0.7</c:v>
                </c:pt>
                <c:pt idx="326">
                  <c:v>0.7</c:v>
                </c:pt>
                <c:pt idx="327">
                  <c:v>0.7</c:v>
                </c:pt>
                <c:pt idx="328">
                  <c:v>0.7</c:v>
                </c:pt>
                <c:pt idx="329">
                  <c:v>0.7</c:v>
                </c:pt>
                <c:pt idx="330">
                  <c:v>0.7</c:v>
                </c:pt>
                <c:pt idx="331">
                  <c:v>0.7</c:v>
                </c:pt>
                <c:pt idx="332">
                  <c:v>0.7</c:v>
                </c:pt>
                <c:pt idx="333">
                  <c:v>0.7</c:v>
                </c:pt>
                <c:pt idx="334">
                  <c:v>0.7</c:v>
                </c:pt>
                <c:pt idx="335">
                  <c:v>0.7</c:v>
                </c:pt>
                <c:pt idx="336">
                  <c:v>0.7</c:v>
                </c:pt>
                <c:pt idx="337">
                  <c:v>0.7</c:v>
                </c:pt>
                <c:pt idx="338">
                  <c:v>0.7</c:v>
                </c:pt>
                <c:pt idx="339">
                  <c:v>0.7</c:v>
                </c:pt>
                <c:pt idx="340">
                  <c:v>0.7</c:v>
                </c:pt>
                <c:pt idx="341">
                  <c:v>0.7</c:v>
                </c:pt>
                <c:pt idx="342">
                  <c:v>0.7</c:v>
                </c:pt>
                <c:pt idx="343">
                  <c:v>0.7</c:v>
                </c:pt>
                <c:pt idx="344">
                  <c:v>0.7</c:v>
                </c:pt>
                <c:pt idx="345">
                  <c:v>0.7</c:v>
                </c:pt>
                <c:pt idx="346">
                  <c:v>0.7</c:v>
                </c:pt>
                <c:pt idx="347">
                  <c:v>0.7</c:v>
                </c:pt>
                <c:pt idx="348">
                  <c:v>0.7</c:v>
                </c:pt>
                <c:pt idx="349">
                  <c:v>0.7</c:v>
                </c:pt>
                <c:pt idx="350">
                  <c:v>0.7</c:v>
                </c:pt>
                <c:pt idx="351">
                  <c:v>0.7</c:v>
                </c:pt>
                <c:pt idx="352">
                  <c:v>0.7</c:v>
                </c:pt>
                <c:pt idx="353">
                  <c:v>0.7</c:v>
                </c:pt>
                <c:pt idx="354">
                  <c:v>0.7</c:v>
                </c:pt>
                <c:pt idx="355">
                  <c:v>0.7</c:v>
                </c:pt>
                <c:pt idx="356">
                  <c:v>0.7</c:v>
                </c:pt>
              </c:numCache>
            </c:numRef>
          </c:val>
          <c:extLst>
            <c:ext xmlns:c16="http://schemas.microsoft.com/office/drawing/2014/chart" uri="{C3380CC4-5D6E-409C-BE32-E72D297353CC}">
              <c16:uniqueId val="{00000003-1FB6-43C1-BCE1-89491CD12026}"/>
            </c:ext>
          </c:extLst>
        </c:ser>
        <c:dLbls>
          <c:showLegendKey val="0"/>
          <c:showVal val="0"/>
          <c:showCatName val="0"/>
          <c:showSerName val="0"/>
          <c:showPercent val="0"/>
          <c:showBubbleSize val="0"/>
        </c:dLbls>
        <c:gapWidth val="0"/>
        <c:axId val="130122880"/>
        <c:axId val="130124416"/>
      </c:barChart>
      <c:catAx>
        <c:axId val="130115072"/>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130116608"/>
        <c:crosses val="autoZero"/>
        <c:auto val="1"/>
        <c:lblAlgn val="ctr"/>
        <c:lblOffset val="100"/>
        <c:tickLblSkip val="31"/>
        <c:tickMarkSkip val="7"/>
        <c:noMultiLvlLbl val="0"/>
      </c:catAx>
      <c:valAx>
        <c:axId val="130116608"/>
        <c:scaling>
          <c:orientation val="minMax"/>
          <c:max val="1"/>
          <c:min val="0"/>
        </c:scaling>
        <c:delete val="0"/>
        <c:axPos val="l"/>
        <c:majorGridlines>
          <c:spPr>
            <a:ln w="3175">
              <a:solidFill>
                <a:srgbClr val="000000"/>
              </a:solidFill>
              <a:prstDash val="solid"/>
            </a:ln>
          </c:spPr>
        </c:majorGridlines>
        <c:title>
          <c:tx>
            <c:rich>
              <a:bodyPr/>
              <a:lstStyle/>
              <a:p>
                <a:pPr>
                  <a:defRPr sz="800" b="0" i="0" u="none" strike="noStrike" baseline="0">
                    <a:solidFill>
                      <a:srgbClr val="333333"/>
                    </a:solidFill>
                    <a:latin typeface="Arial"/>
                    <a:ea typeface="Arial"/>
                    <a:cs typeface="Arial"/>
                  </a:defRPr>
                </a:pPr>
                <a:r>
                  <a:rPr lang="de-CH"/>
                  <a:t>Personenprofil</a:t>
                </a:r>
              </a:p>
            </c:rich>
          </c:tx>
          <c:layout>
            <c:manualLayout>
              <c:xMode val="edge"/>
              <c:yMode val="edge"/>
              <c:x val="1.0377036203807857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130115072"/>
        <c:crosses val="autoZero"/>
        <c:crossBetween val="between"/>
        <c:majorUnit val="0.2"/>
        <c:minorUnit val="0.01"/>
      </c:valAx>
      <c:catAx>
        <c:axId val="130122880"/>
        <c:scaling>
          <c:orientation val="minMax"/>
        </c:scaling>
        <c:delete val="1"/>
        <c:axPos val="b"/>
        <c:numFmt formatCode="0.0" sourceLinked="1"/>
        <c:majorTickMark val="out"/>
        <c:minorTickMark val="none"/>
        <c:tickLblPos val="nextTo"/>
        <c:crossAx val="130124416"/>
        <c:crosses val="autoZero"/>
        <c:auto val="1"/>
        <c:lblAlgn val="ctr"/>
        <c:lblOffset val="100"/>
        <c:noMultiLvlLbl val="0"/>
      </c:catAx>
      <c:valAx>
        <c:axId val="130124416"/>
        <c:scaling>
          <c:orientation val="minMax"/>
        </c:scaling>
        <c:delete val="1"/>
        <c:axPos val="r"/>
        <c:numFmt formatCode="0.0" sourceLinked="1"/>
        <c:majorTickMark val="out"/>
        <c:minorTickMark val="none"/>
        <c:tickLblPos val="nextTo"/>
        <c:crossAx val="130122880"/>
        <c:crosses val="max"/>
        <c:crossBetween val="between"/>
      </c:valAx>
      <c:spPr>
        <a:noFill/>
        <a:ln w="25400">
          <a:noFill/>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40481995922113"/>
          <c:y val="0.10489514155758657"/>
          <c:w val="0.83202024674893305"/>
          <c:h val="0.67832167832167833"/>
        </c:manualLayout>
      </c:layout>
      <c:barChart>
        <c:barDir val="col"/>
        <c:grouping val="stacked"/>
        <c:varyColors val="0"/>
        <c:ser>
          <c:idx val="3"/>
          <c:order val="1"/>
          <c:spPr>
            <a:solidFill>
              <a:srgbClr val="C0C0C0"/>
            </a:solidFill>
            <a:ln w="25400">
              <a:noFill/>
            </a:ln>
          </c:spPr>
          <c:invertIfNegative val="0"/>
          <c:cat>
            <c:numRef>
              <c:f>Profile!$A$97:$A$264</c:f>
              <c:numCache>
                <c:formatCode>General</c:formatCode>
                <c:ptCount val="168"/>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4</c:v>
                </c:pt>
                <c:pt idx="49">
                  <c:v>4</c:v>
                </c:pt>
                <c:pt idx="50">
                  <c:v>4</c:v>
                </c:pt>
                <c:pt idx="51">
                  <c:v>4</c:v>
                </c:pt>
                <c:pt idx="52">
                  <c:v>4</c:v>
                </c:pt>
                <c:pt idx="53">
                  <c:v>4</c:v>
                </c:pt>
                <c:pt idx="54">
                  <c:v>4</c:v>
                </c:pt>
                <c:pt idx="55">
                  <c:v>4</c:v>
                </c:pt>
                <c:pt idx="56">
                  <c:v>4</c:v>
                </c:pt>
                <c:pt idx="57">
                  <c:v>4</c:v>
                </c:pt>
                <c:pt idx="58">
                  <c:v>4</c:v>
                </c:pt>
                <c:pt idx="59">
                  <c:v>4</c:v>
                </c:pt>
                <c:pt idx="60">
                  <c:v>4</c:v>
                </c:pt>
                <c:pt idx="61">
                  <c:v>4</c:v>
                </c:pt>
                <c:pt idx="62">
                  <c:v>4</c:v>
                </c:pt>
                <c:pt idx="63">
                  <c:v>4</c:v>
                </c:pt>
                <c:pt idx="64">
                  <c:v>4</c:v>
                </c:pt>
                <c:pt idx="65">
                  <c:v>4</c:v>
                </c:pt>
                <c:pt idx="66">
                  <c:v>4</c:v>
                </c:pt>
                <c:pt idx="67">
                  <c:v>4</c:v>
                </c:pt>
                <c:pt idx="68">
                  <c:v>4</c:v>
                </c:pt>
                <c:pt idx="69">
                  <c:v>4</c:v>
                </c:pt>
                <c:pt idx="70">
                  <c:v>4</c:v>
                </c:pt>
                <c:pt idx="71">
                  <c:v>4</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6</c:v>
                </c:pt>
                <c:pt idx="97">
                  <c:v>6</c:v>
                </c:pt>
                <c:pt idx="98">
                  <c:v>6</c:v>
                </c:pt>
                <c:pt idx="99">
                  <c:v>6</c:v>
                </c:pt>
                <c:pt idx="100">
                  <c:v>6</c:v>
                </c:pt>
                <c:pt idx="101">
                  <c:v>6</c:v>
                </c:pt>
                <c:pt idx="102">
                  <c:v>6</c:v>
                </c:pt>
                <c:pt idx="103">
                  <c:v>6</c:v>
                </c:pt>
                <c:pt idx="104">
                  <c:v>6</c:v>
                </c:pt>
                <c:pt idx="105">
                  <c:v>6</c:v>
                </c:pt>
                <c:pt idx="106">
                  <c:v>6</c:v>
                </c:pt>
                <c:pt idx="107">
                  <c:v>6</c:v>
                </c:pt>
                <c:pt idx="108">
                  <c:v>6</c:v>
                </c:pt>
                <c:pt idx="109">
                  <c:v>6</c:v>
                </c:pt>
                <c:pt idx="110">
                  <c:v>6</c:v>
                </c:pt>
                <c:pt idx="111">
                  <c:v>6</c:v>
                </c:pt>
                <c:pt idx="112">
                  <c:v>6</c:v>
                </c:pt>
                <c:pt idx="113">
                  <c:v>6</c:v>
                </c:pt>
                <c:pt idx="114">
                  <c:v>6</c:v>
                </c:pt>
                <c:pt idx="115">
                  <c:v>6</c:v>
                </c:pt>
                <c:pt idx="116">
                  <c:v>6</c:v>
                </c:pt>
                <c:pt idx="117">
                  <c:v>6</c:v>
                </c:pt>
                <c:pt idx="118">
                  <c:v>6</c:v>
                </c:pt>
                <c:pt idx="119">
                  <c:v>6</c:v>
                </c:pt>
                <c:pt idx="120">
                  <c:v>7</c:v>
                </c:pt>
                <c:pt idx="121">
                  <c:v>7</c:v>
                </c:pt>
                <c:pt idx="122">
                  <c:v>7</c:v>
                </c:pt>
                <c:pt idx="123">
                  <c:v>7</c:v>
                </c:pt>
                <c:pt idx="124">
                  <c:v>7</c:v>
                </c:pt>
                <c:pt idx="125">
                  <c:v>7</c:v>
                </c:pt>
                <c:pt idx="126">
                  <c:v>7</c:v>
                </c:pt>
                <c:pt idx="127">
                  <c:v>7</c:v>
                </c:pt>
                <c:pt idx="128">
                  <c:v>7</c:v>
                </c:pt>
                <c:pt idx="129">
                  <c:v>7</c:v>
                </c:pt>
                <c:pt idx="130">
                  <c:v>7</c:v>
                </c:pt>
                <c:pt idx="131">
                  <c:v>7</c:v>
                </c:pt>
                <c:pt idx="132">
                  <c:v>7</c:v>
                </c:pt>
                <c:pt idx="133">
                  <c:v>7</c:v>
                </c:pt>
                <c:pt idx="134">
                  <c:v>7</c:v>
                </c:pt>
                <c:pt idx="135">
                  <c:v>7</c:v>
                </c:pt>
                <c:pt idx="136">
                  <c:v>7</c:v>
                </c:pt>
                <c:pt idx="137">
                  <c:v>7</c:v>
                </c:pt>
                <c:pt idx="138">
                  <c:v>7</c:v>
                </c:pt>
                <c:pt idx="139">
                  <c:v>7</c:v>
                </c:pt>
                <c:pt idx="140">
                  <c:v>7</c:v>
                </c:pt>
                <c:pt idx="141">
                  <c:v>7</c:v>
                </c:pt>
                <c:pt idx="142">
                  <c:v>7</c:v>
                </c:pt>
                <c:pt idx="143">
                  <c:v>7</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cat>
          <c:val>
            <c:numRef>
              <c:f>Profile!$E$97:$E$264</c:f>
              <c:numCache>
                <c:formatCode>0.0</c:formatCode>
                <c:ptCount val="168"/>
                <c:pt idx="0">
                  <c:v>0</c:v>
                </c:pt>
                <c:pt idx="1">
                  <c:v>0</c:v>
                </c:pt>
                <c:pt idx="2">
                  <c:v>0</c:v>
                </c:pt>
                <c:pt idx="3">
                  <c:v>0</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0</c:v>
                </c:pt>
                <c:pt idx="25">
                  <c:v>0</c:v>
                </c:pt>
                <c:pt idx="26">
                  <c:v>0</c:v>
                </c:pt>
                <c:pt idx="27">
                  <c:v>0</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0</c:v>
                </c:pt>
                <c:pt idx="49">
                  <c:v>0</c:v>
                </c:pt>
                <c:pt idx="50">
                  <c:v>0</c:v>
                </c:pt>
                <c:pt idx="51">
                  <c:v>0</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0</c:v>
                </c:pt>
                <c:pt idx="73">
                  <c:v>0</c:v>
                </c:pt>
                <c:pt idx="74">
                  <c:v>0</c:v>
                </c:pt>
                <c:pt idx="75">
                  <c:v>0</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0</c:v>
                </c:pt>
                <c:pt idx="97">
                  <c:v>0</c:v>
                </c:pt>
                <c:pt idx="98">
                  <c:v>0</c:v>
                </c:pt>
                <c:pt idx="99">
                  <c:v>0</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0</c:v>
                </c:pt>
                <c:pt idx="121">
                  <c:v>0</c:v>
                </c:pt>
                <c:pt idx="122">
                  <c:v>0</c:v>
                </c:pt>
                <c:pt idx="123">
                  <c:v>0</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0</c:v>
                </c:pt>
                <c:pt idx="145">
                  <c:v>0</c:v>
                </c:pt>
                <c:pt idx="146">
                  <c:v>0</c:v>
                </c:pt>
                <c:pt idx="147">
                  <c:v>0</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val>
          <c:extLst>
            <c:ext xmlns:c16="http://schemas.microsoft.com/office/drawing/2014/chart" uri="{C3380CC4-5D6E-409C-BE32-E72D297353CC}">
              <c16:uniqueId val="{00000000-901C-4B23-A449-116B49126F3F}"/>
            </c:ext>
          </c:extLst>
        </c:ser>
        <c:dLbls>
          <c:showLegendKey val="0"/>
          <c:showVal val="0"/>
          <c:showCatName val="0"/>
          <c:showSerName val="0"/>
          <c:showPercent val="0"/>
          <c:showBubbleSize val="0"/>
        </c:dLbls>
        <c:gapWidth val="0"/>
        <c:overlap val="100"/>
        <c:axId val="131268608"/>
        <c:axId val="131270144"/>
      </c:barChart>
      <c:barChart>
        <c:barDir val="col"/>
        <c:grouping val="clustered"/>
        <c:varyColors val="0"/>
        <c:ser>
          <c:idx val="0"/>
          <c:order val="0"/>
          <c:spPr>
            <a:solidFill>
              <a:srgbClr val="00B050"/>
            </a:solidFill>
            <a:ln w="25400">
              <a:noFill/>
            </a:ln>
          </c:spPr>
          <c:invertIfNegative val="0"/>
          <c:cat>
            <c:numRef>
              <c:f>Profile!$A$97:$A$264</c:f>
              <c:numCache>
                <c:formatCode>General</c:formatCode>
                <c:ptCount val="168"/>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4</c:v>
                </c:pt>
                <c:pt idx="49">
                  <c:v>4</c:v>
                </c:pt>
                <c:pt idx="50">
                  <c:v>4</c:v>
                </c:pt>
                <c:pt idx="51">
                  <c:v>4</c:v>
                </c:pt>
                <c:pt idx="52">
                  <c:v>4</c:v>
                </c:pt>
                <c:pt idx="53">
                  <c:v>4</c:v>
                </c:pt>
                <c:pt idx="54">
                  <c:v>4</c:v>
                </c:pt>
                <c:pt idx="55">
                  <c:v>4</c:v>
                </c:pt>
                <c:pt idx="56">
                  <c:v>4</c:v>
                </c:pt>
                <c:pt idx="57">
                  <c:v>4</c:v>
                </c:pt>
                <c:pt idx="58">
                  <c:v>4</c:v>
                </c:pt>
                <c:pt idx="59">
                  <c:v>4</c:v>
                </c:pt>
                <c:pt idx="60">
                  <c:v>4</c:v>
                </c:pt>
                <c:pt idx="61">
                  <c:v>4</c:v>
                </c:pt>
                <c:pt idx="62">
                  <c:v>4</c:v>
                </c:pt>
                <c:pt idx="63">
                  <c:v>4</c:v>
                </c:pt>
                <c:pt idx="64">
                  <c:v>4</c:v>
                </c:pt>
                <c:pt idx="65">
                  <c:v>4</c:v>
                </c:pt>
                <c:pt idx="66">
                  <c:v>4</c:v>
                </c:pt>
                <c:pt idx="67">
                  <c:v>4</c:v>
                </c:pt>
                <c:pt idx="68">
                  <c:v>4</c:v>
                </c:pt>
                <c:pt idx="69">
                  <c:v>4</c:v>
                </c:pt>
                <c:pt idx="70">
                  <c:v>4</c:v>
                </c:pt>
                <c:pt idx="71">
                  <c:v>4</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6</c:v>
                </c:pt>
                <c:pt idx="97">
                  <c:v>6</c:v>
                </c:pt>
                <c:pt idx="98">
                  <c:v>6</c:v>
                </c:pt>
                <c:pt idx="99">
                  <c:v>6</c:v>
                </c:pt>
                <c:pt idx="100">
                  <c:v>6</c:v>
                </c:pt>
                <c:pt idx="101">
                  <c:v>6</c:v>
                </c:pt>
                <c:pt idx="102">
                  <c:v>6</c:v>
                </c:pt>
                <c:pt idx="103">
                  <c:v>6</c:v>
                </c:pt>
                <c:pt idx="104">
                  <c:v>6</c:v>
                </c:pt>
                <c:pt idx="105">
                  <c:v>6</c:v>
                </c:pt>
                <c:pt idx="106">
                  <c:v>6</c:v>
                </c:pt>
                <c:pt idx="107">
                  <c:v>6</c:v>
                </c:pt>
                <c:pt idx="108">
                  <c:v>6</c:v>
                </c:pt>
                <c:pt idx="109">
                  <c:v>6</c:v>
                </c:pt>
                <c:pt idx="110">
                  <c:v>6</c:v>
                </c:pt>
                <c:pt idx="111">
                  <c:v>6</c:v>
                </c:pt>
                <c:pt idx="112">
                  <c:v>6</c:v>
                </c:pt>
                <c:pt idx="113">
                  <c:v>6</c:v>
                </c:pt>
                <c:pt idx="114">
                  <c:v>6</c:v>
                </c:pt>
                <c:pt idx="115">
                  <c:v>6</c:v>
                </c:pt>
                <c:pt idx="116">
                  <c:v>6</c:v>
                </c:pt>
                <c:pt idx="117">
                  <c:v>6</c:v>
                </c:pt>
                <c:pt idx="118">
                  <c:v>6</c:v>
                </c:pt>
                <c:pt idx="119">
                  <c:v>6</c:v>
                </c:pt>
                <c:pt idx="120">
                  <c:v>7</c:v>
                </c:pt>
                <c:pt idx="121">
                  <c:v>7</c:v>
                </c:pt>
                <c:pt idx="122">
                  <c:v>7</c:v>
                </c:pt>
                <c:pt idx="123">
                  <c:v>7</c:v>
                </c:pt>
                <c:pt idx="124">
                  <c:v>7</c:v>
                </c:pt>
                <c:pt idx="125">
                  <c:v>7</c:v>
                </c:pt>
                <c:pt idx="126">
                  <c:v>7</c:v>
                </c:pt>
                <c:pt idx="127">
                  <c:v>7</c:v>
                </c:pt>
                <c:pt idx="128">
                  <c:v>7</c:v>
                </c:pt>
                <c:pt idx="129">
                  <c:v>7</c:v>
                </c:pt>
                <c:pt idx="130">
                  <c:v>7</c:v>
                </c:pt>
                <c:pt idx="131">
                  <c:v>7</c:v>
                </c:pt>
                <c:pt idx="132">
                  <c:v>7</c:v>
                </c:pt>
                <c:pt idx="133">
                  <c:v>7</c:v>
                </c:pt>
                <c:pt idx="134">
                  <c:v>7</c:v>
                </c:pt>
                <c:pt idx="135">
                  <c:v>7</c:v>
                </c:pt>
                <c:pt idx="136">
                  <c:v>7</c:v>
                </c:pt>
                <c:pt idx="137">
                  <c:v>7</c:v>
                </c:pt>
                <c:pt idx="138">
                  <c:v>7</c:v>
                </c:pt>
                <c:pt idx="139">
                  <c:v>7</c:v>
                </c:pt>
                <c:pt idx="140">
                  <c:v>7</c:v>
                </c:pt>
                <c:pt idx="141">
                  <c:v>7</c:v>
                </c:pt>
                <c:pt idx="142">
                  <c:v>7</c:v>
                </c:pt>
                <c:pt idx="143">
                  <c:v>7</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cat>
          <c:val>
            <c:numRef>
              <c:f>Profile!$F$97:$F$264</c:f>
              <c:numCache>
                <c:formatCode>General</c:formatCode>
                <c:ptCount val="168"/>
                <c:pt idx="0">
                  <c:v>0.1</c:v>
                </c:pt>
                <c:pt idx="1">
                  <c:v>0.1</c:v>
                </c:pt>
                <c:pt idx="2">
                  <c:v>0.1</c:v>
                </c:pt>
                <c:pt idx="3">
                  <c:v>0.1</c:v>
                </c:pt>
                <c:pt idx="4">
                  <c:v>0.1</c:v>
                </c:pt>
                <c:pt idx="5">
                  <c:v>0.1</c:v>
                </c:pt>
                <c:pt idx="6">
                  <c:v>0.5</c:v>
                </c:pt>
                <c:pt idx="7">
                  <c:v>1</c:v>
                </c:pt>
                <c:pt idx="8">
                  <c:v>1</c:v>
                </c:pt>
                <c:pt idx="9">
                  <c:v>0.5</c:v>
                </c:pt>
                <c:pt idx="10">
                  <c:v>0.5</c:v>
                </c:pt>
                <c:pt idx="11">
                  <c:v>0.5</c:v>
                </c:pt>
                <c:pt idx="12">
                  <c:v>0.5</c:v>
                </c:pt>
                <c:pt idx="13">
                  <c:v>0.5</c:v>
                </c:pt>
                <c:pt idx="14">
                  <c:v>0.5</c:v>
                </c:pt>
                <c:pt idx="15">
                  <c:v>0.5</c:v>
                </c:pt>
                <c:pt idx="16">
                  <c:v>0.5</c:v>
                </c:pt>
                <c:pt idx="17">
                  <c:v>1</c:v>
                </c:pt>
                <c:pt idx="18">
                  <c:v>1</c:v>
                </c:pt>
                <c:pt idx="19">
                  <c:v>1</c:v>
                </c:pt>
                <c:pt idx="20">
                  <c:v>0.5</c:v>
                </c:pt>
                <c:pt idx="21">
                  <c:v>0.5</c:v>
                </c:pt>
                <c:pt idx="22">
                  <c:v>0.5</c:v>
                </c:pt>
                <c:pt idx="23">
                  <c:v>0.1</c:v>
                </c:pt>
                <c:pt idx="24">
                  <c:v>0.1</c:v>
                </c:pt>
                <c:pt idx="25">
                  <c:v>0.1</c:v>
                </c:pt>
                <c:pt idx="26">
                  <c:v>0.1</c:v>
                </c:pt>
                <c:pt idx="27">
                  <c:v>0.1</c:v>
                </c:pt>
                <c:pt idx="28">
                  <c:v>0.1</c:v>
                </c:pt>
                <c:pt idx="29">
                  <c:v>0.5</c:v>
                </c:pt>
                <c:pt idx="30">
                  <c:v>1</c:v>
                </c:pt>
                <c:pt idx="31">
                  <c:v>1</c:v>
                </c:pt>
                <c:pt idx="32">
                  <c:v>0.5</c:v>
                </c:pt>
                <c:pt idx="33">
                  <c:v>0.5</c:v>
                </c:pt>
                <c:pt idx="34">
                  <c:v>0.5</c:v>
                </c:pt>
                <c:pt idx="35">
                  <c:v>0.5</c:v>
                </c:pt>
                <c:pt idx="36">
                  <c:v>0.5</c:v>
                </c:pt>
                <c:pt idx="37">
                  <c:v>0.5</c:v>
                </c:pt>
                <c:pt idx="38">
                  <c:v>0.5</c:v>
                </c:pt>
                <c:pt idx="39">
                  <c:v>0.5</c:v>
                </c:pt>
                <c:pt idx="40">
                  <c:v>1</c:v>
                </c:pt>
                <c:pt idx="41">
                  <c:v>1</c:v>
                </c:pt>
                <c:pt idx="42">
                  <c:v>1</c:v>
                </c:pt>
                <c:pt idx="43">
                  <c:v>0.5</c:v>
                </c:pt>
                <c:pt idx="44">
                  <c:v>0.5</c:v>
                </c:pt>
                <c:pt idx="45">
                  <c:v>0.5</c:v>
                </c:pt>
                <c:pt idx="46">
                  <c:v>0.1</c:v>
                </c:pt>
                <c:pt idx="47">
                  <c:v>0.1</c:v>
                </c:pt>
                <c:pt idx="48">
                  <c:v>0.1</c:v>
                </c:pt>
                <c:pt idx="49">
                  <c:v>0.1</c:v>
                </c:pt>
                <c:pt idx="50">
                  <c:v>0.1</c:v>
                </c:pt>
                <c:pt idx="51">
                  <c:v>0.1</c:v>
                </c:pt>
                <c:pt idx="52">
                  <c:v>0.1</c:v>
                </c:pt>
                <c:pt idx="53">
                  <c:v>0.1</c:v>
                </c:pt>
                <c:pt idx="54">
                  <c:v>0.5</c:v>
                </c:pt>
                <c:pt idx="55">
                  <c:v>1</c:v>
                </c:pt>
                <c:pt idx="56">
                  <c:v>1</c:v>
                </c:pt>
                <c:pt idx="57">
                  <c:v>0.5</c:v>
                </c:pt>
                <c:pt idx="58">
                  <c:v>0.5</c:v>
                </c:pt>
                <c:pt idx="59">
                  <c:v>0.5</c:v>
                </c:pt>
                <c:pt idx="60">
                  <c:v>0.5</c:v>
                </c:pt>
                <c:pt idx="61">
                  <c:v>0.5</c:v>
                </c:pt>
                <c:pt idx="62">
                  <c:v>0.5</c:v>
                </c:pt>
                <c:pt idx="63">
                  <c:v>0.5</c:v>
                </c:pt>
                <c:pt idx="64">
                  <c:v>0.5</c:v>
                </c:pt>
                <c:pt idx="65">
                  <c:v>1</c:v>
                </c:pt>
                <c:pt idx="66">
                  <c:v>1</c:v>
                </c:pt>
                <c:pt idx="67">
                  <c:v>1</c:v>
                </c:pt>
                <c:pt idx="68">
                  <c:v>0.5</c:v>
                </c:pt>
                <c:pt idx="69">
                  <c:v>0.5</c:v>
                </c:pt>
                <c:pt idx="70">
                  <c:v>0.5</c:v>
                </c:pt>
                <c:pt idx="71">
                  <c:v>0.1</c:v>
                </c:pt>
                <c:pt idx="72">
                  <c:v>0.1</c:v>
                </c:pt>
                <c:pt idx="73">
                  <c:v>0.1</c:v>
                </c:pt>
                <c:pt idx="74">
                  <c:v>0.1</c:v>
                </c:pt>
                <c:pt idx="75">
                  <c:v>0.1</c:v>
                </c:pt>
                <c:pt idx="76">
                  <c:v>0.1</c:v>
                </c:pt>
                <c:pt idx="77">
                  <c:v>0.1</c:v>
                </c:pt>
                <c:pt idx="78">
                  <c:v>0.5</c:v>
                </c:pt>
                <c:pt idx="79">
                  <c:v>1</c:v>
                </c:pt>
                <c:pt idx="80">
                  <c:v>1</c:v>
                </c:pt>
                <c:pt idx="81">
                  <c:v>0.5</c:v>
                </c:pt>
                <c:pt idx="82">
                  <c:v>0.5</c:v>
                </c:pt>
                <c:pt idx="83">
                  <c:v>0.5</c:v>
                </c:pt>
                <c:pt idx="84">
                  <c:v>0.5</c:v>
                </c:pt>
                <c:pt idx="85">
                  <c:v>0.5</c:v>
                </c:pt>
                <c:pt idx="86">
                  <c:v>0.5</c:v>
                </c:pt>
                <c:pt idx="87">
                  <c:v>0.5</c:v>
                </c:pt>
                <c:pt idx="88">
                  <c:v>0.5</c:v>
                </c:pt>
                <c:pt idx="89">
                  <c:v>1</c:v>
                </c:pt>
                <c:pt idx="90">
                  <c:v>1</c:v>
                </c:pt>
                <c:pt idx="91">
                  <c:v>1</c:v>
                </c:pt>
                <c:pt idx="92">
                  <c:v>0.5</c:v>
                </c:pt>
                <c:pt idx="93">
                  <c:v>0.5</c:v>
                </c:pt>
                <c:pt idx="94">
                  <c:v>0.5</c:v>
                </c:pt>
                <c:pt idx="95">
                  <c:v>0.1</c:v>
                </c:pt>
                <c:pt idx="96">
                  <c:v>0.1</c:v>
                </c:pt>
                <c:pt idx="97">
                  <c:v>0.1</c:v>
                </c:pt>
                <c:pt idx="98">
                  <c:v>0.1</c:v>
                </c:pt>
                <c:pt idx="99">
                  <c:v>0.1</c:v>
                </c:pt>
                <c:pt idx="100">
                  <c:v>0.1</c:v>
                </c:pt>
                <c:pt idx="101">
                  <c:v>0.1</c:v>
                </c:pt>
                <c:pt idx="102">
                  <c:v>0.5</c:v>
                </c:pt>
                <c:pt idx="103">
                  <c:v>1</c:v>
                </c:pt>
                <c:pt idx="104">
                  <c:v>1</c:v>
                </c:pt>
                <c:pt idx="105">
                  <c:v>0.5</c:v>
                </c:pt>
                <c:pt idx="106">
                  <c:v>0.5</c:v>
                </c:pt>
                <c:pt idx="107">
                  <c:v>0.5</c:v>
                </c:pt>
                <c:pt idx="108">
                  <c:v>0.5</c:v>
                </c:pt>
                <c:pt idx="109">
                  <c:v>0.5</c:v>
                </c:pt>
                <c:pt idx="110">
                  <c:v>0.5</c:v>
                </c:pt>
                <c:pt idx="111">
                  <c:v>0.5</c:v>
                </c:pt>
                <c:pt idx="112">
                  <c:v>0.5</c:v>
                </c:pt>
                <c:pt idx="113">
                  <c:v>1</c:v>
                </c:pt>
                <c:pt idx="114">
                  <c:v>1</c:v>
                </c:pt>
                <c:pt idx="115">
                  <c:v>1</c:v>
                </c:pt>
                <c:pt idx="116">
                  <c:v>0.5</c:v>
                </c:pt>
                <c:pt idx="117">
                  <c:v>0.5</c:v>
                </c:pt>
                <c:pt idx="118">
                  <c:v>0.5</c:v>
                </c:pt>
                <c:pt idx="119">
                  <c:v>0.1</c:v>
                </c:pt>
                <c:pt idx="120">
                  <c:v>0.1</c:v>
                </c:pt>
                <c:pt idx="121">
                  <c:v>0.1</c:v>
                </c:pt>
                <c:pt idx="122">
                  <c:v>0.1</c:v>
                </c:pt>
                <c:pt idx="123">
                  <c:v>0.1</c:v>
                </c:pt>
                <c:pt idx="124">
                  <c:v>0.1</c:v>
                </c:pt>
                <c:pt idx="125">
                  <c:v>0.1</c:v>
                </c:pt>
                <c:pt idx="126">
                  <c:v>0.5</c:v>
                </c:pt>
                <c:pt idx="127">
                  <c:v>1</c:v>
                </c:pt>
                <c:pt idx="128">
                  <c:v>1</c:v>
                </c:pt>
                <c:pt idx="129">
                  <c:v>0.5</c:v>
                </c:pt>
                <c:pt idx="130">
                  <c:v>0.5</c:v>
                </c:pt>
                <c:pt idx="131">
                  <c:v>0.5</c:v>
                </c:pt>
                <c:pt idx="132">
                  <c:v>0.5</c:v>
                </c:pt>
                <c:pt idx="133">
                  <c:v>0.5</c:v>
                </c:pt>
                <c:pt idx="134">
                  <c:v>0.5</c:v>
                </c:pt>
                <c:pt idx="135">
                  <c:v>0.5</c:v>
                </c:pt>
                <c:pt idx="136">
                  <c:v>0.5</c:v>
                </c:pt>
                <c:pt idx="137">
                  <c:v>1</c:v>
                </c:pt>
                <c:pt idx="138">
                  <c:v>1</c:v>
                </c:pt>
                <c:pt idx="139">
                  <c:v>1</c:v>
                </c:pt>
                <c:pt idx="140">
                  <c:v>0.5</c:v>
                </c:pt>
                <c:pt idx="141">
                  <c:v>0.5</c:v>
                </c:pt>
                <c:pt idx="142">
                  <c:v>0.5</c:v>
                </c:pt>
                <c:pt idx="143">
                  <c:v>0.1</c:v>
                </c:pt>
                <c:pt idx="144">
                  <c:v>0.1</c:v>
                </c:pt>
                <c:pt idx="145">
                  <c:v>0.1</c:v>
                </c:pt>
                <c:pt idx="146">
                  <c:v>0.1</c:v>
                </c:pt>
                <c:pt idx="147">
                  <c:v>0.1</c:v>
                </c:pt>
                <c:pt idx="148">
                  <c:v>0.1</c:v>
                </c:pt>
                <c:pt idx="149">
                  <c:v>0.1</c:v>
                </c:pt>
                <c:pt idx="150">
                  <c:v>0.5</c:v>
                </c:pt>
                <c:pt idx="151">
                  <c:v>1</c:v>
                </c:pt>
                <c:pt idx="152">
                  <c:v>1</c:v>
                </c:pt>
                <c:pt idx="153">
                  <c:v>0.5</c:v>
                </c:pt>
                <c:pt idx="154">
                  <c:v>0.5</c:v>
                </c:pt>
                <c:pt idx="155">
                  <c:v>0.5</c:v>
                </c:pt>
                <c:pt idx="156">
                  <c:v>0.5</c:v>
                </c:pt>
                <c:pt idx="157">
                  <c:v>0.5</c:v>
                </c:pt>
                <c:pt idx="158">
                  <c:v>0.5</c:v>
                </c:pt>
                <c:pt idx="159">
                  <c:v>0.5</c:v>
                </c:pt>
                <c:pt idx="160">
                  <c:v>0.5</c:v>
                </c:pt>
                <c:pt idx="161">
                  <c:v>1</c:v>
                </c:pt>
                <c:pt idx="162">
                  <c:v>1</c:v>
                </c:pt>
                <c:pt idx="163">
                  <c:v>1</c:v>
                </c:pt>
                <c:pt idx="164">
                  <c:v>0.5</c:v>
                </c:pt>
                <c:pt idx="165">
                  <c:v>0.5</c:v>
                </c:pt>
                <c:pt idx="166">
                  <c:v>0.5</c:v>
                </c:pt>
                <c:pt idx="167">
                  <c:v>0.1</c:v>
                </c:pt>
              </c:numCache>
            </c:numRef>
          </c:val>
          <c:extLst>
            <c:ext xmlns:c16="http://schemas.microsoft.com/office/drawing/2014/chart" uri="{C3380CC4-5D6E-409C-BE32-E72D297353CC}">
              <c16:uniqueId val="{00000001-901C-4B23-A449-116B49126F3F}"/>
            </c:ext>
          </c:extLst>
        </c:ser>
        <c:dLbls>
          <c:showLegendKey val="0"/>
          <c:showVal val="0"/>
          <c:showCatName val="0"/>
          <c:showSerName val="0"/>
          <c:showPercent val="0"/>
          <c:showBubbleSize val="0"/>
        </c:dLbls>
        <c:gapWidth val="0"/>
        <c:axId val="131272064"/>
        <c:axId val="131282048"/>
      </c:barChart>
      <c:catAx>
        <c:axId val="131268608"/>
        <c:scaling>
          <c:orientation val="minMax"/>
        </c:scaling>
        <c:delete val="0"/>
        <c:axPos val="b"/>
        <c:numFmt formatCode="ddd"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131270144"/>
        <c:crosses val="autoZero"/>
        <c:auto val="1"/>
        <c:lblAlgn val="ctr"/>
        <c:lblOffset val="100"/>
        <c:tickLblSkip val="24"/>
        <c:noMultiLvlLbl val="0"/>
      </c:catAx>
      <c:valAx>
        <c:axId val="131270144"/>
        <c:scaling>
          <c:orientation val="minMax"/>
          <c:max val="1"/>
          <c:min val="0"/>
        </c:scaling>
        <c:delete val="0"/>
        <c:axPos val="l"/>
        <c:majorGridlines>
          <c:spPr>
            <a:ln w="3175">
              <a:solidFill>
                <a:srgbClr val="000000"/>
              </a:solidFill>
              <a:prstDash val="solid"/>
            </a:ln>
          </c:spPr>
        </c:majorGridlines>
        <c:title>
          <c:tx>
            <c:rich>
              <a:bodyPr/>
              <a:lstStyle/>
              <a:p>
                <a:pPr>
                  <a:defRPr sz="800" b="0" i="0" u="none" strike="noStrike" baseline="0">
                    <a:solidFill>
                      <a:srgbClr val="333333"/>
                    </a:solidFill>
                    <a:latin typeface="Arial"/>
                    <a:ea typeface="Arial"/>
                    <a:cs typeface="Arial"/>
                  </a:defRPr>
                </a:pPr>
                <a:r>
                  <a:rPr lang="de-CH"/>
                  <a:t>Personenprofil</a:t>
                </a:r>
              </a:p>
            </c:rich>
          </c:tx>
          <c:layout>
            <c:manualLayout>
              <c:xMode val="edge"/>
              <c:yMode val="edge"/>
              <c:x val="1.0376913545705264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131268608"/>
        <c:crosses val="autoZero"/>
        <c:crossBetween val="between"/>
        <c:majorUnit val="0.2"/>
        <c:minorUnit val="0.01"/>
      </c:valAx>
      <c:catAx>
        <c:axId val="131272064"/>
        <c:scaling>
          <c:orientation val="minMax"/>
        </c:scaling>
        <c:delete val="1"/>
        <c:axPos val="b"/>
        <c:numFmt formatCode="General" sourceLinked="1"/>
        <c:majorTickMark val="out"/>
        <c:minorTickMark val="none"/>
        <c:tickLblPos val="nextTo"/>
        <c:crossAx val="131282048"/>
        <c:crosses val="autoZero"/>
        <c:auto val="1"/>
        <c:lblAlgn val="ctr"/>
        <c:lblOffset val="100"/>
        <c:noMultiLvlLbl val="0"/>
      </c:catAx>
      <c:valAx>
        <c:axId val="131282048"/>
        <c:scaling>
          <c:orientation val="minMax"/>
        </c:scaling>
        <c:delete val="1"/>
        <c:axPos val="r"/>
        <c:numFmt formatCode="General" sourceLinked="1"/>
        <c:majorTickMark val="out"/>
        <c:minorTickMark val="none"/>
        <c:tickLblPos val="nextTo"/>
        <c:crossAx val="131272064"/>
        <c:crosses val="max"/>
        <c:crossBetween val="between"/>
      </c:valAx>
      <c:spPr>
        <a:noFill/>
        <a:ln w="25400">
          <a:noFill/>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40481995922113"/>
          <c:y val="0.10489514155758657"/>
          <c:w val="0.83202024674893305"/>
          <c:h val="0.67832167832167833"/>
        </c:manualLayout>
      </c:layout>
      <c:barChart>
        <c:barDir val="col"/>
        <c:grouping val="stacked"/>
        <c:varyColors val="0"/>
        <c:ser>
          <c:idx val="3"/>
          <c:order val="1"/>
          <c:spPr>
            <a:solidFill>
              <a:srgbClr val="C0C0C0"/>
            </a:solidFill>
            <a:ln w="25400">
              <a:noFill/>
            </a:ln>
          </c:spPr>
          <c:invertIfNegative val="0"/>
          <c:cat>
            <c:numRef>
              <c:f>Profile!$A$97:$A$264</c:f>
              <c:numCache>
                <c:formatCode>General</c:formatCode>
                <c:ptCount val="168"/>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4</c:v>
                </c:pt>
                <c:pt idx="49">
                  <c:v>4</c:v>
                </c:pt>
                <c:pt idx="50">
                  <c:v>4</c:v>
                </c:pt>
                <c:pt idx="51">
                  <c:v>4</c:v>
                </c:pt>
                <c:pt idx="52">
                  <c:v>4</c:v>
                </c:pt>
                <c:pt idx="53">
                  <c:v>4</c:v>
                </c:pt>
                <c:pt idx="54">
                  <c:v>4</c:v>
                </c:pt>
                <c:pt idx="55">
                  <c:v>4</c:v>
                </c:pt>
                <c:pt idx="56">
                  <c:v>4</c:v>
                </c:pt>
                <c:pt idx="57">
                  <c:v>4</c:v>
                </c:pt>
                <c:pt idx="58">
                  <c:v>4</c:v>
                </c:pt>
                <c:pt idx="59">
                  <c:v>4</c:v>
                </c:pt>
                <c:pt idx="60">
                  <c:v>4</c:v>
                </c:pt>
                <c:pt idx="61">
                  <c:v>4</c:v>
                </c:pt>
                <c:pt idx="62">
                  <c:v>4</c:v>
                </c:pt>
                <c:pt idx="63">
                  <c:v>4</c:v>
                </c:pt>
                <c:pt idx="64">
                  <c:v>4</c:v>
                </c:pt>
                <c:pt idx="65">
                  <c:v>4</c:v>
                </c:pt>
                <c:pt idx="66">
                  <c:v>4</c:v>
                </c:pt>
                <c:pt idx="67">
                  <c:v>4</c:v>
                </c:pt>
                <c:pt idx="68">
                  <c:v>4</c:v>
                </c:pt>
                <c:pt idx="69">
                  <c:v>4</c:v>
                </c:pt>
                <c:pt idx="70">
                  <c:v>4</c:v>
                </c:pt>
                <c:pt idx="71">
                  <c:v>4</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6</c:v>
                </c:pt>
                <c:pt idx="97">
                  <c:v>6</c:v>
                </c:pt>
                <c:pt idx="98">
                  <c:v>6</c:v>
                </c:pt>
                <c:pt idx="99">
                  <c:v>6</c:v>
                </c:pt>
                <c:pt idx="100">
                  <c:v>6</c:v>
                </c:pt>
                <c:pt idx="101">
                  <c:v>6</c:v>
                </c:pt>
                <c:pt idx="102">
                  <c:v>6</c:v>
                </c:pt>
                <c:pt idx="103">
                  <c:v>6</c:v>
                </c:pt>
                <c:pt idx="104">
                  <c:v>6</c:v>
                </c:pt>
                <c:pt idx="105">
                  <c:v>6</c:v>
                </c:pt>
                <c:pt idx="106">
                  <c:v>6</c:v>
                </c:pt>
                <c:pt idx="107">
                  <c:v>6</c:v>
                </c:pt>
                <c:pt idx="108">
                  <c:v>6</c:v>
                </c:pt>
                <c:pt idx="109">
                  <c:v>6</c:v>
                </c:pt>
                <c:pt idx="110">
                  <c:v>6</c:v>
                </c:pt>
                <c:pt idx="111">
                  <c:v>6</c:v>
                </c:pt>
                <c:pt idx="112">
                  <c:v>6</c:v>
                </c:pt>
                <c:pt idx="113">
                  <c:v>6</c:v>
                </c:pt>
                <c:pt idx="114">
                  <c:v>6</c:v>
                </c:pt>
                <c:pt idx="115">
                  <c:v>6</c:v>
                </c:pt>
                <c:pt idx="116">
                  <c:v>6</c:v>
                </c:pt>
                <c:pt idx="117">
                  <c:v>6</c:v>
                </c:pt>
                <c:pt idx="118">
                  <c:v>6</c:v>
                </c:pt>
                <c:pt idx="119">
                  <c:v>6</c:v>
                </c:pt>
                <c:pt idx="120">
                  <c:v>7</c:v>
                </c:pt>
                <c:pt idx="121">
                  <c:v>7</c:v>
                </c:pt>
                <c:pt idx="122">
                  <c:v>7</c:v>
                </c:pt>
                <c:pt idx="123">
                  <c:v>7</c:v>
                </c:pt>
                <c:pt idx="124">
                  <c:v>7</c:v>
                </c:pt>
                <c:pt idx="125">
                  <c:v>7</c:v>
                </c:pt>
                <c:pt idx="126">
                  <c:v>7</c:v>
                </c:pt>
                <c:pt idx="127">
                  <c:v>7</c:v>
                </c:pt>
                <c:pt idx="128">
                  <c:v>7</c:v>
                </c:pt>
                <c:pt idx="129">
                  <c:v>7</c:v>
                </c:pt>
                <c:pt idx="130">
                  <c:v>7</c:v>
                </c:pt>
                <c:pt idx="131">
                  <c:v>7</c:v>
                </c:pt>
                <c:pt idx="132">
                  <c:v>7</c:v>
                </c:pt>
                <c:pt idx="133">
                  <c:v>7</c:v>
                </c:pt>
                <c:pt idx="134">
                  <c:v>7</c:v>
                </c:pt>
                <c:pt idx="135">
                  <c:v>7</c:v>
                </c:pt>
                <c:pt idx="136">
                  <c:v>7</c:v>
                </c:pt>
                <c:pt idx="137">
                  <c:v>7</c:v>
                </c:pt>
                <c:pt idx="138">
                  <c:v>7</c:v>
                </c:pt>
                <c:pt idx="139">
                  <c:v>7</c:v>
                </c:pt>
                <c:pt idx="140">
                  <c:v>7</c:v>
                </c:pt>
                <c:pt idx="141">
                  <c:v>7</c:v>
                </c:pt>
                <c:pt idx="142">
                  <c:v>7</c:v>
                </c:pt>
                <c:pt idx="143">
                  <c:v>7</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cat>
          <c:val>
            <c:numRef>
              <c:f>Profile!$E$97:$E$264</c:f>
              <c:numCache>
                <c:formatCode>0.0</c:formatCode>
                <c:ptCount val="168"/>
                <c:pt idx="0">
                  <c:v>0</c:v>
                </c:pt>
                <c:pt idx="1">
                  <c:v>0</c:v>
                </c:pt>
                <c:pt idx="2">
                  <c:v>0</c:v>
                </c:pt>
                <c:pt idx="3">
                  <c:v>0</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0</c:v>
                </c:pt>
                <c:pt idx="25">
                  <c:v>0</c:v>
                </c:pt>
                <c:pt idx="26">
                  <c:v>0</c:v>
                </c:pt>
                <c:pt idx="27">
                  <c:v>0</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0</c:v>
                </c:pt>
                <c:pt idx="49">
                  <c:v>0</c:v>
                </c:pt>
                <c:pt idx="50">
                  <c:v>0</c:v>
                </c:pt>
                <c:pt idx="51">
                  <c:v>0</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0</c:v>
                </c:pt>
                <c:pt idx="73">
                  <c:v>0</c:v>
                </c:pt>
                <c:pt idx="74">
                  <c:v>0</c:v>
                </c:pt>
                <c:pt idx="75">
                  <c:v>0</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0</c:v>
                </c:pt>
                <c:pt idx="97">
                  <c:v>0</c:v>
                </c:pt>
                <c:pt idx="98">
                  <c:v>0</c:v>
                </c:pt>
                <c:pt idx="99">
                  <c:v>0</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0</c:v>
                </c:pt>
                <c:pt idx="121">
                  <c:v>0</c:v>
                </c:pt>
                <c:pt idx="122">
                  <c:v>0</c:v>
                </c:pt>
                <c:pt idx="123">
                  <c:v>0</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0</c:v>
                </c:pt>
                <c:pt idx="145">
                  <c:v>0</c:v>
                </c:pt>
                <c:pt idx="146">
                  <c:v>0</c:v>
                </c:pt>
                <c:pt idx="147">
                  <c:v>0</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val>
          <c:extLst>
            <c:ext xmlns:c16="http://schemas.microsoft.com/office/drawing/2014/chart" uri="{C3380CC4-5D6E-409C-BE32-E72D297353CC}">
              <c16:uniqueId val="{00000000-D3FA-4B26-B46A-6A0342E2DEAD}"/>
            </c:ext>
          </c:extLst>
        </c:ser>
        <c:dLbls>
          <c:showLegendKey val="0"/>
          <c:showVal val="0"/>
          <c:showCatName val="0"/>
          <c:showSerName val="0"/>
          <c:showPercent val="0"/>
          <c:showBubbleSize val="0"/>
        </c:dLbls>
        <c:gapWidth val="0"/>
        <c:overlap val="100"/>
        <c:axId val="131328256"/>
        <c:axId val="131338240"/>
      </c:barChart>
      <c:barChart>
        <c:barDir val="col"/>
        <c:grouping val="clustered"/>
        <c:varyColors val="0"/>
        <c:ser>
          <c:idx val="0"/>
          <c:order val="0"/>
          <c:spPr>
            <a:solidFill>
              <a:srgbClr val="FFFF00"/>
            </a:solidFill>
            <a:ln w="25400">
              <a:noFill/>
            </a:ln>
          </c:spPr>
          <c:invertIfNegative val="0"/>
          <c:cat>
            <c:numRef>
              <c:f>Profile!$A$97:$A$264</c:f>
              <c:numCache>
                <c:formatCode>General</c:formatCode>
                <c:ptCount val="168"/>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4</c:v>
                </c:pt>
                <c:pt idx="49">
                  <c:v>4</c:v>
                </c:pt>
                <c:pt idx="50">
                  <c:v>4</c:v>
                </c:pt>
                <c:pt idx="51">
                  <c:v>4</c:v>
                </c:pt>
                <c:pt idx="52">
                  <c:v>4</c:v>
                </c:pt>
                <c:pt idx="53">
                  <c:v>4</c:v>
                </c:pt>
                <c:pt idx="54">
                  <c:v>4</c:v>
                </c:pt>
                <c:pt idx="55">
                  <c:v>4</c:v>
                </c:pt>
                <c:pt idx="56">
                  <c:v>4</c:v>
                </c:pt>
                <c:pt idx="57">
                  <c:v>4</c:v>
                </c:pt>
                <c:pt idx="58">
                  <c:v>4</c:v>
                </c:pt>
                <c:pt idx="59">
                  <c:v>4</c:v>
                </c:pt>
                <c:pt idx="60">
                  <c:v>4</c:v>
                </c:pt>
                <c:pt idx="61">
                  <c:v>4</c:v>
                </c:pt>
                <c:pt idx="62">
                  <c:v>4</c:v>
                </c:pt>
                <c:pt idx="63">
                  <c:v>4</c:v>
                </c:pt>
                <c:pt idx="64">
                  <c:v>4</c:v>
                </c:pt>
                <c:pt idx="65">
                  <c:v>4</c:v>
                </c:pt>
                <c:pt idx="66">
                  <c:v>4</c:v>
                </c:pt>
                <c:pt idx="67">
                  <c:v>4</c:v>
                </c:pt>
                <c:pt idx="68">
                  <c:v>4</c:v>
                </c:pt>
                <c:pt idx="69">
                  <c:v>4</c:v>
                </c:pt>
                <c:pt idx="70">
                  <c:v>4</c:v>
                </c:pt>
                <c:pt idx="71">
                  <c:v>4</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6</c:v>
                </c:pt>
                <c:pt idx="97">
                  <c:v>6</c:v>
                </c:pt>
                <c:pt idx="98">
                  <c:v>6</c:v>
                </c:pt>
                <c:pt idx="99">
                  <c:v>6</c:v>
                </c:pt>
                <c:pt idx="100">
                  <c:v>6</c:v>
                </c:pt>
                <c:pt idx="101">
                  <c:v>6</c:v>
                </c:pt>
                <c:pt idx="102">
                  <c:v>6</c:v>
                </c:pt>
                <c:pt idx="103">
                  <c:v>6</c:v>
                </c:pt>
                <c:pt idx="104">
                  <c:v>6</c:v>
                </c:pt>
                <c:pt idx="105">
                  <c:v>6</c:v>
                </c:pt>
                <c:pt idx="106">
                  <c:v>6</c:v>
                </c:pt>
                <c:pt idx="107">
                  <c:v>6</c:v>
                </c:pt>
                <c:pt idx="108">
                  <c:v>6</c:v>
                </c:pt>
                <c:pt idx="109">
                  <c:v>6</c:v>
                </c:pt>
                <c:pt idx="110">
                  <c:v>6</c:v>
                </c:pt>
                <c:pt idx="111">
                  <c:v>6</c:v>
                </c:pt>
                <c:pt idx="112">
                  <c:v>6</c:v>
                </c:pt>
                <c:pt idx="113">
                  <c:v>6</c:v>
                </c:pt>
                <c:pt idx="114">
                  <c:v>6</c:v>
                </c:pt>
                <c:pt idx="115">
                  <c:v>6</c:v>
                </c:pt>
                <c:pt idx="116">
                  <c:v>6</c:v>
                </c:pt>
                <c:pt idx="117">
                  <c:v>6</c:v>
                </c:pt>
                <c:pt idx="118">
                  <c:v>6</c:v>
                </c:pt>
                <c:pt idx="119">
                  <c:v>6</c:v>
                </c:pt>
                <c:pt idx="120">
                  <c:v>7</c:v>
                </c:pt>
                <c:pt idx="121">
                  <c:v>7</c:v>
                </c:pt>
                <c:pt idx="122">
                  <c:v>7</c:v>
                </c:pt>
                <c:pt idx="123">
                  <c:v>7</c:v>
                </c:pt>
                <c:pt idx="124">
                  <c:v>7</c:v>
                </c:pt>
                <c:pt idx="125">
                  <c:v>7</c:v>
                </c:pt>
                <c:pt idx="126">
                  <c:v>7</c:v>
                </c:pt>
                <c:pt idx="127">
                  <c:v>7</c:v>
                </c:pt>
                <c:pt idx="128">
                  <c:v>7</c:v>
                </c:pt>
                <c:pt idx="129">
                  <c:v>7</c:v>
                </c:pt>
                <c:pt idx="130">
                  <c:v>7</c:v>
                </c:pt>
                <c:pt idx="131">
                  <c:v>7</c:v>
                </c:pt>
                <c:pt idx="132">
                  <c:v>7</c:v>
                </c:pt>
                <c:pt idx="133">
                  <c:v>7</c:v>
                </c:pt>
                <c:pt idx="134">
                  <c:v>7</c:v>
                </c:pt>
                <c:pt idx="135">
                  <c:v>7</c:v>
                </c:pt>
                <c:pt idx="136">
                  <c:v>7</c:v>
                </c:pt>
                <c:pt idx="137">
                  <c:v>7</c:v>
                </c:pt>
                <c:pt idx="138">
                  <c:v>7</c:v>
                </c:pt>
                <c:pt idx="139">
                  <c:v>7</c:v>
                </c:pt>
                <c:pt idx="140">
                  <c:v>7</c:v>
                </c:pt>
                <c:pt idx="141">
                  <c:v>7</c:v>
                </c:pt>
                <c:pt idx="142">
                  <c:v>7</c:v>
                </c:pt>
                <c:pt idx="143">
                  <c:v>7</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cat>
          <c:val>
            <c:numRef>
              <c:f>Profile!$H$97:$H$264</c:f>
              <c:numCache>
                <c:formatCode>General</c:formatCode>
                <c:ptCount val="168"/>
                <c:pt idx="0">
                  <c:v>0</c:v>
                </c:pt>
                <c:pt idx="1">
                  <c:v>0</c:v>
                </c:pt>
                <c:pt idx="2">
                  <c:v>0</c:v>
                </c:pt>
                <c:pt idx="3">
                  <c:v>0</c:v>
                </c:pt>
                <c:pt idx="4">
                  <c:v>0</c:v>
                </c:pt>
                <c:pt idx="5">
                  <c:v>0</c:v>
                </c:pt>
                <c:pt idx="6">
                  <c:v>1</c:v>
                </c:pt>
                <c:pt idx="7">
                  <c:v>0</c:v>
                </c:pt>
                <c:pt idx="8">
                  <c:v>1</c:v>
                </c:pt>
                <c:pt idx="9">
                  <c:v>1</c:v>
                </c:pt>
                <c:pt idx="10">
                  <c:v>1</c:v>
                </c:pt>
                <c:pt idx="11">
                  <c:v>0</c:v>
                </c:pt>
                <c:pt idx="12">
                  <c:v>1</c:v>
                </c:pt>
                <c:pt idx="13">
                  <c:v>1</c:v>
                </c:pt>
                <c:pt idx="14">
                  <c:v>1</c:v>
                </c:pt>
                <c:pt idx="15">
                  <c:v>1</c:v>
                </c:pt>
                <c:pt idx="16">
                  <c:v>0</c:v>
                </c:pt>
                <c:pt idx="17">
                  <c:v>1</c:v>
                </c:pt>
                <c:pt idx="18">
                  <c:v>1</c:v>
                </c:pt>
                <c:pt idx="19">
                  <c:v>1</c:v>
                </c:pt>
                <c:pt idx="20">
                  <c:v>1</c:v>
                </c:pt>
                <c:pt idx="21">
                  <c:v>1</c:v>
                </c:pt>
                <c:pt idx="22">
                  <c:v>0</c:v>
                </c:pt>
                <c:pt idx="23">
                  <c:v>0</c:v>
                </c:pt>
                <c:pt idx="24">
                  <c:v>0</c:v>
                </c:pt>
                <c:pt idx="25">
                  <c:v>0</c:v>
                </c:pt>
                <c:pt idx="26">
                  <c:v>0</c:v>
                </c:pt>
                <c:pt idx="27">
                  <c:v>0</c:v>
                </c:pt>
                <c:pt idx="28">
                  <c:v>0</c:v>
                </c:pt>
                <c:pt idx="29">
                  <c:v>0</c:v>
                </c:pt>
                <c:pt idx="30">
                  <c:v>1</c:v>
                </c:pt>
                <c:pt idx="31">
                  <c:v>0</c:v>
                </c:pt>
                <c:pt idx="32">
                  <c:v>1</c:v>
                </c:pt>
                <c:pt idx="33">
                  <c:v>1</c:v>
                </c:pt>
                <c:pt idx="34">
                  <c:v>1</c:v>
                </c:pt>
                <c:pt idx="35">
                  <c:v>0</c:v>
                </c:pt>
                <c:pt idx="36">
                  <c:v>1</c:v>
                </c:pt>
                <c:pt idx="37">
                  <c:v>1</c:v>
                </c:pt>
                <c:pt idx="38">
                  <c:v>1</c:v>
                </c:pt>
                <c:pt idx="39">
                  <c:v>1</c:v>
                </c:pt>
                <c:pt idx="40">
                  <c:v>0</c:v>
                </c:pt>
                <c:pt idx="41">
                  <c:v>1</c:v>
                </c:pt>
                <c:pt idx="42">
                  <c:v>1</c:v>
                </c:pt>
                <c:pt idx="43">
                  <c:v>1</c:v>
                </c:pt>
                <c:pt idx="44">
                  <c:v>1</c:v>
                </c:pt>
                <c:pt idx="45">
                  <c:v>1</c:v>
                </c:pt>
                <c:pt idx="46">
                  <c:v>0</c:v>
                </c:pt>
                <c:pt idx="47">
                  <c:v>0</c:v>
                </c:pt>
                <c:pt idx="48">
                  <c:v>0</c:v>
                </c:pt>
                <c:pt idx="49">
                  <c:v>0</c:v>
                </c:pt>
                <c:pt idx="50">
                  <c:v>0</c:v>
                </c:pt>
                <c:pt idx="51">
                  <c:v>0</c:v>
                </c:pt>
                <c:pt idx="52">
                  <c:v>0</c:v>
                </c:pt>
                <c:pt idx="53">
                  <c:v>0</c:v>
                </c:pt>
                <c:pt idx="54">
                  <c:v>1</c:v>
                </c:pt>
                <c:pt idx="55">
                  <c:v>0</c:v>
                </c:pt>
                <c:pt idx="56">
                  <c:v>1</c:v>
                </c:pt>
                <c:pt idx="57">
                  <c:v>1</c:v>
                </c:pt>
                <c:pt idx="58">
                  <c:v>1</c:v>
                </c:pt>
                <c:pt idx="59">
                  <c:v>0</c:v>
                </c:pt>
                <c:pt idx="60">
                  <c:v>1</c:v>
                </c:pt>
                <c:pt idx="61">
                  <c:v>1</c:v>
                </c:pt>
                <c:pt idx="62">
                  <c:v>1</c:v>
                </c:pt>
                <c:pt idx="63">
                  <c:v>1</c:v>
                </c:pt>
                <c:pt idx="64">
                  <c:v>0</c:v>
                </c:pt>
                <c:pt idx="65">
                  <c:v>1</c:v>
                </c:pt>
                <c:pt idx="66">
                  <c:v>1</c:v>
                </c:pt>
                <c:pt idx="67">
                  <c:v>1</c:v>
                </c:pt>
                <c:pt idx="68">
                  <c:v>1</c:v>
                </c:pt>
                <c:pt idx="69">
                  <c:v>1</c:v>
                </c:pt>
                <c:pt idx="70">
                  <c:v>0</c:v>
                </c:pt>
                <c:pt idx="71">
                  <c:v>0</c:v>
                </c:pt>
                <c:pt idx="72">
                  <c:v>0</c:v>
                </c:pt>
                <c:pt idx="73">
                  <c:v>0</c:v>
                </c:pt>
                <c:pt idx="74">
                  <c:v>0</c:v>
                </c:pt>
                <c:pt idx="75">
                  <c:v>0</c:v>
                </c:pt>
                <c:pt idx="76">
                  <c:v>0</c:v>
                </c:pt>
                <c:pt idx="77">
                  <c:v>0</c:v>
                </c:pt>
                <c:pt idx="78">
                  <c:v>1</c:v>
                </c:pt>
                <c:pt idx="79">
                  <c:v>0</c:v>
                </c:pt>
                <c:pt idx="80">
                  <c:v>1</c:v>
                </c:pt>
                <c:pt idx="81">
                  <c:v>1</c:v>
                </c:pt>
                <c:pt idx="82">
                  <c:v>1</c:v>
                </c:pt>
                <c:pt idx="83">
                  <c:v>0</c:v>
                </c:pt>
                <c:pt idx="84">
                  <c:v>1</c:v>
                </c:pt>
                <c:pt idx="85">
                  <c:v>1</c:v>
                </c:pt>
                <c:pt idx="86">
                  <c:v>1</c:v>
                </c:pt>
                <c:pt idx="87">
                  <c:v>1</c:v>
                </c:pt>
                <c:pt idx="88">
                  <c:v>0</c:v>
                </c:pt>
                <c:pt idx="89">
                  <c:v>1</c:v>
                </c:pt>
                <c:pt idx="90">
                  <c:v>1</c:v>
                </c:pt>
                <c:pt idx="91">
                  <c:v>1</c:v>
                </c:pt>
                <c:pt idx="92">
                  <c:v>1</c:v>
                </c:pt>
                <c:pt idx="93">
                  <c:v>1</c:v>
                </c:pt>
                <c:pt idx="94">
                  <c:v>0</c:v>
                </c:pt>
                <c:pt idx="95">
                  <c:v>0</c:v>
                </c:pt>
                <c:pt idx="96">
                  <c:v>0</c:v>
                </c:pt>
                <c:pt idx="97">
                  <c:v>0</c:v>
                </c:pt>
                <c:pt idx="98">
                  <c:v>0</c:v>
                </c:pt>
                <c:pt idx="99">
                  <c:v>0</c:v>
                </c:pt>
                <c:pt idx="100">
                  <c:v>0</c:v>
                </c:pt>
                <c:pt idx="101">
                  <c:v>0</c:v>
                </c:pt>
                <c:pt idx="102">
                  <c:v>1</c:v>
                </c:pt>
                <c:pt idx="103">
                  <c:v>0</c:v>
                </c:pt>
                <c:pt idx="104">
                  <c:v>1</c:v>
                </c:pt>
                <c:pt idx="105">
                  <c:v>1</c:v>
                </c:pt>
                <c:pt idx="106">
                  <c:v>1</c:v>
                </c:pt>
                <c:pt idx="107">
                  <c:v>0</c:v>
                </c:pt>
                <c:pt idx="108">
                  <c:v>1</c:v>
                </c:pt>
                <c:pt idx="109">
                  <c:v>1</c:v>
                </c:pt>
                <c:pt idx="110">
                  <c:v>1</c:v>
                </c:pt>
                <c:pt idx="111">
                  <c:v>1</c:v>
                </c:pt>
                <c:pt idx="112">
                  <c:v>0</c:v>
                </c:pt>
                <c:pt idx="113">
                  <c:v>1</c:v>
                </c:pt>
                <c:pt idx="114">
                  <c:v>1</c:v>
                </c:pt>
                <c:pt idx="115">
                  <c:v>1</c:v>
                </c:pt>
                <c:pt idx="116">
                  <c:v>1</c:v>
                </c:pt>
                <c:pt idx="117">
                  <c:v>1</c:v>
                </c:pt>
                <c:pt idx="118">
                  <c:v>0</c:v>
                </c:pt>
                <c:pt idx="119">
                  <c:v>0</c:v>
                </c:pt>
                <c:pt idx="120">
                  <c:v>0</c:v>
                </c:pt>
                <c:pt idx="121">
                  <c:v>0</c:v>
                </c:pt>
                <c:pt idx="122">
                  <c:v>0</c:v>
                </c:pt>
                <c:pt idx="123">
                  <c:v>0</c:v>
                </c:pt>
                <c:pt idx="124">
                  <c:v>0</c:v>
                </c:pt>
                <c:pt idx="125">
                  <c:v>0</c:v>
                </c:pt>
                <c:pt idx="126">
                  <c:v>1</c:v>
                </c:pt>
                <c:pt idx="127">
                  <c:v>0</c:v>
                </c:pt>
                <c:pt idx="128">
                  <c:v>1</c:v>
                </c:pt>
                <c:pt idx="129">
                  <c:v>1</c:v>
                </c:pt>
                <c:pt idx="130">
                  <c:v>1</c:v>
                </c:pt>
                <c:pt idx="131">
                  <c:v>0</c:v>
                </c:pt>
                <c:pt idx="132">
                  <c:v>1</c:v>
                </c:pt>
                <c:pt idx="133">
                  <c:v>1</c:v>
                </c:pt>
                <c:pt idx="134">
                  <c:v>1</c:v>
                </c:pt>
                <c:pt idx="135">
                  <c:v>1</c:v>
                </c:pt>
                <c:pt idx="136">
                  <c:v>0</c:v>
                </c:pt>
                <c:pt idx="137">
                  <c:v>1</c:v>
                </c:pt>
                <c:pt idx="138">
                  <c:v>1</c:v>
                </c:pt>
                <c:pt idx="139">
                  <c:v>1</c:v>
                </c:pt>
                <c:pt idx="140">
                  <c:v>1</c:v>
                </c:pt>
                <c:pt idx="141">
                  <c:v>1</c:v>
                </c:pt>
                <c:pt idx="142">
                  <c:v>0</c:v>
                </c:pt>
                <c:pt idx="143">
                  <c:v>0</c:v>
                </c:pt>
                <c:pt idx="144">
                  <c:v>0</c:v>
                </c:pt>
                <c:pt idx="145">
                  <c:v>0</c:v>
                </c:pt>
                <c:pt idx="146">
                  <c:v>0</c:v>
                </c:pt>
                <c:pt idx="147">
                  <c:v>0</c:v>
                </c:pt>
                <c:pt idx="148">
                  <c:v>0</c:v>
                </c:pt>
                <c:pt idx="149">
                  <c:v>0</c:v>
                </c:pt>
                <c:pt idx="150">
                  <c:v>1</c:v>
                </c:pt>
                <c:pt idx="151">
                  <c:v>0</c:v>
                </c:pt>
                <c:pt idx="152">
                  <c:v>1</c:v>
                </c:pt>
                <c:pt idx="153">
                  <c:v>1</c:v>
                </c:pt>
                <c:pt idx="154">
                  <c:v>1</c:v>
                </c:pt>
                <c:pt idx="155">
                  <c:v>0</c:v>
                </c:pt>
                <c:pt idx="156">
                  <c:v>1</c:v>
                </c:pt>
                <c:pt idx="157">
                  <c:v>1</c:v>
                </c:pt>
                <c:pt idx="158">
                  <c:v>1</c:v>
                </c:pt>
                <c:pt idx="159">
                  <c:v>1</c:v>
                </c:pt>
                <c:pt idx="160">
                  <c:v>0</c:v>
                </c:pt>
                <c:pt idx="161">
                  <c:v>1</c:v>
                </c:pt>
                <c:pt idx="162">
                  <c:v>1</c:v>
                </c:pt>
                <c:pt idx="163">
                  <c:v>1</c:v>
                </c:pt>
                <c:pt idx="164">
                  <c:v>1</c:v>
                </c:pt>
                <c:pt idx="165">
                  <c:v>1</c:v>
                </c:pt>
                <c:pt idx="166">
                  <c:v>0</c:v>
                </c:pt>
                <c:pt idx="167">
                  <c:v>0</c:v>
                </c:pt>
              </c:numCache>
            </c:numRef>
          </c:val>
          <c:extLst>
            <c:ext xmlns:c16="http://schemas.microsoft.com/office/drawing/2014/chart" uri="{C3380CC4-5D6E-409C-BE32-E72D297353CC}">
              <c16:uniqueId val="{00000001-D3FA-4B26-B46A-6A0342E2DEAD}"/>
            </c:ext>
          </c:extLst>
        </c:ser>
        <c:dLbls>
          <c:showLegendKey val="0"/>
          <c:showVal val="0"/>
          <c:showCatName val="0"/>
          <c:showSerName val="0"/>
          <c:showPercent val="0"/>
          <c:showBubbleSize val="0"/>
        </c:dLbls>
        <c:gapWidth val="0"/>
        <c:axId val="131340160"/>
        <c:axId val="131341696"/>
      </c:barChart>
      <c:catAx>
        <c:axId val="131328256"/>
        <c:scaling>
          <c:orientation val="minMax"/>
        </c:scaling>
        <c:delete val="0"/>
        <c:axPos val="b"/>
        <c:numFmt formatCode="ddd"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131338240"/>
        <c:crosses val="autoZero"/>
        <c:auto val="1"/>
        <c:lblAlgn val="ctr"/>
        <c:lblOffset val="100"/>
        <c:tickLblSkip val="24"/>
        <c:noMultiLvlLbl val="0"/>
      </c:catAx>
      <c:valAx>
        <c:axId val="131338240"/>
        <c:scaling>
          <c:orientation val="minMax"/>
          <c:max val="1"/>
          <c:min val="0"/>
        </c:scaling>
        <c:delete val="0"/>
        <c:axPos val="l"/>
        <c:majorGridlines>
          <c:spPr>
            <a:ln w="3175">
              <a:solidFill>
                <a:srgbClr val="000000"/>
              </a:solidFill>
              <a:prstDash val="solid"/>
            </a:ln>
          </c:spPr>
        </c:majorGridlines>
        <c:title>
          <c:tx>
            <c:rich>
              <a:bodyPr/>
              <a:lstStyle/>
              <a:p>
                <a:pPr>
                  <a:defRPr sz="800" b="0" i="0" u="none" strike="noStrike" baseline="0">
                    <a:solidFill>
                      <a:srgbClr val="333333"/>
                    </a:solidFill>
                    <a:latin typeface="Arial"/>
                    <a:ea typeface="Arial"/>
                    <a:cs typeface="Arial"/>
                  </a:defRPr>
                </a:pPr>
                <a:r>
                  <a:rPr lang="de-CH"/>
                  <a:t>Personenprofil</a:t>
                </a:r>
              </a:p>
            </c:rich>
          </c:tx>
          <c:layout>
            <c:manualLayout>
              <c:xMode val="edge"/>
              <c:yMode val="edge"/>
              <c:x val="1.0376913545705264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131328256"/>
        <c:crosses val="autoZero"/>
        <c:crossBetween val="between"/>
        <c:majorUnit val="0.2"/>
        <c:minorUnit val="0.01"/>
      </c:valAx>
      <c:catAx>
        <c:axId val="131340160"/>
        <c:scaling>
          <c:orientation val="minMax"/>
        </c:scaling>
        <c:delete val="1"/>
        <c:axPos val="b"/>
        <c:numFmt formatCode="General" sourceLinked="1"/>
        <c:majorTickMark val="out"/>
        <c:minorTickMark val="none"/>
        <c:tickLblPos val="nextTo"/>
        <c:crossAx val="131341696"/>
        <c:crosses val="autoZero"/>
        <c:auto val="1"/>
        <c:lblAlgn val="ctr"/>
        <c:lblOffset val="100"/>
        <c:noMultiLvlLbl val="0"/>
      </c:catAx>
      <c:valAx>
        <c:axId val="131341696"/>
        <c:scaling>
          <c:orientation val="minMax"/>
        </c:scaling>
        <c:delete val="1"/>
        <c:axPos val="r"/>
        <c:numFmt formatCode="General" sourceLinked="1"/>
        <c:majorTickMark val="out"/>
        <c:minorTickMark val="none"/>
        <c:tickLblPos val="nextTo"/>
        <c:crossAx val="131340160"/>
        <c:crosses val="max"/>
        <c:crossBetween val="between"/>
      </c:valAx>
      <c:spPr>
        <a:noFill/>
        <a:ln w="25400">
          <a:noFill/>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3" dropStyle="combo" dx="16" fmlaLink="$D$1" fmlaRange="$I$1:$I$3" noThreeD="1" sel="1" val="0"/>
</file>

<file path=xl/ctrlProps/ctrlProp2.xml><?xml version="1.0" encoding="utf-8"?>
<formControlPr xmlns="http://schemas.microsoft.com/office/spreadsheetml/2009/9/main" objectType="Drop" dropStyle="combo" dx="16" fmlaLink="C1" fmlaRange="Eingabedaten!$C$10:$C$55" noThreeD="1" sel="4" val="38"/>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C1" max="45" min="1" page="10" val="4"/>
</file>

<file path=xl/ctrlProps/ctrlProp5.xml><?xml version="1.0" encoding="utf-8"?>
<formControlPr xmlns="http://schemas.microsoft.com/office/spreadsheetml/2009/9/main" objectType="Drop" dropStyle="combo" dx="16" fmlaLink="C1" fmlaRange="Eingabedaten!$C$10:$C$55" noThreeD="1" sel="5"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pin" dx="16" fmlaLink="C1" max="45" min="1" page="10" val="5"/>
</file>

<file path=xl/ctrlProps/ctrlProp8.xml><?xml version="1.0" encoding="utf-8"?>
<formControlPr xmlns="http://schemas.microsoft.com/office/spreadsheetml/2009/9/main" objectType="Drop" dropStyle="combo" dx="16" fmlaLink="nutzid" fmlaRange="Eingabedaten!$C$10:$C$54" noThreeD="1" sel="4" val="37"/>
</file>

<file path=xl/ctrlProps/ctrlProp9.xml><?xml version="1.0" encoding="utf-8"?>
<formControlPr xmlns="http://schemas.microsoft.com/office/spreadsheetml/2009/9/main" objectType="Spin" dx="16" fmlaLink="F1" max="43" min="1" page="1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chart" Target="../charts/chart14.xml"/><Relationship Id="rId18" Type="http://schemas.openxmlformats.org/officeDocument/2006/relationships/chart" Target="../charts/chart1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17" Type="http://schemas.openxmlformats.org/officeDocument/2006/relationships/chart" Target="../charts/chart18.xml"/><Relationship Id="rId2" Type="http://schemas.openxmlformats.org/officeDocument/2006/relationships/chart" Target="../charts/chart3.xml"/><Relationship Id="rId16" Type="http://schemas.openxmlformats.org/officeDocument/2006/relationships/chart" Target="../charts/chart17.xml"/><Relationship Id="rId20" Type="http://schemas.openxmlformats.org/officeDocument/2006/relationships/chart" Target="../charts/chart21.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5" Type="http://schemas.openxmlformats.org/officeDocument/2006/relationships/chart" Target="../charts/chart16.xml"/><Relationship Id="rId10" Type="http://schemas.openxmlformats.org/officeDocument/2006/relationships/chart" Target="../charts/chart11.xml"/><Relationship Id="rId19" Type="http://schemas.openxmlformats.org/officeDocument/2006/relationships/chart" Target="../charts/chart20.xml"/><Relationship Id="rId4" Type="http://schemas.openxmlformats.org/officeDocument/2006/relationships/chart" Target="../charts/chart5.xml"/><Relationship Id="rId9" Type="http://schemas.openxmlformats.org/officeDocument/2006/relationships/chart" Target="../charts/chart10.xml"/><Relationship Id="rId14" Type="http://schemas.openxmlformats.org/officeDocument/2006/relationships/chart" Target="../charts/chart15.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9.xml"/><Relationship Id="rId13" Type="http://schemas.openxmlformats.org/officeDocument/2006/relationships/chart" Target="../charts/chart34.xml"/><Relationship Id="rId18" Type="http://schemas.openxmlformats.org/officeDocument/2006/relationships/chart" Target="../charts/chart39.xml"/><Relationship Id="rId3" Type="http://schemas.openxmlformats.org/officeDocument/2006/relationships/chart" Target="../charts/chart24.xml"/><Relationship Id="rId7" Type="http://schemas.openxmlformats.org/officeDocument/2006/relationships/chart" Target="../charts/chart28.xml"/><Relationship Id="rId12" Type="http://schemas.openxmlformats.org/officeDocument/2006/relationships/chart" Target="../charts/chart33.xml"/><Relationship Id="rId17" Type="http://schemas.openxmlformats.org/officeDocument/2006/relationships/chart" Target="../charts/chart38.xml"/><Relationship Id="rId2" Type="http://schemas.openxmlformats.org/officeDocument/2006/relationships/chart" Target="../charts/chart23.xml"/><Relationship Id="rId16" Type="http://schemas.openxmlformats.org/officeDocument/2006/relationships/chart" Target="../charts/chart37.xml"/><Relationship Id="rId20" Type="http://schemas.openxmlformats.org/officeDocument/2006/relationships/chart" Target="../charts/chart41.xml"/><Relationship Id="rId1" Type="http://schemas.openxmlformats.org/officeDocument/2006/relationships/chart" Target="../charts/chart22.xml"/><Relationship Id="rId6" Type="http://schemas.openxmlformats.org/officeDocument/2006/relationships/chart" Target="../charts/chart27.xml"/><Relationship Id="rId11" Type="http://schemas.openxmlformats.org/officeDocument/2006/relationships/chart" Target="../charts/chart32.xml"/><Relationship Id="rId5" Type="http://schemas.openxmlformats.org/officeDocument/2006/relationships/chart" Target="../charts/chart26.xml"/><Relationship Id="rId15" Type="http://schemas.openxmlformats.org/officeDocument/2006/relationships/chart" Target="../charts/chart36.xml"/><Relationship Id="rId10" Type="http://schemas.openxmlformats.org/officeDocument/2006/relationships/chart" Target="../charts/chart31.xml"/><Relationship Id="rId19" Type="http://schemas.openxmlformats.org/officeDocument/2006/relationships/chart" Target="../charts/chart40.xml"/><Relationship Id="rId4" Type="http://schemas.openxmlformats.org/officeDocument/2006/relationships/chart" Target="../charts/chart25.xml"/><Relationship Id="rId9" Type="http://schemas.openxmlformats.org/officeDocument/2006/relationships/chart" Target="../charts/chart30.xml"/><Relationship Id="rId14" Type="http://schemas.openxmlformats.org/officeDocument/2006/relationships/chart" Target="../charts/chart35.xml"/></Relationships>
</file>

<file path=xl/drawings/_rels/drawing6.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7.xml.rels><?xml version="1.0" encoding="UTF-8" standalone="yes"?>
<Relationships xmlns="http://schemas.openxmlformats.org/package/2006/relationships"><Relationship Id="rId8" Type="http://schemas.openxmlformats.org/officeDocument/2006/relationships/chart" Target="../charts/chart51.xml"/><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drawing1.xml><?xml version="1.0" encoding="utf-8"?>
<xdr:wsDr xmlns:xdr="http://schemas.openxmlformats.org/drawingml/2006/spreadsheetDrawing" xmlns:a="http://schemas.openxmlformats.org/drawingml/2006/main">
  <xdr:twoCellAnchor>
    <xdr:from>
      <xdr:col>5</xdr:col>
      <xdr:colOff>152400</xdr:colOff>
      <xdr:row>13</xdr:row>
      <xdr:rowOff>95250</xdr:rowOff>
    </xdr:from>
    <xdr:to>
      <xdr:col>11</xdr:col>
      <xdr:colOff>502920</xdr:colOff>
      <xdr:row>34</xdr:row>
      <xdr:rowOff>7620</xdr:rowOff>
    </xdr:to>
    <xdr:graphicFrame macro="">
      <xdr:nvGraphicFramePr>
        <xdr:cNvPr id="2" name="Diagramm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1638300</xdr:colOff>
      <xdr:row>1</xdr:row>
      <xdr:rowOff>9525</xdr:rowOff>
    </xdr:from>
    <xdr:to>
      <xdr:col>5</xdr:col>
      <xdr:colOff>2618740</xdr:colOff>
      <xdr:row>1</xdr:row>
      <xdr:rowOff>447040</xdr:rowOff>
    </xdr:to>
    <xdr:grpSp>
      <xdr:nvGrpSpPr>
        <xdr:cNvPr id="8" name="Group 21">
          <a:extLst>
            <a:ext uri="{FF2B5EF4-FFF2-40B4-BE49-F238E27FC236}">
              <a16:creationId xmlns:a16="http://schemas.microsoft.com/office/drawing/2014/main" id="{00000000-0008-0000-0100-000008000000}"/>
            </a:ext>
          </a:extLst>
        </xdr:cNvPr>
        <xdr:cNvGrpSpPr>
          <a:grpSpLocks noChangeAspect="1"/>
        </xdr:cNvGrpSpPr>
      </xdr:nvGrpSpPr>
      <xdr:grpSpPr bwMode="auto">
        <a:xfrm>
          <a:off x="9113520" y="93345"/>
          <a:ext cx="980440" cy="437515"/>
          <a:chOff x="1" y="1"/>
          <a:chExt cx="1544" cy="689"/>
        </a:xfrm>
      </xdr:grpSpPr>
      <xdr:sp macro="" textlink="">
        <xdr:nvSpPr>
          <xdr:cNvPr id="9" name="AutoShape 22">
            <a:extLst>
              <a:ext uri="{FF2B5EF4-FFF2-40B4-BE49-F238E27FC236}">
                <a16:creationId xmlns:a16="http://schemas.microsoft.com/office/drawing/2014/main" id="{00000000-0008-0000-0100-000009000000}"/>
              </a:ext>
            </a:extLst>
          </xdr:cNvPr>
          <xdr:cNvSpPr>
            <a:spLocks noChangeAspect="1" noChangeArrowheads="1" noTextEdit="1"/>
          </xdr:cNvSpPr>
        </xdr:nvSpPr>
        <xdr:spPr bwMode="auto">
          <a:xfrm>
            <a:off x="1" y="1"/>
            <a:ext cx="1544" cy="6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de-CH"/>
          </a:p>
        </xdr:txBody>
      </xdr:sp>
      <xdr:sp macro="" textlink="">
        <xdr:nvSpPr>
          <xdr:cNvPr id="10" name="Freeform 23">
            <a:extLst>
              <a:ext uri="{FF2B5EF4-FFF2-40B4-BE49-F238E27FC236}">
                <a16:creationId xmlns:a16="http://schemas.microsoft.com/office/drawing/2014/main" id="{00000000-0008-0000-0100-00000A000000}"/>
              </a:ext>
            </a:extLst>
          </xdr:cNvPr>
          <xdr:cNvSpPr>
            <a:spLocks/>
          </xdr:cNvSpPr>
        </xdr:nvSpPr>
        <xdr:spPr bwMode="auto">
          <a:xfrm>
            <a:off x="1" y="200"/>
            <a:ext cx="341" cy="488"/>
          </a:xfrm>
          <a:custGeom>
            <a:avLst/>
            <a:gdLst>
              <a:gd name="T0" fmla="*/ 44 w 659"/>
              <a:gd name="T1" fmla="*/ 266 h 943"/>
              <a:gd name="T2" fmla="*/ 359 w 659"/>
              <a:gd name="T3" fmla="*/ 0 h 943"/>
              <a:gd name="T4" fmla="*/ 645 w 659"/>
              <a:gd name="T5" fmla="*/ 78 h 943"/>
              <a:gd name="T6" fmla="*/ 560 w 659"/>
              <a:gd name="T7" fmla="*/ 252 h 943"/>
              <a:gd name="T8" fmla="*/ 370 w 659"/>
              <a:gd name="T9" fmla="*/ 187 h 943"/>
              <a:gd name="T10" fmla="*/ 277 w 659"/>
              <a:gd name="T11" fmla="*/ 254 h 943"/>
              <a:gd name="T12" fmla="*/ 659 w 659"/>
              <a:gd name="T13" fmla="*/ 652 h 943"/>
              <a:gd name="T14" fmla="*/ 334 w 659"/>
              <a:gd name="T15" fmla="*/ 943 h 943"/>
              <a:gd name="T16" fmla="*/ 0 w 659"/>
              <a:gd name="T17" fmla="*/ 849 h 943"/>
              <a:gd name="T18" fmla="*/ 95 w 659"/>
              <a:gd name="T19" fmla="*/ 654 h 943"/>
              <a:gd name="T20" fmla="*/ 324 w 659"/>
              <a:gd name="T21" fmla="*/ 741 h 943"/>
              <a:gd name="T22" fmla="*/ 422 w 659"/>
              <a:gd name="T23" fmla="*/ 672 h 943"/>
              <a:gd name="T24" fmla="*/ 44 w 659"/>
              <a:gd name="T25" fmla="*/ 266 h 94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659" h="943">
                <a:moveTo>
                  <a:pt x="44" y="266"/>
                </a:moveTo>
                <a:cubicBezTo>
                  <a:pt x="44" y="96"/>
                  <a:pt x="181" y="0"/>
                  <a:pt x="359" y="0"/>
                </a:cubicBezTo>
                <a:cubicBezTo>
                  <a:pt x="473" y="0"/>
                  <a:pt x="578" y="38"/>
                  <a:pt x="645" y="78"/>
                </a:cubicBezTo>
                <a:cubicBezTo>
                  <a:pt x="560" y="252"/>
                  <a:pt x="560" y="252"/>
                  <a:pt x="560" y="252"/>
                </a:cubicBezTo>
                <a:cubicBezTo>
                  <a:pt x="500" y="214"/>
                  <a:pt x="442" y="187"/>
                  <a:pt x="370" y="187"/>
                </a:cubicBezTo>
                <a:cubicBezTo>
                  <a:pt x="314" y="187"/>
                  <a:pt x="277" y="214"/>
                  <a:pt x="277" y="254"/>
                </a:cubicBezTo>
                <a:cubicBezTo>
                  <a:pt x="277" y="384"/>
                  <a:pt x="659" y="350"/>
                  <a:pt x="659" y="652"/>
                </a:cubicBezTo>
                <a:cubicBezTo>
                  <a:pt x="659" y="831"/>
                  <a:pt x="520" y="943"/>
                  <a:pt x="334" y="943"/>
                </a:cubicBezTo>
                <a:cubicBezTo>
                  <a:pt x="220" y="943"/>
                  <a:pt x="98" y="907"/>
                  <a:pt x="0" y="849"/>
                </a:cubicBezTo>
                <a:cubicBezTo>
                  <a:pt x="95" y="654"/>
                  <a:pt x="95" y="654"/>
                  <a:pt x="95" y="654"/>
                </a:cubicBezTo>
                <a:cubicBezTo>
                  <a:pt x="180" y="712"/>
                  <a:pt x="245" y="741"/>
                  <a:pt x="324" y="741"/>
                </a:cubicBezTo>
                <a:cubicBezTo>
                  <a:pt x="384" y="741"/>
                  <a:pt x="422" y="714"/>
                  <a:pt x="422" y="672"/>
                </a:cubicBezTo>
                <a:cubicBezTo>
                  <a:pt x="422" y="529"/>
                  <a:pt x="44" y="569"/>
                  <a:pt x="44" y="266"/>
                </a:cubicBezTo>
                <a:close/>
              </a:path>
            </a:pathLst>
          </a:custGeom>
          <a:solidFill>
            <a:srgbClr val="FE000C"/>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de-CH"/>
          </a:p>
        </xdr:txBody>
      </xdr:sp>
      <xdr:sp macro="" textlink="">
        <xdr:nvSpPr>
          <xdr:cNvPr id="11" name="Freeform 24">
            <a:extLst>
              <a:ext uri="{FF2B5EF4-FFF2-40B4-BE49-F238E27FC236}">
                <a16:creationId xmlns:a16="http://schemas.microsoft.com/office/drawing/2014/main" id="{00000000-0008-0000-0100-00000B000000}"/>
              </a:ext>
            </a:extLst>
          </xdr:cNvPr>
          <xdr:cNvSpPr>
            <a:spLocks noEditPoints="1"/>
          </xdr:cNvSpPr>
        </xdr:nvSpPr>
        <xdr:spPr bwMode="auto">
          <a:xfrm>
            <a:off x="613" y="1"/>
            <a:ext cx="251" cy="678"/>
          </a:xfrm>
          <a:custGeom>
            <a:avLst/>
            <a:gdLst>
              <a:gd name="T0" fmla="*/ 234 w 484"/>
              <a:gd name="T1" fmla="*/ 586 h 1310"/>
              <a:gd name="T2" fmla="*/ 0 w 484"/>
              <a:gd name="T3" fmla="*/ 586 h 1310"/>
              <a:gd name="T4" fmla="*/ 0 w 484"/>
              <a:gd name="T5" fmla="*/ 403 h 1310"/>
              <a:gd name="T6" fmla="*/ 469 w 484"/>
              <a:gd name="T7" fmla="*/ 403 h 1310"/>
              <a:gd name="T8" fmla="*/ 469 w 484"/>
              <a:gd name="T9" fmla="*/ 1310 h 1310"/>
              <a:gd name="T10" fmla="*/ 234 w 484"/>
              <a:gd name="T11" fmla="*/ 1310 h 1310"/>
              <a:gd name="T12" fmla="*/ 234 w 484"/>
              <a:gd name="T13" fmla="*/ 586 h 1310"/>
              <a:gd name="T14" fmla="*/ 343 w 484"/>
              <a:gd name="T15" fmla="*/ 280 h 1310"/>
              <a:gd name="T16" fmla="*/ 203 w 484"/>
              <a:gd name="T17" fmla="*/ 139 h 1310"/>
              <a:gd name="T18" fmla="*/ 343 w 484"/>
              <a:gd name="T19" fmla="*/ 0 h 1310"/>
              <a:gd name="T20" fmla="*/ 484 w 484"/>
              <a:gd name="T21" fmla="*/ 139 h 1310"/>
              <a:gd name="T22" fmla="*/ 343 w 484"/>
              <a:gd name="T23" fmla="*/ 280 h 131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484" h="1310">
                <a:moveTo>
                  <a:pt x="234" y="586"/>
                </a:moveTo>
                <a:cubicBezTo>
                  <a:pt x="0" y="586"/>
                  <a:pt x="0" y="586"/>
                  <a:pt x="0" y="586"/>
                </a:cubicBezTo>
                <a:cubicBezTo>
                  <a:pt x="0" y="403"/>
                  <a:pt x="0" y="403"/>
                  <a:pt x="0" y="403"/>
                </a:cubicBezTo>
                <a:cubicBezTo>
                  <a:pt x="469" y="403"/>
                  <a:pt x="469" y="403"/>
                  <a:pt x="469" y="403"/>
                </a:cubicBezTo>
                <a:cubicBezTo>
                  <a:pt x="469" y="1310"/>
                  <a:pt x="469" y="1310"/>
                  <a:pt x="469" y="1310"/>
                </a:cubicBezTo>
                <a:cubicBezTo>
                  <a:pt x="234" y="1310"/>
                  <a:pt x="234" y="1310"/>
                  <a:pt x="234" y="1310"/>
                </a:cubicBezTo>
                <a:lnTo>
                  <a:pt x="234" y="586"/>
                </a:lnTo>
                <a:close/>
                <a:moveTo>
                  <a:pt x="343" y="280"/>
                </a:moveTo>
                <a:cubicBezTo>
                  <a:pt x="265" y="280"/>
                  <a:pt x="203" y="217"/>
                  <a:pt x="203" y="139"/>
                </a:cubicBezTo>
                <a:cubicBezTo>
                  <a:pt x="203" y="63"/>
                  <a:pt x="265" y="0"/>
                  <a:pt x="343" y="0"/>
                </a:cubicBezTo>
                <a:cubicBezTo>
                  <a:pt x="422" y="0"/>
                  <a:pt x="484" y="61"/>
                  <a:pt x="484" y="139"/>
                </a:cubicBezTo>
                <a:cubicBezTo>
                  <a:pt x="484" y="217"/>
                  <a:pt x="422" y="280"/>
                  <a:pt x="343" y="280"/>
                </a:cubicBezTo>
                <a:close/>
              </a:path>
            </a:pathLst>
          </a:custGeom>
          <a:solidFill>
            <a:srgbClr val="FE000C"/>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de-CH"/>
          </a:p>
        </xdr:txBody>
      </xdr:sp>
      <xdr:sp macro="" textlink="">
        <xdr:nvSpPr>
          <xdr:cNvPr id="12" name="Freeform 25">
            <a:extLst>
              <a:ext uri="{FF2B5EF4-FFF2-40B4-BE49-F238E27FC236}">
                <a16:creationId xmlns:a16="http://schemas.microsoft.com/office/drawing/2014/main" id="{00000000-0008-0000-0100-00000C000000}"/>
              </a:ext>
            </a:extLst>
          </xdr:cNvPr>
          <xdr:cNvSpPr>
            <a:spLocks noEditPoints="1"/>
          </xdr:cNvSpPr>
        </xdr:nvSpPr>
        <xdr:spPr bwMode="auto">
          <a:xfrm>
            <a:off x="1157" y="200"/>
            <a:ext cx="387" cy="488"/>
          </a:xfrm>
          <a:custGeom>
            <a:avLst/>
            <a:gdLst>
              <a:gd name="T0" fmla="*/ 476 w 748"/>
              <a:gd name="T1" fmla="*/ 337 h 943"/>
              <a:gd name="T2" fmla="*/ 476 w 748"/>
              <a:gd name="T3" fmla="*/ 306 h 943"/>
              <a:gd name="T4" fmla="*/ 344 w 748"/>
              <a:gd name="T5" fmla="*/ 181 h 943"/>
              <a:gd name="T6" fmla="*/ 133 w 748"/>
              <a:gd name="T7" fmla="*/ 228 h 943"/>
              <a:gd name="T8" fmla="*/ 78 w 748"/>
              <a:gd name="T9" fmla="*/ 53 h 943"/>
              <a:gd name="T10" fmla="*/ 381 w 748"/>
              <a:gd name="T11" fmla="*/ 0 h 943"/>
              <a:gd name="T12" fmla="*/ 714 w 748"/>
              <a:gd name="T13" fmla="*/ 323 h 943"/>
              <a:gd name="T14" fmla="*/ 714 w 748"/>
              <a:gd name="T15" fmla="*/ 628 h 943"/>
              <a:gd name="T16" fmla="*/ 748 w 748"/>
              <a:gd name="T17" fmla="*/ 925 h 943"/>
              <a:gd name="T18" fmla="*/ 538 w 748"/>
              <a:gd name="T19" fmla="*/ 925 h 943"/>
              <a:gd name="T20" fmla="*/ 520 w 748"/>
              <a:gd name="T21" fmla="*/ 811 h 943"/>
              <a:gd name="T22" fmla="*/ 518 w 748"/>
              <a:gd name="T23" fmla="*/ 810 h 943"/>
              <a:gd name="T24" fmla="*/ 266 w 748"/>
              <a:gd name="T25" fmla="*/ 943 h 943"/>
              <a:gd name="T26" fmla="*/ 0 w 748"/>
              <a:gd name="T27" fmla="*/ 647 h 943"/>
              <a:gd name="T28" fmla="*/ 348 w 748"/>
              <a:gd name="T29" fmla="*/ 323 h 943"/>
              <a:gd name="T30" fmla="*/ 467 w 748"/>
              <a:gd name="T31" fmla="*/ 335 h 943"/>
              <a:gd name="T32" fmla="*/ 476 w 748"/>
              <a:gd name="T33" fmla="*/ 337 h 943"/>
              <a:gd name="T34" fmla="*/ 243 w 748"/>
              <a:gd name="T35" fmla="*/ 627 h 943"/>
              <a:gd name="T36" fmla="*/ 346 w 748"/>
              <a:gd name="T37" fmla="*/ 748 h 943"/>
              <a:gd name="T38" fmla="*/ 478 w 748"/>
              <a:gd name="T39" fmla="*/ 571 h 943"/>
              <a:gd name="T40" fmla="*/ 478 w 748"/>
              <a:gd name="T41" fmla="*/ 495 h 943"/>
              <a:gd name="T42" fmla="*/ 473 w 748"/>
              <a:gd name="T43" fmla="*/ 493 h 943"/>
              <a:gd name="T44" fmla="*/ 373 w 748"/>
              <a:gd name="T45" fmla="*/ 476 h 943"/>
              <a:gd name="T46" fmla="*/ 243 w 748"/>
              <a:gd name="T47" fmla="*/ 627 h 94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748" h="943">
                <a:moveTo>
                  <a:pt x="476" y="337"/>
                </a:moveTo>
                <a:cubicBezTo>
                  <a:pt x="476" y="306"/>
                  <a:pt x="476" y="306"/>
                  <a:pt x="476" y="306"/>
                </a:cubicBezTo>
                <a:cubicBezTo>
                  <a:pt x="476" y="216"/>
                  <a:pt x="411" y="181"/>
                  <a:pt x="344" y="181"/>
                </a:cubicBezTo>
                <a:cubicBezTo>
                  <a:pt x="256" y="181"/>
                  <a:pt x="207" y="199"/>
                  <a:pt x="133" y="228"/>
                </a:cubicBezTo>
                <a:cubicBezTo>
                  <a:pt x="78" y="53"/>
                  <a:pt x="78" y="53"/>
                  <a:pt x="78" y="53"/>
                </a:cubicBezTo>
                <a:cubicBezTo>
                  <a:pt x="190" y="15"/>
                  <a:pt x="286" y="0"/>
                  <a:pt x="381" y="0"/>
                </a:cubicBezTo>
                <a:cubicBezTo>
                  <a:pt x="641" y="0"/>
                  <a:pt x="714" y="158"/>
                  <a:pt x="714" y="323"/>
                </a:cubicBezTo>
                <a:cubicBezTo>
                  <a:pt x="714" y="628"/>
                  <a:pt x="714" y="628"/>
                  <a:pt x="714" y="628"/>
                </a:cubicBezTo>
                <a:cubicBezTo>
                  <a:pt x="714" y="726"/>
                  <a:pt x="724" y="828"/>
                  <a:pt x="748" y="925"/>
                </a:cubicBezTo>
                <a:cubicBezTo>
                  <a:pt x="538" y="925"/>
                  <a:pt x="538" y="925"/>
                  <a:pt x="538" y="925"/>
                </a:cubicBezTo>
                <a:cubicBezTo>
                  <a:pt x="529" y="889"/>
                  <a:pt x="522" y="849"/>
                  <a:pt x="520" y="811"/>
                </a:cubicBezTo>
                <a:cubicBezTo>
                  <a:pt x="518" y="810"/>
                  <a:pt x="518" y="810"/>
                  <a:pt x="518" y="810"/>
                </a:cubicBezTo>
                <a:cubicBezTo>
                  <a:pt x="469" y="893"/>
                  <a:pt x="384" y="943"/>
                  <a:pt x="266" y="943"/>
                </a:cubicBezTo>
                <a:cubicBezTo>
                  <a:pt x="152" y="943"/>
                  <a:pt x="0" y="871"/>
                  <a:pt x="0" y="647"/>
                </a:cubicBezTo>
                <a:cubicBezTo>
                  <a:pt x="0" y="424"/>
                  <a:pt x="152" y="323"/>
                  <a:pt x="348" y="323"/>
                </a:cubicBezTo>
                <a:cubicBezTo>
                  <a:pt x="390" y="323"/>
                  <a:pt x="428" y="328"/>
                  <a:pt x="467" y="335"/>
                </a:cubicBezTo>
                <a:lnTo>
                  <a:pt x="476" y="337"/>
                </a:lnTo>
                <a:close/>
                <a:moveTo>
                  <a:pt x="243" y="627"/>
                </a:moveTo>
                <a:cubicBezTo>
                  <a:pt x="243" y="706"/>
                  <a:pt x="286" y="748"/>
                  <a:pt x="346" y="748"/>
                </a:cubicBezTo>
                <a:cubicBezTo>
                  <a:pt x="420" y="748"/>
                  <a:pt x="478" y="697"/>
                  <a:pt x="478" y="571"/>
                </a:cubicBezTo>
                <a:cubicBezTo>
                  <a:pt x="478" y="495"/>
                  <a:pt x="478" y="495"/>
                  <a:pt x="478" y="495"/>
                </a:cubicBezTo>
                <a:cubicBezTo>
                  <a:pt x="473" y="493"/>
                  <a:pt x="473" y="493"/>
                  <a:pt x="473" y="493"/>
                </a:cubicBezTo>
                <a:cubicBezTo>
                  <a:pt x="449" y="485"/>
                  <a:pt x="409" y="476"/>
                  <a:pt x="373" y="476"/>
                </a:cubicBezTo>
                <a:cubicBezTo>
                  <a:pt x="297" y="476"/>
                  <a:pt x="243" y="533"/>
                  <a:pt x="243" y="627"/>
                </a:cubicBezTo>
                <a:close/>
              </a:path>
            </a:pathLst>
          </a:custGeom>
          <a:solidFill>
            <a:srgbClr val="FE000C"/>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de-CH"/>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563880</xdr:colOff>
          <xdr:row>0</xdr:row>
          <xdr:rowOff>60960</xdr:rowOff>
        </xdr:from>
        <xdr:to>
          <xdr:col>2</xdr:col>
          <xdr:colOff>1851660</xdr:colOff>
          <xdr:row>0</xdr:row>
          <xdr:rowOff>274320</xdr:rowOff>
        </xdr:to>
        <xdr:sp macro="" textlink="">
          <xdr:nvSpPr>
            <xdr:cNvPr id="136193" name="Drop Down 1" hidden="1">
              <a:extLst>
                <a:ext uri="{63B3BB69-23CF-44E3-9099-C40C66FF867C}">
                  <a14:compatExt spid="_x0000_s136193"/>
                </a:ext>
                <a:ext uri="{FF2B5EF4-FFF2-40B4-BE49-F238E27FC236}">
                  <a16:creationId xmlns:a16="http://schemas.microsoft.com/office/drawing/2014/main" id="{00000000-0008-0000-0200-0000011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0</xdr:colOff>
      <xdr:row>26</xdr:row>
      <xdr:rowOff>0</xdr:rowOff>
    </xdr:from>
    <xdr:to>
      <xdr:col>3</xdr:col>
      <xdr:colOff>0</xdr:colOff>
      <xdr:row>26</xdr:row>
      <xdr:rowOff>0</xdr:rowOff>
    </xdr:to>
    <xdr:graphicFrame macro="">
      <xdr:nvGraphicFramePr>
        <xdr:cNvPr id="92123" name="Diagramm 2">
          <a:extLst>
            <a:ext uri="{FF2B5EF4-FFF2-40B4-BE49-F238E27FC236}">
              <a16:creationId xmlns:a16="http://schemas.microsoft.com/office/drawing/2014/main" id="{00000000-0008-0000-0400-0000DB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26</xdr:row>
      <xdr:rowOff>0</xdr:rowOff>
    </xdr:from>
    <xdr:to>
      <xdr:col>3</xdr:col>
      <xdr:colOff>0</xdr:colOff>
      <xdr:row>26</xdr:row>
      <xdr:rowOff>0</xdr:rowOff>
    </xdr:to>
    <xdr:graphicFrame macro="">
      <xdr:nvGraphicFramePr>
        <xdr:cNvPr id="92125" name="Diagramm 4">
          <a:extLst>
            <a:ext uri="{FF2B5EF4-FFF2-40B4-BE49-F238E27FC236}">
              <a16:creationId xmlns:a16="http://schemas.microsoft.com/office/drawing/2014/main" id="{00000000-0008-0000-0400-0000DD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42</xdr:row>
      <xdr:rowOff>0</xdr:rowOff>
    </xdr:from>
    <xdr:to>
      <xdr:col>3</xdr:col>
      <xdr:colOff>0</xdr:colOff>
      <xdr:row>42</xdr:row>
      <xdr:rowOff>0</xdr:rowOff>
    </xdr:to>
    <xdr:graphicFrame macro="">
      <xdr:nvGraphicFramePr>
        <xdr:cNvPr id="92126" name="Diagramm 5">
          <a:extLst>
            <a:ext uri="{FF2B5EF4-FFF2-40B4-BE49-F238E27FC236}">
              <a16:creationId xmlns:a16="http://schemas.microsoft.com/office/drawing/2014/main" id="{00000000-0008-0000-0400-0000DE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233</xdr:row>
      <xdr:rowOff>0</xdr:rowOff>
    </xdr:from>
    <xdr:to>
      <xdr:col>2</xdr:col>
      <xdr:colOff>0</xdr:colOff>
      <xdr:row>233</xdr:row>
      <xdr:rowOff>0</xdr:rowOff>
    </xdr:to>
    <xdr:graphicFrame macro="">
      <xdr:nvGraphicFramePr>
        <xdr:cNvPr id="92127" name="Diagramm 7">
          <a:extLst>
            <a:ext uri="{FF2B5EF4-FFF2-40B4-BE49-F238E27FC236}">
              <a16:creationId xmlns:a16="http://schemas.microsoft.com/office/drawing/2014/main" id="{00000000-0008-0000-0400-0000DF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0</xdr:colOff>
      <xdr:row>120</xdr:row>
      <xdr:rowOff>0</xdr:rowOff>
    </xdr:from>
    <xdr:to>
      <xdr:col>17</xdr:col>
      <xdr:colOff>0</xdr:colOff>
      <xdr:row>120</xdr:row>
      <xdr:rowOff>0</xdr:rowOff>
    </xdr:to>
    <xdr:graphicFrame macro="">
      <xdr:nvGraphicFramePr>
        <xdr:cNvPr id="92128" name="Diagramm 12">
          <a:extLst>
            <a:ext uri="{FF2B5EF4-FFF2-40B4-BE49-F238E27FC236}">
              <a16:creationId xmlns:a16="http://schemas.microsoft.com/office/drawing/2014/main" id="{00000000-0008-0000-0400-0000E0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233</xdr:row>
      <xdr:rowOff>0</xdr:rowOff>
    </xdr:from>
    <xdr:to>
      <xdr:col>2</xdr:col>
      <xdr:colOff>0</xdr:colOff>
      <xdr:row>233</xdr:row>
      <xdr:rowOff>0</xdr:rowOff>
    </xdr:to>
    <xdr:graphicFrame macro="">
      <xdr:nvGraphicFramePr>
        <xdr:cNvPr id="92129" name="Diagramm 28">
          <a:extLst>
            <a:ext uri="{FF2B5EF4-FFF2-40B4-BE49-F238E27FC236}">
              <a16:creationId xmlns:a16="http://schemas.microsoft.com/office/drawing/2014/main" id="{00000000-0008-0000-0400-0000E1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63</xdr:row>
      <xdr:rowOff>0</xdr:rowOff>
    </xdr:from>
    <xdr:to>
      <xdr:col>14</xdr:col>
      <xdr:colOff>0</xdr:colOff>
      <xdr:row>63</xdr:row>
      <xdr:rowOff>0</xdr:rowOff>
    </xdr:to>
    <xdr:graphicFrame macro="">
      <xdr:nvGraphicFramePr>
        <xdr:cNvPr id="92130" name="Diagramm 29">
          <a:extLst>
            <a:ext uri="{FF2B5EF4-FFF2-40B4-BE49-F238E27FC236}">
              <a16:creationId xmlns:a16="http://schemas.microsoft.com/office/drawing/2014/main" id="{00000000-0008-0000-0400-0000E2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8</xdr:col>
      <xdr:colOff>0</xdr:colOff>
      <xdr:row>185</xdr:row>
      <xdr:rowOff>66675</xdr:rowOff>
    </xdr:from>
    <xdr:to>
      <xdr:col>20</xdr:col>
      <xdr:colOff>75144</xdr:colOff>
      <xdr:row>197</xdr:row>
      <xdr:rowOff>63234</xdr:rowOff>
    </xdr:to>
    <xdr:graphicFrame macro="">
      <xdr:nvGraphicFramePr>
        <xdr:cNvPr id="92131" name="Diagramm 40">
          <a:extLst>
            <a:ext uri="{FF2B5EF4-FFF2-40B4-BE49-F238E27FC236}">
              <a16:creationId xmlns:a16="http://schemas.microsoft.com/office/drawing/2014/main" id="{00000000-0008-0000-0400-0000E3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90921</xdr:colOff>
      <xdr:row>41</xdr:row>
      <xdr:rowOff>77932</xdr:rowOff>
    </xdr:from>
    <xdr:to>
      <xdr:col>7</xdr:col>
      <xdr:colOff>595746</xdr:colOff>
      <xdr:row>47</xdr:row>
      <xdr:rowOff>43295</xdr:rowOff>
    </xdr:to>
    <xdr:graphicFrame macro="">
      <xdr:nvGraphicFramePr>
        <xdr:cNvPr id="92135" name="Diagramm 8">
          <a:extLst>
            <a:ext uri="{FF2B5EF4-FFF2-40B4-BE49-F238E27FC236}">
              <a16:creationId xmlns:a16="http://schemas.microsoft.com/office/drawing/2014/main" id="{00000000-0008-0000-0400-0000E7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233</xdr:row>
      <xdr:rowOff>0</xdr:rowOff>
    </xdr:from>
    <xdr:to>
      <xdr:col>2</xdr:col>
      <xdr:colOff>0</xdr:colOff>
      <xdr:row>233</xdr:row>
      <xdr:rowOff>0</xdr:rowOff>
    </xdr:to>
    <xdr:graphicFrame macro="">
      <xdr:nvGraphicFramePr>
        <xdr:cNvPr id="92136" name="Diagramm 66">
          <a:extLst>
            <a:ext uri="{FF2B5EF4-FFF2-40B4-BE49-F238E27FC236}">
              <a16:creationId xmlns:a16="http://schemas.microsoft.com/office/drawing/2014/main" id="{00000000-0008-0000-0400-0000E8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63</xdr:row>
      <xdr:rowOff>0</xdr:rowOff>
    </xdr:from>
    <xdr:to>
      <xdr:col>14</xdr:col>
      <xdr:colOff>0</xdr:colOff>
      <xdr:row>63</xdr:row>
      <xdr:rowOff>0</xdr:rowOff>
    </xdr:to>
    <xdr:graphicFrame macro="">
      <xdr:nvGraphicFramePr>
        <xdr:cNvPr id="92137" name="Diagramm 67">
          <a:extLst>
            <a:ext uri="{FF2B5EF4-FFF2-40B4-BE49-F238E27FC236}">
              <a16:creationId xmlns:a16="http://schemas.microsoft.com/office/drawing/2014/main" id="{00000000-0008-0000-0400-0000E9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0</xdr:colOff>
      <xdr:row>233</xdr:row>
      <xdr:rowOff>0</xdr:rowOff>
    </xdr:from>
    <xdr:to>
      <xdr:col>2</xdr:col>
      <xdr:colOff>0</xdr:colOff>
      <xdr:row>233</xdr:row>
      <xdr:rowOff>0</xdr:rowOff>
    </xdr:to>
    <xdr:graphicFrame macro="">
      <xdr:nvGraphicFramePr>
        <xdr:cNvPr id="92138" name="Diagramm 71">
          <a:extLst>
            <a:ext uri="{FF2B5EF4-FFF2-40B4-BE49-F238E27FC236}">
              <a16:creationId xmlns:a16="http://schemas.microsoft.com/office/drawing/2014/main" id="{00000000-0008-0000-0400-0000EA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63</xdr:row>
      <xdr:rowOff>0</xdr:rowOff>
    </xdr:from>
    <xdr:to>
      <xdr:col>14</xdr:col>
      <xdr:colOff>0</xdr:colOff>
      <xdr:row>63</xdr:row>
      <xdr:rowOff>0</xdr:rowOff>
    </xdr:to>
    <xdr:graphicFrame macro="">
      <xdr:nvGraphicFramePr>
        <xdr:cNvPr id="92139" name="Diagramm 72">
          <a:extLst>
            <a:ext uri="{FF2B5EF4-FFF2-40B4-BE49-F238E27FC236}">
              <a16:creationId xmlns:a16="http://schemas.microsoft.com/office/drawing/2014/main" id="{00000000-0008-0000-0400-0000EB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233</xdr:row>
      <xdr:rowOff>0</xdr:rowOff>
    </xdr:from>
    <xdr:to>
      <xdr:col>2</xdr:col>
      <xdr:colOff>0</xdr:colOff>
      <xdr:row>233</xdr:row>
      <xdr:rowOff>0</xdr:rowOff>
    </xdr:to>
    <xdr:graphicFrame macro="">
      <xdr:nvGraphicFramePr>
        <xdr:cNvPr id="92140" name="Diagramm 76">
          <a:extLst>
            <a:ext uri="{FF2B5EF4-FFF2-40B4-BE49-F238E27FC236}">
              <a16:creationId xmlns:a16="http://schemas.microsoft.com/office/drawing/2014/main" id="{00000000-0008-0000-0400-0000EC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63</xdr:row>
      <xdr:rowOff>0</xdr:rowOff>
    </xdr:from>
    <xdr:to>
      <xdr:col>14</xdr:col>
      <xdr:colOff>0</xdr:colOff>
      <xdr:row>63</xdr:row>
      <xdr:rowOff>0</xdr:rowOff>
    </xdr:to>
    <xdr:graphicFrame macro="">
      <xdr:nvGraphicFramePr>
        <xdr:cNvPr id="92141" name="Diagramm 77">
          <a:extLst>
            <a:ext uri="{FF2B5EF4-FFF2-40B4-BE49-F238E27FC236}">
              <a16:creationId xmlns:a16="http://schemas.microsoft.com/office/drawing/2014/main" id="{00000000-0008-0000-0400-0000ED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233</xdr:row>
      <xdr:rowOff>0</xdr:rowOff>
    </xdr:from>
    <xdr:to>
      <xdr:col>2</xdr:col>
      <xdr:colOff>0</xdr:colOff>
      <xdr:row>233</xdr:row>
      <xdr:rowOff>0</xdr:rowOff>
    </xdr:to>
    <xdr:graphicFrame macro="">
      <xdr:nvGraphicFramePr>
        <xdr:cNvPr id="92142" name="Diagramm 97">
          <a:extLst>
            <a:ext uri="{FF2B5EF4-FFF2-40B4-BE49-F238E27FC236}">
              <a16:creationId xmlns:a16="http://schemas.microsoft.com/office/drawing/2014/main" id="{00000000-0008-0000-0400-0000EE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63</xdr:row>
      <xdr:rowOff>0</xdr:rowOff>
    </xdr:from>
    <xdr:to>
      <xdr:col>14</xdr:col>
      <xdr:colOff>0</xdr:colOff>
      <xdr:row>63</xdr:row>
      <xdr:rowOff>0</xdr:rowOff>
    </xdr:to>
    <xdr:graphicFrame macro="">
      <xdr:nvGraphicFramePr>
        <xdr:cNvPr id="92143" name="Diagramm 98">
          <a:extLst>
            <a:ext uri="{FF2B5EF4-FFF2-40B4-BE49-F238E27FC236}">
              <a16:creationId xmlns:a16="http://schemas.microsoft.com/office/drawing/2014/main" id="{00000000-0008-0000-0400-0000EF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103909</xdr:colOff>
      <xdr:row>62</xdr:row>
      <xdr:rowOff>64462</xdr:rowOff>
    </xdr:from>
    <xdr:to>
      <xdr:col>7</xdr:col>
      <xdr:colOff>497031</xdr:colOff>
      <xdr:row>67</xdr:row>
      <xdr:rowOff>205220</xdr:rowOff>
    </xdr:to>
    <xdr:graphicFrame macro="">
      <xdr:nvGraphicFramePr>
        <xdr:cNvPr id="92144" name="Diagramm 102">
          <a:extLst>
            <a:ext uri="{FF2B5EF4-FFF2-40B4-BE49-F238E27FC236}">
              <a16:creationId xmlns:a16="http://schemas.microsoft.com/office/drawing/2014/main" id="{00000000-0008-0000-0400-0000F0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980707</xdr:colOff>
      <xdr:row>185</xdr:row>
      <xdr:rowOff>189034</xdr:rowOff>
    </xdr:from>
    <xdr:to>
      <xdr:col>12</xdr:col>
      <xdr:colOff>980707</xdr:colOff>
      <xdr:row>193</xdr:row>
      <xdr:rowOff>131884</xdr:rowOff>
    </xdr:to>
    <xdr:sp macro="" textlink="">
      <xdr:nvSpPr>
        <xdr:cNvPr id="92145" name="Line 47">
          <a:extLst>
            <a:ext uri="{FF2B5EF4-FFF2-40B4-BE49-F238E27FC236}">
              <a16:creationId xmlns:a16="http://schemas.microsoft.com/office/drawing/2014/main" id="{00000000-0008-0000-0400-0000F1670100}"/>
            </a:ext>
          </a:extLst>
        </xdr:cNvPr>
        <xdr:cNvSpPr>
          <a:spLocks noChangeShapeType="1"/>
        </xdr:cNvSpPr>
      </xdr:nvSpPr>
      <xdr:spPr bwMode="auto">
        <a:xfrm flipH="1" flipV="1">
          <a:off x="9743707" y="27716284"/>
          <a:ext cx="0" cy="1543050"/>
        </a:xfrm>
        <a:prstGeom prst="line">
          <a:avLst/>
        </a:prstGeom>
        <a:noFill/>
        <a:ln w="9525">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editAs="oneCell">
    <xdr:from>
      <xdr:col>2</xdr:col>
      <xdr:colOff>180975</xdr:colOff>
      <xdr:row>185</xdr:row>
      <xdr:rowOff>38100</xdr:rowOff>
    </xdr:from>
    <xdr:to>
      <xdr:col>7</xdr:col>
      <xdr:colOff>482427</xdr:colOff>
      <xdr:row>197</xdr:row>
      <xdr:rowOff>22754</xdr:rowOff>
    </xdr:to>
    <xdr:graphicFrame macro="">
      <xdr:nvGraphicFramePr>
        <xdr:cNvPr id="92146" name="Diagramm 108">
          <a:extLst>
            <a:ext uri="{FF2B5EF4-FFF2-40B4-BE49-F238E27FC236}">
              <a16:creationId xmlns:a16="http://schemas.microsoft.com/office/drawing/2014/main" id="{00000000-0008-0000-0400-0000F2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xdr:col>
      <xdr:colOff>33513</xdr:colOff>
      <xdr:row>185</xdr:row>
      <xdr:rowOff>173303</xdr:rowOff>
    </xdr:from>
    <xdr:to>
      <xdr:col>5</xdr:col>
      <xdr:colOff>33513</xdr:colOff>
      <xdr:row>193</xdr:row>
      <xdr:rowOff>120033</xdr:rowOff>
    </xdr:to>
    <xdr:sp macro="" textlink="">
      <xdr:nvSpPr>
        <xdr:cNvPr id="92148" name="Line 109">
          <a:extLst>
            <a:ext uri="{FF2B5EF4-FFF2-40B4-BE49-F238E27FC236}">
              <a16:creationId xmlns:a16="http://schemas.microsoft.com/office/drawing/2014/main" id="{00000000-0008-0000-0400-0000F4670100}"/>
            </a:ext>
          </a:extLst>
        </xdr:cNvPr>
        <xdr:cNvSpPr>
          <a:spLocks noChangeShapeType="1"/>
        </xdr:cNvSpPr>
      </xdr:nvSpPr>
      <xdr:spPr bwMode="auto">
        <a:xfrm flipV="1">
          <a:off x="2948163" y="27700553"/>
          <a:ext cx="0" cy="1546930"/>
        </a:xfrm>
        <a:prstGeom prst="line">
          <a:avLst/>
        </a:prstGeom>
        <a:noFill/>
        <a:ln w="9525">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7</xdr:col>
      <xdr:colOff>1726406</xdr:colOff>
      <xdr:row>41</xdr:row>
      <xdr:rowOff>71005</xdr:rowOff>
    </xdr:from>
    <xdr:to>
      <xdr:col>14</xdr:col>
      <xdr:colOff>771525</xdr:colOff>
      <xdr:row>47</xdr:row>
      <xdr:rowOff>26844</xdr:rowOff>
    </xdr:to>
    <xdr:graphicFrame macro="">
      <xdr:nvGraphicFramePr>
        <xdr:cNvPr id="92149" name="Diagramm 121">
          <a:extLst>
            <a:ext uri="{FF2B5EF4-FFF2-40B4-BE49-F238E27FC236}">
              <a16:creationId xmlns:a16="http://schemas.microsoft.com/office/drawing/2014/main" id="{00000000-0008-0000-0400-0000F5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0</xdr:row>
          <xdr:rowOff>45720</xdr:rowOff>
        </xdr:from>
        <xdr:to>
          <xdr:col>4</xdr:col>
          <xdr:colOff>678180</xdr:colOff>
          <xdr:row>0</xdr:row>
          <xdr:rowOff>266700</xdr:rowOff>
        </xdr:to>
        <xdr:sp macro="" textlink="">
          <xdr:nvSpPr>
            <xdr:cNvPr id="91304" name="Drop Down 168" hidden="1">
              <a:extLst>
                <a:ext uri="{63B3BB69-23CF-44E3-9099-C40C66FF867C}">
                  <a14:compatExt spid="_x0000_s91304"/>
                </a:ext>
                <a:ext uri="{FF2B5EF4-FFF2-40B4-BE49-F238E27FC236}">
                  <a16:creationId xmlns:a16="http://schemas.microsoft.com/office/drawing/2014/main" id="{00000000-0008-0000-0400-0000A8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922020</xdr:colOff>
          <xdr:row>0</xdr:row>
          <xdr:rowOff>22860</xdr:rowOff>
        </xdr:from>
        <xdr:to>
          <xdr:col>14</xdr:col>
          <xdr:colOff>807720</xdr:colOff>
          <xdr:row>0</xdr:row>
          <xdr:rowOff>297180</xdr:rowOff>
        </xdr:to>
        <xdr:sp macro="" textlink="">
          <xdr:nvSpPr>
            <xdr:cNvPr id="91330" name="Button 194" hidden="1">
              <a:extLst>
                <a:ext uri="{63B3BB69-23CF-44E3-9099-C40C66FF867C}">
                  <a14:compatExt spid="_x0000_s91330"/>
                </a:ext>
                <a:ext uri="{FF2B5EF4-FFF2-40B4-BE49-F238E27FC236}">
                  <a16:creationId xmlns:a16="http://schemas.microsoft.com/office/drawing/2014/main" id="{00000000-0008-0000-0400-0000C2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Alle Datenblätter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716280</xdr:colOff>
          <xdr:row>0</xdr:row>
          <xdr:rowOff>45720</xdr:rowOff>
        </xdr:from>
        <xdr:to>
          <xdr:col>5</xdr:col>
          <xdr:colOff>76200</xdr:colOff>
          <xdr:row>0</xdr:row>
          <xdr:rowOff>259080</xdr:rowOff>
        </xdr:to>
        <xdr:sp macro="" textlink="">
          <xdr:nvSpPr>
            <xdr:cNvPr id="91437" name="Spinner 301" hidden="1">
              <a:extLst>
                <a:ext uri="{63B3BB69-23CF-44E3-9099-C40C66FF867C}">
                  <a14:compatExt spid="_x0000_s91437"/>
                </a:ext>
                <a:ext uri="{FF2B5EF4-FFF2-40B4-BE49-F238E27FC236}">
                  <a16:creationId xmlns:a16="http://schemas.microsoft.com/office/drawing/2014/main" id="{00000000-0008-0000-0400-00002D65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0</xdr:colOff>
      <xdr:row>26</xdr:row>
      <xdr:rowOff>0</xdr:rowOff>
    </xdr:from>
    <xdr:to>
      <xdr:col>3</xdr:col>
      <xdr:colOff>0</xdr:colOff>
      <xdr:row>26</xdr:row>
      <xdr:rowOff>0</xdr:rowOff>
    </xdr:to>
    <xdr:graphicFrame macro="">
      <xdr:nvGraphicFramePr>
        <xdr:cNvPr id="2" name="Diagramm 2">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26</xdr:row>
      <xdr:rowOff>0</xdr:rowOff>
    </xdr:from>
    <xdr:to>
      <xdr:col>3</xdr:col>
      <xdr:colOff>0</xdr:colOff>
      <xdr:row>26</xdr:row>
      <xdr:rowOff>0</xdr:rowOff>
    </xdr:to>
    <xdr:graphicFrame macro="">
      <xdr:nvGraphicFramePr>
        <xdr:cNvPr id="3" name="Diagramm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42</xdr:row>
      <xdr:rowOff>0</xdr:rowOff>
    </xdr:from>
    <xdr:to>
      <xdr:col>3</xdr:col>
      <xdr:colOff>0</xdr:colOff>
      <xdr:row>42</xdr:row>
      <xdr:rowOff>0</xdr:rowOff>
    </xdr:to>
    <xdr:graphicFrame macro="">
      <xdr:nvGraphicFramePr>
        <xdr:cNvPr id="4" name="Diagramm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233</xdr:row>
      <xdr:rowOff>0</xdr:rowOff>
    </xdr:from>
    <xdr:to>
      <xdr:col>2</xdr:col>
      <xdr:colOff>0</xdr:colOff>
      <xdr:row>233</xdr:row>
      <xdr:rowOff>0</xdr:rowOff>
    </xdr:to>
    <xdr:graphicFrame macro="">
      <xdr:nvGraphicFramePr>
        <xdr:cNvPr id="5" name="Diagramm 7">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0</xdr:colOff>
      <xdr:row>120</xdr:row>
      <xdr:rowOff>0</xdr:rowOff>
    </xdr:from>
    <xdr:to>
      <xdr:col>17</xdr:col>
      <xdr:colOff>0</xdr:colOff>
      <xdr:row>120</xdr:row>
      <xdr:rowOff>0</xdr:rowOff>
    </xdr:to>
    <xdr:graphicFrame macro="">
      <xdr:nvGraphicFramePr>
        <xdr:cNvPr id="6" name="Diagramm 12">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233</xdr:row>
      <xdr:rowOff>0</xdr:rowOff>
    </xdr:from>
    <xdr:to>
      <xdr:col>2</xdr:col>
      <xdr:colOff>0</xdr:colOff>
      <xdr:row>233</xdr:row>
      <xdr:rowOff>0</xdr:rowOff>
    </xdr:to>
    <xdr:graphicFrame macro="">
      <xdr:nvGraphicFramePr>
        <xdr:cNvPr id="7" name="Diagramm 28">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63</xdr:row>
      <xdr:rowOff>0</xdr:rowOff>
    </xdr:from>
    <xdr:to>
      <xdr:col>14</xdr:col>
      <xdr:colOff>0</xdr:colOff>
      <xdr:row>63</xdr:row>
      <xdr:rowOff>0</xdr:rowOff>
    </xdr:to>
    <xdr:graphicFrame macro="">
      <xdr:nvGraphicFramePr>
        <xdr:cNvPr id="8" name="Diagramm 29">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8</xdr:col>
      <xdr:colOff>0</xdr:colOff>
      <xdr:row>185</xdr:row>
      <xdr:rowOff>66675</xdr:rowOff>
    </xdr:from>
    <xdr:to>
      <xdr:col>22</xdr:col>
      <xdr:colOff>144994</xdr:colOff>
      <xdr:row>197</xdr:row>
      <xdr:rowOff>63234</xdr:rowOff>
    </xdr:to>
    <xdr:graphicFrame macro="">
      <xdr:nvGraphicFramePr>
        <xdr:cNvPr id="9" name="Diagramm 40">
          <a:extLst>
            <a:ext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90921</xdr:colOff>
      <xdr:row>41</xdr:row>
      <xdr:rowOff>77932</xdr:rowOff>
    </xdr:from>
    <xdr:to>
      <xdr:col>7</xdr:col>
      <xdr:colOff>595746</xdr:colOff>
      <xdr:row>47</xdr:row>
      <xdr:rowOff>43295</xdr:rowOff>
    </xdr:to>
    <xdr:graphicFrame macro="">
      <xdr:nvGraphicFramePr>
        <xdr:cNvPr id="10" name="Diagramm 8">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233</xdr:row>
      <xdr:rowOff>0</xdr:rowOff>
    </xdr:from>
    <xdr:to>
      <xdr:col>2</xdr:col>
      <xdr:colOff>0</xdr:colOff>
      <xdr:row>233</xdr:row>
      <xdr:rowOff>0</xdr:rowOff>
    </xdr:to>
    <xdr:graphicFrame macro="">
      <xdr:nvGraphicFramePr>
        <xdr:cNvPr id="11" name="Diagramm 66">
          <a:extLst>
            <a:ext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63</xdr:row>
      <xdr:rowOff>0</xdr:rowOff>
    </xdr:from>
    <xdr:to>
      <xdr:col>14</xdr:col>
      <xdr:colOff>0</xdr:colOff>
      <xdr:row>63</xdr:row>
      <xdr:rowOff>0</xdr:rowOff>
    </xdr:to>
    <xdr:graphicFrame macro="">
      <xdr:nvGraphicFramePr>
        <xdr:cNvPr id="12" name="Diagramm 67">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0</xdr:colOff>
      <xdr:row>233</xdr:row>
      <xdr:rowOff>0</xdr:rowOff>
    </xdr:from>
    <xdr:to>
      <xdr:col>2</xdr:col>
      <xdr:colOff>0</xdr:colOff>
      <xdr:row>233</xdr:row>
      <xdr:rowOff>0</xdr:rowOff>
    </xdr:to>
    <xdr:graphicFrame macro="">
      <xdr:nvGraphicFramePr>
        <xdr:cNvPr id="13" name="Diagramm 71">
          <a:extLst>
            <a:ext uri="{FF2B5EF4-FFF2-40B4-BE49-F238E27FC236}">
              <a16:creationId xmlns:a16="http://schemas.microsoft.com/office/drawing/2014/main" id="{00000000-0008-0000-05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63</xdr:row>
      <xdr:rowOff>0</xdr:rowOff>
    </xdr:from>
    <xdr:to>
      <xdr:col>14</xdr:col>
      <xdr:colOff>0</xdr:colOff>
      <xdr:row>63</xdr:row>
      <xdr:rowOff>0</xdr:rowOff>
    </xdr:to>
    <xdr:graphicFrame macro="">
      <xdr:nvGraphicFramePr>
        <xdr:cNvPr id="14" name="Diagramm 72">
          <a:extLst>
            <a:ext uri="{FF2B5EF4-FFF2-40B4-BE49-F238E27FC236}">
              <a16:creationId xmlns:a16="http://schemas.microsoft.com/office/drawing/2014/main" id="{00000000-0008-0000-0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233</xdr:row>
      <xdr:rowOff>0</xdr:rowOff>
    </xdr:from>
    <xdr:to>
      <xdr:col>2</xdr:col>
      <xdr:colOff>0</xdr:colOff>
      <xdr:row>233</xdr:row>
      <xdr:rowOff>0</xdr:rowOff>
    </xdr:to>
    <xdr:graphicFrame macro="">
      <xdr:nvGraphicFramePr>
        <xdr:cNvPr id="15" name="Diagramm 76">
          <a:extLst>
            <a:ext uri="{FF2B5EF4-FFF2-40B4-BE49-F238E27FC236}">
              <a16:creationId xmlns:a16="http://schemas.microsoft.com/office/drawing/2014/main" id="{00000000-0008-0000-05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63</xdr:row>
      <xdr:rowOff>0</xdr:rowOff>
    </xdr:from>
    <xdr:to>
      <xdr:col>14</xdr:col>
      <xdr:colOff>0</xdr:colOff>
      <xdr:row>63</xdr:row>
      <xdr:rowOff>0</xdr:rowOff>
    </xdr:to>
    <xdr:graphicFrame macro="">
      <xdr:nvGraphicFramePr>
        <xdr:cNvPr id="16" name="Diagramm 77">
          <a:extLst>
            <a:ext uri="{FF2B5EF4-FFF2-40B4-BE49-F238E27FC236}">
              <a16:creationId xmlns:a16="http://schemas.microsoft.com/office/drawing/2014/main" id="{00000000-0008-0000-05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233</xdr:row>
      <xdr:rowOff>0</xdr:rowOff>
    </xdr:from>
    <xdr:to>
      <xdr:col>2</xdr:col>
      <xdr:colOff>0</xdr:colOff>
      <xdr:row>233</xdr:row>
      <xdr:rowOff>0</xdr:rowOff>
    </xdr:to>
    <xdr:graphicFrame macro="">
      <xdr:nvGraphicFramePr>
        <xdr:cNvPr id="17" name="Diagramm 97">
          <a:extLst>
            <a:ext uri="{FF2B5EF4-FFF2-40B4-BE49-F238E27FC236}">
              <a16:creationId xmlns:a16="http://schemas.microsoft.com/office/drawing/2014/main" id="{00000000-0008-0000-05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63</xdr:row>
      <xdr:rowOff>0</xdr:rowOff>
    </xdr:from>
    <xdr:to>
      <xdr:col>14</xdr:col>
      <xdr:colOff>0</xdr:colOff>
      <xdr:row>63</xdr:row>
      <xdr:rowOff>0</xdr:rowOff>
    </xdr:to>
    <xdr:graphicFrame macro="">
      <xdr:nvGraphicFramePr>
        <xdr:cNvPr id="18" name="Diagramm 98">
          <a:extLst>
            <a:ext uri="{FF2B5EF4-FFF2-40B4-BE49-F238E27FC236}">
              <a16:creationId xmlns:a16="http://schemas.microsoft.com/office/drawing/2014/main" id="{00000000-0008-0000-05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103909</xdr:colOff>
      <xdr:row>62</xdr:row>
      <xdr:rowOff>64462</xdr:rowOff>
    </xdr:from>
    <xdr:to>
      <xdr:col>7</xdr:col>
      <xdr:colOff>497031</xdr:colOff>
      <xdr:row>67</xdr:row>
      <xdr:rowOff>205220</xdr:rowOff>
    </xdr:to>
    <xdr:graphicFrame macro="">
      <xdr:nvGraphicFramePr>
        <xdr:cNvPr id="19" name="Diagramm 102">
          <a:extLst>
            <a:ext uri="{FF2B5EF4-FFF2-40B4-BE49-F238E27FC236}">
              <a16:creationId xmlns:a16="http://schemas.microsoft.com/office/drawing/2014/main" id="{00000000-0008-0000-05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837832</xdr:colOff>
      <xdr:row>185</xdr:row>
      <xdr:rowOff>189034</xdr:rowOff>
    </xdr:from>
    <xdr:to>
      <xdr:col>12</xdr:col>
      <xdr:colOff>837832</xdr:colOff>
      <xdr:row>193</xdr:row>
      <xdr:rowOff>131884</xdr:rowOff>
    </xdr:to>
    <xdr:sp macro="" textlink="">
      <xdr:nvSpPr>
        <xdr:cNvPr id="20" name="Line 47">
          <a:extLst>
            <a:ext uri="{FF2B5EF4-FFF2-40B4-BE49-F238E27FC236}">
              <a16:creationId xmlns:a16="http://schemas.microsoft.com/office/drawing/2014/main" id="{00000000-0008-0000-0500-000014000000}"/>
            </a:ext>
          </a:extLst>
        </xdr:cNvPr>
        <xdr:cNvSpPr>
          <a:spLocks noChangeShapeType="1"/>
        </xdr:cNvSpPr>
      </xdr:nvSpPr>
      <xdr:spPr bwMode="auto">
        <a:xfrm flipH="1" flipV="1">
          <a:off x="9600832" y="27716284"/>
          <a:ext cx="0" cy="1543050"/>
        </a:xfrm>
        <a:prstGeom prst="line">
          <a:avLst/>
        </a:prstGeom>
        <a:noFill/>
        <a:ln w="9525">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editAs="oneCell">
    <xdr:from>
      <xdr:col>2</xdr:col>
      <xdr:colOff>180975</xdr:colOff>
      <xdr:row>185</xdr:row>
      <xdr:rowOff>38100</xdr:rowOff>
    </xdr:from>
    <xdr:to>
      <xdr:col>7</xdr:col>
      <xdr:colOff>482427</xdr:colOff>
      <xdr:row>197</xdr:row>
      <xdr:rowOff>22754</xdr:rowOff>
    </xdr:to>
    <xdr:graphicFrame macro="">
      <xdr:nvGraphicFramePr>
        <xdr:cNvPr id="21" name="Diagramm 108">
          <a:extLst>
            <a:ext uri="{FF2B5EF4-FFF2-40B4-BE49-F238E27FC236}">
              <a16:creationId xmlns:a16="http://schemas.microsoft.com/office/drawing/2014/main" id="{00000000-0008-0000-05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xdr:col>
      <xdr:colOff>119238</xdr:colOff>
      <xdr:row>185</xdr:row>
      <xdr:rowOff>173303</xdr:rowOff>
    </xdr:from>
    <xdr:to>
      <xdr:col>5</xdr:col>
      <xdr:colOff>119238</xdr:colOff>
      <xdr:row>193</xdr:row>
      <xdr:rowOff>120033</xdr:rowOff>
    </xdr:to>
    <xdr:sp macro="" textlink="">
      <xdr:nvSpPr>
        <xdr:cNvPr id="22" name="Line 109">
          <a:extLst>
            <a:ext uri="{FF2B5EF4-FFF2-40B4-BE49-F238E27FC236}">
              <a16:creationId xmlns:a16="http://schemas.microsoft.com/office/drawing/2014/main" id="{00000000-0008-0000-0500-000016000000}"/>
            </a:ext>
          </a:extLst>
        </xdr:cNvPr>
        <xdr:cNvSpPr>
          <a:spLocks noChangeShapeType="1"/>
        </xdr:cNvSpPr>
      </xdr:nvSpPr>
      <xdr:spPr bwMode="auto">
        <a:xfrm flipV="1">
          <a:off x="3033888" y="27700553"/>
          <a:ext cx="0" cy="1546930"/>
        </a:xfrm>
        <a:prstGeom prst="line">
          <a:avLst/>
        </a:prstGeom>
        <a:noFill/>
        <a:ln w="9525">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7</xdr:col>
      <xdr:colOff>1726406</xdr:colOff>
      <xdr:row>41</xdr:row>
      <xdr:rowOff>71005</xdr:rowOff>
    </xdr:from>
    <xdr:to>
      <xdr:col>14</xdr:col>
      <xdr:colOff>771525</xdr:colOff>
      <xdr:row>47</xdr:row>
      <xdr:rowOff>26844</xdr:rowOff>
    </xdr:to>
    <xdr:graphicFrame macro="">
      <xdr:nvGraphicFramePr>
        <xdr:cNvPr id="23" name="Diagramm 121">
          <a:extLst>
            <a:ext uri="{FF2B5EF4-FFF2-40B4-BE49-F238E27FC236}">
              <a16:creationId xmlns:a16="http://schemas.microsoft.com/office/drawing/2014/main" id="{00000000-0008-0000-05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0</xdr:row>
          <xdr:rowOff>45720</xdr:rowOff>
        </xdr:from>
        <xdr:to>
          <xdr:col>4</xdr:col>
          <xdr:colOff>678180</xdr:colOff>
          <xdr:row>0</xdr:row>
          <xdr:rowOff>266700</xdr:rowOff>
        </xdr:to>
        <xdr:sp macro="" textlink="">
          <xdr:nvSpPr>
            <xdr:cNvPr id="126977" name="Drop Down 1" hidden="1">
              <a:extLst>
                <a:ext uri="{63B3BB69-23CF-44E3-9099-C40C66FF867C}">
                  <a14:compatExt spid="_x0000_s126977"/>
                </a:ext>
                <a:ext uri="{FF2B5EF4-FFF2-40B4-BE49-F238E27FC236}">
                  <a16:creationId xmlns:a16="http://schemas.microsoft.com/office/drawing/2014/main" id="{00000000-0008-0000-0500-000001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0</xdr:row>
          <xdr:rowOff>30480</xdr:rowOff>
        </xdr:from>
        <xdr:to>
          <xdr:col>22</xdr:col>
          <xdr:colOff>251460</xdr:colOff>
          <xdr:row>1</xdr:row>
          <xdr:rowOff>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500-000002F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Alle Datenblätter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716280</xdr:colOff>
          <xdr:row>0</xdr:row>
          <xdr:rowOff>45720</xdr:rowOff>
        </xdr:from>
        <xdr:to>
          <xdr:col>5</xdr:col>
          <xdr:colOff>76200</xdr:colOff>
          <xdr:row>0</xdr:row>
          <xdr:rowOff>259080</xdr:rowOff>
        </xdr:to>
        <xdr:sp macro="" textlink="">
          <xdr:nvSpPr>
            <xdr:cNvPr id="126979" name="Spinner 3" hidden="1">
              <a:extLst>
                <a:ext uri="{63B3BB69-23CF-44E3-9099-C40C66FF867C}">
                  <a14:compatExt spid="_x0000_s126979"/>
                </a:ext>
                <a:ext uri="{FF2B5EF4-FFF2-40B4-BE49-F238E27FC236}">
                  <a16:creationId xmlns:a16="http://schemas.microsoft.com/office/drawing/2014/main" id="{00000000-0008-0000-0500-000003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27</xdr:col>
      <xdr:colOff>258535</xdr:colOff>
      <xdr:row>3</xdr:row>
      <xdr:rowOff>13605</xdr:rowOff>
    </xdr:from>
    <xdr:to>
      <xdr:col>44</xdr:col>
      <xdr:colOff>639537</xdr:colOff>
      <xdr:row>25</xdr:row>
      <xdr:rowOff>13606</xdr:rowOff>
    </xdr:to>
    <xdr:graphicFrame macro="">
      <xdr:nvGraphicFramePr>
        <xdr:cNvPr id="2" name="Diagramm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285750</xdr:colOff>
      <xdr:row>25</xdr:row>
      <xdr:rowOff>40823</xdr:rowOff>
    </xdr:from>
    <xdr:to>
      <xdr:col>44</xdr:col>
      <xdr:colOff>653144</xdr:colOff>
      <xdr:row>52</xdr:row>
      <xdr:rowOff>27214</xdr:rowOff>
    </xdr:to>
    <xdr:graphicFrame macro="">
      <xdr:nvGraphicFramePr>
        <xdr:cNvPr id="4" name="Diagramm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47625</xdr:colOff>
      <xdr:row>5</xdr:row>
      <xdr:rowOff>19050</xdr:rowOff>
    </xdr:from>
    <xdr:to>
      <xdr:col>6</xdr:col>
      <xdr:colOff>438150</xdr:colOff>
      <xdr:row>13</xdr:row>
      <xdr:rowOff>57150</xdr:rowOff>
    </xdr:to>
    <xdr:graphicFrame macro="">
      <xdr:nvGraphicFramePr>
        <xdr:cNvPr id="2" name="Diagramm 8">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5</xdr:row>
      <xdr:rowOff>0</xdr:rowOff>
    </xdr:from>
    <xdr:to>
      <xdr:col>11</xdr:col>
      <xdr:colOff>704850</xdr:colOff>
      <xdr:row>13</xdr:row>
      <xdr:rowOff>38100</xdr:rowOff>
    </xdr:to>
    <xdr:graphicFrame macro="">
      <xdr:nvGraphicFramePr>
        <xdr:cNvPr id="3" name="Diagramm 8">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5</xdr:row>
      <xdr:rowOff>0</xdr:rowOff>
    </xdr:from>
    <xdr:to>
      <xdr:col>24</xdr:col>
      <xdr:colOff>390525</xdr:colOff>
      <xdr:row>13</xdr:row>
      <xdr:rowOff>38100</xdr:rowOff>
    </xdr:to>
    <xdr:graphicFrame macro="">
      <xdr:nvGraphicFramePr>
        <xdr:cNvPr id="4" name="Diagramm 8">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15</xdr:row>
      <xdr:rowOff>0</xdr:rowOff>
    </xdr:from>
    <xdr:to>
      <xdr:col>6</xdr:col>
      <xdr:colOff>390525</xdr:colOff>
      <xdr:row>23</xdr:row>
      <xdr:rowOff>38100</xdr:rowOff>
    </xdr:to>
    <xdr:graphicFrame macro="">
      <xdr:nvGraphicFramePr>
        <xdr:cNvPr id="5" name="Diagramm 8">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24</xdr:row>
      <xdr:rowOff>0</xdr:rowOff>
    </xdr:from>
    <xdr:to>
      <xdr:col>6</xdr:col>
      <xdr:colOff>390525</xdr:colOff>
      <xdr:row>32</xdr:row>
      <xdr:rowOff>38100</xdr:rowOff>
    </xdr:to>
    <xdr:graphicFrame macro="">
      <xdr:nvGraphicFramePr>
        <xdr:cNvPr id="6" name="Diagramm 8">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5</xdr:row>
      <xdr:rowOff>0</xdr:rowOff>
    </xdr:from>
    <xdr:to>
      <xdr:col>18</xdr:col>
      <xdr:colOff>390525</xdr:colOff>
      <xdr:row>13</xdr:row>
      <xdr:rowOff>38100</xdr:rowOff>
    </xdr:to>
    <xdr:graphicFrame macro="">
      <xdr:nvGraphicFramePr>
        <xdr:cNvPr id="7" name="Diagramm 8">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704850</xdr:colOff>
      <xdr:row>23</xdr:row>
      <xdr:rowOff>38100</xdr:rowOff>
    </xdr:to>
    <xdr:graphicFrame macro="">
      <xdr:nvGraphicFramePr>
        <xdr:cNvPr id="8" name="Diagramm 8">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24</xdr:row>
      <xdr:rowOff>0</xdr:rowOff>
    </xdr:from>
    <xdr:to>
      <xdr:col>11</xdr:col>
      <xdr:colOff>704850</xdr:colOff>
      <xdr:row>32</xdr:row>
      <xdr:rowOff>38100</xdr:rowOff>
    </xdr:to>
    <xdr:graphicFrame macro="">
      <xdr:nvGraphicFramePr>
        <xdr:cNvPr id="9" name="Diagramm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68580</xdr:colOff>
          <xdr:row>0</xdr:row>
          <xdr:rowOff>0</xdr:rowOff>
        </xdr:from>
        <xdr:to>
          <xdr:col>4</xdr:col>
          <xdr:colOff>716280</xdr:colOff>
          <xdr:row>1</xdr:row>
          <xdr:rowOff>0</xdr:rowOff>
        </xdr:to>
        <xdr:sp macro="" textlink="">
          <xdr:nvSpPr>
            <xdr:cNvPr id="96263" name="Drop Down 7" hidden="1">
              <a:extLst>
                <a:ext uri="{63B3BB69-23CF-44E3-9099-C40C66FF867C}">
                  <a14:compatExt spid="_x0000_s96263"/>
                </a:ext>
                <a:ext uri="{FF2B5EF4-FFF2-40B4-BE49-F238E27FC236}">
                  <a16:creationId xmlns:a16="http://schemas.microsoft.com/office/drawing/2014/main" id="{00000000-0008-0000-0B00-000007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716280</xdr:colOff>
          <xdr:row>0</xdr:row>
          <xdr:rowOff>22860</xdr:rowOff>
        </xdr:from>
        <xdr:to>
          <xdr:col>0</xdr:col>
          <xdr:colOff>716280</xdr:colOff>
          <xdr:row>1</xdr:row>
          <xdr:rowOff>0</xdr:rowOff>
        </xdr:to>
        <xdr:sp macro="" textlink="">
          <xdr:nvSpPr>
            <xdr:cNvPr id="96265" name="Spinner 9" hidden="1">
              <a:extLst>
                <a:ext uri="{63B3BB69-23CF-44E3-9099-C40C66FF867C}">
                  <a14:compatExt spid="_x0000_s96265"/>
                </a:ext>
                <a:ext uri="{FF2B5EF4-FFF2-40B4-BE49-F238E27FC236}">
                  <a16:creationId xmlns:a16="http://schemas.microsoft.com/office/drawing/2014/main" id="{00000000-0008-0000-0B00-00000978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s.adm.ds.fhnw.ch\data\Daten\10000_Intern\17000_Interne%20Weiterentwicklung\17400_Produktestandardisierung\04_Wettbewerbsbegleitung\02_Informationsunterlagen\ArealWest_kwe_Grimselstrasse_V9_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s.adm.ds.fhnw.ch\data\Dokumente%20und%20Einstellungen\kwe\Lokale%20Einstellungen\Temporary%20Internet%20Files\OLK7B\Girotondo_tool2040_10042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s.adm.ds.fhnw.ch\data\DOCUME~1\Haenger\LOCALS~1\Temp\Energieverbrauch_SIA_unversiegelt_mittelwerte-3.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fs.adm.ds.fhnw.ch\data\Daten\20000_Projekte\20729_WB-Tools\07_Berechnungen\WB-Beurteilungss-Tool\Kopie%20von%20Vorlage_Kalkulation_Mattenbachstrasse.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Srv01\Lemon\aaLemon\20000_Projekte\20202_Riyadh_Ministry\20202_07_Berechnungen\etool_lk_v2.04_&amp;_CSTB.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R:\20121_sia_harmonisierung\entech.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Srv01\Lemon\Dokumente%20und%20Einstellungen\Me\Lokale%20Einstellungen\Temp\Tempor&#228;res%20Verzeichnis%202%20f&#252;r%20LeistungsSpitzen.zip\gruppen.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fs.adm.ds.fhnw.ch\data\Dokumente%20und%20Einstellungen\Me\Lokale%20Einstellungen\Temp\Tempor&#228;res%20Verzeichnis%202%20f&#252;r%20LeistungsSpitzen.zip\gruppen.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fs.adm.ds.fhnw.ch\data\aaLemon\50000_Multiprojekte\50038_380_4_W&#228;rme\CSTBx380_4\CSTBx380_4_05_10_15.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fs.adm.ds.fhnw.ch\data\Daten\20000_Projekte\20596_SIA_2024_Update\07_Berechnungen\Excel_Tool\Raumnutzung\SIA2024_Modul-Raum_2012-05-21.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fs.adm.ds.fhnw.ch\data\aaLemon_Offline\20000_Projekte\20451_2000W_BFE\07_Berechnungen\Tool_Intep\4060_12_10916_Arealbewertungstool_V10_ungesch&#252;tzt_Richtwerte_mme.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fs.adm.ds.fhnw.ch\data\Daten\20000_Projekte\20729_WB-Tools\07_Berechnungen\WB-Beurteilungss-Tool\MME_Projektkennwerte_SIA_416.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ngabe"/>
      <sheetName val="Ausgabe"/>
      <sheetName val="E-Daten"/>
      <sheetName val="Beurteilung"/>
      <sheetName val="Vergleich"/>
      <sheetName val="380-1 Heizwärme"/>
      <sheetName val="2040 Erstellung"/>
      <sheetName val="2040 Betrieb"/>
      <sheetName val="2040 Mobilität"/>
      <sheetName val="Auswertung"/>
    </sheetNames>
    <sheetDataSet>
      <sheetData sheetId="0">
        <row r="2">
          <cell r="A2" t="str">
            <v>Grimselstrasse</v>
          </cell>
          <cell r="B2" t="str">
            <v>Baukontor / Bukephalos</v>
          </cell>
        </row>
      </sheetData>
      <sheetData sheetId="1"/>
      <sheetData sheetId="2">
        <row r="15">
          <cell r="I15">
            <v>0</v>
          </cell>
        </row>
        <row r="20">
          <cell r="N20">
            <v>0.47599999999999998</v>
          </cell>
        </row>
        <row r="21">
          <cell r="N21">
            <v>0.67899999999999994</v>
          </cell>
        </row>
        <row r="22">
          <cell r="N22">
            <v>0.56699999999999995</v>
          </cell>
        </row>
        <row r="23">
          <cell r="N23">
            <v>0.56699999999999995</v>
          </cell>
        </row>
        <row r="39">
          <cell r="I39">
            <v>40265</v>
          </cell>
        </row>
      </sheetData>
      <sheetData sheetId="3">
        <row r="8">
          <cell r="H8">
            <v>8.3249999999999993</v>
          </cell>
          <cell r="J8">
            <v>2</v>
          </cell>
          <cell r="K8">
            <v>0</v>
          </cell>
        </row>
        <row r="9">
          <cell r="H9">
            <v>8.3249999999999993</v>
          </cell>
          <cell r="J9">
            <v>2</v>
          </cell>
          <cell r="K9">
            <v>0</v>
          </cell>
        </row>
        <row r="11">
          <cell r="G11" t="str">
            <v>Nachhaltigkeit</v>
          </cell>
        </row>
        <row r="12">
          <cell r="H12">
            <v>0</v>
          </cell>
          <cell r="J12">
            <v>2</v>
          </cell>
        </row>
        <row r="13">
          <cell r="H13">
            <v>4.1624999999999996</v>
          </cell>
          <cell r="J13">
            <v>2</v>
          </cell>
          <cell r="K13">
            <v>0</v>
          </cell>
        </row>
        <row r="14">
          <cell r="H14">
            <v>4.1624999999999996</v>
          </cell>
          <cell r="J14">
            <v>2</v>
          </cell>
          <cell r="K14">
            <v>0</v>
          </cell>
        </row>
        <row r="15">
          <cell r="H15">
            <v>4.1624999999999996</v>
          </cell>
          <cell r="J15">
            <v>2</v>
          </cell>
          <cell r="K15">
            <v>0</v>
          </cell>
        </row>
        <row r="16">
          <cell r="H16">
            <v>4.1624999999999996</v>
          </cell>
          <cell r="J16">
            <v>2</v>
          </cell>
          <cell r="K16">
            <v>1</v>
          </cell>
        </row>
        <row r="19">
          <cell r="G19" t="str">
            <v>Qualität Gebäudekörper / Fassaden</v>
          </cell>
        </row>
        <row r="20">
          <cell r="H20">
            <v>0.92499999999999982</v>
          </cell>
          <cell r="J20">
            <v>2</v>
          </cell>
          <cell r="K20">
            <v>1</v>
          </cell>
        </row>
        <row r="21">
          <cell r="H21">
            <v>0</v>
          </cell>
          <cell r="J21">
            <v>2</v>
          </cell>
        </row>
        <row r="22">
          <cell r="H22">
            <v>0</v>
          </cell>
          <cell r="J22">
            <v>2</v>
          </cell>
        </row>
        <row r="23">
          <cell r="H23">
            <v>0</v>
          </cell>
          <cell r="J23">
            <v>2</v>
          </cell>
        </row>
        <row r="24">
          <cell r="H24">
            <v>0.92499999999999982</v>
          </cell>
          <cell r="J24">
            <v>3</v>
          </cell>
          <cell r="K24">
            <v>0</v>
          </cell>
        </row>
        <row r="25">
          <cell r="H25">
            <v>0.92499999999999982</v>
          </cell>
          <cell r="J25">
            <v>2</v>
          </cell>
          <cell r="K25">
            <v>0</v>
          </cell>
        </row>
        <row r="26">
          <cell r="H26">
            <v>0.92499999999999982</v>
          </cell>
          <cell r="J26">
            <v>2</v>
          </cell>
          <cell r="K26">
            <v>1</v>
          </cell>
        </row>
        <row r="27">
          <cell r="H27">
            <v>0.92499999999999982</v>
          </cell>
          <cell r="J27">
            <v>2</v>
          </cell>
          <cell r="K27">
            <v>2</v>
          </cell>
        </row>
        <row r="30">
          <cell r="G30" t="str">
            <v>Qualität der Nutzung</v>
          </cell>
        </row>
        <row r="31">
          <cell r="H31">
            <v>0.92499999999999982</v>
          </cell>
          <cell r="J31">
            <v>2</v>
          </cell>
          <cell r="K31">
            <v>2</v>
          </cell>
        </row>
        <row r="32">
          <cell r="H32">
            <v>0.92499999999999982</v>
          </cell>
          <cell r="J32">
            <v>2</v>
          </cell>
          <cell r="K32">
            <v>2</v>
          </cell>
        </row>
        <row r="33">
          <cell r="H33">
            <v>0</v>
          </cell>
          <cell r="J33">
            <v>2</v>
          </cell>
          <cell r="K33">
            <v>2</v>
          </cell>
        </row>
        <row r="34">
          <cell r="H34">
            <v>0</v>
          </cell>
          <cell r="J34">
            <v>2</v>
          </cell>
          <cell r="K34">
            <v>2</v>
          </cell>
        </row>
        <row r="35">
          <cell r="H35">
            <v>0.92499999999999982</v>
          </cell>
          <cell r="J35">
            <v>2</v>
          </cell>
          <cell r="K35">
            <v>2</v>
          </cell>
        </row>
        <row r="36">
          <cell r="H36">
            <v>0.92499999999999982</v>
          </cell>
          <cell r="J36">
            <v>3</v>
          </cell>
          <cell r="K36">
            <v>0</v>
          </cell>
        </row>
        <row r="37">
          <cell r="H37">
            <v>0.92499999999999982</v>
          </cell>
          <cell r="J37">
            <v>4</v>
          </cell>
          <cell r="K37">
            <v>0</v>
          </cell>
        </row>
        <row r="38">
          <cell r="H38">
            <v>0</v>
          </cell>
          <cell r="J38">
            <v>2</v>
          </cell>
        </row>
        <row r="40">
          <cell r="G40" t="str">
            <v>Qualität Energie- und Technikkonzept</v>
          </cell>
        </row>
        <row r="41">
          <cell r="H41">
            <v>0.92499999999999982</v>
          </cell>
          <cell r="J41">
            <v>2</v>
          </cell>
          <cell r="K41">
            <v>1</v>
          </cell>
        </row>
        <row r="42">
          <cell r="H42">
            <v>0.92499999999999982</v>
          </cell>
          <cell r="J42">
            <v>2</v>
          </cell>
          <cell r="K42">
            <v>0</v>
          </cell>
        </row>
        <row r="43">
          <cell r="H43">
            <v>0</v>
          </cell>
          <cell r="J43">
            <v>2</v>
          </cell>
          <cell r="K43">
            <v>1</v>
          </cell>
        </row>
        <row r="44">
          <cell r="H44">
            <v>0.92499999999999982</v>
          </cell>
          <cell r="J44">
            <v>2</v>
          </cell>
          <cell r="K44">
            <v>1</v>
          </cell>
        </row>
        <row r="45">
          <cell r="H45">
            <v>0.92499999999999982</v>
          </cell>
          <cell r="J45">
            <v>2</v>
          </cell>
          <cell r="K45">
            <v>1</v>
          </cell>
        </row>
        <row r="46">
          <cell r="H46">
            <v>0.92499999999999982</v>
          </cell>
          <cell r="J46">
            <v>2</v>
          </cell>
          <cell r="K46">
            <v>1</v>
          </cell>
        </row>
        <row r="47">
          <cell r="H47">
            <v>0</v>
          </cell>
          <cell r="J47">
            <v>2</v>
          </cell>
          <cell r="K47">
            <v>1</v>
          </cell>
        </row>
        <row r="48">
          <cell r="H48">
            <v>0.92499999999999982</v>
          </cell>
          <cell r="J48">
            <v>2</v>
          </cell>
          <cell r="K48">
            <v>0</v>
          </cell>
        </row>
        <row r="49">
          <cell r="H49">
            <v>0</v>
          </cell>
          <cell r="J49">
            <v>2</v>
          </cell>
        </row>
        <row r="51">
          <cell r="G51" t="str">
            <v>Qualität der Dokumente</v>
          </cell>
        </row>
        <row r="52">
          <cell r="H52">
            <v>0.92499999999999982</v>
          </cell>
          <cell r="J52">
            <v>2</v>
          </cell>
          <cell r="K52">
            <v>0</v>
          </cell>
        </row>
        <row r="53">
          <cell r="H53">
            <v>0.92499999999999982</v>
          </cell>
          <cell r="J53">
            <v>2</v>
          </cell>
          <cell r="K53">
            <v>1</v>
          </cell>
        </row>
        <row r="56">
          <cell r="G56" t="str">
            <v>frei</v>
          </cell>
        </row>
        <row r="57">
          <cell r="J57">
            <v>2</v>
          </cell>
        </row>
        <row r="59">
          <cell r="G59" t="str">
            <v>frei</v>
          </cell>
        </row>
        <row r="60">
          <cell r="J60">
            <v>2</v>
          </cell>
        </row>
        <row r="62">
          <cell r="G62" t="str">
            <v>frei</v>
          </cell>
        </row>
        <row r="63">
          <cell r="J63">
            <v>2</v>
          </cell>
        </row>
      </sheetData>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rstellung"/>
      <sheetName val="Betrieb"/>
      <sheetName val="Mobilität"/>
      <sheetName val="Auswertung"/>
      <sheetName val="Korrekturfaktor_PE"/>
      <sheetName val="Korrekturfaktor_THGE"/>
      <sheetName val="CH-Mittelwerte_PE "/>
      <sheetName val="CH-Mittelwerte_ THGE"/>
      <sheetName val="Energiekennwerte"/>
      <sheetName val="Mobilitätsdaten"/>
      <sheetName val="Drop-dow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4">
          <cell r="A4">
            <v>0.65</v>
          </cell>
          <cell r="B4">
            <v>0.25</v>
          </cell>
          <cell r="C4">
            <v>0.46</v>
          </cell>
          <cell r="E4">
            <v>2.78</v>
          </cell>
          <cell r="F4">
            <v>1.39</v>
          </cell>
          <cell r="G4">
            <v>1.4</v>
          </cell>
          <cell r="H4">
            <v>2.4</v>
          </cell>
          <cell r="I4">
            <v>0.16300000000000001</v>
          </cell>
        </row>
        <row r="5">
          <cell r="A5">
            <v>0</v>
          </cell>
          <cell r="B5">
            <v>0</v>
          </cell>
          <cell r="C5">
            <v>0</v>
          </cell>
          <cell r="D5">
            <v>0</v>
          </cell>
          <cell r="E5">
            <v>5</v>
          </cell>
          <cell r="F5">
            <v>0</v>
          </cell>
          <cell r="G5">
            <v>0</v>
          </cell>
          <cell r="H5">
            <v>0.82</v>
          </cell>
          <cell r="I5">
            <v>5.5E-2</v>
          </cell>
        </row>
        <row r="6">
          <cell r="A6">
            <v>1</v>
          </cell>
          <cell r="B6">
            <v>1</v>
          </cell>
          <cell r="C6">
            <v>1</v>
          </cell>
          <cell r="D6">
            <v>1</v>
          </cell>
          <cell r="E6">
            <v>4</v>
          </cell>
          <cell r="F6">
            <v>0.25</v>
          </cell>
          <cell r="G6">
            <v>0.1</v>
          </cell>
        </row>
        <row r="7">
          <cell r="E7">
            <v>3</v>
          </cell>
          <cell r="F7">
            <v>0.5</v>
          </cell>
          <cell r="G7">
            <v>0.2</v>
          </cell>
        </row>
        <row r="8">
          <cell r="E8">
            <v>2</v>
          </cell>
          <cell r="F8">
            <v>0.75</v>
          </cell>
          <cell r="G8">
            <v>0.30000000000000004</v>
          </cell>
        </row>
        <row r="9">
          <cell r="E9">
            <v>1</v>
          </cell>
          <cell r="F9">
            <v>1</v>
          </cell>
          <cell r="G9">
            <v>0.4</v>
          </cell>
        </row>
        <row r="10">
          <cell r="F10">
            <v>1.5</v>
          </cell>
          <cell r="G10">
            <v>0.5</v>
          </cell>
        </row>
        <row r="11">
          <cell r="F11">
            <v>2</v>
          </cell>
          <cell r="G11">
            <v>0.6</v>
          </cell>
        </row>
        <row r="12">
          <cell r="F12">
            <v>3</v>
          </cell>
          <cell r="G12">
            <v>0.7</v>
          </cell>
        </row>
        <row r="13">
          <cell r="F13">
            <v>4</v>
          </cell>
          <cell r="G13">
            <v>0.79999999999999993</v>
          </cell>
        </row>
        <row r="14">
          <cell r="F14">
            <v>5</v>
          </cell>
          <cell r="G14">
            <v>0.89999999999999991</v>
          </cell>
        </row>
        <row r="15">
          <cell r="G15">
            <v>0.99999999999999989</v>
          </cell>
        </row>
        <row r="16">
          <cell r="G16">
            <v>1.0999999999999999</v>
          </cell>
        </row>
        <row r="17">
          <cell r="G17">
            <v>1.2</v>
          </cell>
        </row>
        <row r="18">
          <cell r="G18">
            <v>1.3</v>
          </cell>
        </row>
        <row r="19">
          <cell r="G19">
            <v>1.4000000000000001</v>
          </cell>
        </row>
        <row r="20">
          <cell r="G20">
            <v>1.5000000000000002</v>
          </cell>
        </row>
        <row r="21">
          <cell r="G21">
            <v>1.6000000000000003</v>
          </cell>
        </row>
        <row r="22">
          <cell r="G22">
            <v>1.7000000000000004</v>
          </cell>
        </row>
        <row r="23">
          <cell r="G23">
            <v>1.8000000000000005</v>
          </cell>
        </row>
        <row r="24">
          <cell r="G24">
            <v>1.9000000000000006</v>
          </cell>
        </row>
        <row r="25">
          <cell r="G25">
            <v>2.0000000000000004</v>
          </cell>
        </row>
        <row r="26">
          <cell r="G26">
            <v>2.1000000000000005</v>
          </cell>
        </row>
        <row r="27">
          <cell r="G27">
            <v>2.2000000000000006</v>
          </cell>
        </row>
        <row r="28">
          <cell r="G28">
            <v>2.3000000000000007</v>
          </cell>
        </row>
        <row r="29">
          <cell r="G29">
            <v>2.4000000000000008</v>
          </cell>
        </row>
        <row r="30">
          <cell r="G30">
            <v>2.5000000000000009</v>
          </cell>
        </row>
        <row r="31">
          <cell r="G31">
            <v>2.600000000000001</v>
          </cell>
        </row>
        <row r="32">
          <cell r="G32">
            <v>2.7000000000000011</v>
          </cell>
        </row>
        <row r="33">
          <cell r="G33">
            <v>2.8000000000000012</v>
          </cell>
        </row>
        <row r="34">
          <cell r="G34">
            <v>2.9000000000000012</v>
          </cell>
        </row>
        <row r="35">
          <cell r="G35">
            <v>3.0000000000000013</v>
          </cell>
        </row>
        <row r="36">
          <cell r="G36">
            <v>3.1000000000000014</v>
          </cell>
        </row>
        <row r="37">
          <cell r="G37">
            <v>3.2000000000000015</v>
          </cell>
        </row>
        <row r="38">
          <cell r="G38">
            <v>3.3000000000000016</v>
          </cell>
        </row>
        <row r="39">
          <cell r="G39">
            <v>3.4000000000000017</v>
          </cell>
        </row>
        <row r="40">
          <cell r="G40">
            <v>3.5000000000000018</v>
          </cell>
        </row>
        <row r="41">
          <cell r="G41">
            <v>3.6000000000000019</v>
          </cell>
        </row>
        <row r="42">
          <cell r="G42">
            <v>3.700000000000002</v>
          </cell>
        </row>
        <row r="43">
          <cell r="G43">
            <v>3.800000000000002</v>
          </cell>
        </row>
        <row r="44">
          <cell r="G44">
            <v>3.9000000000000021</v>
          </cell>
        </row>
        <row r="45">
          <cell r="G45">
            <v>4.0000000000000018</v>
          </cell>
        </row>
        <row r="46">
          <cell r="G46">
            <v>4.1000000000000014</v>
          </cell>
        </row>
        <row r="47">
          <cell r="G47">
            <v>4.2000000000000011</v>
          </cell>
        </row>
        <row r="48">
          <cell r="G48">
            <v>4.3000000000000007</v>
          </cell>
        </row>
        <row r="49">
          <cell r="G49">
            <v>4.4000000000000004</v>
          </cell>
        </row>
        <row r="50">
          <cell r="G50">
            <v>4.5</v>
          </cell>
        </row>
        <row r="51">
          <cell r="G51">
            <v>4.5999999999999996</v>
          </cell>
        </row>
        <row r="52">
          <cell r="G52">
            <v>4.6999999999999993</v>
          </cell>
        </row>
        <row r="53">
          <cell r="G53">
            <v>4.7999999999999989</v>
          </cell>
        </row>
        <row r="54">
          <cell r="G54">
            <v>4.8999999999999986</v>
          </cell>
        </row>
        <row r="55">
          <cell r="G55">
            <v>4.9999999999999982</v>
          </cell>
        </row>
        <row r="56">
          <cell r="G56">
            <v>5.0999999999999979</v>
          </cell>
        </row>
        <row r="57">
          <cell r="G57">
            <v>5.1999999999999975</v>
          </cell>
        </row>
        <row r="58">
          <cell r="G58">
            <v>5.2999999999999972</v>
          </cell>
        </row>
        <row r="59">
          <cell r="G59">
            <v>5.3999999999999968</v>
          </cell>
        </row>
        <row r="60">
          <cell r="G60">
            <v>5.4999999999999964</v>
          </cell>
        </row>
        <row r="61">
          <cell r="G61">
            <v>5.5999999999999961</v>
          </cell>
        </row>
        <row r="62">
          <cell r="G62">
            <v>5.6999999999999957</v>
          </cell>
        </row>
        <row r="63">
          <cell r="G63">
            <v>5.7999999999999954</v>
          </cell>
        </row>
        <row r="64">
          <cell r="G64">
            <v>5.899999999999995</v>
          </cell>
        </row>
        <row r="65">
          <cell r="G65">
            <v>5.9999999999999947</v>
          </cell>
        </row>
        <row r="66">
          <cell r="G66">
            <v>6.0999999999999943</v>
          </cell>
        </row>
        <row r="67">
          <cell r="G67">
            <v>6.199999999999994</v>
          </cell>
        </row>
        <row r="68">
          <cell r="G68">
            <v>6.2999999999999936</v>
          </cell>
        </row>
        <row r="69">
          <cell r="G69">
            <v>6.3999999999999932</v>
          </cell>
        </row>
        <row r="70">
          <cell r="G70">
            <v>6.4999999999999929</v>
          </cell>
        </row>
        <row r="71">
          <cell r="G71">
            <v>6.5999999999999925</v>
          </cell>
        </row>
        <row r="72">
          <cell r="G72">
            <v>6.6999999999999922</v>
          </cell>
        </row>
        <row r="73">
          <cell r="G73">
            <v>6.7999999999999918</v>
          </cell>
        </row>
        <row r="74">
          <cell r="G74">
            <v>6.8999999999999915</v>
          </cell>
        </row>
        <row r="75">
          <cell r="G75">
            <v>6.9999999999999911</v>
          </cell>
        </row>
        <row r="76">
          <cell r="G76">
            <v>7.0999999999999908</v>
          </cell>
        </row>
        <row r="77">
          <cell r="G77">
            <v>7.1999999999999904</v>
          </cell>
        </row>
        <row r="78">
          <cell r="G78">
            <v>7.2999999999999901</v>
          </cell>
        </row>
        <row r="79">
          <cell r="G79">
            <v>7.3999999999999897</v>
          </cell>
        </row>
        <row r="80">
          <cell r="G80">
            <v>7.4999999999999893</v>
          </cell>
        </row>
        <row r="81">
          <cell r="G81">
            <v>7.599999999999989</v>
          </cell>
        </row>
        <row r="82">
          <cell r="G82">
            <v>7.6999999999999886</v>
          </cell>
        </row>
        <row r="83">
          <cell r="G83">
            <v>7.7999999999999883</v>
          </cell>
        </row>
        <row r="84">
          <cell r="G84">
            <v>7.8999999999999879</v>
          </cell>
        </row>
        <row r="85">
          <cell r="G85">
            <v>7.9999999999999876</v>
          </cell>
        </row>
        <row r="86">
          <cell r="G86">
            <v>8.0999999999999872</v>
          </cell>
        </row>
        <row r="87">
          <cell r="G87">
            <v>8.1999999999999869</v>
          </cell>
        </row>
        <row r="88">
          <cell r="G88">
            <v>8.2999999999999865</v>
          </cell>
        </row>
        <row r="89">
          <cell r="G89">
            <v>8.3999999999999861</v>
          </cell>
        </row>
        <row r="90">
          <cell r="G90">
            <v>8.4999999999999858</v>
          </cell>
        </row>
        <row r="91">
          <cell r="G91">
            <v>8.5999999999999854</v>
          </cell>
        </row>
        <row r="92">
          <cell r="G92">
            <v>8.6999999999999851</v>
          </cell>
        </row>
        <row r="93">
          <cell r="G93">
            <v>8.7999999999999847</v>
          </cell>
        </row>
        <row r="94">
          <cell r="G94">
            <v>8.8999999999999844</v>
          </cell>
        </row>
        <row r="95">
          <cell r="G95">
            <v>8.999999999999984</v>
          </cell>
        </row>
        <row r="96">
          <cell r="G96">
            <v>9.0999999999999837</v>
          </cell>
        </row>
        <row r="97">
          <cell r="G97">
            <v>9.1999999999999833</v>
          </cell>
        </row>
        <row r="98">
          <cell r="G98">
            <v>9.2999999999999829</v>
          </cell>
        </row>
        <row r="99">
          <cell r="G99">
            <v>9.3999999999999826</v>
          </cell>
        </row>
        <row r="100">
          <cell r="G100">
            <v>9.4999999999999822</v>
          </cell>
        </row>
        <row r="101">
          <cell r="G101">
            <v>9.5999999999999819</v>
          </cell>
        </row>
        <row r="102">
          <cell r="G102">
            <v>9.6999999999999815</v>
          </cell>
        </row>
        <row r="103">
          <cell r="G103">
            <v>9.7999999999999812</v>
          </cell>
        </row>
        <row r="104">
          <cell r="G104">
            <v>9.8999999999999808</v>
          </cell>
        </row>
        <row r="105">
          <cell r="G105">
            <v>9.9999999999999805</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l Energieverbrauch"/>
      <sheetName val="Modell Wohnen"/>
      <sheetName val="Arbeit Modell"/>
      <sheetName val="Drop-down"/>
      <sheetName val="Zusammenzug_SIMMA_JUD"/>
      <sheetName val="Energiekennwerte"/>
      <sheetName val="Mobilitätsdaten"/>
      <sheetName val="Modell_SIMMA_Alltagsmobilität"/>
      <sheetName val="Modell_JUD_CH-Mittelwerte_PE "/>
      <sheetName val="Modell_JUD_CH-Mittelwerte_ CO2"/>
    </sheetNames>
    <sheetDataSet>
      <sheetData sheetId="0" refreshError="1"/>
      <sheetData sheetId="1" refreshError="1"/>
      <sheetData sheetId="2" refreshError="1"/>
      <sheetData sheetId="3" refreshError="1"/>
      <sheetData sheetId="4" refreshError="1">
        <row r="2">
          <cell r="A2" t="str">
            <v>Grundlagen:</v>
          </cell>
        </row>
        <row r="3">
          <cell r="A3" t="str">
            <v>Durchschnittliche Belegungsdichte für Nutzung Wohnen</v>
          </cell>
          <cell r="C3" t="str">
            <v>Bewohner/m2</v>
          </cell>
          <cell r="D3">
            <v>1.6816952209197475E-2</v>
          </cell>
        </row>
        <row r="4">
          <cell r="A4" t="str">
            <v>Primärenergiefaktoren und Treibhausgasemissionsfaktoren (nur nicht-erneuerbare Anteile) nach Frischknecht/Stucki, 19.03.2009 (Version 1.3)</v>
          </cell>
        </row>
        <row r="5">
          <cell r="D5">
            <v>36.254794520547946</v>
          </cell>
        </row>
        <row r="6">
          <cell r="D6">
            <v>16.098630136986301</v>
          </cell>
        </row>
        <row r="7">
          <cell r="D7">
            <v>52.353424657534248</v>
          </cell>
        </row>
        <row r="10">
          <cell r="D10">
            <v>17.398547945205479</v>
          </cell>
        </row>
        <row r="11">
          <cell r="D11">
            <v>8.3336986301369862</v>
          </cell>
        </row>
        <row r="12">
          <cell r="D12">
            <v>25.732246575342465</v>
          </cell>
        </row>
        <row r="15">
          <cell r="D15">
            <v>177.53466922424431</v>
          </cell>
        </row>
        <row r="16">
          <cell r="D16">
            <v>65.849479720757031</v>
          </cell>
        </row>
        <row r="17">
          <cell r="D17">
            <v>243.38414894500136</v>
          </cell>
        </row>
        <row r="18">
          <cell r="D18">
            <v>39.650816582321276</v>
          </cell>
        </row>
        <row r="20">
          <cell r="D20">
            <v>0.99999853114366177</v>
          </cell>
        </row>
        <row r="21">
          <cell r="D21">
            <v>243.38379144865155</v>
          </cell>
        </row>
        <row r="22">
          <cell r="D22">
            <v>39.650758340968025</v>
          </cell>
        </row>
        <row r="25">
          <cell r="D25">
            <v>13.859787860685302</v>
          </cell>
        </row>
        <row r="26">
          <cell r="D26">
            <v>61.696584391568997</v>
          </cell>
        </row>
        <row r="27">
          <cell r="D27">
            <v>16.165034337393394</v>
          </cell>
        </row>
        <row r="28">
          <cell r="D28">
            <v>91.7214065896477</v>
          </cell>
        </row>
        <row r="29">
          <cell r="D29">
            <v>14.94275073016553</v>
          </cell>
        </row>
        <row r="32">
          <cell r="D32">
            <v>335.10519803829925</v>
          </cell>
        </row>
        <row r="33">
          <cell r="D33">
            <v>54.593509071133553</v>
          </cell>
        </row>
        <row r="35">
          <cell r="D35">
            <v>253.09078070357447</v>
          </cell>
        </row>
        <row r="36">
          <cell r="D36">
            <v>41.232168026774993</v>
          </cell>
        </row>
        <row r="41">
          <cell r="D41">
            <v>12.06669558422109</v>
          </cell>
        </row>
        <row r="42">
          <cell r="D42">
            <v>2.315852246672331</v>
          </cell>
        </row>
        <row r="43">
          <cell r="D43">
            <v>14.382547830893422</v>
          </cell>
        </row>
        <row r="44">
          <cell r="D44">
            <v>2.3431261587955201</v>
          </cell>
        </row>
        <row r="46">
          <cell r="D46">
            <v>0.99999853114366177</v>
          </cell>
        </row>
        <row r="47">
          <cell r="D47">
            <v>14.382526704996881</v>
          </cell>
        </row>
        <row r="48">
          <cell r="D48">
            <v>2.3431227170798108</v>
          </cell>
        </row>
        <row r="51">
          <cell r="D51">
            <v>0.9272509804130975</v>
          </cell>
        </row>
        <row r="52">
          <cell r="D52">
            <v>4.1646357744044948</v>
          </cell>
        </row>
        <row r="53">
          <cell r="D53">
            <v>0.58949403907799836</v>
          </cell>
        </row>
        <row r="54">
          <cell r="D54">
            <v>5.68138079389559</v>
          </cell>
        </row>
        <row r="55">
          <cell r="D55">
            <v>0.92557953658675807</v>
          </cell>
        </row>
        <row r="58">
          <cell r="D58">
            <v>20.063907498892469</v>
          </cell>
        </row>
        <row r="59">
          <cell r="D59">
            <v>3.2687022536665684</v>
          </cell>
        </row>
        <row r="61">
          <cell r="D61">
            <v>17.15856461479639</v>
          </cell>
        </row>
        <row r="62">
          <cell r="D62">
            <v>2.7953796551925074</v>
          </cell>
        </row>
      </sheetData>
      <sheetData sheetId="5" refreshError="1"/>
      <sheetData sheetId="6" refreshError="1"/>
      <sheetData sheetId="7" refreshError="1"/>
      <sheetData sheetId="8" refreshError="1"/>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ltate"/>
      <sheetName val="1_Elementflaechen"/>
      <sheetName val="1b_Geschossflaechen"/>
      <sheetName val="2_Projektkennwerte"/>
      <sheetName val="3_Erfahrungskennwerte"/>
      <sheetName val="4_Flaechenschema"/>
      <sheetName val="Voreinstellungen"/>
      <sheetName val="VoreinstellungenAHB"/>
      <sheetName val="380_1_Berechnung"/>
      <sheetName val="V_Resultate"/>
      <sheetName val="V_1_Elementflaechen"/>
      <sheetName val="V_1b_Geschossflaechen"/>
      <sheetName val="V_2_Kennwerte"/>
      <sheetName val="AHB_Elementflaechen"/>
      <sheetName val="AHB_Kennwerte"/>
      <sheetName val="Schnittstelle Kosten"/>
      <sheetName val="Schnittstelle OekolNachh"/>
      <sheetName val="Kennzahlen"/>
    </sheetNames>
    <sheetDataSet>
      <sheetData sheetId="0" refreshError="1"/>
      <sheetData sheetId="1" refreshError="1">
        <row r="21">
          <cell r="Z21">
            <v>0</v>
          </cell>
        </row>
        <row r="31">
          <cell r="Z31">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Zusa"/>
      <sheetName val="Luft Tab 1"/>
      <sheetName val="Luft Tab 2"/>
      <sheetName val="Luft Tab 4"/>
      <sheetName val="Luft Tab 5"/>
      <sheetName val="Luft Tab MI 1"/>
      <sheetName val="Luft Tab MI 2"/>
      <sheetName val="Gleichzeitigkeit"/>
      <sheetName val="Kaelte Tab 1"/>
      <sheetName val="Kaelte Tab 4"/>
      <sheetName val="Kaelte Tab 2"/>
      <sheetName val="Kaelte Tab 5"/>
      <sheetName val="Kaelte Tab 1-1"/>
      <sheetName val="Kaelte Tab 1-2"/>
      <sheetName val="Standard"/>
      <sheetName val="CSTB"/>
      <sheetName val="Meteo"/>
      <sheetName val="DOE_Res"/>
      <sheetName val="Kühllastauswertung gain"/>
      <sheetName val="Klimadaten"/>
      <sheetName val="pivot"/>
      <sheetName val="ComboBoxen"/>
    </sheetNames>
    <sheetDataSet>
      <sheetData sheetId="0"/>
      <sheetData sheetId="1"/>
      <sheetData sheetId="2">
        <row r="3">
          <cell r="A3" t="str">
            <v>Erfassung Räume (Zonen)</v>
          </cell>
          <cell r="V3" t="str">
            <v>Objekt: Mustergebäude</v>
          </cell>
        </row>
        <row r="4">
          <cell r="A4" t="str">
            <v>Nutzung</v>
          </cell>
          <cell r="F4" t="str">
            <v>Raum-Abmessung Netto</v>
          </cell>
          <cell r="K4" t="str">
            <v>Belegung</v>
          </cell>
          <cell r="N4" t="str">
            <v>mechanische Lüftung</v>
          </cell>
        </row>
        <row r="6">
          <cell r="A6" t="str">
            <v>Raum [Nr]</v>
          </cell>
          <cell r="B6" t="str">
            <v>Raumgruppe (Zone)</v>
          </cell>
          <cell r="C6" t="str">
            <v>Nutzung</v>
          </cell>
          <cell r="D6" t="str">
            <v>Standard L</v>
          </cell>
          <cell r="E6" t="str">
            <v>Defaultwerte</v>
          </cell>
          <cell r="F6" t="str">
            <v>Anzahl 
Räume
[Stück]</v>
          </cell>
          <cell r="G6" t="str">
            <v>Raum-
höhe 
[m]</v>
          </cell>
          <cell r="H6" t="str">
            <v>Raum-
länge 
[m]</v>
          </cell>
          <cell r="I6" t="str">
            <v>Raum-
tiefe 
[m]</v>
          </cell>
          <cell r="J6" t="str">
            <v>Boden 
Fläche 
[m²]</v>
          </cell>
          <cell r="K6" t="str">
            <v>Personen 
Belegung</v>
          </cell>
          <cell r="L6" t="str">
            <v>[m²/Person]</v>
          </cell>
          <cell r="M6" t="str">
            <v>[Personen]</v>
          </cell>
          <cell r="N6" t="str">
            <v>Zuluft 
Volumen-
strom</v>
          </cell>
          <cell r="O6" t="str">
            <v>Abluft 
Volumen-
strom</v>
          </cell>
          <cell r="P6" t="str">
            <v>[m³/Person*h]</v>
          </cell>
          <cell r="Q6" t="str">
            <v>[m³/m²*h]</v>
          </cell>
          <cell r="R6" t="str">
            <v>[m³/h]</v>
          </cell>
          <cell r="S6" t="str">
            <v>Anlage 
[Nr]</v>
          </cell>
          <cell r="T6" t="str">
            <v>Kühlung [x]</v>
          </cell>
          <cell r="U6" t="str">
            <v>NGF bereits enthalten in Raum [Nr.]</v>
          </cell>
          <cell r="V6" t="str">
            <v>Energie 
Verbrauch 
[MWh/a]</v>
          </cell>
        </row>
        <row r="7">
          <cell r="A7" t="str">
            <v>Default</v>
          </cell>
          <cell r="B7" t="str">
            <v xml:space="preserve"> </v>
          </cell>
          <cell r="E7" t="str">
            <v>x</v>
          </cell>
          <cell r="F7">
            <v>1</v>
          </cell>
          <cell r="G7" t="str">
            <v>$AD</v>
          </cell>
          <cell r="K7" t="str">
            <v>$AE</v>
          </cell>
          <cell r="L7" t="str">
            <v>$AF</v>
          </cell>
          <cell r="N7" t="str">
            <v>$AG</v>
          </cell>
          <cell r="O7" t="str">
            <v>$AH</v>
          </cell>
          <cell r="P7" t="str">
            <v>$AI</v>
          </cell>
          <cell r="Q7" t="str">
            <v>$AJ</v>
          </cell>
          <cell r="V7" t="str">
            <v>FORM</v>
          </cell>
          <cell r="Y7">
            <v>0</v>
          </cell>
          <cell r="AC7">
            <v>0</v>
          </cell>
        </row>
        <row r="8">
          <cell r="A8" t="str">
            <v>Formel</v>
          </cell>
          <cell r="D8"/>
          <cell r="Q8">
            <v>0</v>
          </cell>
          <cell r="U8">
            <v>0</v>
          </cell>
          <cell r="V8">
            <v>0</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0</v>
          </cell>
          <cell r="AS8">
            <v>0</v>
          </cell>
          <cell r="AT8">
            <v>0</v>
          </cell>
          <cell r="AU8">
            <v>0</v>
          </cell>
          <cell r="AV8">
            <v>0</v>
          </cell>
          <cell r="AW8">
            <v>0</v>
          </cell>
          <cell r="AX8">
            <v>0</v>
          </cell>
          <cell r="AY8">
            <v>0</v>
          </cell>
          <cell r="AZ8">
            <v>0</v>
          </cell>
          <cell r="BA8">
            <v>0</v>
          </cell>
          <cell r="BC8">
            <v>0</v>
          </cell>
          <cell r="BD8">
            <v>0</v>
          </cell>
          <cell r="BE8">
            <v>0</v>
          </cell>
          <cell r="BG8">
            <v>0</v>
          </cell>
          <cell r="BH8">
            <v>0</v>
          </cell>
          <cell r="BI8">
            <v>0</v>
          </cell>
          <cell r="BJ8">
            <v>0</v>
          </cell>
        </row>
        <row r="9">
          <cell r="A9">
            <v>1</v>
          </cell>
          <cell r="C9" t="str">
            <v>Einzel/Gruppenbüro</v>
          </cell>
          <cell r="D9" t="str">
            <v>x</v>
          </cell>
          <cell r="E9" t="str">
            <v>x</v>
          </cell>
          <cell r="F9">
            <v>1</v>
          </cell>
          <cell r="G9">
            <v>3</v>
          </cell>
          <cell r="H9">
            <v>6</v>
          </cell>
          <cell r="I9">
            <v>6</v>
          </cell>
          <cell r="J9">
            <v>36</v>
          </cell>
          <cell r="K9">
            <v>14</v>
          </cell>
          <cell r="L9" t="str">
            <v>x</v>
          </cell>
          <cell r="N9">
            <v>36</v>
          </cell>
          <cell r="O9">
            <v>36</v>
          </cell>
          <cell r="P9" t="str">
            <v>x</v>
          </cell>
          <cell r="Q9">
            <v>0</v>
          </cell>
          <cell r="S9" t="str">
            <v>L01</v>
          </cell>
          <cell r="T9" t="str">
            <v>x</v>
          </cell>
          <cell r="V9">
            <v>0.18</v>
          </cell>
          <cell r="W9">
            <v>2.5714285714285716</v>
          </cell>
          <cell r="X9" t="str">
            <v>Einzel/Gruppenbüro</v>
          </cell>
          <cell r="Y9" t="str">
            <v>x</v>
          </cell>
          <cell r="Z9">
            <v>36</v>
          </cell>
          <cell r="AA9">
            <v>6.545454545454546E-2</v>
          </cell>
          <cell r="AB9">
            <v>2750</v>
          </cell>
          <cell r="AC9">
            <v>0</v>
          </cell>
          <cell r="AD9">
            <v>3</v>
          </cell>
          <cell r="AE9">
            <v>14</v>
          </cell>
          <cell r="AF9" t="str">
            <v>x</v>
          </cell>
          <cell r="AG9">
            <v>36</v>
          </cell>
          <cell r="AH9">
            <v>36</v>
          </cell>
          <cell r="AI9" t="str">
            <v>x</v>
          </cell>
          <cell r="AJ9">
            <v>0</v>
          </cell>
          <cell r="AK9">
            <v>800</v>
          </cell>
          <cell r="AL9">
            <v>600</v>
          </cell>
          <cell r="AM9">
            <v>0.55000000000000004</v>
          </cell>
          <cell r="AN9">
            <v>2750</v>
          </cell>
          <cell r="AO9">
            <v>1380</v>
          </cell>
          <cell r="AP9">
            <v>700</v>
          </cell>
          <cell r="AQ9" t="str">
            <v>1-stufig</v>
          </cell>
          <cell r="AR9">
            <v>0</v>
          </cell>
          <cell r="AS9">
            <v>2.5714285714285716</v>
          </cell>
          <cell r="AT9">
            <v>92.571428571428584</v>
          </cell>
          <cell r="AU9">
            <v>92.571428571428584</v>
          </cell>
          <cell r="AV9" t="str">
            <v>1-stufig</v>
          </cell>
          <cell r="AW9">
            <v>800</v>
          </cell>
          <cell r="AX9">
            <v>600</v>
          </cell>
          <cell r="AY9">
            <v>0.55000000000000004</v>
          </cell>
          <cell r="AZ9">
            <v>6.545454545454546E-2</v>
          </cell>
          <cell r="BA9">
            <v>2750</v>
          </cell>
          <cell r="BB9" t="str">
            <v>040829_233340_0001</v>
          </cell>
          <cell r="BC9">
            <v>2.5714285714285716</v>
          </cell>
          <cell r="BD9">
            <v>2.5714285714285716</v>
          </cell>
          <cell r="BE9">
            <v>13.999999999999998</v>
          </cell>
          <cell r="BG9">
            <v>2750</v>
          </cell>
          <cell r="BH9">
            <v>1810.2000000000003</v>
          </cell>
          <cell r="BI9">
            <v>1260</v>
          </cell>
          <cell r="BJ9">
            <v>254571.42857142861</v>
          </cell>
        </row>
        <row r="10">
          <cell r="A10">
            <v>2</v>
          </cell>
          <cell r="C10" t="str">
            <v>Grossraumbüro</v>
          </cell>
          <cell r="D10" t="str">
            <v>x</v>
          </cell>
          <cell r="E10" t="str">
            <v>x</v>
          </cell>
          <cell r="F10">
            <v>1</v>
          </cell>
          <cell r="G10">
            <v>3</v>
          </cell>
          <cell r="H10">
            <v>12</v>
          </cell>
          <cell r="I10">
            <v>12</v>
          </cell>
          <cell r="J10">
            <v>144</v>
          </cell>
          <cell r="K10">
            <v>10</v>
          </cell>
          <cell r="L10" t="str">
            <v>x</v>
          </cell>
          <cell r="N10">
            <v>36</v>
          </cell>
          <cell r="O10">
            <v>36</v>
          </cell>
          <cell r="P10" t="str">
            <v>x</v>
          </cell>
          <cell r="Q10">
            <v>0</v>
          </cell>
          <cell r="S10" t="str">
            <v>L01</v>
          </cell>
          <cell r="T10" t="str">
            <v>x</v>
          </cell>
          <cell r="V10">
            <v>1.0079999999999998</v>
          </cell>
          <cell r="W10">
            <v>3.6</v>
          </cell>
          <cell r="X10" t="str">
            <v>Grossraumbüro</v>
          </cell>
          <cell r="Y10" t="str">
            <v>x</v>
          </cell>
          <cell r="Z10">
            <v>144</v>
          </cell>
          <cell r="AA10">
            <v>0.36654545454545451</v>
          </cell>
          <cell r="AB10">
            <v>2750</v>
          </cell>
          <cell r="AC10">
            <v>0</v>
          </cell>
          <cell r="AD10">
            <v>3</v>
          </cell>
          <cell r="AE10">
            <v>10</v>
          </cell>
          <cell r="AF10" t="str">
            <v>x</v>
          </cell>
          <cell r="AG10">
            <v>36</v>
          </cell>
          <cell r="AH10">
            <v>36</v>
          </cell>
          <cell r="AI10" t="str">
            <v>x</v>
          </cell>
          <cell r="AJ10">
            <v>0</v>
          </cell>
          <cell r="AK10">
            <v>800</v>
          </cell>
          <cell r="AL10">
            <v>600</v>
          </cell>
          <cell r="AM10">
            <v>0.55000000000000004</v>
          </cell>
          <cell r="AN10">
            <v>2750</v>
          </cell>
          <cell r="AO10">
            <v>1380</v>
          </cell>
          <cell r="AP10">
            <v>700</v>
          </cell>
          <cell r="AQ10" t="str">
            <v>1-stufig</v>
          </cell>
          <cell r="AR10">
            <v>0</v>
          </cell>
          <cell r="AS10">
            <v>14.4</v>
          </cell>
          <cell r="AT10">
            <v>518.4</v>
          </cell>
          <cell r="AU10">
            <v>518.4</v>
          </cell>
          <cell r="AV10" t="str">
            <v>1-stufig</v>
          </cell>
          <cell r="AW10">
            <v>800</v>
          </cell>
          <cell r="AX10">
            <v>600</v>
          </cell>
          <cell r="AY10">
            <v>0.55000000000000004</v>
          </cell>
          <cell r="AZ10">
            <v>0.36654545454545451</v>
          </cell>
          <cell r="BA10">
            <v>2750</v>
          </cell>
          <cell r="BB10" t="str">
            <v>040829_233652_0002</v>
          </cell>
          <cell r="BC10">
            <v>3.5999999999999996</v>
          </cell>
          <cell r="BD10">
            <v>3.5999999999999996</v>
          </cell>
          <cell r="BE10">
            <v>10</v>
          </cell>
          <cell r="BG10">
            <v>2750</v>
          </cell>
          <cell r="BH10">
            <v>1810.2000000000003</v>
          </cell>
          <cell r="BI10">
            <v>1260</v>
          </cell>
          <cell r="BJ10">
            <v>1425600</v>
          </cell>
        </row>
        <row r="11">
          <cell r="A11">
            <v>3</v>
          </cell>
          <cell r="C11" t="str">
            <v>Sitzungszimmer</v>
          </cell>
          <cell r="D11" t="str">
            <v>x</v>
          </cell>
          <cell r="E11" t="str">
            <v>x</v>
          </cell>
          <cell r="F11">
            <v>1</v>
          </cell>
          <cell r="G11">
            <v>3</v>
          </cell>
          <cell r="H11">
            <v>6</v>
          </cell>
          <cell r="I11">
            <v>6</v>
          </cell>
          <cell r="J11">
            <v>36</v>
          </cell>
          <cell r="K11">
            <v>3</v>
          </cell>
          <cell r="L11" t="str">
            <v>x</v>
          </cell>
          <cell r="N11">
            <v>25</v>
          </cell>
          <cell r="O11">
            <v>25</v>
          </cell>
          <cell r="P11" t="str">
            <v>x</v>
          </cell>
          <cell r="Q11">
            <v>0</v>
          </cell>
          <cell r="S11" t="str">
            <v>L01</v>
          </cell>
          <cell r="T11" t="str">
            <v>x</v>
          </cell>
          <cell r="V11">
            <v>0.31818181818181812</v>
          </cell>
          <cell r="W11">
            <v>8.3333333333333339</v>
          </cell>
          <cell r="X11" t="str">
            <v>Sitzungszimmer</v>
          </cell>
          <cell r="Y11" t="str">
            <v>x</v>
          </cell>
          <cell r="Z11">
            <v>36</v>
          </cell>
          <cell r="AA11">
            <v>0.2121212121212121</v>
          </cell>
          <cell r="AB11">
            <v>1500</v>
          </cell>
          <cell r="AC11">
            <v>0</v>
          </cell>
          <cell r="AD11">
            <v>3</v>
          </cell>
          <cell r="AE11">
            <v>3</v>
          </cell>
          <cell r="AF11" t="str">
            <v>x</v>
          </cell>
          <cell r="AG11">
            <v>25</v>
          </cell>
          <cell r="AH11">
            <v>25</v>
          </cell>
          <cell r="AI11" t="str">
            <v>x</v>
          </cell>
          <cell r="AJ11">
            <v>0</v>
          </cell>
          <cell r="AK11">
            <v>800</v>
          </cell>
          <cell r="AL11">
            <v>600</v>
          </cell>
          <cell r="AM11">
            <v>0.55000000000000004</v>
          </cell>
          <cell r="AN11">
            <v>1500</v>
          </cell>
          <cell r="AO11">
            <v>730</v>
          </cell>
          <cell r="AP11">
            <v>580</v>
          </cell>
          <cell r="AQ11" t="str">
            <v>1-stufig</v>
          </cell>
          <cell r="AR11">
            <v>0</v>
          </cell>
          <cell r="AS11">
            <v>12</v>
          </cell>
          <cell r="AT11">
            <v>300</v>
          </cell>
          <cell r="AU11">
            <v>300</v>
          </cell>
          <cell r="AV11" t="str">
            <v>1-stufig</v>
          </cell>
          <cell r="AW11">
            <v>800</v>
          </cell>
          <cell r="AX11">
            <v>600</v>
          </cell>
          <cell r="AY11">
            <v>0.55000000000000004</v>
          </cell>
          <cell r="AZ11">
            <v>0.2121212121212121</v>
          </cell>
          <cell r="BA11">
            <v>1500</v>
          </cell>
          <cell r="BB11" t="str">
            <v>040829_233717_0003</v>
          </cell>
          <cell r="BC11">
            <v>8.3333333333333339</v>
          </cell>
          <cell r="BD11">
            <v>8.3333333333333339</v>
          </cell>
          <cell r="BE11">
            <v>3</v>
          </cell>
          <cell r="BG11">
            <v>1500</v>
          </cell>
          <cell r="BH11">
            <v>974.4000000000002</v>
          </cell>
          <cell r="BI11">
            <v>840</v>
          </cell>
          <cell r="BJ11">
            <v>450000</v>
          </cell>
        </row>
        <row r="12">
          <cell r="A12">
            <v>4</v>
          </cell>
          <cell r="C12" t="str">
            <v>Schalterhalle</v>
          </cell>
          <cell r="D12" t="str">
            <v>x</v>
          </cell>
          <cell r="E12" t="str">
            <v>x</v>
          </cell>
          <cell r="F12">
            <v>1</v>
          </cell>
          <cell r="G12">
            <v>4</v>
          </cell>
          <cell r="H12">
            <v>12</v>
          </cell>
          <cell r="I12">
            <v>12</v>
          </cell>
          <cell r="J12">
            <v>144</v>
          </cell>
          <cell r="K12">
            <v>12</v>
          </cell>
          <cell r="L12" t="str">
            <v>x</v>
          </cell>
          <cell r="N12">
            <v>25</v>
          </cell>
          <cell r="O12">
            <v>25</v>
          </cell>
          <cell r="P12" t="str">
            <v>x</v>
          </cell>
          <cell r="Q12">
            <v>0</v>
          </cell>
          <cell r="S12" t="str">
            <v>L01</v>
          </cell>
          <cell r="T12" t="str">
            <v>x</v>
          </cell>
          <cell r="V12">
            <v>0.58333333333333326</v>
          </cell>
          <cell r="W12">
            <v>2.0833333333333335</v>
          </cell>
          <cell r="X12" t="str">
            <v>Schalterhalle</v>
          </cell>
          <cell r="Y12" t="str">
            <v>x</v>
          </cell>
          <cell r="Z12">
            <v>144</v>
          </cell>
          <cell r="AA12">
            <v>0.2121212121212121</v>
          </cell>
          <cell r="AB12">
            <v>2750</v>
          </cell>
          <cell r="AC12">
            <v>0</v>
          </cell>
          <cell r="AD12">
            <v>4</v>
          </cell>
          <cell r="AE12">
            <v>12</v>
          </cell>
          <cell r="AF12" t="str">
            <v>x</v>
          </cell>
          <cell r="AG12">
            <v>25</v>
          </cell>
          <cell r="AH12">
            <v>25</v>
          </cell>
          <cell r="AI12" t="str">
            <v>x</v>
          </cell>
          <cell r="AJ12">
            <v>0</v>
          </cell>
          <cell r="AK12">
            <v>800</v>
          </cell>
          <cell r="AL12">
            <v>600</v>
          </cell>
          <cell r="AM12">
            <v>0.55000000000000004</v>
          </cell>
          <cell r="AN12">
            <v>2750</v>
          </cell>
          <cell r="AO12">
            <v>1010</v>
          </cell>
          <cell r="AP12">
            <v>510</v>
          </cell>
          <cell r="AQ12" t="str">
            <v>1-stufig</v>
          </cell>
          <cell r="AR12">
            <v>0</v>
          </cell>
          <cell r="AS12">
            <v>12</v>
          </cell>
          <cell r="AT12">
            <v>300</v>
          </cell>
          <cell r="AU12">
            <v>300</v>
          </cell>
          <cell r="AV12" t="str">
            <v>1-stufig</v>
          </cell>
          <cell r="AW12">
            <v>800</v>
          </cell>
          <cell r="AX12">
            <v>600</v>
          </cell>
          <cell r="AY12">
            <v>0.55000000000000004</v>
          </cell>
          <cell r="AZ12">
            <v>0.2121212121212121</v>
          </cell>
          <cell r="BA12">
            <v>2750</v>
          </cell>
          <cell r="BB12" t="str">
            <v>040829_234233_0004</v>
          </cell>
          <cell r="BC12">
            <v>2.0833333333333335</v>
          </cell>
          <cell r="BD12">
            <v>2.0833333333333335</v>
          </cell>
          <cell r="BE12">
            <v>12</v>
          </cell>
          <cell r="BG12">
            <v>2750</v>
          </cell>
          <cell r="BH12">
            <v>1318.8600000000013</v>
          </cell>
          <cell r="BI12">
            <v>918.00000000000045</v>
          </cell>
          <cell r="BJ12">
            <v>825000</v>
          </cell>
        </row>
        <row r="13">
          <cell r="A13">
            <v>5</v>
          </cell>
          <cell r="C13" t="str">
            <v>Verkauf</v>
          </cell>
          <cell r="D13" t="str">
            <v>x</v>
          </cell>
          <cell r="E13" t="str">
            <v>x</v>
          </cell>
          <cell r="F13">
            <v>1</v>
          </cell>
          <cell r="G13">
            <v>4</v>
          </cell>
          <cell r="H13">
            <v>20</v>
          </cell>
          <cell r="I13">
            <v>20</v>
          </cell>
          <cell r="J13">
            <v>400</v>
          </cell>
          <cell r="K13">
            <v>5</v>
          </cell>
          <cell r="L13" t="str">
            <v>x</v>
          </cell>
          <cell r="N13">
            <v>25</v>
          </cell>
          <cell r="O13">
            <v>25</v>
          </cell>
          <cell r="P13" t="str">
            <v>x</v>
          </cell>
          <cell r="Q13">
            <v>0</v>
          </cell>
          <cell r="S13" t="str">
            <v>L01</v>
          </cell>
          <cell r="T13" t="str">
            <v>x</v>
          </cell>
          <cell r="V13">
            <v>5.0909090909090908</v>
          </cell>
          <cell r="W13">
            <v>5</v>
          </cell>
          <cell r="X13" t="str">
            <v>Verkauf</v>
          </cell>
          <cell r="Y13" t="str">
            <v>x</v>
          </cell>
          <cell r="Z13">
            <v>400</v>
          </cell>
          <cell r="AA13">
            <v>1.4141414141414141</v>
          </cell>
          <cell r="AB13">
            <v>3600</v>
          </cell>
          <cell r="AC13">
            <v>0</v>
          </cell>
          <cell r="AD13">
            <v>4</v>
          </cell>
          <cell r="AE13">
            <v>5</v>
          </cell>
          <cell r="AF13" t="str">
            <v>x</v>
          </cell>
          <cell r="AG13">
            <v>25</v>
          </cell>
          <cell r="AH13">
            <v>25</v>
          </cell>
          <cell r="AI13" t="str">
            <v>x</v>
          </cell>
          <cell r="AJ13">
            <v>0</v>
          </cell>
          <cell r="AK13">
            <v>800</v>
          </cell>
          <cell r="AL13">
            <v>600</v>
          </cell>
          <cell r="AM13">
            <v>0.55000000000000004</v>
          </cell>
          <cell r="AN13">
            <v>3600</v>
          </cell>
          <cell r="AO13">
            <v>1140</v>
          </cell>
          <cell r="AP13">
            <v>580</v>
          </cell>
          <cell r="AQ13" t="str">
            <v>1-stufig</v>
          </cell>
          <cell r="AR13">
            <v>0</v>
          </cell>
          <cell r="AS13">
            <v>80</v>
          </cell>
          <cell r="AT13">
            <v>2000</v>
          </cell>
          <cell r="AU13">
            <v>2000</v>
          </cell>
          <cell r="AV13" t="str">
            <v>1-stufig</v>
          </cell>
          <cell r="AW13">
            <v>800</v>
          </cell>
          <cell r="AX13">
            <v>600</v>
          </cell>
          <cell r="AY13">
            <v>0.55000000000000004</v>
          </cell>
          <cell r="AZ13">
            <v>1.4141414141414141</v>
          </cell>
          <cell r="BA13">
            <v>3600</v>
          </cell>
          <cell r="BB13" t="str">
            <v>040829_234238_0005</v>
          </cell>
          <cell r="BC13">
            <v>5</v>
          </cell>
          <cell r="BD13">
            <v>5</v>
          </cell>
          <cell r="BE13">
            <v>5</v>
          </cell>
          <cell r="BG13">
            <v>3600</v>
          </cell>
          <cell r="BH13">
            <v>1863.4560000000008</v>
          </cell>
          <cell r="BI13">
            <v>1353.6000000000001</v>
          </cell>
          <cell r="BJ13">
            <v>7200000</v>
          </cell>
        </row>
        <row r="14">
          <cell r="A14">
            <v>6</v>
          </cell>
          <cell r="C14" t="str">
            <v>Verkauf mit Kühlprodukten</v>
          </cell>
          <cell r="D14" t="str">
            <v>x</v>
          </cell>
          <cell r="E14" t="str">
            <v>x</v>
          </cell>
          <cell r="F14">
            <v>1</v>
          </cell>
          <cell r="G14">
            <v>4</v>
          </cell>
          <cell r="H14">
            <v>20</v>
          </cell>
          <cell r="I14">
            <v>20</v>
          </cell>
          <cell r="J14">
            <v>400</v>
          </cell>
          <cell r="K14">
            <v>5</v>
          </cell>
          <cell r="L14" t="str">
            <v>x</v>
          </cell>
          <cell r="N14">
            <v>25</v>
          </cell>
          <cell r="O14">
            <v>25</v>
          </cell>
          <cell r="P14" t="str">
            <v>x</v>
          </cell>
          <cell r="Q14">
            <v>0</v>
          </cell>
          <cell r="S14" t="str">
            <v>L01</v>
          </cell>
          <cell r="T14" t="str">
            <v>x</v>
          </cell>
          <cell r="V14">
            <v>5.0909090909090908</v>
          </cell>
          <cell r="W14">
            <v>5</v>
          </cell>
          <cell r="X14" t="str">
            <v>Verkauf mit Kühlprodukten</v>
          </cell>
          <cell r="Y14" t="str">
            <v>x</v>
          </cell>
          <cell r="Z14">
            <v>400</v>
          </cell>
          <cell r="AA14">
            <v>1.4141414141414141</v>
          </cell>
          <cell r="AB14">
            <v>3600</v>
          </cell>
          <cell r="AC14">
            <v>0</v>
          </cell>
          <cell r="AD14">
            <v>4</v>
          </cell>
          <cell r="AE14">
            <v>5</v>
          </cell>
          <cell r="AF14" t="str">
            <v>x</v>
          </cell>
          <cell r="AG14">
            <v>25</v>
          </cell>
          <cell r="AH14">
            <v>25</v>
          </cell>
          <cell r="AI14" t="str">
            <v>x</v>
          </cell>
          <cell r="AJ14">
            <v>0</v>
          </cell>
          <cell r="AK14">
            <v>800</v>
          </cell>
          <cell r="AL14">
            <v>600</v>
          </cell>
          <cell r="AM14">
            <v>0.55000000000000004</v>
          </cell>
          <cell r="AN14">
            <v>3600</v>
          </cell>
          <cell r="AO14">
            <v>1140</v>
          </cell>
          <cell r="AP14">
            <v>580</v>
          </cell>
          <cell r="AQ14" t="str">
            <v>1-stufig</v>
          </cell>
          <cell r="AR14">
            <v>0</v>
          </cell>
          <cell r="AS14">
            <v>80</v>
          </cell>
          <cell r="AT14">
            <v>2000</v>
          </cell>
          <cell r="AU14">
            <v>2000</v>
          </cell>
          <cell r="AV14" t="str">
            <v>1-stufig</v>
          </cell>
          <cell r="AW14">
            <v>800</v>
          </cell>
          <cell r="AX14">
            <v>600</v>
          </cell>
          <cell r="AY14">
            <v>0.55000000000000004</v>
          </cell>
          <cell r="AZ14">
            <v>1.4141414141414141</v>
          </cell>
          <cell r="BA14">
            <v>3600</v>
          </cell>
          <cell r="BB14" t="str">
            <v>040829_234242_0006</v>
          </cell>
          <cell r="BC14">
            <v>5</v>
          </cell>
          <cell r="BD14">
            <v>5</v>
          </cell>
          <cell r="BE14">
            <v>5</v>
          </cell>
          <cell r="BG14">
            <v>3600</v>
          </cell>
          <cell r="BH14">
            <v>1863.4560000000008</v>
          </cell>
          <cell r="BI14">
            <v>1353.6000000000001</v>
          </cell>
          <cell r="BJ14">
            <v>7200000</v>
          </cell>
        </row>
        <row r="15">
          <cell r="A15">
            <v>7</v>
          </cell>
          <cell r="C15" t="str">
            <v>Warenhaus</v>
          </cell>
          <cell r="D15" t="str">
            <v>x</v>
          </cell>
          <cell r="E15" t="str">
            <v>x</v>
          </cell>
          <cell r="F15">
            <v>1</v>
          </cell>
          <cell r="G15">
            <v>4</v>
          </cell>
          <cell r="H15">
            <v>40</v>
          </cell>
          <cell r="I15">
            <v>40</v>
          </cell>
          <cell r="J15">
            <v>1600</v>
          </cell>
          <cell r="K15">
            <v>3</v>
          </cell>
          <cell r="L15" t="str">
            <v>x</v>
          </cell>
          <cell r="N15">
            <v>25</v>
          </cell>
          <cell r="O15">
            <v>25</v>
          </cell>
          <cell r="P15" t="str">
            <v>x</v>
          </cell>
          <cell r="Q15">
            <v>0</v>
          </cell>
          <cell r="S15" t="str">
            <v>L01</v>
          </cell>
          <cell r="T15" t="str">
            <v>x</v>
          </cell>
          <cell r="V15">
            <v>33.939393939393938</v>
          </cell>
          <cell r="W15">
            <v>8.3333333333333339</v>
          </cell>
          <cell r="X15" t="str">
            <v>Warenhaus</v>
          </cell>
          <cell r="Y15" t="str">
            <v>x</v>
          </cell>
          <cell r="Z15">
            <v>1600</v>
          </cell>
          <cell r="AA15">
            <v>9.4276094276094273</v>
          </cell>
          <cell r="AB15">
            <v>3600</v>
          </cell>
          <cell r="AC15">
            <v>0</v>
          </cell>
          <cell r="AD15">
            <v>4</v>
          </cell>
          <cell r="AE15">
            <v>3</v>
          </cell>
          <cell r="AF15" t="str">
            <v>x</v>
          </cell>
          <cell r="AG15">
            <v>25</v>
          </cell>
          <cell r="AH15">
            <v>25</v>
          </cell>
          <cell r="AI15" t="str">
            <v>x</v>
          </cell>
          <cell r="AJ15">
            <v>0</v>
          </cell>
          <cell r="AK15">
            <v>800</v>
          </cell>
          <cell r="AL15">
            <v>600</v>
          </cell>
          <cell r="AM15">
            <v>0.55000000000000004</v>
          </cell>
          <cell r="AN15">
            <v>3600</v>
          </cell>
          <cell r="AO15">
            <v>1140</v>
          </cell>
          <cell r="AP15">
            <v>580</v>
          </cell>
          <cell r="AQ15" t="str">
            <v>1-stufig</v>
          </cell>
          <cell r="AR15">
            <v>0</v>
          </cell>
          <cell r="AS15">
            <v>533.33333333333337</v>
          </cell>
          <cell r="AT15">
            <v>13333.333333333334</v>
          </cell>
          <cell r="AU15">
            <v>13333.333333333334</v>
          </cell>
          <cell r="AV15" t="str">
            <v>1-stufig</v>
          </cell>
          <cell r="AW15">
            <v>800</v>
          </cell>
          <cell r="AX15">
            <v>600</v>
          </cell>
          <cell r="AY15">
            <v>0.55000000000000004</v>
          </cell>
          <cell r="AZ15">
            <v>9.4276094276094273</v>
          </cell>
          <cell r="BA15">
            <v>3600</v>
          </cell>
          <cell r="BB15" t="str">
            <v>040829_234246_0007</v>
          </cell>
          <cell r="BC15">
            <v>8.3333333333333339</v>
          </cell>
          <cell r="BD15">
            <v>8.3333333333333339</v>
          </cell>
          <cell r="BE15">
            <v>3</v>
          </cell>
          <cell r="BG15">
            <v>3600</v>
          </cell>
          <cell r="BH15">
            <v>1863.4560000000008</v>
          </cell>
          <cell r="BI15">
            <v>1353.6000000000001</v>
          </cell>
          <cell r="BJ15">
            <v>48000000</v>
          </cell>
        </row>
        <row r="16">
          <cell r="A16">
            <v>8</v>
          </cell>
          <cell r="C16" t="str">
            <v>Schulzimmer</v>
          </cell>
          <cell r="D16" t="str">
            <v>x</v>
          </cell>
          <cell r="E16" t="str">
            <v>x</v>
          </cell>
          <cell r="F16">
            <v>1</v>
          </cell>
          <cell r="G16">
            <v>3</v>
          </cell>
          <cell r="H16">
            <v>9</v>
          </cell>
          <cell r="I16">
            <v>9</v>
          </cell>
          <cell r="J16">
            <v>81</v>
          </cell>
          <cell r="K16">
            <v>3</v>
          </cell>
          <cell r="L16" t="str">
            <v>x</v>
          </cell>
          <cell r="N16">
            <v>25</v>
          </cell>
          <cell r="O16">
            <v>25</v>
          </cell>
          <cell r="P16" t="str">
            <v>x</v>
          </cell>
          <cell r="Q16">
            <v>0</v>
          </cell>
          <cell r="S16" t="str">
            <v>L01</v>
          </cell>
          <cell r="T16" t="str">
            <v>x</v>
          </cell>
          <cell r="V16">
            <v>0.95454545454545447</v>
          </cell>
          <cell r="W16">
            <v>8.3333333333333339</v>
          </cell>
          <cell r="X16" t="str">
            <v>Schulzimmer</v>
          </cell>
          <cell r="Y16" t="str">
            <v>x</v>
          </cell>
          <cell r="Z16">
            <v>81</v>
          </cell>
          <cell r="AA16">
            <v>0.47727272727272724</v>
          </cell>
          <cell r="AB16">
            <v>2000</v>
          </cell>
          <cell r="AC16">
            <v>0</v>
          </cell>
          <cell r="AD16">
            <v>3</v>
          </cell>
          <cell r="AE16">
            <v>3</v>
          </cell>
          <cell r="AF16" t="str">
            <v>x</v>
          </cell>
          <cell r="AG16">
            <v>25</v>
          </cell>
          <cell r="AH16">
            <v>25</v>
          </cell>
          <cell r="AI16" t="str">
            <v>x</v>
          </cell>
          <cell r="AJ16">
            <v>0</v>
          </cell>
          <cell r="AK16">
            <v>800</v>
          </cell>
          <cell r="AL16">
            <v>600</v>
          </cell>
          <cell r="AM16">
            <v>0.55000000000000004</v>
          </cell>
          <cell r="AN16">
            <v>2000</v>
          </cell>
          <cell r="AO16">
            <v>1240</v>
          </cell>
          <cell r="AP16">
            <v>580</v>
          </cell>
          <cell r="AQ16" t="str">
            <v>1-stufig</v>
          </cell>
          <cell r="AR16">
            <v>0</v>
          </cell>
          <cell r="AS16">
            <v>27</v>
          </cell>
          <cell r="AT16">
            <v>675</v>
          </cell>
          <cell r="AU16">
            <v>675</v>
          </cell>
          <cell r="AV16" t="str">
            <v>1-stufig</v>
          </cell>
          <cell r="AW16">
            <v>800</v>
          </cell>
          <cell r="AX16">
            <v>600</v>
          </cell>
          <cell r="AY16">
            <v>0.55000000000000004</v>
          </cell>
          <cell r="AZ16">
            <v>0.47727272727272724</v>
          </cell>
          <cell r="BA16">
            <v>2000</v>
          </cell>
          <cell r="BB16" t="str">
            <v>040829_234455_0008</v>
          </cell>
          <cell r="BC16">
            <v>8.3333333333333339</v>
          </cell>
          <cell r="BD16">
            <v>8.3333333333333339</v>
          </cell>
          <cell r="BE16">
            <v>3</v>
          </cell>
          <cell r="BG16">
            <v>2000</v>
          </cell>
          <cell r="BH16">
            <v>1592</v>
          </cell>
          <cell r="BI16">
            <v>1000</v>
          </cell>
          <cell r="BJ16">
            <v>1350000</v>
          </cell>
        </row>
        <row r="17">
          <cell r="D17"/>
          <cell r="E17" t="str">
            <v xml:space="preserve"> </v>
          </cell>
          <cell r="V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C17">
            <v>0</v>
          </cell>
          <cell r="BD17">
            <v>0</v>
          </cell>
          <cell r="BE17">
            <v>0</v>
          </cell>
          <cell r="BG17">
            <v>0</v>
          </cell>
          <cell r="BH17">
            <v>0</v>
          </cell>
          <cell r="BI17">
            <v>0</v>
          </cell>
          <cell r="BJ17">
            <v>0</v>
          </cell>
        </row>
        <row r="18">
          <cell r="D18"/>
          <cell r="E18" t="str">
            <v xml:space="preserve"> </v>
          </cell>
          <cell r="V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C18">
            <v>0</v>
          </cell>
          <cell r="BD18">
            <v>0</v>
          </cell>
          <cell r="BE18">
            <v>0</v>
          </cell>
          <cell r="BG18">
            <v>0</v>
          </cell>
          <cell r="BH18">
            <v>0</v>
          </cell>
          <cell r="BI18">
            <v>0</v>
          </cell>
          <cell r="BJ18">
            <v>0</v>
          </cell>
        </row>
        <row r="19">
          <cell r="D19"/>
          <cell r="E19" t="str">
            <v xml:space="preserve"> </v>
          </cell>
          <cell r="V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C19">
            <v>0</v>
          </cell>
          <cell r="BD19">
            <v>0</v>
          </cell>
          <cell r="BE19">
            <v>0</v>
          </cell>
          <cell r="BG19">
            <v>0</v>
          </cell>
          <cell r="BH19">
            <v>0</v>
          </cell>
          <cell r="BI19">
            <v>0</v>
          </cell>
          <cell r="BJ19">
            <v>0</v>
          </cell>
        </row>
        <row r="20">
          <cell r="D20"/>
          <cell r="E20" t="str">
            <v xml:space="preserve"> </v>
          </cell>
          <cell r="V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C20">
            <v>0</v>
          </cell>
          <cell r="BD20">
            <v>0</v>
          </cell>
          <cell r="BE20">
            <v>0</v>
          </cell>
          <cell r="BG20">
            <v>0</v>
          </cell>
          <cell r="BH20">
            <v>0</v>
          </cell>
          <cell r="BI20">
            <v>0</v>
          </cell>
          <cell r="BJ20">
            <v>0</v>
          </cell>
        </row>
        <row r="21">
          <cell r="D21"/>
          <cell r="E21" t="str">
            <v xml:space="preserve"> </v>
          </cell>
          <cell r="V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C21">
            <v>0</v>
          </cell>
          <cell r="BD21">
            <v>0</v>
          </cell>
          <cell r="BE21">
            <v>0</v>
          </cell>
          <cell r="BG21">
            <v>0</v>
          </cell>
          <cell r="BH21">
            <v>0</v>
          </cell>
          <cell r="BI21">
            <v>0</v>
          </cell>
          <cell r="BJ21">
            <v>0</v>
          </cell>
        </row>
        <row r="22">
          <cell r="D22"/>
          <cell r="E22" t="str">
            <v xml:space="preserve"> </v>
          </cell>
          <cell r="V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C22">
            <v>0</v>
          </cell>
          <cell r="BD22">
            <v>0</v>
          </cell>
          <cell r="BE22">
            <v>0</v>
          </cell>
          <cell r="BG22">
            <v>0</v>
          </cell>
          <cell r="BH22">
            <v>0</v>
          </cell>
          <cell r="BI22">
            <v>0</v>
          </cell>
          <cell r="BJ22">
            <v>0</v>
          </cell>
        </row>
        <row r="23">
          <cell r="D23"/>
          <cell r="E23" t="str">
            <v xml:space="preserve"> </v>
          </cell>
          <cell r="V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S23">
            <v>0</v>
          </cell>
          <cell r="AT23">
            <v>0</v>
          </cell>
          <cell r="AU23">
            <v>0</v>
          </cell>
          <cell r="AV23">
            <v>0</v>
          </cell>
          <cell r="AW23">
            <v>0</v>
          </cell>
          <cell r="AX23">
            <v>0</v>
          </cell>
          <cell r="AY23">
            <v>0</v>
          </cell>
          <cell r="AZ23">
            <v>0</v>
          </cell>
          <cell r="BA23">
            <v>0</v>
          </cell>
          <cell r="BC23">
            <v>0</v>
          </cell>
          <cell r="BD23">
            <v>0</v>
          </cell>
          <cell r="BE23">
            <v>0</v>
          </cell>
          <cell r="BG23">
            <v>0</v>
          </cell>
          <cell r="BH23">
            <v>0</v>
          </cell>
          <cell r="BI23">
            <v>0</v>
          </cell>
          <cell r="BJ23">
            <v>0</v>
          </cell>
        </row>
        <row r="24">
          <cell r="D24"/>
          <cell r="E24" t="str">
            <v xml:space="preserve"> </v>
          </cell>
          <cell r="U24">
            <v>0</v>
          </cell>
          <cell r="V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S24">
            <v>0</v>
          </cell>
          <cell r="AT24">
            <v>0</v>
          </cell>
          <cell r="AU24">
            <v>0</v>
          </cell>
          <cell r="AV24">
            <v>0</v>
          </cell>
          <cell r="AW24">
            <v>0</v>
          </cell>
          <cell r="AX24">
            <v>0</v>
          </cell>
          <cell r="AY24">
            <v>0</v>
          </cell>
          <cell r="AZ24">
            <v>0</v>
          </cell>
          <cell r="BA24">
            <v>0</v>
          </cell>
          <cell r="BC24">
            <v>0</v>
          </cell>
          <cell r="BD24">
            <v>0</v>
          </cell>
          <cell r="BE24">
            <v>0</v>
          </cell>
          <cell r="BG24">
            <v>0</v>
          </cell>
          <cell r="BH24">
            <v>0</v>
          </cell>
          <cell r="BI24">
            <v>0</v>
          </cell>
          <cell r="BJ24">
            <v>0</v>
          </cell>
        </row>
        <row r="25">
          <cell r="D25"/>
          <cell r="Q25">
            <v>0</v>
          </cell>
          <cell r="U25">
            <v>0</v>
          </cell>
          <cell r="V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S25">
            <v>0</v>
          </cell>
          <cell r="AT25">
            <v>0</v>
          </cell>
          <cell r="AU25">
            <v>0</v>
          </cell>
          <cell r="AV25">
            <v>0</v>
          </cell>
          <cell r="AW25">
            <v>0</v>
          </cell>
          <cell r="AX25">
            <v>0</v>
          </cell>
          <cell r="AY25">
            <v>0</v>
          </cell>
          <cell r="AZ25">
            <v>0</v>
          </cell>
          <cell r="BA25">
            <v>0</v>
          </cell>
          <cell r="BC25">
            <v>0</v>
          </cell>
          <cell r="BD25">
            <v>0</v>
          </cell>
          <cell r="BE25">
            <v>0</v>
          </cell>
          <cell r="BG25">
            <v>0</v>
          </cell>
          <cell r="BH25">
            <v>0</v>
          </cell>
          <cell r="BI25">
            <v>0</v>
          </cell>
          <cell r="BJ25">
            <v>0</v>
          </cell>
        </row>
        <row r="26">
          <cell r="D26"/>
          <cell r="Q26">
            <v>0</v>
          </cell>
          <cell r="U26">
            <v>0</v>
          </cell>
          <cell r="V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S26">
            <v>0</v>
          </cell>
          <cell r="AT26">
            <v>0</v>
          </cell>
          <cell r="AU26">
            <v>0</v>
          </cell>
          <cell r="AV26">
            <v>0</v>
          </cell>
          <cell r="AW26">
            <v>0</v>
          </cell>
          <cell r="AX26">
            <v>0</v>
          </cell>
          <cell r="AY26">
            <v>0</v>
          </cell>
          <cell r="AZ26">
            <v>0</v>
          </cell>
          <cell r="BA26">
            <v>0</v>
          </cell>
          <cell r="BC26">
            <v>0</v>
          </cell>
          <cell r="BD26">
            <v>0</v>
          </cell>
          <cell r="BE26">
            <v>0</v>
          </cell>
          <cell r="BG26">
            <v>0</v>
          </cell>
          <cell r="BH26">
            <v>0</v>
          </cell>
          <cell r="BI26">
            <v>0</v>
          </cell>
          <cell r="BJ26">
            <v>0</v>
          </cell>
        </row>
        <row r="27">
          <cell r="D27"/>
          <cell r="Q27">
            <v>0</v>
          </cell>
          <cell r="U27">
            <v>0</v>
          </cell>
          <cell r="V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S27">
            <v>0</v>
          </cell>
          <cell r="AT27">
            <v>0</v>
          </cell>
          <cell r="AU27">
            <v>0</v>
          </cell>
          <cell r="AV27">
            <v>0</v>
          </cell>
          <cell r="AW27">
            <v>0</v>
          </cell>
          <cell r="AX27">
            <v>0</v>
          </cell>
          <cell r="AY27">
            <v>0</v>
          </cell>
          <cell r="AZ27">
            <v>0</v>
          </cell>
          <cell r="BA27">
            <v>0</v>
          </cell>
          <cell r="BC27">
            <v>0</v>
          </cell>
          <cell r="BD27">
            <v>0</v>
          </cell>
          <cell r="BE27">
            <v>0</v>
          </cell>
          <cell r="BG27">
            <v>0</v>
          </cell>
          <cell r="BH27">
            <v>0</v>
          </cell>
          <cell r="BI27">
            <v>0</v>
          </cell>
          <cell r="BJ27">
            <v>0</v>
          </cell>
        </row>
        <row r="28">
          <cell r="D28"/>
          <cell r="Q28">
            <v>0</v>
          </cell>
          <cell r="U28">
            <v>0</v>
          </cell>
          <cell r="V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S28">
            <v>0</v>
          </cell>
          <cell r="AT28">
            <v>0</v>
          </cell>
          <cell r="AU28">
            <v>0</v>
          </cell>
          <cell r="AV28">
            <v>0</v>
          </cell>
          <cell r="AW28">
            <v>0</v>
          </cell>
          <cell r="AX28">
            <v>0</v>
          </cell>
          <cell r="AY28">
            <v>0</v>
          </cell>
          <cell r="AZ28">
            <v>0</v>
          </cell>
          <cell r="BA28">
            <v>0</v>
          </cell>
          <cell r="BC28">
            <v>0</v>
          </cell>
          <cell r="BD28">
            <v>0</v>
          </cell>
          <cell r="BE28">
            <v>0</v>
          </cell>
          <cell r="BG28">
            <v>0</v>
          </cell>
          <cell r="BH28">
            <v>0</v>
          </cell>
          <cell r="BI28">
            <v>0</v>
          </cell>
          <cell r="BJ28">
            <v>0</v>
          </cell>
        </row>
        <row r="29">
          <cell r="D29"/>
          <cell r="Q29">
            <v>0</v>
          </cell>
          <cell r="U29">
            <v>0</v>
          </cell>
          <cell r="V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S29">
            <v>0</v>
          </cell>
          <cell r="AT29">
            <v>0</v>
          </cell>
          <cell r="AU29">
            <v>0</v>
          </cell>
          <cell r="AV29">
            <v>0</v>
          </cell>
          <cell r="AW29">
            <v>0</v>
          </cell>
          <cell r="AX29">
            <v>0</v>
          </cell>
          <cell r="AY29">
            <v>0</v>
          </cell>
          <cell r="AZ29">
            <v>0</v>
          </cell>
          <cell r="BA29">
            <v>0</v>
          </cell>
          <cell r="BC29">
            <v>0</v>
          </cell>
          <cell r="BD29">
            <v>0</v>
          </cell>
          <cell r="BE29">
            <v>0</v>
          </cell>
          <cell r="BG29">
            <v>0</v>
          </cell>
          <cell r="BH29">
            <v>0</v>
          </cell>
          <cell r="BI29">
            <v>0</v>
          </cell>
          <cell r="BJ29">
            <v>0</v>
          </cell>
        </row>
        <row r="30">
          <cell r="D30"/>
          <cell r="Q30">
            <v>0</v>
          </cell>
          <cell r="U30">
            <v>0</v>
          </cell>
          <cell r="V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S30">
            <v>0</v>
          </cell>
          <cell r="AT30">
            <v>0</v>
          </cell>
          <cell r="AU30">
            <v>0</v>
          </cell>
          <cell r="AV30">
            <v>0</v>
          </cell>
          <cell r="AW30">
            <v>0</v>
          </cell>
          <cell r="AX30">
            <v>0</v>
          </cell>
          <cell r="AY30">
            <v>0</v>
          </cell>
          <cell r="AZ30">
            <v>0</v>
          </cell>
          <cell r="BA30">
            <v>0</v>
          </cell>
          <cell r="BC30">
            <v>0</v>
          </cell>
          <cell r="BD30">
            <v>0</v>
          </cell>
          <cell r="BE30">
            <v>0</v>
          </cell>
          <cell r="BG30">
            <v>0</v>
          </cell>
          <cell r="BH30">
            <v>0</v>
          </cell>
          <cell r="BI30">
            <v>0</v>
          </cell>
          <cell r="BJ30">
            <v>0</v>
          </cell>
        </row>
        <row r="31">
          <cell r="D31"/>
          <cell r="Q31">
            <v>0</v>
          </cell>
          <cell r="U31">
            <v>0</v>
          </cell>
          <cell r="V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S31">
            <v>0</v>
          </cell>
          <cell r="AT31">
            <v>0</v>
          </cell>
          <cell r="AU31">
            <v>0</v>
          </cell>
          <cell r="AV31">
            <v>0</v>
          </cell>
          <cell r="AW31">
            <v>0</v>
          </cell>
          <cell r="AX31">
            <v>0</v>
          </cell>
          <cell r="AY31">
            <v>0</v>
          </cell>
          <cell r="AZ31">
            <v>0</v>
          </cell>
          <cell r="BA31">
            <v>0</v>
          </cell>
          <cell r="BC31">
            <v>0</v>
          </cell>
          <cell r="BD31">
            <v>0</v>
          </cell>
          <cell r="BE31">
            <v>0</v>
          </cell>
          <cell r="BG31">
            <v>0</v>
          </cell>
          <cell r="BH31">
            <v>0</v>
          </cell>
          <cell r="BI31">
            <v>0</v>
          </cell>
          <cell r="BJ31">
            <v>0</v>
          </cell>
        </row>
        <row r="32">
          <cell r="D32"/>
          <cell r="Q32">
            <v>0</v>
          </cell>
          <cell r="U32">
            <v>0</v>
          </cell>
          <cell r="V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S32">
            <v>0</v>
          </cell>
          <cell r="AT32">
            <v>0</v>
          </cell>
          <cell r="AU32">
            <v>0</v>
          </cell>
          <cell r="AV32">
            <v>0</v>
          </cell>
          <cell r="AW32">
            <v>0</v>
          </cell>
          <cell r="AX32">
            <v>0</v>
          </cell>
          <cell r="AY32">
            <v>0</v>
          </cell>
          <cell r="AZ32">
            <v>0</v>
          </cell>
          <cell r="BA32">
            <v>0</v>
          </cell>
          <cell r="BC32">
            <v>0</v>
          </cell>
          <cell r="BD32">
            <v>0</v>
          </cell>
          <cell r="BE32">
            <v>0</v>
          </cell>
          <cell r="BG32">
            <v>0</v>
          </cell>
          <cell r="BH32">
            <v>0</v>
          </cell>
          <cell r="BI32">
            <v>0</v>
          </cell>
          <cell r="BJ32">
            <v>0</v>
          </cell>
        </row>
        <row r="33">
          <cell r="D33"/>
          <cell r="Q33">
            <v>0</v>
          </cell>
          <cell r="U33">
            <v>0</v>
          </cell>
          <cell r="V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S33">
            <v>0</v>
          </cell>
          <cell r="AT33">
            <v>0</v>
          </cell>
          <cell r="AU33">
            <v>0</v>
          </cell>
          <cell r="AV33">
            <v>0</v>
          </cell>
          <cell r="AW33">
            <v>0</v>
          </cell>
          <cell r="AX33">
            <v>0</v>
          </cell>
          <cell r="AY33">
            <v>0</v>
          </cell>
          <cell r="AZ33">
            <v>0</v>
          </cell>
          <cell r="BA33">
            <v>0</v>
          </cell>
          <cell r="BC33">
            <v>0</v>
          </cell>
          <cell r="BD33">
            <v>0</v>
          </cell>
          <cell r="BE33">
            <v>0</v>
          </cell>
          <cell r="BG33">
            <v>0</v>
          </cell>
          <cell r="BH33">
            <v>0</v>
          </cell>
          <cell r="BI33">
            <v>0</v>
          </cell>
          <cell r="BJ33">
            <v>0</v>
          </cell>
        </row>
        <row r="34">
          <cell r="A34" t="str">
            <v>Total</v>
          </cell>
          <cell r="J34">
            <v>2841</v>
          </cell>
          <cell r="V34">
            <v>47.165272727272722</v>
          </cell>
        </row>
      </sheetData>
      <sheetData sheetId="3">
        <row r="3">
          <cell r="A3" t="str">
            <v>Erfassung Anlagen</v>
          </cell>
          <cell r="O3" t="str">
            <v>Objekt: Mustergebäude</v>
          </cell>
        </row>
        <row r="5">
          <cell r="C5" t="str">
            <v>Default Parameter</v>
          </cell>
        </row>
        <row r="6">
          <cell r="A6" t="str">
            <v>Anlage 
[Nr]</v>
          </cell>
          <cell r="B6" t="str">
            <v>Beschreibung</v>
          </cell>
          <cell r="D6" t="str">
            <v>Zuluft 
Druck Verlust 
[Pa]</v>
          </cell>
          <cell r="E6" t="str">
            <v>Abluft
Druck Verlust
[Pa]</v>
          </cell>
          <cell r="F6" t="str">
            <v>Wirkungs-grad 
[%]</v>
          </cell>
          <cell r="G6" t="str">
            <v>Gleichzeitigkeit 
[%]</v>
          </cell>
          <cell r="H6" t="str">
            <v>Steuerung</v>
          </cell>
          <cell r="I6" t="str">
            <v>Faktor kleine 
Stufe [%]</v>
          </cell>
          <cell r="J6" t="str">
            <v>Anteil Vollastst.
kleine Stufe [%]</v>
          </cell>
          <cell r="K6" t="str">
            <v>Zuluft Volumen-strom 
[m³/h]</v>
          </cell>
          <cell r="L6" t="str">
            <v>Abluft Volumen-strom 
[m³/h]</v>
          </cell>
          <cell r="M6" t="str">
            <v>Elektrische Leistung [kW]</v>
          </cell>
          <cell r="N6" t="str">
            <v>Volllast Stunden [h/a]</v>
          </cell>
          <cell r="O6" t="str">
            <v>Energie Verbrauch [MWh/a]</v>
          </cell>
        </row>
        <row r="7">
          <cell r="A7" t="str">
            <v>Default</v>
          </cell>
          <cell r="C7" t="str">
            <v>x</v>
          </cell>
          <cell r="F7">
            <v>0.55000000000000004</v>
          </cell>
          <cell r="G7">
            <v>1</v>
          </cell>
          <cell r="H7" t="str">
            <v>1-stufig</v>
          </cell>
        </row>
        <row r="8">
          <cell r="A8" t="str">
            <v>Formel</v>
          </cell>
          <cell r="K8">
            <v>0</v>
          </cell>
          <cell r="L8">
            <v>0</v>
          </cell>
          <cell r="M8">
            <v>0</v>
          </cell>
          <cell r="N8">
            <v>0</v>
          </cell>
          <cell r="O8">
            <v>0</v>
          </cell>
          <cell r="S8" t="e">
            <v>#N/A</v>
          </cell>
          <cell r="T8" t="e">
            <v>#N/A</v>
          </cell>
          <cell r="U8" t="e">
            <v>#N/A</v>
          </cell>
          <cell r="V8" t="e">
            <v>#N/A</v>
          </cell>
        </row>
        <row r="9">
          <cell r="A9" t="str">
            <v>L01</v>
          </cell>
          <cell r="C9" t="str">
            <v>x</v>
          </cell>
          <cell r="D9">
            <v>800</v>
          </cell>
          <cell r="E9">
            <v>600</v>
          </cell>
          <cell r="F9">
            <v>0.55000000000000004</v>
          </cell>
          <cell r="G9">
            <v>1</v>
          </cell>
          <cell r="H9" t="str">
            <v>1-stufig</v>
          </cell>
          <cell r="K9">
            <v>19220</v>
          </cell>
          <cell r="L9">
            <v>19220</v>
          </cell>
          <cell r="M9">
            <v>13.589898989898989</v>
          </cell>
          <cell r="N9">
            <v>3470</v>
          </cell>
          <cell r="O9">
            <v>47.165272727272722</v>
          </cell>
          <cell r="S9">
            <v>800</v>
          </cell>
          <cell r="T9">
            <v>600</v>
          </cell>
          <cell r="U9">
            <v>0.55000000000000004</v>
          </cell>
          <cell r="V9" t="str">
            <v>1-stufig</v>
          </cell>
        </row>
        <row r="10">
          <cell r="K10">
            <v>0</v>
          </cell>
          <cell r="L10">
            <v>0</v>
          </cell>
          <cell r="M10">
            <v>0</v>
          </cell>
          <cell r="N10">
            <v>0</v>
          </cell>
          <cell r="O10">
            <v>0</v>
          </cell>
          <cell r="S10">
            <v>0</v>
          </cell>
          <cell r="T10">
            <v>0</v>
          </cell>
          <cell r="U10">
            <v>0</v>
          </cell>
          <cell r="V10">
            <v>0</v>
          </cell>
        </row>
        <row r="11">
          <cell r="K11">
            <v>0</v>
          </cell>
          <cell r="L11">
            <v>0</v>
          </cell>
          <cell r="M11">
            <v>0</v>
          </cell>
          <cell r="N11">
            <v>0</v>
          </cell>
          <cell r="O11">
            <v>0</v>
          </cell>
          <cell r="S11">
            <v>0</v>
          </cell>
          <cell r="T11">
            <v>0</v>
          </cell>
          <cell r="U11">
            <v>0</v>
          </cell>
          <cell r="V11">
            <v>0</v>
          </cell>
        </row>
        <row r="12">
          <cell r="K12">
            <v>0</v>
          </cell>
          <cell r="L12">
            <v>0</v>
          </cell>
          <cell r="M12">
            <v>0</v>
          </cell>
          <cell r="N12">
            <v>0</v>
          </cell>
          <cell r="O12">
            <v>0</v>
          </cell>
          <cell r="S12">
            <v>0</v>
          </cell>
          <cell r="T12">
            <v>0</v>
          </cell>
          <cell r="U12">
            <v>0</v>
          </cell>
          <cell r="V12">
            <v>0</v>
          </cell>
        </row>
        <row r="13">
          <cell r="K13">
            <v>0</v>
          </cell>
          <cell r="L13">
            <v>0</v>
          </cell>
          <cell r="M13">
            <v>0</v>
          </cell>
          <cell r="N13">
            <v>0</v>
          </cell>
          <cell r="O13">
            <v>0</v>
          </cell>
          <cell r="S13">
            <v>0</v>
          </cell>
          <cell r="T13">
            <v>0</v>
          </cell>
          <cell r="U13">
            <v>0</v>
          </cell>
          <cell r="V13">
            <v>0</v>
          </cell>
        </row>
        <row r="14">
          <cell r="K14">
            <v>0</v>
          </cell>
          <cell r="L14">
            <v>0</v>
          </cell>
          <cell r="M14">
            <v>0</v>
          </cell>
          <cell r="N14">
            <v>0</v>
          </cell>
          <cell r="O14">
            <v>0</v>
          </cell>
          <cell r="S14">
            <v>0</v>
          </cell>
          <cell r="T14">
            <v>0</v>
          </cell>
          <cell r="U14">
            <v>0</v>
          </cell>
          <cell r="V14">
            <v>0</v>
          </cell>
        </row>
        <row r="15">
          <cell r="K15">
            <v>0</v>
          </cell>
          <cell r="L15">
            <v>0</v>
          </cell>
          <cell r="M15">
            <v>0</v>
          </cell>
          <cell r="N15">
            <v>0</v>
          </cell>
          <cell r="O15">
            <v>0</v>
          </cell>
          <cell r="S15">
            <v>0</v>
          </cell>
          <cell r="T15">
            <v>0</v>
          </cell>
          <cell r="U15">
            <v>0</v>
          </cell>
          <cell r="V15">
            <v>0</v>
          </cell>
        </row>
        <row r="16">
          <cell r="K16">
            <v>0</v>
          </cell>
          <cell r="L16">
            <v>0</v>
          </cell>
          <cell r="M16">
            <v>0</v>
          </cell>
          <cell r="N16">
            <v>0</v>
          </cell>
          <cell r="O16">
            <v>0</v>
          </cell>
          <cell r="S16">
            <v>0</v>
          </cell>
          <cell r="T16">
            <v>0</v>
          </cell>
          <cell r="U16">
            <v>0</v>
          </cell>
          <cell r="V16">
            <v>0</v>
          </cell>
        </row>
        <row r="17">
          <cell r="K17">
            <v>0</v>
          </cell>
          <cell r="L17">
            <v>0</v>
          </cell>
          <cell r="M17">
            <v>0</v>
          </cell>
          <cell r="N17">
            <v>0</v>
          </cell>
          <cell r="O17">
            <v>0</v>
          </cell>
          <cell r="S17">
            <v>0</v>
          </cell>
          <cell r="T17">
            <v>0</v>
          </cell>
          <cell r="U17">
            <v>0</v>
          </cell>
          <cell r="V17">
            <v>0</v>
          </cell>
        </row>
        <row r="18">
          <cell r="K18">
            <v>0</v>
          </cell>
          <cell r="L18">
            <v>0</v>
          </cell>
          <cell r="M18">
            <v>0</v>
          </cell>
          <cell r="N18">
            <v>0</v>
          </cell>
          <cell r="O18">
            <v>0</v>
          </cell>
          <cell r="S18">
            <v>0</v>
          </cell>
          <cell r="T18">
            <v>0</v>
          </cell>
          <cell r="U18">
            <v>0</v>
          </cell>
          <cell r="V18">
            <v>0</v>
          </cell>
        </row>
        <row r="19">
          <cell r="K19">
            <v>0</v>
          </cell>
          <cell r="L19">
            <v>0</v>
          </cell>
          <cell r="M19">
            <v>0</v>
          </cell>
          <cell r="N19">
            <v>0</v>
          </cell>
          <cell r="O19">
            <v>0</v>
          </cell>
          <cell r="S19">
            <v>0</v>
          </cell>
          <cell r="T19">
            <v>0</v>
          </cell>
          <cell r="U19">
            <v>0</v>
          </cell>
          <cell r="V19">
            <v>0</v>
          </cell>
        </row>
        <row r="20">
          <cell r="K20">
            <v>0</v>
          </cell>
          <cell r="L20">
            <v>0</v>
          </cell>
          <cell r="M20">
            <v>0</v>
          </cell>
          <cell r="N20">
            <v>0</v>
          </cell>
          <cell r="O20">
            <v>0</v>
          </cell>
          <cell r="S20">
            <v>0</v>
          </cell>
          <cell r="T20">
            <v>0</v>
          </cell>
          <cell r="U20">
            <v>0</v>
          </cell>
          <cell r="V20">
            <v>0</v>
          </cell>
        </row>
        <row r="21">
          <cell r="K21">
            <v>0</v>
          </cell>
          <cell r="L21">
            <v>0</v>
          </cell>
          <cell r="M21">
            <v>0</v>
          </cell>
          <cell r="N21">
            <v>0</v>
          </cell>
          <cell r="O21">
            <v>0</v>
          </cell>
          <cell r="S21">
            <v>0</v>
          </cell>
          <cell r="T21">
            <v>0</v>
          </cell>
          <cell r="U21">
            <v>0</v>
          </cell>
          <cell r="V21">
            <v>0</v>
          </cell>
        </row>
        <row r="22">
          <cell r="K22">
            <v>0</v>
          </cell>
          <cell r="L22">
            <v>0</v>
          </cell>
          <cell r="M22">
            <v>0</v>
          </cell>
          <cell r="N22">
            <v>0</v>
          </cell>
          <cell r="O22">
            <v>0</v>
          </cell>
          <cell r="S22">
            <v>0</v>
          </cell>
          <cell r="T22">
            <v>0</v>
          </cell>
          <cell r="U22">
            <v>0</v>
          </cell>
          <cell r="V22">
            <v>0</v>
          </cell>
        </row>
        <row r="23">
          <cell r="K23">
            <v>0</v>
          </cell>
          <cell r="L23">
            <v>0</v>
          </cell>
          <cell r="M23">
            <v>0</v>
          </cell>
          <cell r="N23">
            <v>0</v>
          </cell>
          <cell r="O23">
            <v>0</v>
          </cell>
          <cell r="S23">
            <v>0</v>
          </cell>
          <cell r="T23">
            <v>0</v>
          </cell>
          <cell r="U23">
            <v>0</v>
          </cell>
          <cell r="V23">
            <v>0</v>
          </cell>
        </row>
        <row r="24">
          <cell r="K24">
            <v>0</v>
          </cell>
          <cell r="L24">
            <v>0</v>
          </cell>
          <cell r="M24">
            <v>0</v>
          </cell>
          <cell r="N24">
            <v>0</v>
          </cell>
          <cell r="O24">
            <v>0</v>
          </cell>
          <cell r="S24">
            <v>0</v>
          </cell>
          <cell r="T24">
            <v>0</v>
          </cell>
          <cell r="U24">
            <v>0</v>
          </cell>
          <cell r="V24">
            <v>0</v>
          </cell>
        </row>
        <row r="25">
          <cell r="K25">
            <v>0</v>
          </cell>
          <cell r="L25">
            <v>0</v>
          </cell>
          <cell r="M25">
            <v>0</v>
          </cell>
          <cell r="N25">
            <v>0</v>
          </cell>
          <cell r="O25">
            <v>0</v>
          </cell>
          <cell r="S25">
            <v>0</v>
          </cell>
          <cell r="T25">
            <v>0</v>
          </cell>
          <cell r="U25">
            <v>0</v>
          </cell>
          <cell r="V25">
            <v>0</v>
          </cell>
        </row>
        <row r="26">
          <cell r="K26">
            <v>0</v>
          </cell>
          <cell r="L26">
            <v>0</v>
          </cell>
          <cell r="M26">
            <v>0</v>
          </cell>
          <cell r="N26">
            <v>0</v>
          </cell>
          <cell r="O26">
            <v>0</v>
          </cell>
          <cell r="S26">
            <v>0</v>
          </cell>
          <cell r="T26">
            <v>0</v>
          </cell>
          <cell r="U26">
            <v>0</v>
          </cell>
          <cell r="V26">
            <v>0</v>
          </cell>
        </row>
        <row r="27">
          <cell r="K27">
            <v>0</v>
          </cell>
          <cell r="L27">
            <v>0</v>
          </cell>
          <cell r="M27">
            <v>0</v>
          </cell>
          <cell r="N27">
            <v>0</v>
          </cell>
          <cell r="O27">
            <v>0</v>
          </cell>
          <cell r="S27">
            <v>0</v>
          </cell>
          <cell r="T27">
            <v>0</v>
          </cell>
          <cell r="U27">
            <v>0</v>
          </cell>
          <cell r="V27">
            <v>0</v>
          </cell>
        </row>
        <row r="28">
          <cell r="K28">
            <v>0</v>
          </cell>
          <cell r="L28">
            <v>0</v>
          </cell>
          <cell r="M28">
            <v>0</v>
          </cell>
          <cell r="N28">
            <v>0</v>
          </cell>
          <cell r="O28">
            <v>0</v>
          </cell>
          <cell r="S28">
            <v>0</v>
          </cell>
          <cell r="T28">
            <v>0</v>
          </cell>
          <cell r="U28">
            <v>0</v>
          </cell>
          <cell r="V28">
            <v>0</v>
          </cell>
        </row>
        <row r="29">
          <cell r="K29">
            <v>0</v>
          </cell>
          <cell r="L29">
            <v>0</v>
          </cell>
          <cell r="M29">
            <v>0</v>
          </cell>
          <cell r="N29">
            <v>0</v>
          </cell>
          <cell r="O29">
            <v>0</v>
          </cell>
          <cell r="S29">
            <v>0</v>
          </cell>
          <cell r="T29">
            <v>0</v>
          </cell>
          <cell r="U29">
            <v>0</v>
          </cell>
          <cell r="V29">
            <v>0</v>
          </cell>
        </row>
        <row r="30">
          <cell r="K30">
            <v>0</v>
          </cell>
          <cell r="L30">
            <v>0</v>
          </cell>
          <cell r="M30">
            <v>0</v>
          </cell>
          <cell r="N30">
            <v>0</v>
          </cell>
          <cell r="O30">
            <v>0</v>
          </cell>
          <cell r="S30">
            <v>0</v>
          </cell>
          <cell r="T30">
            <v>0</v>
          </cell>
          <cell r="U30">
            <v>0</v>
          </cell>
          <cell r="V30">
            <v>0</v>
          </cell>
        </row>
        <row r="31">
          <cell r="K31">
            <v>0</v>
          </cell>
          <cell r="L31">
            <v>0</v>
          </cell>
          <cell r="M31">
            <v>0</v>
          </cell>
          <cell r="N31">
            <v>0</v>
          </cell>
          <cell r="O31">
            <v>0</v>
          </cell>
          <cell r="S31">
            <v>0</v>
          </cell>
          <cell r="T31">
            <v>0</v>
          </cell>
          <cell r="U31">
            <v>0</v>
          </cell>
          <cell r="V31">
            <v>0</v>
          </cell>
        </row>
        <row r="32">
          <cell r="K32">
            <v>0</v>
          </cell>
          <cell r="L32">
            <v>0</v>
          </cell>
          <cell r="M32">
            <v>0</v>
          </cell>
          <cell r="N32">
            <v>0</v>
          </cell>
          <cell r="O32">
            <v>0</v>
          </cell>
          <cell r="S32">
            <v>0</v>
          </cell>
          <cell r="T32">
            <v>0</v>
          </cell>
          <cell r="U32">
            <v>0</v>
          </cell>
          <cell r="V32">
            <v>0</v>
          </cell>
        </row>
        <row r="33">
          <cell r="A33" t="str">
            <v>Total</v>
          </cell>
          <cell r="K33">
            <v>19200</v>
          </cell>
          <cell r="L33">
            <v>19200</v>
          </cell>
          <cell r="M33">
            <v>13.589898989898989</v>
          </cell>
          <cell r="N33">
            <v>3470</v>
          </cell>
          <cell r="O33">
            <v>47.165272727272722</v>
          </cell>
        </row>
      </sheetData>
      <sheetData sheetId="4">
        <row r="3">
          <cell r="A3" t="str">
            <v xml:space="preserve">Spezielle Nutzungen </v>
          </cell>
          <cell r="AB3" t="str">
            <v>Objekt: Mustergebäude</v>
          </cell>
        </row>
        <row r="4">
          <cell r="A4" t="str">
            <v>Nutzung</v>
          </cell>
          <cell r="M4" t="str">
            <v>Vollaststunden 
Lüftung</v>
          </cell>
          <cell r="Q4" t="str">
            <v>Anlage</v>
          </cell>
          <cell r="W4" t="str">
            <v>Grenzwerte</v>
          </cell>
          <cell r="Z4" t="str">
            <v>Zielwerte</v>
          </cell>
          <cell r="AH4" t="str">
            <v>Standard</v>
          </cell>
          <cell r="BG4" t="str">
            <v>Standard</v>
          </cell>
        </row>
        <row r="5">
          <cell r="Q5" t="str">
            <v>Grenzwert</v>
          </cell>
          <cell r="T5" t="str">
            <v>Zielwert</v>
          </cell>
        </row>
        <row r="6">
          <cell r="A6" t="str">
            <v>Nr</v>
          </cell>
          <cell r="B6" t="str">
            <v>Nutzung</v>
          </cell>
          <cell r="C6" t="str">
            <v>vergleichbare Nutzung</v>
          </cell>
          <cell r="D6" t="str">
            <v>Belegungsdichte [m²/P]</v>
          </cell>
          <cell r="E6" t="str">
            <v>kurzzeitige Belegungsdauer [x]</v>
          </cell>
          <cell r="F6" t="str">
            <v>Rauchen erlaubt [x]</v>
          </cell>
          <cell r="G6" t="str">
            <v>Zuluft Volumenstrom</v>
          </cell>
          <cell r="H6" t="str">
            <v>Abluft Volumenstrom</v>
          </cell>
          <cell r="I6" t="str">
            <v>[m³/hPers]</v>
          </cell>
          <cell r="J6" t="str">
            <v>[m³/m²h]</v>
          </cell>
          <cell r="K6" t="str">
            <v>Anzahl Nutzungstage pro Woche [d/w]</v>
          </cell>
          <cell r="L6" t="str">
            <v>Jahresgleichzeitigkeit [-]</v>
          </cell>
          <cell r="M6" t="str">
            <v>1. Stufe (bei 2-stufiger Anlage) [%]</v>
          </cell>
          <cell r="N6" t="str">
            <v>1-stufig [h/a]</v>
          </cell>
          <cell r="O6" t="str">
            <v>2-stufig [h/a]</v>
          </cell>
          <cell r="P6" t="str">
            <v>stufenlos [h/a]</v>
          </cell>
          <cell r="Q6" t="str">
            <v>Druckverlust ZUL [Pa]</v>
          </cell>
          <cell r="R6" t="str">
            <v>Druckverlust ABL Pa]</v>
          </cell>
          <cell r="S6" t="str">
            <v>Gesamtwirkungsgrad Venti.</v>
          </cell>
          <cell r="T6" t="str">
            <v>Druckverlust ZUL [Pa]</v>
          </cell>
          <cell r="U6" t="str">
            <v>Druckverlust ABL [Pa]</v>
          </cell>
          <cell r="V6" t="str">
            <v>Gesamtwirkungsgrad Venti.</v>
          </cell>
          <cell r="W6" t="str">
            <v>Spez.
Leistung
[W/m²]</v>
          </cell>
          <cell r="X6" t="str">
            <v>Volllast-
stunden
[h/a]</v>
          </cell>
          <cell r="Y6" t="str">
            <v>Spez. Bedarf
[kWh/m²a]</v>
          </cell>
          <cell r="Z6" t="str">
            <v>Spez.
Leistung
[W/m²]</v>
          </cell>
          <cell r="AA6" t="str">
            <v>Volllast-
stunden
[h/a]</v>
          </cell>
          <cell r="AB6" t="str">
            <v>Spez. Bedarf
[kWh/m²a]</v>
          </cell>
          <cell r="AH6">
            <v>1</v>
          </cell>
          <cell r="AI6">
            <v>2</v>
          </cell>
          <cell r="AJ6">
            <v>3</v>
          </cell>
          <cell r="AK6">
            <v>4</v>
          </cell>
          <cell r="AL6">
            <v>5</v>
          </cell>
          <cell r="AM6">
            <v>6</v>
          </cell>
          <cell r="AN6">
            <v>7</v>
          </cell>
          <cell r="AO6">
            <v>8</v>
          </cell>
          <cell r="AP6">
            <v>9</v>
          </cell>
          <cell r="AQ6">
            <v>10</v>
          </cell>
          <cell r="AR6">
            <v>11</v>
          </cell>
          <cell r="AS6">
            <v>12</v>
          </cell>
          <cell r="AT6">
            <v>13</v>
          </cell>
          <cell r="AU6">
            <v>14</v>
          </cell>
          <cell r="AV6">
            <v>15</v>
          </cell>
          <cell r="AW6">
            <v>16</v>
          </cell>
          <cell r="AX6">
            <v>17</v>
          </cell>
          <cell r="AY6">
            <v>18</v>
          </cell>
          <cell r="AZ6">
            <v>19</v>
          </cell>
          <cell r="BA6">
            <v>20</v>
          </cell>
          <cell r="BB6">
            <v>21</v>
          </cell>
          <cell r="BC6">
            <v>22</v>
          </cell>
          <cell r="BD6">
            <v>23</v>
          </cell>
          <cell r="BE6">
            <v>24</v>
          </cell>
          <cell r="BG6" t="str">
            <v>Jahresgleichzeitigkeit [-]</v>
          </cell>
        </row>
        <row r="7">
          <cell r="A7" t="str">
            <v>D</v>
          </cell>
          <cell r="K7">
            <v>5</v>
          </cell>
          <cell r="M7">
            <v>0.67</v>
          </cell>
          <cell r="Q7">
            <v>800</v>
          </cell>
          <cell r="R7">
            <v>600</v>
          </cell>
          <cell r="S7">
            <v>0.55000000000000004</v>
          </cell>
          <cell r="BG7">
            <v>0</v>
          </cell>
        </row>
        <row r="8">
          <cell r="A8" t="str">
            <v>F</v>
          </cell>
          <cell r="L8">
            <v>0</v>
          </cell>
          <cell r="N8">
            <v>0</v>
          </cell>
          <cell r="O8">
            <v>0</v>
          </cell>
          <cell r="P8">
            <v>0</v>
          </cell>
          <cell r="T8">
            <v>0</v>
          </cell>
          <cell r="U8">
            <v>0</v>
          </cell>
          <cell r="V8">
            <v>0</v>
          </cell>
          <cell r="W8">
            <v>0</v>
          </cell>
          <cell r="X8">
            <v>0</v>
          </cell>
          <cell r="Y8">
            <v>0</v>
          </cell>
          <cell r="Z8">
            <v>0</v>
          </cell>
          <cell r="AA8">
            <v>0</v>
          </cell>
          <cell r="AB8">
            <v>0</v>
          </cell>
          <cell r="AH8">
            <v>0</v>
          </cell>
          <cell r="AI8">
            <v>0</v>
          </cell>
          <cell r="AJ8">
            <v>0</v>
          </cell>
          <cell r="AK8">
            <v>0</v>
          </cell>
          <cell r="AL8">
            <v>0</v>
          </cell>
          <cell r="AM8">
            <v>0</v>
          </cell>
          <cell r="AN8">
            <v>0</v>
          </cell>
          <cell r="AO8">
            <v>0</v>
          </cell>
          <cell r="AP8">
            <v>0</v>
          </cell>
          <cell r="AQ8">
            <v>0</v>
          </cell>
          <cell r="AR8">
            <v>0</v>
          </cell>
          <cell r="AS8">
            <v>0</v>
          </cell>
          <cell r="AT8">
            <v>0</v>
          </cell>
          <cell r="AU8">
            <v>0</v>
          </cell>
          <cell r="AV8">
            <v>0</v>
          </cell>
          <cell r="AW8">
            <v>0</v>
          </cell>
          <cell r="AX8">
            <v>0</v>
          </cell>
          <cell r="AY8">
            <v>0</v>
          </cell>
          <cell r="AZ8">
            <v>0</v>
          </cell>
          <cell r="BA8">
            <v>0</v>
          </cell>
          <cell r="BB8">
            <v>0</v>
          </cell>
          <cell r="BC8">
            <v>0</v>
          </cell>
          <cell r="BD8">
            <v>0</v>
          </cell>
          <cell r="BE8">
            <v>0</v>
          </cell>
          <cell r="BG8">
            <v>0</v>
          </cell>
        </row>
        <row r="9">
          <cell r="A9">
            <v>1</v>
          </cell>
          <cell r="L9">
            <v>0</v>
          </cell>
          <cell r="N9">
            <v>0</v>
          </cell>
          <cell r="O9">
            <v>0</v>
          </cell>
          <cell r="P9">
            <v>0</v>
          </cell>
          <cell r="T9">
            <v>0</v>
          </cell>
          <cell r="U9">
            <v>0</v>
          </cell>
          <cell r="V9">
            <v>0</v>
          </cell>
          <cell r="W9">
            <v>0</v>
          </cell>
          <cell r="X9">
            <v>0</v>
          </cell>
          <cell r="Y9">
            <v>0</v>
          </cell>
          <cell r="Z9">
            <v>0</v>
          </cell>
          <cell r="AA9">
            <v>0</v>
          </cell>
          <cell r="AB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G9">
            <v>0</v>
          </cell>
        </row>
        <row r="10">
          <cell r="A10">
            <v>2</v>
          </cell>
          <cell r="L10">
            <v>0</v>
          </cell>
          <cell r="N10">
            <v>0</v>
          </cell>
          <cell r="O10">
            <v>0</v>
          </cell>
          <cell r="P10">
            <v>0</v>
          </cell>
          <cell r="T10">
            <v>0</v>
          </cell>
          <cell r="U10">
            <v>0</v>
          </cell>
          <cell r="V10">
            <v>0</v>
          </cell>
          <cell r="W10">
            <v>0</v>
          </cell>
          <cell r="X10">
            <v>0</v>
          </cell>
          <cell r="Y10">
            <v>0</v>
          </cell>
          <cell r="Z10">
            <v>0</v>
          </cell>
          <cell r="AA10">
            <v>0</v>
          </cell>
          <cell r="AB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G10">
            <v>0</v>
          </cell>
        </row>
        <row r="11">
          <cell r="A11">
            <v>3</v>
          </cell>
          <cell r="L11">
            <v>0</v>
          </cell>
          <cell r="N11">
            <v>0</v>
          </cell>
          <cell r="O11">
            <v>0</v>
          </cell>
          <cell r="P11">
            <v>0</v>
          </cell>
          <cell r="T11">
            <v>0</v>
          </cell>
          <cell r="U11">
            <v>0</v>
          </cell>
          <cell r="V11">
            <v>0</v>
          </cell>
          <cell r="W11">
            <v>0</v>
          </cell>
          <cell r="X11">
            <v>0</v>
          </cell>
          <cell r="Y11">
            <v>0</v>
          </cell>
          <cell r="Z11">
            <v>0</v>
          </cell>
          <cell r="AA11">
            <v>0</v>
          </cell>
          <cell r="AB11">
            <v>0</v>
          </cell>
          <cell r="AF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G11">
            <v>0</v>
          </cell>
        </row>
        <row r="12">
          <cell r="A12">
            <v>4</v>
          </cell>
          <cell r="L12">
            <v>0</v>
          </cell>
          <cell r="N12">
            <v>0</v>
          </cell>
          <cell r="O12">
            <v>0</v>
          </cell>
          <cell r="P12">
            <v>0</v>
          </cell>
          <cell r="T12">
            <v>0</v>
          </cell>
          <cell r="U12">
            <v>0</v>
          </cell>
          <cell r="V12">
            <v>0</v>
          </cell>
          <cell r="W12">
            <v>0</v>
          </cell>
          <cell r="X12">
            <v>0</v>
          </cell>
          <cell r="Y12">
            <v>0</v>
          </cell>
          <cell r="Z12">
            <v>0</v>
          </cell>
          <cell r="AA12">
            <v>0</v>
          </cell>
          <cell r="AB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G12">
            <v>0</v>
          </cell>
        </row>
        <row r="13">
          <cell r="A13">
            <v>5</v>
          </cell>
          <cell r="L13">
            <v>0</v>
          </cell>
          <cell r="N13">
            <v>0</v>
          </cell>
          <cell r="O13">
            <v>0</v>
          </cell>
          <cell r="P13">
            <v>0</v>
          </cell>
          <cell r="T13">
            <v>0</v>
          </cell>
          <cell r="U13">
            <v>0</v>
          </cell>
          <cell r="V13">
            <v>0</v>
          </cell>
          <cell r="W13">
            <v>0</v>
          </cell>
          <cell r="X13">
            <v>0</v>
          </cell>
          <cell r="Y13">
            <v>0</v>
          </cell>
          <cell r="Z13">
            <v>0</v>
          </cell>
          <cell r="AA13">
            <v>0</v>
          </cell>
          <cell r="AB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G13">
            <v>0</v>
          </cell>
        </row>
        <row r="14">
          <cell r="A14">
            <v>6</v>
          </cell>
          <cell r="L14">
            <v>0</v>
          </cell>
          <cell r="N14">
            <v>0</v>
          </cell>
          <cell r="O14">
            <v>0</v>
          </cell>
          <cell r="P14">
            <v>0</v>
          </cell>
          <cell r="T14">
            <v>0</v>
          </cell>
          <cell r="U14">
            <v>0</v>
          </cell>
          <cell r="V14">
            <v>0</v>
          </cell>
          <cell r="W14">
            <v>0</v>
          </cell>
          <cell r="X14">
            <v>0</v>
          </cell>
          <cell r="Y14">
            <v>0</v>
          </cell>
          <cell r="Z14">
            <v>0</v>
          </cell>
          <cell r="AA14">
            <v>0</v>
          </cell>
          <cell r="AB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G14">
            <v>0</v>
          </cell>
        </row>
        <row r="15">
          <cell r="A15">
            <v>7</v>
          </cell>
          <cell r="L15">
            <v>0</v>
          </cell>
          <cell r="N15">
            <v>0</v>
          </cell>
          <cell r="O15">
            <v>0</v>
          </cell>
          <cell r="P15">
            <v>0</v>
          </cell>
          <cell r="T15">
            <v>0</v>
          </cell>
          <cell r="U15">
            <v>0</v>
          </cell>
          <cell r="V15">
            <v>0</v>
          </cell>
          <cell r="W15">
            <v>0</v>
          </cell>
          <cell r="X15">
            <v>0</v>
          </cell>
          <cell r="Y15">
            <v>0</v>
          </cell>
          <cell r="Z15">
            <v>0</v>
          </cell>
          <cell r="AA15">
            <v>0</v>
          </cell>
          <cell r="AB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G15">
            <v>0</v>
          </cell>
        </row>
        <row r="16">
          <cell r="A16">
            <v>8</v>
          </cell>
          <cell r="L16">
            <v>0</v>
          </cell>
          <cell r="N16">
            <v>0</v>
          </cell>
          <cell r="O16">
            <v>0</v>
          </cell>
          <cell r="P16">
            <v>0</v>
          </cell>
          <cell r="T16">
            <v>0</v>
          </cell>
          <cell r="U16">
            <v>0</v>
          </cell>
          <cell r="V16">
            <v>0</v>
          </cell>
          <cell r="W16">
            <v>0</v>
          </cell>
          <cell r="X16">
            <v>0</v>
          </cell>
          <cell r="Y16">
            <v>0</v>
          </cell>
          <cell r="Z16">
            <v>0</v>
          </cell>
          <cell r="AA16">
            <v>0</v>
          </cell>
          <cell r="AB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G16">
            <v>0</v>
          </cell>
        </row>
        <row r="17">
          <cell r="A17">
            <v>9</v>
          </cell>
          <cell r="L17">
            <v>0</v>
          </cell>
          <cell r="N17">
            <v>0</v>
          </cell>
          <cell r="O17">
            <v>0</v>
          </cell>
          <cell r="P17">
            <v>0</v>
          </cell>
          <cell r="T17">
            <v>0</v>
          </cell>
          <cell r="U17">
            <v>0</v>
          </cell>
          <cell r="V17">
            <v>0</v>
          </cell>
          <cell r="W17">
            <v>0</v>
          </cell>
          <cell r="X17">
            <v>0</v>
          </cell>
          <cell r="Y17">
            <v>0</v>
          </cell>
          <cell r="Z17">
            <v>0</v>
          </cell>
          <cell r="AA17">
            <v>0</v>
          </cell>
          <cell r="AB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G17">
            <v>0</v>
          </cell>
        </row>
        <row r="18">
          <cell r="A18">
            <v>10</v>
          </cell>
          <cell r="L18">
            <v>0</v>
          </cell>
          <cell r="N18">
            <v>0</v>
          </cell>
          <cell r="O18">
            <v>0</v>
          </cell>
          <cell r="P18">
            <v>0</v>
          </cell>
          <cell r="T18">
            <v>0</v>
          </cell>
          <cell r="U18">
            <v>0</v>
          </cell>
          <cell r="V18">
            <v>0</v>
          </cell>
          <cell r="W18">
            <v>0</v>
          </cell>
          <cell r="X18">
            <v>0</v>
          </cell>
          <cell r="Y18">
            <v>0</v>
          </cell>
          <cell r="Z18">
            <v>0</v>
          </cell>
          <cell r="AA18">
            <v>0</v>
          </cell>
          <cell r="AB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G18">
            <v>0</v>
          </cell>
        </row>
      </sheetData>
      <sheetData sheetId="5"/>
      <sheetData sheetId="6">
        <row r="7">
          <cell r="A7" t="str">
            <v>Default</v>
          </cell>
          <cell r="C7">
            <v>0</v>
          </cell>
          <cell r="D7" t="str">
            <v>x</v>
          </cell>
          <cell r="G7">
            <v>0.6</v>
          </cell>
        </row>
        <row r="8">
          <cell r="A8" t="str">
            <v>Formel</v>
          </cell>
          <cell r="B8">
            <v>0</v>
          </cell>
          <cell r="C8">
            <v>0</v>
          </cell>
          <cell r="E8">
            <v>0</v>
          </cell>
          <cell r="F8">
            <v>0</v>
          </cell>
          <cell r="H8">
            <v>0</v>
          </cell>
          <cell r="I8">
            <v>0</v>
          </cell>
          <cell r="J8">
            <v>0</v>
          </cell>
          <cell r="K8">
            <v>0</v>
          </cell>
          <cell r="L8">
            <v>0</v>
          </cell>
          <cell r="N8" t="e">
            <v>#DIV/0!</v>
          </cell>
        </row>
        <row r="9">
          <cell r="A9" t="str">
            <v>L01</v>
          </cell>
          <cell r="C9">
            <v>3157</v>
          </cell>
          <cell r="D9" t="str">
            <v>x</v>
          </cell>
          <cell r="E9">
            <v>19220</v>
          </cell>
          <cell r="F9">
            <v>3470</v>
          </cell>
          <cell r="G9">
            <v>0.6</v>
          </cell>
          <cell r="H9">
            <v>3045.3607305936075</v>
          </cell>
          <cell r="I9">
            <v>13.589898989898989</v>
          </cell>
          <cell r="J9">
            <v>0.70707070707070707</v>
          </cell>
          <cell r="K9">
            <v>47.165272727272722</v>
          </cell>
          <cell r="L9">
            <v>1.1146375453258179</v>
          </cell>
          <cell r="N9">
            <v>3470</v>
          </cell>
        </row>
        <row r="10">
          <cell r="F10">
            <v>0</v>
          </cell>
          <cell r="H10">
            <v>0</v>
          </cell>
          <cell r="J10">
            <v>0</v>
          </cell>
          <cell r="L10">
            <v>0</v>
          </cell>
          <cell r="N10">
            <v>0</v>
          </cell>
        </row>
        <row r="11">
          <cell r="F11">
            <v>0</v>
          </cell>
          <cell r="H11">
            <v>0</v>
          </cell>
          <cell r="J11">
            <v>0</v>
          </cell>
          <cell r="L11">
            <v>0</v>
          </cell>
          <cell r="N11">
            <v>0</v>
          </cell>
        </row>
        <row r="12">
          <cell r="F12">
            <v>0</v>
          </cell>
          <cell r="H12">
            <v>0</v>
          </cell>
          <cell r="J12">
            <v>0</v>
          </cell>
          <cell r="L12">
            <v>0</v>
          </cell>
          <cell r="N12">
            <v>0</v>
          </cell>
        </row>
        <row r="13">
          <cell r="F13">
            <v>0</v>
          </cell>
          <cell r="H13">
            <v>0</v>
          </cell>
          <cell r="J13">
            <v>0</v>
          </cell>
          <cell r="L13">
            <v>0</v>
          </cell>
          <cell r="N13">
            <v>0</v>
          </cell>
        </row>
        <row r="14">
          <cell r="F14">
            <v>0</v>
          </cell>
          <cell r="H14">
            <v>0</v>
          </cell>
          <cell r="J14">
            <v>0</v>
          </cell>
          <cell r="L14">
            <v>0</v>
          </cell>
          <cell r="N14">
            <v>0</v>
          </cell>
        </row>
        <row r="15">
          <cell r="F15">
            <v>0</v>
          </cell>
          <cell r="H15">
            <v>0</v>
          </cell>
          <cell r="J15">
            <v>0</v>
          </cell>
          <cell r="L15">
            <v>0</v>
          </cell>
          <cell r="N15">
            <v>0</v>
          </cell>
        </row>
        <row r="16">
          <cell r="F16">
            <v>0</v>
          </cell>
          <cell r="H16">
            <v>0</v>
          </cell>
          <cell r="J16">
            <v>0</v>
          </cell>
          <cell r="L16">
            <v>0</v>
          </cell>
          <cell r="N16">
            <v>0</v>
          </cell>
        </row>
        <row r="17">
          <cell r="F17">
            <v>0</v>
          </cell>
          <cell r="H17">
            <v>0</v>
          </cell>
          <cell r="J17">
            <v>0</v>
          </cell>
          <cell r="L17">
            <v>0</v>
          </cell>
          <cell r="N17">
            <v>0</v>
          </cell>
        </row>
        <row r="18">
          <cell r="F18">
            <v>0</v>
          </cell>
          <cell r="H18">
            <v>0</v>
          </cell>
          <cell r="J18">
            <v>0</v>
          </cell>
          <cell r="L18">
            <v>0</v>
          </cell>
          <cell r="N18">
            <v>0</v>
          </cell>
        </row>
        <row r="19">
          <cell r="F19">
            <v>0</v>
          </cell>
          <cell r="H19">
            <v>0</v>
          </cell>
          <cell r="J19">
            <v>0</v>
          </cell>
          <cell r="L19">
            <v>0</v>
          </cell>
          <cell r="N19">
            <v>0</v>
          </cell>
        </row>
        <row r="20">
          <cell r="F20">
            <v>0</v>
          </cell>
          <cell r="H20">
            <v>0</v>
          </cell>
          <cell r="J20">
            <v>0</v>
          </cell>
          <cell r="L20">
            <v>0</v>
          </cell>
          <cell r="N20">
            <v>0</v>
          </cell>
        </row>
        <row r="21">
          <cell r="F21">
            <v>0</v>
          </cell>
          <cell r="H21">
            <v>0</v>
          </cell>
          <cell r="J21">
            <v>0</v>
          </cell>
          <cell r="L21">
            <v>0</v>
          </cell>
          <cell r="N21">
            <v>0</v>
          </cell>
        </row>
        <row r="22">
          <cell r="F22">
            <v>0</v>
          </cell>
          <cell r="H22">
            <v>0</v>
          </cell>
          <cell r="J22">
            <v>0</v>
          </cell>
          <cell r="L22">
            <v>0</v>
          </cell>
          <cell r="N22">
            <v>0</v>
          </cell>
        </row>
        <row r="23">
          <cell r="F23">
            <v>0</v>
          </cell>
          <cell r="H23">
            <v>0</v>
          </cell>
          <cell r="J23">
            <v>0</v>
          </cell>
          <cell r="L23">
            <v>0</v>
          </cell>
          <cell r="N23">
            <v>0</v>
          </cell>
        </row>
        <row r="24">
          <cell r="F24">
            <v>0</v>
          </cell>
          <cell r="H24">
            <v>0</v>
          </cell>
          <cell r="J24">
            <v>0</v>
          </cell>
          <cell r="L24">
            <v>0</v>
          </cell>
          <cell r="N24">
            <v>0</v>
          </cell>
        </row>
        <row r="25">
          <cell r="F25">
            <v>0</v>
          </cell>
          <cell r="H25">
            <v>0</v>
          </cell>
          <cell r="J25">
            <v>0</v>
          </cell>
          <cell r="L25">
            <v>0</v>
          </cell>
          <cell r="N25">
            <v>0</v>
          </cell>
        </row>
        <row r="26">
          <cell r="F26">
            <v>0</v>
          </cell>
          <cell r="H26">
            <v>0</v>
          </cell>
          <cell r="J26">
            <v>0</v>
          </cell>
          <cell r="L26">
            <v>0</v>
          </cell>
          <cell r="N26">
            <v>0</v>
          </cell>
        </row>
        <row r="27">
          <cell r="F27">
            <v>0</v>
          </cell>
          <cell r="H27">
            <v>0</v>
          </cell>
          <cell r="J27">
            <v>0</v>
          </cell>
          <cell r="L27">
            <v>0</v>
          </cell>
          <cell r="N27">
            <v>0</v>
          </cell>
        </row>
        <row r="28">
          <cell r="F28">
            <v>0</v>
          </cell>
          <cell r="H28">
            <v>0</v>
          </cell>
          <cell r="J28">
            <v>0</v>
          </cell>
          <cell r="L28">
            <v>0</v>
          </cell>
          <cell r="N28">
            <v>0</v>
          </cell>
        </row>
        <row r="29">
          <cell r="F29">
            <v>0</v>
          </cell>
          <cell r="H29">
            <v>0</v>
          </cell>
          <cell r="J29">
            <v>0</v>
          </cell>
          <cell r="L29">
            <v>0</v>
          </cell>
          <cell r="N29">
            <v>0</v>
          </cell>
        </row>
        <row r="30">
          <cell r="F30">
            <v>0</v>
          </cell>
          <cell r="H30">
            <v>0</v>
          </cell>
          <cell r="J30">
            <v>0</v>
          </cell>
          <cell r="L30">
            <v>0</v>
          </cell>
          <cell r="N30">
            <v>0</v>
          </cell>
        </row>
        <row r="31">
          <cell r="F31">
            <v>0</v>
          </cell>
          <cell r="H31">
            <v>0</v>
          </cell>
          <cell r="J31">
            <v>0</v>
          </cell>
          <cell r="L31">
            <v>0</v>
          </cell>
          <cell r="N31">
            <v>0</v>
          </cell>
        </row>
        <row r="32">
          <cell r="F32">
            <v>0</v>
          </cell>
          <cell r="H32">
            <v>0</v>
          </cell>
          <cell r="J32">
            <v>0</v>
          </cell>
          <cell r="L32">
            <v>0</v>
          </cell>
          <cell r="N32">
            <v>0</v>
          </cell>
        </row>
      </sheetData>
      <sheetData sheetId="7">
        <row r="7">
          <cell r="A7" t="str">
            <v>Default</v>
          </cell>
          <cell r="D7" t="str">
            <v>x</v>
          </cell>
          <cell r="G7">
            <v>0</v>
          </cell>
        </row>
        <row r="8">
          <cell r="A8" t="str">
            <v>Formel</v>
          </cell>
          <cell r="B8">
            <v>0</v>
          </cell>
          <cell r="C8">
            <v>0</v>
          </cell>
          <cell r="E8">
            <v>0</v>
          </cell>
          <cell r="F8">
            <v>0</v>
          </cell>
          <cell r="H8">
            <v>0</v>
          </cell>
          <cell r="I8">
            <v>0</v>
          </cell>
          <cell r="J8">
            <v>0</v>
          </cell>
          <cell r="L8" t="e">
            <v>#DIV/0!</v>
          </cell>
        </row>
        <row r="9">
          <cell r="A9" t="str">
            <v>L01</v>
          </cell>
          <cell r="C9">
            <v>3157</v>
          </cell>
          <cell r="D9" t="str">
            <v>x</v>
          </cell>
          <cell r="E9">
            <v>19220</v>
          </cell>
          <cell r="F9">
            <v>3470</v>
          </cell>
          <cell r="G9">
            <v>0</v>
          </cell>
          <cell r="H9">
            <v>0</v>
          </cell>
          <cell r="I9">
            <v>0</v>
          </cell>
          <cell r="J9">
            <v>0</v>
          </cell>
          <cell r="L9">
            <v>3470</v>
          </cell>
        </row>
        <row r="10">
          <cell r="F10">
            <v>0</v>
          </cell>
          <cell r="H10">
            <v>0</v>
          </cell>
          <cell r="I10">
            <v>0</v>
          </cell>
          <cell r="J10">
            <v>0</v>
          </cell>
          <cell r="L10">
            <v>0</v>
          </cell>
        </row>
        <row r="11">
          <cell r="F11">
            <v>0</v>
          </cell>
          <cell r="H11">
            <v>0</v>
          </cell>
          <cell r="I11">
            <v>0</v>
          </cell>
          <cell r="J11">
            <v>0</v>
          </cell>
          <cell r="L11">
            <v>0</v>
          </cell>
        </row>
        <row r="12">
          <cell r="F12">
            <v>0</v>
          </cell>
          <cell r="H12">
            <v>0</v>
          </cell>
          <cell r="I12">
            <v>0</v>
          </cell>
          <cell r="J12">
            <v>0</v>
          </cell>
          <cell r="L12">
            <v>0</v>
          </cell>
        </row>
        <row r="13">
          <cell r="F13">
            <v>0</v>
          </cell>
          <cell r="H13">
            <v>0</v>
          </cell>
          <cell r="I13">
            <v>0</v>
          </cell>
          <cell r="J13">
            <v>0</v>
          </cell>
          <cell r="L13">
            <v>0</v>
          </cell>
        </row>
        <row r="14">
          <cell r="F14">
            <v>0</v>
          </cell>
          <cell r="H14">
            <v>0</v>
          </cell>
          <cell r="I14">
            <v>0</v>
          </cell>
          <cell r="J14">
            <v>0</v>
          </cell>
          <cell r="L14">
            <v>0</v>
          </cell>
        </row>
        <row r="15">
          <cell r="F15">
            <v>0</v>
          </cell>
          <cell r="H15">
            <v>0</v>
          </cell>
          <cell r="I15">
            <v>0</v>
          </cell>
          <cell r="J15">
            <v>0</v>
          </cell>
          <cell r="L15">
            <v>0</v>
          </cell>
        </row>
        <row r="16">
          <cell r="F16">
            <v>0</v>
          </cell>
          <cell r="H16">
            <v>0</v>
          </cell>
          <cell r="I16">
            <v>0</v>
          </cell>
          <cell r="J16">
            <v>0</v>
          </cell>
          <cell r="L16">
            <v>0</v>
          </cell>
        </row>
        <row r="17">
          <cell r="F17">
            <v>0</v>
          </cell>
          <cell r="H17">
            <v>0</v>
          </cell>
          <cell r="I17">
            <v>0</v>
          </cell>
          <cell r="J17">
            <v>0</v>
          </cell>
          <cell r="L17">
            <v>0</v>
          </cell>
        </row>
        <row r="18">
          <cell r="F18">
            <v>0</v>
          </cell>
          <cell r="H18">
            <v>0</v>
          </cell>
          <cell r="I18">
            <v>0</v>
          </cell>
          <cell r="J18">
            <v>0</v>
          </cell>
          <cell r="L18">
            <v>0</v>
          </cell>
        </row>
        <row r="19">
          <cell r="F19">
            <v>0</v>
          </cell>
          <cell r="H19">
            <v>0</v>
          </cell>
          <cell r="I19">
            <v>0</v>
          </cell>
          <cell r="J19">
            <v>0</v>
          </cell>
          <cell r="L19">
            <v>0</v>
          </cell>
        </row>
        <row r="20">
          <cell r="F20">
            <v>0</v>
          </cell>
          <cell r="H20">
            <v>0</v>
          </cell>
          <cell r="I20">
            <v>0</v>
          </cell>
          <cell r="J20">
            <v>0</v>
          </cell>
          <cell r="L20">
            <v>0</v>
          </cell>
        </row>
        <row r="21">
          <cell r="F21">
            <v>0</v>
          </cell>
          <cell r="H21">
            <v>0</v>
          </cell>
          <cell r="I21">
            <v>0</v>
          </cell>
          <cell r="J21">
            <v>0</v>
          </cell>
          <cell r="L21">
            <v>0</v>
          </cell>
        </row>
        <row r="22">
          <cell r="F22">
            <v>0</v>
          </cell>
          <cell r="H22">
            <v>0</v>
          </cell>
          <cell r="I22">
            <v>0</v>
          </cell>
          <cell r="J22">
            <v>0</v>
          </cell>
          <cell r="L22">
            <v>0</v>
          </cell>
        </row>
        <row r="23">
          <cell r="F23">
            <v>0</v>
          </cell>
          <cell r="H23">
            <v>0</v>
          </cell>
          <cell r="I23">
            <v>0</v>
          </cell>
          <cell r="J23">
            <v>0</v>
          </cell>
          <cell r="L23">
            <v>0</v>
          </cell>
        </row>
        <row r="24">
          <cell r="F24">
            <v>0</v>
          </cell>
          <cell r="H24">
            <v>0</v>
          </cell>
          <cell r="I24">
            <v>0</v>
          </cell>
          <cell r="J24">
            <v>0</v>
          </cell>
          <cell r="L24">
            <v>0</v>
          </cell>
        </row>
        <row r="25">
          <cell r="F25">
            <v>0</v>
          </cell>
          <cell r="H25">
            <v>0</v>
          </cell>
          <cell r="I25">
            <v>0</v>
          </cell>
          <cell r="J25">
            <v>0</v>
          </cell>
          <cell r="L25">
            <v>0</v>
          </cell>
        </row>
        <row r="26">
          <cell r="F26">
            <v>0</v>
          </cell>
          <cell r="H26">
            <v>0</v>
          </cell>
          <cell r="I26">
            <v>0</v>
          </cell>
          <cell r="J26">
            <v>0</v>
          </cell>
          <cell r="L26">
            <v>0</v>
          </cell>
        </row>
        <row r="27">
          <cell r="F27">
            <v>0</v>
          </cell>
          <cell r="H27">
            <v>0</v>
          </cell>
          <cell r="I27">
            <v>0</v>
          </cell>
          <cell r="J27">
            <v>0</v>
          </cell>
          <cell r="L27">
            <v>0</v>
          </cell>
        </row>
        <row r="28">
          <cell r="F28">
            <v>0</v>
          </cell>
          <cell r="H28">
            <v>0</v>
          </cell>
          <cell r="I28">
            <v>0</v>
          </cell>
          <cell r="J28">
            <v>0</v>
          </cell>
          <cell r="L28">
            <v>0</v>
          </cell>
        </row>
        <row r="29">
          <cell r="F29">
            <v>0</v>
          </cell>
          <cell r="H29">
            <v>0</v>
          </cell>
          <cell r="I29">
            <v>0</v>
          </cell>
          <cell r="J29">
            <v>0</v>
          </cell>
          <cell r="L29">
            <v>0</v>
          </cell>
        </row>
        <row r="30">
          <cell r="F30">
            <v>0</v>
          </cell>
          <cell r="H30">
            <v>0</v>
          </cell>
          <cell r="I30">
            <v>0</v>
          </cell>
          <cell r="J30">
            <v>0</v>
          </cell>
          <cell r="L30">
            <v>0</v>
          </cell>
        </row>
        <row r="31">
          <cell r="F31">
            <v>0</v>
          </cell>
          <cell r="H31">
            <v>0</v>
          </cell>
          <cell r="I31">
            <v>0</v>
          </cell>
          <cell r="J31">
            <v>0</v>
          </cell>
          <cell r="L31">
            <v>0</v>
          </cell>
        </row>
        <row r="32">
          <cell r="F32">
            <v>0</v>
          </cell>
          <cell r="H32">
            <v>0</v>
          </cell>
          <cell r="I32">
            <v>0</v>
          </cell>
          <cell r="J32">
            <v>0</v>
          </cell>
          <cell r="L32">
            <v>0</v>
          </cell>
        </row>
      </sheetData>
      <sheetData sheetId="8">
        <row r="6">
          <cell r="C6">
            <v>0</v>
          </cell>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E6">
            <v>0</v>
          </cell>
          <cell r="AF6">
            <v>0</v>
          </cell>
          <cell r="AG6">
            <v>0</v>
          </cell>
          <cell r="AH6">
            <v>0</v>
          </cell>
          <cell r="AI6">
            <v>0</v>
          </cell>
          <cell r="AJ6">
            <v>0</v>
          </cell>
          <cell r="AK6">
            <v>0</v>
          </cell>
          <cell r="AL6">
            <v>0</v>
          </cell>
          <cell r="AM6">
            <v>0</v>
          </cell>
          <cell r="AN6">
            <v>0</v>
          </cell>
          <cell r="AO6">
            <v>0</v>
          </cell>
          <cell r="AP6">
            <v>0</v>
          </cell>
          <cell r="AQ6">
            <v>0</v>
          </cell>
          <cell r="AR6">
            <v>0</v>
          </cell>
          <cell r="AS6">
            <v>0</v>
          </cell>
          <cell r="AT6">
            <v>0</v>
          </cell>
          <cell r="AU6">
            <v>0</v>
          </cell>
          <cell r="AV6">
            <v>0</v>
          </cell>
          <cell r="AW6">
            <v>0</v>
          </cell>
          <cell r="AX6">
            <v>0</v>
          </cell>
          <cell r="AY6">
            <v>0</v>
          </cell>
          <cell r="AZ6">
            <v>0</v>
          </cell>
          <cell r="BA6">
            <v>0</v>
          </cell>
          <cell r="BB6">
            <v>0</v>
          </cell>
        </row>
        <row r="7">
          <cell r="C7">
            <v>0</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E7">
            <v>0</v>
          </cell>
          <cell r="AF7">
            <v>0</v>
          </cell>
          <cell r="AG7">
            <v>0</v>
          </cell>
          <cell r="AH7">
            <v>0</v>
          </cell>
          <cell r="AI7">
            <v>0</v>
          </cell>
          <cell r="AJ7">
            <v>0</v>
          </cell>
          <cell r="AK7">
            <v>0</v>
          </cell>
          <cell r="AL7">
            <v>0</v>
          </cell>
          <cell r="AM7">
            <v>0</v>
          </cell>
          <cell r="AN7">
            <v>0</v>
          </cell>
          <cell r="AO7">
            <v>0</v>
          </cell>
          <cell r="AP7">
            <v>0</v>
          </cell>
          <cell r="AQ7">
            <v>0</v>
          </cell>
          <cell r="AR7">
            <v>0</v>
          </cell>
          <cell r="AS7">
            <v>0</v>
          </cell>
          <cell r="AT7">
            <v>0</v>
          </cell>
          <cell r="AU7">
            <v>0</v>
          </cell>
          <cell r="AV7">
            <v>0</v>
          </cell>
          <cell r="AW7">
            <v>0</v>
          </cell>
          <cell r="AX7">
            <v>0</v>
          </cell>
          <cell r="AY7">
            <v>0</v>
          </cell>
          <cell r="AZ7">
            <v>0</v>
          </cell>
          <cell r="BA7">
            <v>0</v>
          </cell>
          <cell r="BB7">
            <v>0</v>
          </cell>
        </row>
        <row r="8">
          <cell r="C8">
            <v>0</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cell r="T8">
            <v>0</v>
          </cell>
          <cell r="U8">
            <v>0</v>
          </cell>
          <cell r="V8">
            <v>0</v>
          </cell>
          <cell r="W8">
            <v>0</v>
          </cell>
          <cell r="X8">
            <v>0</v>
          </cell>
          <cell r="Y8">
            <v>0</v>
          </cell>
          <cell r="Z8">
            <v>0</v>
          </cell>
          <cell r="AE8">
            <v>0</v>
          </cell>
          <cell r="AF8">
            <v>0</v>
          </cell>
          <cell r="AG8">
            <v>0</v>
          </cell>
          <cell r="AH8">
            <v>0</v>
          </cell>
          <cell r="AI8">
            <v>0</v>
          </cell>
          <cell r="AJ8">
            <v>0</v>
          </cell>
          <cell r="AK8">
            <v>0</v>
          </cell>
          <cell r="AL8">
            <v>0</v>
          </cell>
          <cell r="AM8">
            <v>0</v>
          </cell>
          <cell r="AN8">
            <v>0</v>
          </cell>
          <cell r="AO8">
            <v>0</v>
          </cell>
          <cell r="AP8">
            <v>0</v>
          </cell>
          <cell r="AQ8">
            <v>0</v>
          </cell>
          <cell r="AR8">
            <v>0</v>
          </cell>
          <cell r="AS8">
            <v>0</v>
          </cell>
          <cell r="AT8">
            <v>0</v>
          </cell>
          <cell r="AU8">
            <v>0</v>
          </cell>
          <cell r="AV8">
            <v>0</v>
          </cell>
          <cell r="AW8">
            <v>0</v>
          </cell>
          <cell r="AX8">
            <v>0</v>
          </cell>
          <cell r="AY8">
            <v>0</v>
          </cell>
          <cell r="AZ8">
            <v>0</v>
          </cell>
          <cell r="BA8">
            <v>0</v>
          </cell>
          <cell r="BB8">
            <v>0</v>
          </cell>
        </row>
        <row r="9">
          <cell r="C9">
            <v>0</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row>
        <row r="10">
          <cell r="C10">
            <v>0</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row>
        <row r="18">
          <cell r="C18">
            <v>0</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row>
        <row r="19">
          <cell r="C19">
            <v>0</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row>
        <row r="20">
          <cell r="C20">
            <v>0</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row>
        <row r="21">
          <cell r="C21">
            <v>0</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row>
        <row r="22">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row>
      </sheetData>
      <sheetData sheetId="9">
        <row r="3">
          <cell r="A3" t="str">
            <v>Erfassung Räume</v>
          </cell>
        </row>
        <row r="4">
          <cell r="AH4" t="str">
            <v>Tab 1-1</v>
          </cell>
          <cell r="AJ4" t="str">
            <v>Luftkühlung</v>
          </cell>
          <cell r="AO4" t="str">
            <v>Wasserkühlung</v>
          </cell>
        </row>
        <row r="5">
          <cell r="AC5" t="str">
            <v>Wärme-lasten 
[]</v>
          </cell>
          <cell r="AG5" t="str">
            <v>Beleucht. Steuer. [x]</v>
          </cell>
          <cell r="AJ5" t="str">
            <v>Nachtlüftung [x]</v>
          </cell>
        </row>
        <row r="6">
          <cell r="A6" t="str">
            <v>Nr.</v>
          </cell>
          <cell r="B6" t="str">
            <v>Raum-
gruppe (Zone)</v>
          </cell>
          <cell r="C6" t="str">
            <v>Nutzung</v>
          </cell>
          <cell r="D6" t="str">
            <v>Standard K</v>
          </cell>
          <cell r="E6" t="str">
            <v>Defaultwerte</v>
          </cell>
          <cell r="F6" t="str">
            <v>Orien-tierung []</v>
          </cell>
          <cell r="G6" t="str">
            <v>Eckfassade[x]</v>
          </cell>
          <cell r="H6" t="str">
            <v>Anzahl Räume
[Stück]</v>
          </cell>
          <cell r="I6" t="str">
            <v>Raum
Höhe 
[m]</v>
          </cell>
          <cell r="J6" t="str">
            <v>Raum
Länge 
[m]</v>
          </cell>
          <cell r="K6" t="str">
            <v>Raum
Tiefe 
[m]</v>
          </cell>
          <cell r="L6" t="str">
            <v>Boden Fläche [m²]</v>
          </cell>
          <cell r="M6" t="str">
            <v xml:space="preserve">Opake Fläche </v>
          </cell>
          <cell r="N6" t="str">
            <v xml:space="preserve">Fenster Fläche </v>
          </cell>
          <cell r="O6" t="str">
            <v>[%]</v>
          </cell>
          <cell r="P6" t="str">
            <v>[m²]</v>
          </cell>
          <cell r="Q6" t="str">
            <v>Bau Masse 
[s,m,l]</v>
          </cell>
          <cell r="R6" t="str">
            <v>Decke 
[kJ/m²K]</v>
          </cell>
          <cell r="S6" t="str">
            <v>Boden 
[kJ/m²K]</v>
          </cell>
          <cell r="T6" t="str">
            <v>Aussen Wand 
[kJ/m²K]</v>
          </cell>
          <cell r="U6" t="str">
            <v>Innen Wand 
[kJ/m²K]</v>
          </cell>
          <cell r="V6" t="str">
            <v>Wärme-
kapazität
[Wh/m²K]</v>
          </cell>
          <cell r="W6" t="str">
            <v>u-Wert Opak 
[W/m²K]</v>
          </cell>
          <cell r="X6" t="str">
            <v>u-Wert Fenster + Rahmen
[W/m²K]</v>
          </cell>
          <cell r="Y6" t="str">
            <v>Fenster Rahmen Anteil
[%]</v>
          </cell>
          <cell r="Z6" t="str">
            <v>Redukt. Faktor Versch.
[-]</v>
          </cell>
          <cell r="AA6" t="str">
            <v>g-Wert Sonnen-schutz + Fenster
[-]</v>
          </cell>
          <cell r="AB6" t="str">
            <v>Natürl. Luft Wechsel 
[m³/m²h]</v>
          </cell>
          <cell r="AD6" t="str">
            <v>Wärme Last Personen
[W/m²]</v>
          </cell>
          <cell r="AE6" t="str">
            <v>Wärme Last Geräte
[W/m²]</v>
          </cell>
          <cell r="AF6" t="str">
            <v>Wärme Last Beleucht.
[W/m²]</v>
          </cell>
          <cell r="AH6" t="str">
            <v>Kühl-leistungs-bedarf [W/m²]</v>
          </cell>
          <cell r="AI6" t="str">
            <v>Kühl-energie-bedarf [kWh/m²a]</v>
          </cell>
          <cell r="AK6" t="str">
            <v>Zuluft Volumen-strom
[m³/h]</v>
          </cell>
          <cell r="AL6" t="str">
            <v>Kühlleist. Lüftung [W/m²]</v>
          </cell>
          <cell r="AM6" t="str">
            <v>Tempe-ratur-differenz
[K]</v>
          </cell>
          <cell r="AN6" t="str">
            <v>Kühl-
register [Nr]</v>
          </cell>
          <cell r="AO6" t="str">
            <v>Kühl-fläche</v>
          </cell>
          <cell r="AP6" t="str">
            <v>[%]</v>
          </cell>
          <cell r="AQ6" t="str">
            <v>[m²]</v>
          </cell>
          <cell r="AR6" t="str">
            <v>TABS [x]</v>
          </cell>
          <cell r="AS6" t="str">
            <v>Kühl-leistung  [W/m²]</v>
          </cell>
          <cell r="AT6" t="str">
            <v>Kühl-register [Nr]</v>
          </cell>
          <cell r="AU6" t="str">
            <v>Total install. Kühlleist. [W/m²]</v>
          </cell>
        </row>
        <row r="7">
          <cell r="A7" t="str">
            <v>Default</v>
          </cell>
          <cell r="E7" t="str">
            <v>x</v>
          </cell>
          <cell r="H7">
            <v>1</v>
          </cell>
          <cell r="I7" t="str">
            <v>$DP</v>
          </cell>
          <cell r="J7" t="str">
            <v>$DQ</v>
          </cell>
          <cell r="K7" t="str">
            <v>$DR</v>
          </cell>
          <cell r="L7" t="str">
            <v>Form</v>
          </cell>
          <cell r="M7" t="str">
            <v>Form</v>
          </cell>
          <cell r="N7">
            <v>70</v>
          </cell>
          <cell r="O7" t="str">
            <v>x</v>
          </cell>
          <cell r="Q7" t="str">
            <v>mittel</v>
          </cell>
          <cell r="R7" t="str">
            <v>$AY</v>
          </cell>
          <cell r="S7" t="str">
            <v>$AZ</v>
          </cell>
          <cell r="T7" t="str">
            <v>$BA</v>
          </cell>
          <cell r="U7" t="str">
            <v>$BB</v>
          </cell>
          <cell r="V7" t="str">
            <v>Form</v>
          </cell>
          <cell r="W7">
            <v>0.25</v>
          </cell>
          <cell r="X7">
            <v>1.3</v>
          </cell>
          <cell r="Y7">
            <v>0.2</v>
          </cell>
          <cell r="Z7">
            <v>0.9</v>
          </cell>
          <cell r="AA7">
            <v>0.15</v>
          </cell>
          <cell r="AB7">
            <v>0.6</v>
          </cell>
          <cell r="AC7" t="str">
            <v>mittel</v>
          </cell>
          <cell r="AD7" t="str">
            <v>$BC</v>
          </cell>
          <cell r="AE7" t="str">
            <v>$BD</v>
          </cell>
          <cell r="AF7" t="str">
            <v>$BE</v>
          </cell>
          <cell r="AG7" t="str">
            <v>x</v>
          </cell>
          <cell r="AH7" t="str">
            <v>Form</v>
          </cell>
          <cell r="AI7" t="str">
            <v>Form</v>
          </cell>
          <cell r="AK7" t="str">
            <v>Form</v>
          </cell>
          <cell r="AL7" t="str">
            <v>Form</v>
          </cell>
          <cell r="AO7">
            <v>100</v>
          </cell>
          <cell r="AP7" t="str">
            <v>x</v>
          </cell>
          <cell r="CX7">
            <v>0</v>
          </cell>
          <cell r="CY7">
            <v>0</v>
          </cell>
          <cell r="CZ7">
            <v>0</v>
          </cell>
          <cell r="DA7">
            <v>0</v>
          </cell>
        </row>
        <row r="8">
          <cell r="A8" t="str">
            <v>Formel</v>
          </cell>
          <cell r="D8"/>
          <cell r="H8">
            <v>0</v>
          </cell>
          <cell r="I8">
            <v>0</v>
          </cell>
          <cell r="J8">
            <v>0</v>
          </cell>
          <cell r="K8">
            <v>0</v>
          </cell>
          <cell r="L8">
            <v>0</v>
          </cell>
          <cell r="M8">
            <v>0</v>
          </cell>
          <cell r="N8">
            <v>0</v>
          </cell>
          <cell r="V8">
            <v>0</v>
          </cell>
          <cell r="AH8">
            <v>0</v>
          </cell>
          <cell r="AI8">
            <v>0</v>
          </cell>
          <cell r="AK8">
            <v>0</v>
          </cell>
          <cell r="AL8">
            <v>0</v>
          </cell>
          <cell r="AS8">
            <v>0</v>
          </cell>
          <cell r="AU8">
            <v>0</v>
          </cell>
          <cell r="AV8">
            <v>0</v>
          </cell>
          <cell r="AY8">
            <v>0</v>
          </cell>
          <cell r="AZ8">
            <v>0</v>
          </cell>
          <cell r="BA8">
            <v>0</v>
          </cell>
          <cell r="BB8">
            <v>0</v>
          </cell>
          <cell r="BC8" t="e">
            <v>#N/A</v>
          </cell>
          <cell r="BD8">
            <v>0</v>
          </cell>
          <cell r="BE8">
            <v>0</v>
          </cell>
          <cell r="BT8" t="str">
            <v>Formel</v>
          </cell>
          <cell r="BU8">
            <v>0</v>
          </cell>
          <cell r="BV8">
            <v>0</v>
          </cell>
          <cell r="BW8">
            <v>0</v>
          </cell>
          <cell r="BX8">
            <v>0</v>
          </cell>
          <cell r="BY8">
            <v>0</v>
          </cell>
          <cell r="BZ8">
            <v>0</v>
          </cell>
          <cell r="CA8">
            <v>0</v>
          </cell>
          <cell r="CB8">
            <v>0</v>
          </cell>
          <cell r="CC8">
            <v>0</v>
          </cell>
          <cell r="CD8">
            <v>0</v>
          </cell>
          <cell r="CE8">
            <v>0</v>
          </cell>
          <cell r="CF8">
            <v>0</v>
          </cell>
          <cell r="CG8">
            <v>0</v>
          </cell>
          <cell r="CH8">
            <v>0</v>
          </cell>
          <cell r="CI8">
            <v>0</v>
          </cell>
          <cell r="CJ8">
            <v>0</v>
          </cell>
          <cell r="CK8">
            <v>0</v>
          </cell>
          <cell r="CL8">
            <v>0</v>
          </cell>
          <cell r="CM8">
            <v>0</v>
          </cell>
          <cell r="CN8">
            <v>0</v>
          </cell>
          <cell r="CO8">
            <v>0</v>
          </cell>
          <cell r="CP8">
            <v>0</v>
          </cell>
          <cell r="CQ8">
            <v>0</v>
          </cell>
          <cell r="CR8">
            <v>0</v>
          </cell>
          <cell r="CS8">
            <v>0</v>
          </cell>
          <cell r="CT8">
            <v>0</v>
          </cell>
          <cell r="CU8">
            <v>0</v>
          </cell>
          <cell r="CV8">
            <v>0</v>
          </cell>
          <cell r="CW8">
            <v>0</v>
          </cell>
          <cell r="CX8">
            <v>0</v>
          </cell>
          <cell r="CY8">
            <v>0</v>
          </cell>
          <cell r="CZ8">
            <v>0</v>
          </cell>
          <cell r="DA8">
            <v>0</v>
          </cell>
          <cell r="DP8" t="e">
            <v>#N/A</v>
          </cell>
          <cell r="DQ8" t="e">
            <v>#N/A</v>
          </cell>
          <cell r="DR8" t="e">
            <v>#N/A</v>
          </cell>
          <cell r="DS8" t="e">
            <v>#N/A</v>
          </cell>
          <cell r="DT8">
            <v>0</v>
          </cell>
          <cell r="DU8">
            <v>0</v>
          </cell>
          <cell r="DV8">
            <v>0</v>
          </cell>
          <cell r="DX8">
            <v>0</v>
          </cell>
          <cell r="DY8">
            <v>0</v>
          </cell>
          <cell r="DZ8">
            <v>0</v>
          </cell>
          <cell r="EA8">
            <v>0</v>
          </cell>
          <cell r="EB8">
            <v>0</v>
          </cell>
          <cell r="EC8">
            <v>0</v>
          </cell>
          <cell r="ED8">
            <v>0</v>
          </cell>
          <cell r="EE8">
            <v>0</v>
          </cell>
          <cell r="EG8">
            <v>0</v>
          </cell>
          <cell r="EH8">
            <v>0</v>
          </cell>
          <cell r="EI8">
            <v>0</v>
          </cell>
          <cell r="EJ8">
            <v>0</v>
          </cell>
          <cell r="EK8">
            <v>0</v>
          </cell>
          <cell r="EL8">
            <v>0</v>
          </cell>
          <cell r="EM8">
            <v>0</v>
          </cell>
          <cell r="EN8">
            <v>0</v>
          </cell>
          <cell r="EO8">
            <v>0</v>
          </cell>
          <cell r="EQ8">
            <v>0</v>
          </cell>
          <cell r="ER8">
            <v>0</v>
          </cell>
          <cell r="ES8">
            <v>0</v>
          </cell>
          <cell r="ET8">
            <v>0</v>
          </cell>
        </row>
        <row r="9">
          <cell r="A9">
            <v>1</v>
          </cell>
          <cell r="C9" t="str">
            <v>Einzel/Gruppenbüro</v>
          </cell>
          <cell r="D9" t="str">
            <v>x</v>
          </cell>
          <cell r="F9" t="str">
            <v>s</v>
          </cell>
          <cell r="G9" t="str">
            <v>x</v>
          </cell>
          <cell r="H9">
            <v>1</v>
          </cell>
          <cell r="I9">
            <v>3</v>
          </cell>
          <cell r="J9">
            <v>6</v>
          </cell>
          <cell r="K9">
            <v>6</v>
          </cell>
          <cell r="L9">
            <v>36</v>
          </cell>
          <cell r="M9">
            <v>30</v>
          </cell>
          <cell r="N9">
            <v>70</v>
          </cell>
          <cell r="O9" t="str">
            <v>x</v>
          </cell>
          <cell r="Q9" t="str">
            <v>mittel</v>
          </cell>
          <cell r="R9">
            <v>230</v>
          </cell>
          <cell r="S9">
            <v>130</v>
          </cell>
          <cell r="T9">
            <v>100</v>
          </cell>
          <cell r="U9">
            <v>20</v>
          </cell>
          <cell r="V9">
            <v>113.88888888888889</v>
          </cell>
          <cell r="W9">
            <v>0.25</v>
          </cell>
          <cell r="X9">
            <v>1.3</v>
          </cell>
          <cell r="Y9">
            <v>0.2</v>
          </cell>
          <cell r="Z9">
            <v>0.9</v>
          </cell>
          <cell r="AA9">
            <v>0.15</v>
          </cell>
          <cell r="AB9">
            <v>0.6</v>
          </cell>
          <cell r="AC9" t="str">
            <v>mittel</v>
          </cell>
          <cell r="AD9">
            <v>5</v>
          </cell>
          <cell r="AE9">
            <v>7</v>
          </cell>
          <cell r="AF9">
            <v>11</v>
          </cell>
          <cell r="AG9" t="str">
            <v>x</v>
          </cell>
          <cell r="AH9">
            <v>26.861449496399999</v>
          </cell>
          <cell r="AI9">
            <v>14.804104477611942</v>
          </cell>
          <cell r="AK9">
            <v>92.571428571428584</v>
          </cell>
          <cell r="AL9">
            <v>4.2428571428571438</v>
          </cell>
          <cell r="AM9">
            <v>5</v>
          </cell>
          <cell r="AN9" t="str">
            <v>R1</v>
          </cell>
          <cell r="AO9">
            <v>100</v>
          </cell>
          <cell r="AP9" t="str">
            <v>x</v>
          </cell>
          <cell r="AS9">
            <v>25</v>
          </cell>
          <cell r="AT9" t="str">
            <v>R1</v>
          </cell>
          <cell r="AU9">
            <v>29.242857142857144</v>
          </cell>
          <cell r="AV9">
            <v>0.22973910447761198</v>
          </cell>
          <cell r="AY9">
            <v>230</v>
          </cell>
          <cell r="AZ9">
            <v>130</v>
          </cell>
          <cell r="BA9">
            <v>100</v>
          </cell>
          <cell r="BB9">
            <v>20</v>
          </cell>
          <cell r="BC9">
            <v>5.0000000000000009</v>
          </cell>
          <cell r="BD9">
            <v>7</v>
          </cell>
          <cell r="BE9">
            <v>11</v>
          </cell>
          <cell r="BT9">
            <v>1</v>
          </cell>
          <cell r="BU9" t="str">
            <v>Einzel/Gruppenbüro</v>
          </cell>
          <cell r="BV9" t="str">
            <v>s</v>
          </cell>
          <cell r="BW9" t="str">
            <v>x</v>
          </cell>
          <cell r="BX9">
            <v>3</v>
          </cell>
          <cell r="BY9">
            <v>6</v>
          </cell>
          <cell r="BZ9">
            <v>6</v>
          </cell>
          <cell r="CA9">
            <v>36</v>
          </cell>
          <cell r="CB9">
            <v>10.8</v>
          </cell>
          <cell r="CC9">
            <v>25.2</v>
          </cell>
          <cell r="CD9" t="str">
            <v>mittel</v>
          </cell>
          <cell r="CE9">
            <v>230</v>
          </cell>
          <cell r="CF9">
            <v>130</v>
          </cell>
          <cell r="CG9">
            <v>100</v>
          </cell>
          <cell r="CH9">
            <v>20</v>
          </cell>
          <cell r="CI9">
            <v>113.88888888888889</v>
          </cell>
          <cell r="CJ9">
            <v>0.25</v>
          </cell>
          <cell r="CK9">
            <v>1.3</v>
          </cell>
          <cell r="CL9">
            <v>0.2</v>
          </cell>
          <cell r="CM9">
            <v>0.9</v>
          </cell>
          <cell r="CN9">
            <v>0.15</v>
          </cell>
          <cell r="CO9">
            <v>0.6</v>
          </cell>
          <cell r="CP9">
            <v>5</v>
          </cell>
          <cell r="CQ9">
            <v>7</v>
          </cell>
          <cell r="CR9">
            <v>11</v>
          </cell>
          <cell r="CS9" t="str">
            <v>x</v>
          </cell>
          <cell r="CT9">
            <v>0</v>
          </cell>
          <cell r="CU9">
            <v>2.5714285714285716</v>
          </cell>
          <cell r="CV9">
            <v>0</v>
          </cell>
          <cell r="CW9">
            <v>25</v>
          </cell>
          <cell r="CX9">
            <v>1.8614494963999988</v>
          </cell>
          <cell r="CY9">
            <v>25</v>
          </cell>
          <cell r="CZ9">
            <v>7.1092824365900045E-2</v>
          </cell>
          <cell r="DA9">
            <v>14.733011653246042</v>
          </cell>
          <cell r="DO9" t="str">
            <v>040829_233340_0001</v>
          </cell>
          <cell r="DP9">
            <v>3</v>
          </cell>
          <cell r="DQ9">
            <v>6</v>
          </cell>
          <cell r="DR9">
            <v>6</v>
          </cell>
          <cell r="DS9">
            <v>36</v>
          </cell>
          <cell r="DT9">
            <v>0</v>
          </cell>
          <cell r="DU9">
            <v>10.8</v>
          </cell>
          <cell r="DV9">
            <v>25.2</v>
          </cell>
          <cell r="DX9">
            <v>36</v>
          </cell>
          <cell r="DY9">
            <v>25</v>
          </cell>
          <cell r="DZ9">
            <v>0.9</v>
          </cell>
          <cell r="EA9">
            <v>0.53038841951685756</v>
          </cell>
          <cell r="EB9" t="str">
            <v>KE01</v>
          </cell>
          <cell r="EC9">
            <v>2.5</v>
          </cell>
          <cell r="ED9">
            <v>0.36</v>
          </cell>
          <cell r="EE9">
            <v>0.21215536780674302</v>
          </cell>
          <cell r="EG9">
            <v>60</v>
          </cell>
          <cell r="EH9">
            <v>50</v>
          </cell>
          <cell r="EI9">
            <v>0.29571428571428576</v>
          </cell>
          <cell r="EJ9">
            <v>4.1400000000000006E-2</v>
          </cell>
          <cell r="EK9">
            <v>2.5593416771724016E-3</v>
          </cell>
          <cell r="EL9" t="str">
            <v>KE01</v>
          </cell>
          <cell r="EM9">
            <v>2.5</v>
          </cell>
          <cell r="EN9">
            <v>0.1182857142857143</v>
          </cell>
          <cell r="EO9">
            <v>1.7583736670868964E-2</v>
          </cell>
          <cell r="EQ9">
            <v>0.47828571428571431</v>
          </cell>
          <cell r="ER9">
            <v>13.285714285714286</v>
          </cell>
          <cell r="ES9">
            <v>0.22973910447761198</v>
          </cell>
          <cell r="ET9">
            <v>480</v>
          </cell>
        </row>
        <row r="10">
          <cell r="A10">
            <v>2</v>
          </cell>
          <cell r="C10" t="str">
            <v>Grossraumbüro</v>
          </cell>
          <cell r="D10" t="str">
            <v>x</v>
          </cell>
          <cell r="F10" t="str">
            <v>s</v>
          </cell>
          <cell r="G10" t="str">
            <v>x</v>
          </cell>
          <cell r="H10">
            <v>1</v>
          </cell>
          <cell r="I10">
            <v>3</v>
          </cell>
          <cell r="J10">
            <v>12</v>
          </cell>
          <cell r="K10">
            <v>12</v>
          </cell>
          <cell r="L10">
            <v>144</v>
          </cell>
          <cell r="M10">
            <v>30</v>
          </cell>
          <cell r="N10">
            <v>70</v>
          </cell>
          <cell r="O10" t="str">
            <v>x</v>
          </cell>
          <cell r="Q10" t="str">
            <v>mittel</v>
          </cell>
          <cell r="R10">
            <v>230</v>
          </cell>
          <cell r="S10">
            <v>130</v>
          </cell>
          <cell r="T10">
            <v>100</v>
          </cell>
          <cell r="U10">
            <v>20</v>
          </cell>
          <cell r="V10">
            <v>106.94444444444444</v>
          </cell>
          <cell r="W10">
            <v>0.25</v>
          </cell>
          <cell r="X10">
            <v>1.3</v>
          </cell>
          <cell r="Y10">
            <v>0.2</v>
          </cell>
          <cell r="Z10">
            <v>0.9</v>
          </cell>
          <cell r="AA10">
            <v>0.15</v>
          </cell>
          <cell r="AB10">
            <v>0.6</v>
          </cell>
          <cell r="AC10" t="str">
            <v>mittel</v>
          </cell>
          <cell r="AD10">
            <v>7</v>
          </cell>
          <cell r="AE10">
            <v>10</v>
          </cell>
          <cell r="AF10">
            <v>9</v>
          </cell>
          <cell r="AG10" t="str">
            <v>x</v>
          </cell>
          <cell r="AH10">
            <v>29.675177672414819</v>
          </cell>
          <cell r="AI10">
            <v>17.027363184079601</v>
          </cell>
          <cell r="AK10">
            <v>518.4</v>
          </cell>
          <cell r="AL10">
            <v>5.94</v>
          </cell>
          <cell r="AM10">
            <v>5</v>
          </cell>
          <cell r="AN10" t="str">
            <v>R1</v>
          </cell>
          <cell r="AO10">
            <v>100</v>
          </cell>
          <cell r="AP10" t="str">
            <v>x</v>
          </cell>
          <cell r="AS10">
            <v>25</v>
          </cell>
          <cell r="AT10" t="str">
            <v>R1</v>
          </cell>
          <cell r="AU10">
            <v>30.94</v>
          </cell>
          <cell r="AV10">
            <v>1.0735121194029851</v>
          </cell>
          <cell r="AY10">
            <v>230</v>
          </cell>
          <cell r="AZ10">
            <v>130</v>
          </cell>
          <cell r="BA10">
            <v>100</v>
          </cell>
          <cell r="BB10">
            <v>20</v>
          </cell>
          <cell r="BC10">
            <v>7</v>
          </cell>
          <cell r="BD10">
            <v>10</v>
          </cell>
          <cell r="BE10">
            <v>9</v>
          </cell>
          <cell r="BT10">
            <v>2</v>
          </cell>
          <cell r="BU10" t="str">
            <v>Grossraumbüro</v>
          </cell>
          <cell r="BV10" t="str">
            <v>s</v>
          </cell>
          <cell r="BW10" t="str">
            <v>x</v>
          </cell>
          <cell r="BX10">
            <v>3</v>
          </cell>
          <cell r="BY10">
            <v>12</v>
          </cell>
          <cell r="BZ10">
            <v>12</v>
          </cell>
          <cell r="CA10">
            <v>144</v>
          </cell>
          <cell r="CB10">
            <v>21.6</v>
          </cell>
          <cell r="CC10">
            <v>50.4</v>
          </cell>
          <cell r="CD10" t="str">
            <v>mittel</v>
          </cell>
          <cell r="CE10">
            <v>230</v>
          </cell>
          <cell r="CF10">
            <v>130</v>
          </cell>
          <cell r="CG10">
            <v>100</v>
          </cell>
          <cell r="CH10">
            <v>20</v>
          </cell>
          <cell r="CI10">
            <v>106.94444444444444</v>
          </cell>
          <cell r="CJ10">
            <v>0.25</v>
          </cell>
          <cell r="CK10">
            <v>1.3</v>
          </cell>
          <cell r="CL10">
            <v>0.2</v>
          </cell>
          <cell r="CM10">
            <v>0.9</v>
          </cell>
          <cell r="CN10">
            <v>0.15</v>
          </cell>
          <cell r="CO10">
            <v>0.6</v>
          </cell>
          <cell r="CP10">
            <v>7</v>
          </cell>
          <cell r="CQ10">
            <v>10</v>
          </cell>
          <cell r="CR10">
            <v>9</v>
          </cell>
          <cell r="CS10" t="str">
            <v>x</v>
          </cell>
          <cell r="CT10">
            <v>0</v>
          </cell>
          <cell r="CU10">
            <v>3.5999999999999996</v>
          </cell>
          <cell r="CV10">
            <v>0</v>
          </cell>
          <cell r="CW10">
            <v>25</v>
          </cell>
          <cell r="CX10">
            <v>4.6751776724148186</v>
          </cell>
          <cell r="CY10">
            <v>25</v>
          </cell>
          <cell r="CZ10">
            <v>0.42262675185873566</v>
          </cell>
          <cell r="DA10">
            <v>16.604736432220864</v>
          </cell>
          <cell r="DO10" t="str">
            <v>040829_233652_0002</v>
          </cell>
          <cell r="DP10">
            <v>3</v>
          </cell>
          <cell r="DQ10">
            <v>12</v>
          </cell>
          <cell r="DR10">
            <v>12</v>
          </cell>
          <cell r="DS10">
            <v>144</v>
          </cell>
          <cell r="DT10">
            <v>0</v>
          </cell>
          <cell r="DU10">
            <v>21.6</v>
          </cell>
          <cell r="DV10">
            <v>50.4</v>
          </cell>
          <cell r="DX10">
            <v>144</v>
          </cell>
          <cell r="DY10">
            <v>25</v>
          </cell>
          <cell r="DZ10">
            <v>3.6</v>
          </cell>
          <cell r="EA10">
            <v>2.3910820462398048</v>
          </cell>
          <cell r="EB10" t="str">
            <v>KE01</v>
          </cell>
          <cell r="EC10">
            <v>2.5</v>
          </cell>
          <cell r="ED10">
            <v>1.44</v>
          </cell>
          <cell r="EE10">
            <v>0.95643281849592188</v>
          </cell>
          <cell r="EG10">
            <v>60</v>
          </cell>
          <cell r="EH10">
            <v>50</v>
          </cell>
          <cell r="EI10">
            <v>1.6559999999999999</v>
          </cell>
          <cell r="EJ10">
            <v>0.23183999999999999</v>
          </cell>
          <cell r="EK10">
            <v>6.0858252267657932E-2</v>
          </cell>
          <cell r="EL10" t="str">
            <v>KE01</v>
          </cell>
          <cell r="EM10">
            <v>2.5</v>
          </cell>
          <cell r="EN10">
            <v>0.66239999999999999</v>
          </cell>
          <cell r="EO10">
            <v>0.11707930090706317</v>
          </cell>
          <cell r="EQ10">
            <v>2.1023999999999998</v>
          </cell>
          <cell r="ER10">
            <v>14.599999999999998</v>
          </cell>
          <cell r="ES10">
            <v>1.0735121194029851</v>
          </cell>
          <cell r="ET10">
            <v>511</v>
          </cell>
        </row>
        <row r="11">
          <cell r="A11">
            <v>3</v>
          </cell>
          <cell r="C11" t="str">
            <v>Sitzungszimmer</v>
          </cell>
          <cell r="D11" t="str">
            <v>x</v>
          </cell>
          <cell r="F11" t="str">
            <v>s</v>
          </cell>
          <cell r="G11" t="str">
            <v>x</v>
          </cell>
          <cell r="H11">
            <v>1</v>
          </cell>
          <cell r="I11">
            <v>3</v>
          </cell>
          <cell r="J11">
            <v>6</v>
          </cell>
          <cell r="K11">
            <v>6</v>
          </cell>
          <cell r="L11">
            <v>36</v>
          </cell>
          <cell r="M11">
            <v>30</v>
          </cell>
          <cell r="N11">
            <v>70</v>
          </cell>
          <cell r="O11" t="str">
            <v>x</v>
          </cell>
          <cell r="Q11" t="str">
            <v>mittel</v>
          </cell>
          <cell r="R11">
            <v>230</v>
          </cell>
          <cell r="S11">
            <v>130</v>
          </cell>
          <cell r="T11">
            <v>100</v>
          </cell>
          <cell r="U11">
            <v>20</v>
          </cell>
          <cell r="V11">
            <v>113.88888888888889</v>
          </cell>
          <cell r="W11">
            <v>0.25</v>
          </cell>
          <cell r="X11">
            <v>1.3</v>
          </cell>
          <cell r="Y11">
            <v>0.2</v>
          </cell>
          <cell r="Z11">
            <v>0.9</v>
          </cell>
          <cell r="AA11">
            <v>0.15</v>
          </cell>
          <cell r="AB11">
            <v>0.6</v>
          </cell>
          <cell r="AC11" t="str">
            <v>mittel</v>
          </cell>
          <cell r="AD11">
            <v>23.333333333333332</v>
          </cell>
          <cell r="AE11">
            <v>2</v>
          </cell>
          <cell r="AF11">
            <v>11</v>
          </cell>
          <cell r="AG11" t="str">
            <v>x</v>
          </cell>
          <cell r="AH11">
            <v>38.455815253449998</v>
          </cell>
          <cell r="AI11">
            <v>17.027363184079597</v>
          </cell>
          <cell r="AK11">
            <v>300</v>
          </cell>
          <cell r="AL11">
            <v>13.75</v>
          </cell>
          <cell r="AM11">
            <v>5</v>
          </cell>
          <cell r="AN11" t="str">
            <v>R1</v>
          </cell>
          <cell r="AO11">
            <v>100</v>
          </cell>
          <cell r="AP11" t="str">
            <v>x</v>
          </cell>
          <cell r="AS11">
            <v>25</v>
          </cell>
          <cell r="AT11" t="str">
            <v>R1</v>
          </cell>
          <cell r="AU11">
            <v>38.75</v>
          </cell>
          <cell r="AV11">
            <v>0.29886069651741287</v>
          </cell>
          <cell r="AY11">
            <v>230</v>
          </cell>
          <cell r="AZ11">
            <v>130</v>
          </cell>
          <cell r="BA11">
            <v>100</v>
          </cell>
          <cell r="BB11">
            <v>20</v>
          </cell>
          <cell r="BC11">
            <v>23.333333333333332</v>
          </cell>
          <cell r="BD11">
            <v>2</v>
          </cell>
          <cell r="BE11">
            <v>11</v>
          </cell>
          <cell r="BT11">
            <v>3</v>
          </cell>
          <cell r="BU11" t="str">
            <v>Sitzungszimmer</v>
          </cell>
          <cell r="BV11" t="str">
            <v>s</v>
          </cell>
          <cell r="BW11" t="str">
            <v>x</v>
          </cell>
          <cell r="BX11">
            <v>3</v>
          </cell>
          <cell r="BY11">
            <v>6</v>
          </cell>
          <cell r="BZ11">
            <v>6</v>
          </cell>
          <cell r="CA11">
            <v>36</v>
          </cell>
          <cell r="CB11">
            <v>10.8</v>
          </cell>
          <cell r="CC11">
            <v>25.2</v>
          </cell>
          <cell r="CD11" t="str">
            <v>mittel</v>
          </cell>
          <cell r="CE11">
            <v>230</v>
          </cell>
          <cell r="CF11">
            <v>130</v>
          </cell>
          <cell r="CG11">
            <v>100</v>
          </cell>
          <cell r="CH11">
            <v>20</v>
          </cell>
          <cell r="CI11">
            <v>113.88888888888889</v>
          </cell>
          <cell r="CJ11">
            <v>0.25</v>
          </cell>
          <cell r="CK11">
            <v>1.3</v>
          </cell>
          <cell r="CL11">
            <v>0.2</v>
          </cell>
          <cell r="CM11">
            <v>0.9</v>
          </cell>
          <cell r="CN11">
            <v>0.15</v>
          </cell>
          <cell r="CO11">
            <v>0.6</v>
          </cell>
          <cell r="CP11">
            <v>23.333333333333332</v>
          </cell>
          <cell r="CQ11">
            <v>2</v>
          </cell>
          <cell r="CR11">
            <v>11</v>
          </cell>
          <cell r="CS11" t="str">
            <v>x</v>
          </cell>
          <cell r="CT11">
            <v>0</v>
          </cell>
          <cell r="CU11">
            <v>8.3333333333333339</v>
          </cell>
          <cell r="CV11">
            <v>0</v>
          </cell>
          <cell r="CW11">
            <v>25</v>
          </cell>
          <cell r="CX11">
            <v>13.455815253449998</v>
          </cell>
          <cell r="CY11">
            <v>25</v>
          </cell>
          <cell r="CZ11">
            <v>2.0846991308000966</v>
          </cell>
          <cell r="DA11">
            <v>14.942664053279502</v>
          </cell>
          <cell r="DO11" t="str">
            <v>040829_233717_0003</v>
          </cell>
          <cell r="DP11">
            <v>3</v>
          </cell>
          <cell r="DQ11">
            <v>6</v>
          </cell>
          <cell r="DR11">
            <v>6</v>
          </cell>
          <cell r="DS11">
            <v>36</v>
          </cell>
          <cell r="DT11">
            <v>0</v>
          </cell>
          <cell r="DU11">
            <v>10.8</v>
          </cell>
          <cell r="DV11">
            <v>25.2</v>
          </cell>
          <cell r="DX11">
            <v>36</v>
          </cell>
          <cell r="DY11">
            <v>25</v>
          </cell>
          <cell r="DZ11">
            <v>0.9</v>
          </cell>
          <cell r="EA11">
            <v>0.53793590591806206</v>
          </cell>
          <cell r="EB11" t="str">
            <v>KE01</v>
          </cell>
          <cell r="EC11">
            <v>2.5</v>
          </cell>
          <cell r="ED11">
            <v>0.36</v>
          </cell>
          <cell r="EE11">
            <v>0.21517436236722481</v>
          </cell>
          <cell r="EG11">
            <v>60</v>
          </cell>
          <cell r="EH11">
            <v>50</v>
          </cell>
          <cell r="EI11">
            <v>0.95833333333333326</v>
          </cell>
          <cell r="EJ11">
            <v>0.13416666666666666</v>
          </cell>
          <cell r="EK11">
            <v>7.5049168708803474E-2</v>
          </cell>
          <cell r="EL11" t="str">
            <v>KE01</v>
          </cell>
          <cell r="EM11">
            <v>2.5</v>
          </cell>
          <cell r="EN11">
            <v>0.3833333333333333</v>
          </cell>
          <cell r="EO11">
            <v>8.3686334150188044E-2</v>
          </cell>
          <cell r="EQ11">
            <v>0.74333333333333329</v>
          </cell>
          <cell r="ER11">
            <v>20.648148148148145</v>
          </cell>
          <cell r="ES11">
            <v>0.29886069651741287</v>
          </cell>
          <cell r="ET11">
            <v>402</v>
          </cell>
        </row>
        <row r="12">
          <cell r="A12">
            <v>4</v>
          </cell>
          <cell r="C12" t="str">
            <v>Schalterhalle</v>
          </cell>
          <cell r="D12" t="str">
            <v>x</v>
          </cell>
          <cell r="F12" t="str">
            <v>s</v>
          </cell>
          <cell r="G12" t="str">
            <v>x</v>
          </cell>
          <cell r="H12">
            <v>1</v>
          </cell>
          <cell r="I12">
            <v>4</v>
          </cell>
          <cell r="J12">
            <v>12</v>
          </cell>
          <cell r="K12">
            <v>12</v>
          </cell>
          <cell r="L12">
            <v>144</v>
          </cell>
          <cell r="M12">
            <v>30</v>
          </cell>
          <cell r="N12">
            <v>70</v>
          </cell>
          <cell r="O12" t="str">
            <v>x</v>
          </cell>
          <cell r="Q12" t="str">
            <v>mittel</v>
          </cell>
          <cell r="R12">
            <v>230</v>
          </cell>
          <cell r="S12">
            <v>130</v>
          </cell>
          <cell r="T12">
            <v>100</v>
          </cell>
          <cell r="U12">
            <v>20</v>
          </cell>
          <cell r="V12">
            <v>109.25925925925925</v>
          </cell>
          <cell r="W12">
            <v>0.25</v>
          </cell>
          <cell r="X12">
            <v>1.3</v>
          </cell>
          <cell r="Y12">
            <v>0.2</v>
          </cell>
          <cell r="Z12">
            <v>0.9</v>
          </cell>
          <cell r="AA12">
            <v>0.15</v>
          </cell>
          <cell r="AB12">
            <v>0.6</v>
          </cell>
          <cell r="AC12" t="str">
            <v>tief</v>
          </cell>
          <cell r="AD12">
            <v>5.833333333333333</v>
          </cell>
          <cell r="AE12">
            <v>1.5</v>
          </cell>
          <cell r="AF12">
            <v>9</v>
          </cell>
          <cell r="AG12" t="str">
            <v>x</v>
          </cell>
          <cell r="AH12">
            <v>31.884090900525006</v>
          </cell>
          <cell r="AI12">
            <v>12.816044776119403</v>
          </cell>
          <cell r="AK12">
            <v>300</v>
          </cell>
          <cell r="AL12">
            <v>3.4375</v>
          </cell>
          <cell r="AM12">
            <v>5</v>
          </cell>
          <cell r="AN12" t="str">
            <v>R1</v>
          </cell>
          <cell r="AO12">
            <v>100</v>
          </cell>
          <cell r="AP12" t="str">
            <v>x</v>
          </cell>
          <cell r="AS12">
            <v>25</v>
          </cell>
          <cell r="AT12" t="str">
            <v>R1</v>
          </cell>
          <cell r="AU12">
            <v>28.4375</v>
          </cell>
          <cell r="AV12">
            <v>0.7918708457711443</v>
          </cell>
          <cell r="AY12">
            <v>230</v>
          </cell>
          <cell r="AZ12">
            <v>130</v>
          </cell>
          <cell r="BA12">
            <v>100</v>
          </cell>
          <cell r="BB12">
            <v>20</v>
          </cell>
          <cell r="BC12">
            <v>5.833333333333333</v>
          </cell>
          <cell r="BD12">
            <v>1.5</v>
          </cell>
          <cell r="BE12">
            <v>9</v>
          </cell>
          <cell r="BT12">
            <v>4</v>
          </cell>
          <cell r="BU12" t="str">
            <v>Schalterhalle</v>
          </cell>
          <cell r="BV12" t="str">
            <v>s</v>
          </cell>
          <cell r="BW12" t="str">
            <v>x</v>
          </cell>
          <cell r="BX12">
            <v>4</v>
          </cell>
          <cell r="BY12">
            <v>12</v>
          </cell>
          <cell r="BZ12">
            <v>12</v>
          </cell>
          <cell r="CA12">
            <v>144</v>
          </cell>
          <cell r="CB12">
            <v>28.8</v>
          </cell>
          <cell r="CC12">
            <v>67.2</v>
          </cell>
          <cell r="CD12" t="str">
            <v>mittel</v>
          </cell>
          <cell r="CE12">
            <v>230</v>
          </cell>
          <cell r="CF12">
            <v>130</v>
          </cell>
          <cell r="CG12">
            <v>100</v>
          </cell>
          <cell r="CH12">
            <v>20</v>
          </cell>
          <cell r="CI12">
            <v>109.25925925925925</v>
          </cell>
          <cell r="CJ12">
            <v>0.25</v>
          </cell>
          <cell r="CK12">
            <v>1.3</v>
          </cell>
          <cell r="CL12">
            <v>0.2</v>
          </cell>
          <cell r="CM12">
            <v>0.9</v>
          </cell>
          <cell r="CN12">
            <v>0.15</v>
          </cell>
          <cell r="CO12">
            <v>0.6</v>
          </cell>
          <cell r="CP12">
            <v>5.833333333333333</v>
          </cell>
          <cell r="CQ12">
            <v>1.5</v>
          </cell>
          <cell r="CR12">
            <v>9</v>
          </cell>
          <cell r="CS12" t="str">
            <v>x</v>
          </cell>
          <cell r="CT12">
            <v>0</v>
          </cell>
          <cell r="CU12">
            <v>2.0833333333333335</v>
          </cell>
          <cell r="CV12">
            <v>0</v>
          </cell>
          <cell r="CW12">
            <v>25</v>
          </cell>
          <cell r="CX12">
            <v>6.8840909005250062</v>
          </cell>
          <cell r="CY12">
            <v>25</v>
          </cell>
          <cell r="CZ12">
            <v>0.597446651564432</v>
          </cell>
          <cell r="DA12">
            <v>12.218598124554971</v>
          </cell>
          <cell r="DO12" t="str">
            <v>040829_234233_0004</v>
          </cell>
          <cell r="DP12">
            <v>4</v>
          </cell>
          <cell r="DQ12">
            <v>12</v>
          </cell>
          <cell r="DR12">
            <v>12</v>
          </cell>
          <cell r="DS12">
            <v>144</v>
          </cell>
          <cell r="DT12">
            <v>0</v>
          </cell>
          <cell r="DU12">
            <v>28.8</v>
          </cell>
          <cell r="DV12">
            <v>67.2</v>
          </cell>
          <cell r="DX12">
            <v>144</v>
          </cell>
          <cell r="DY12">
            <v>25</v>
          </cell>
          <cell r="DZ12">
            <v>3.6</v>
          </cell>
          <cell r="EA12">
            <v>1.7594781299359159</v>
          </cell>
          <cell r="EB12" t="str">
            <v>KE01</v>
          </cell>
          <cell r="EC12">
            <v>2.5</v>
          </cell>
          <cell r="ED12">
            <v>1.44</v>
          </cell>
          <cell r="EE12">
            <v>0.70379125197436632</v>
          </cell>
          <cell r="EG12">
            <v>60</v>
          </cell>
          <cell r="EH12">
            <v>50</v>
          </cell>
          <cell r="EI12">
            <v>0.95833333333333326</v>
          </cell>
          <cell r="EJ12">
            <v>0.13416666666666666</v>
          </cell>
          <cell r="EK12">
            <v>8.6032317825278218E-2</v>
          </cell>
          <cell r="EL12" t="str">
            <v>KE01</v>
          </cell>
          <cell r="EM12">
            <v>2.5</v>
          </cell>
          <cell r="EN12">
            <v>0.3833333333333333</v>
          </cell>
          <cell r="EO12">
            <v>8.8079593796777947E-2</v>
          </cell>
          <cell r="EQ12">
            <v>1.8233333333333333</v>
          </cell>
          <cell r="ER12">
            <v>12.662037037037036</v>
          </cell>
          <cell r="ES12">
            <v>0.7918708457711443</v>
          </cell>
          <cell r="ET12">
            <v>434</v>
          </cell>
        </row>
        <row r="13">
          <cell r="A13">
            <v>5</v>
          </cell>
          <cell r="C13" t="str">
            <v>Verkauf</v>
          </cell>
          <cell r="D13" t="str">
            <v>x</v>
          </cell>
          <cell r="E13" t="str">
            <v>x</v>
          </cell>
          <cell r="F13" t="str">
            <v>s</v>
          </cell>
          <cell r="G13" t="str">
            <v>x</v>
          </cell>
          <cell r="H13">
            <v>1</v>
          </cell>
          <cell r="I13">
            <v>4</v>
          </cell>
          <cell r="J13">
            <v>20</v>
          </cell>
          <cell r="K13">
            <v>20</v>
          </cell>
          <cell r="L13">
            <v>400</v>
          </cell>
          <cell r="M13">
            <v>30</v>
          </cell>
          <cell r="N13">
            <v>70</v>
          </cell>
          <cell r="O13" t="str">
            <v>x</v>
          </cell>
          <cell r="Q13" t="str">
            <v>mittel</v>
          </cell>
          <cell r="R13">
            <v>230</v>
          </cell>
          <cell r="S13">
            <v>130</v>
          </cell>
          <cell r="T13">
            <v>100</v>
          </cell>
          <cell r="U13">
            <v>20</v>
          </cell>
          <cell r="V13">
            <v>105.55555555555556</v>
          </cell>
          <cell r="W13">
            <v>0.25</v>
          </cell>
          <cell r="X13">
            <v>1.3</v>
          </cell>
          <cell r="Y13">
            <v>0.2</v>
          </cell>
          <cell r="Z13">
            <v>0.9</v>
          </cell>
          <cell r="AA13">
            <v>0.15</v>
          </cell>
          <cell r="AB13">
            <v>0.6</v>
          </cell>
          <cell r="AC13" t="str">
            <v>mittel</v>
          </cell>
          <cell r="AD13">
            <v>14</v>
          </cell>
          <cell r="AE13">
            <v>2</v>
          </cell>
          <cell r="AF13">
            <v>14</v>
          </cell>
          <cell r="AG13" t="str">
            <v>x</v>
          </cell>
          <cell r="AH13">
            <v>21.162252686972636</v>
          </cell>
          <cell r="AI13">
            <v>19.99343283582089</v>
          </cell>
          <cell r="AK13">
            <v>2000</v>
          </cell>
          <cell r="AL13">
            <v>8.25</v>
          </cell>
          <cell r="AM13">
            <v>5</v>
          </cell>
          <cell r="AN13" t="str">
            <v>R1</v>
          </cell>
          <cell r="AO13">
            <v>100</v>
          </cell>
          <cell r="AP13" t="str">
            <v>x</v>
          </cell>
          <cell r="AS13">
            <v>25</v>
          </cell>
          <cell r="AT13" t="str">
            <v>R1</v>
          </cell>
          <cell r="AU13">
            <v>33.25</v>
          </cell>
          <cell r="AV13">
            <v>3.5567270315091202</v>
          </cell>
          <cell r="AY13">
            <v>230</v>
          </cell>
          <cell r="AZ13">
            <v>130</v>
          </cell>
          <cell r="BA13">
            <v>100</v>
          </cell>
          <cell r="BB13">
            <v>20</v>
          </cell>
          <cell r="BC13">
            <v>14</v>
          </cell>
          <cell r="BD13">
            <v>2</v>
          </cell>
          <cell r="BE13">
            <v>14</v>
          </cell>
          <cell r="BT13">
            <v>5</v>
          </cell>
          <cell r="BU13" t="str">
            <v>Verkauf</v>
          </cell>
          <cell r="BV13" t="str">
            <v>s</v>
          </cell>
          <cell r="BW13" t="str">
            <v>x</v>
          </cell>
          <cell r="BX13">
            <v>4</v>
          </cell>
          <cell r="BY13">
            <v>20</v>
          </cell>
          <cell r="BZ13">
            <v>20</v>
          </cell>
          <cell r="CA13">
            <v>400</v>
          </cell>
          <cell r="CB13">
            <v>48</v>
          </cell>
          <cell r="CC13">
            <v>112</v>
          </cell>
          <cell r="CD13" t="str">
            <v>mittel</v>
          </cell>
          <cell r="CE13">
            <v>230</v>
          </cell>
          <cell r="CF13">
            <v>130</v>
          </cell>
          <cell r="CG13">
            <v>100</v>
          </cell>
          <cell r="CH13">
            <v>20</v>
          </cell>
          <cell r="CI13">
            <v>105.55555555555556</v>
          </cell>
          <cell r="CJ13">
            <v>0.25</v>
          </cell>
          <cell r="CK13">
            <v>1.3</v>
          </cell>
          <cell r="CL13">
            <v>0.2</v>
          </cell>
          <cell r="CM13">
            <v>0.9</v>
          </cell>
          <cell r="CN13">
            <v>0.15</v>
          </cell>
          <cell r="CO13">
            <v>0.6</v>
          </cell>
          <cell r="CP13">
            <v>14</v>
          </cell>
          <cell r="CQ13">
            <v>2</v>
          </cell>
          <cell r="CR13">
            <v>14</v>
          </cell>
          <cell r="CS13" t="str">
            <v>x</v>
          </cell>
          <cell r="CT13">
            <v>0</v>
          </cell>
          <cell r="CU13">
            <v>5</v>
          </cell>
          <cell r="CV13">
            <v>0</v>
          </cell>
          <cell r="CW13">
            <v>25</v>
          </cell>
          <cell r="CX13">
            <v>0</v>
          </cell>
          <cell r="CY13">
            <v>21.162252686972636</v>
          </cell>
          <cell r="CZ13">
            <v>0</v>
          </cell>
          <cell r="DA13">
            <v>19.99343283582089</v>
          </cell>
          <cell r="DO13" t="str">
            <v>040829_234238_0005</v>
          </cell>
          <cell r="DP13">
            <v>4</v>
          </cell>
          <cell r="DQ13">
            <v>20</v>
          </cell>
          <cell r="DR13">
            <v>20</v>
          </cell>
          <cell r="DS13">
            <v>400</v>
          </cell>
          <cell r="DT13">
            <v>0</v>
          </cell>
          <cell r="DU13">
            <v>48</v>
          </cell>
          <cell r="DV13">
            <v>112</v>
          </cell>
          <cell r="DX13">
            <v>400</v>
          </cell>
          <cell r="DY13">
            <v>25</v>
          </cell>
          <cell r="DZ13">
            <v>10</v>
          </cell>
          <cell r="EA13">
            <v>7.9973731343283561</v>
          </cell>
          <cell r="EB13" t="str">
            <v>KE01</v>
          </cell>
          <cell r="EC13">
            <v>2.5</v>
          </cell>
          <cell r="ED13">
            <v>4</v>
          </cell>
          <cell r="EE13">
            <v>3.1989492537313424</v>
          </cell>
          <cell r="EG13">
            <v>60</v>
          </cell>
          <cell r="EH13">
            <v>50</v>
          </cell>
          <cell r="EI13">
            <v>6.3888888888888893</v>
          </cell>
          <cell r="EJ13">
            <v>0.89444444444444449</v>
          </cell>
          <cell r="EK13">
            <v>0</v>
          </cell>
          <cell r="EL13" t="str">
            <v>KE01</v>
          </cell>
          <cell r="EM13">
            <v>2.5</v>
          </cell>
          <cell r="EN13">
            <v>2.5555555555555558</v>
          </cell>
          <cell r="EO13">
            <v>0.35777777777777781</v>
          </cell>
          <cell r="EQ13">
            <v>6.5555555555555554</v>
          </cell>
          <cell r="ER13">
            <v>16.388888888888889</v>
          </cell>
          <cell r="ES13">
            <v>3.5567270315091202</v>
          </cell>
          <cell r="ET13">
            <v>543</v>
          </cell>
        </row>
        <row r="14">
          <cell r="A14">
            <v>6</v>
          </cell>
          <cell r="C14" t="str">
            <v>Verkauf mit Kühlprodukten</v>
          </cell>
          <cell r="D14" t="str">
            <v>x</v>
          </cell>
          <cell r="E14" t="str">
            <v>x</v>
          </cell>
          <cell r="F14" t="str">
            <v>s</v>
          </cell>
          <cell r="G14" t="str">
            <v>x</v>
          </cell>
          <cell r="H14">
            <v>1</v>
          </cell>
          <cell r="I14">
            <v>4</v>
          </cell>
          <cell r="J14">
            <v>20</v>
          </cell>
          <cell r="K14">
            <v>20</v>
          </cell>
          <cell r="L14">
            <v>400</v>
          </cell>
          <cell r="M14">
            <v>30</v>
          </cell>
          <cell r="N14">
            <v>70</v>
          </cell>
          <cell r="O14" t="str">
            <v>x</v>
          </cell>
          <cell r="Q14" t="str">
            <v>mittel</v>
          </cell>
          <cell r="R14">
            <v>230</v>
          </cell>
          <cell r="S14">
            <v>130</v>
          </cell>
          <cell r="T14">
            <v>100</v>
          </cell>
          <cell r="U14">
            <v>20</v>
          </cell>
          <cell r="V14">
            <v>105.55555555555556</v>
          </cell>
          <cell r="W14">
            <v>0.25</v>
          </cell>
          <cell r="X14">
            <v>1.3</v>
          </cell>
          <cell r="Y14">
            <v>0.2</v>
          </cell>
          <cell r="Z14">
            <v>0.9</v>
          </cell>
          <cell r="AA14">
            <v>0.15</v>
          </cell>
          <cell r="AB14">
            <v>0.6</v>
          </cell>
          <cell r="AC14" t="str">
            <v>mittel</v>
          </cell>
          <cell r="AD14">
            <v>14</v>
          </cell>
          <cell r="AE14">
            <v>-10</v>
          </cell>
          <cell r="AF14">
            <v>14</v>
          </cell>
          <cell r="AG14" t="str">
            <v>x</v>
          </cell>
          <cell r="AH14">
            <v>13.449031634341054</v>
          </cell>
          <cell r="AI14">
            <v>9.9349253731343268</v>
          </cell>
          <cell r="AK14">
            <v>2000</v>
          </cell>
          <cell r="AL14">
            <v>8.25</v>
          </cell>
          <cell r="AM14">
            <v>5</v>
          </cell>
          <cell r="AN14" t="str">
            <v>R1</v>
          </cell>
          <cell r="AO14">
            <v>100</v>
          </cell>
          <cell r="AP14" t="str">
            <v>x</v>
          </cell>
          <cell r="AS14">
            <v>25</v>
          </cell>
          <cell r="AT14" t="str">
            <v>R1</v>
          </cell>
          <cell r="AU14">
            <v>33.25</v>
          </cell>
          <cell r="AV14">
            <v>1.9473658374792699</v>
          </cell>
          <cell r="AY14">
            <v>230</v>
          </cell>
          <cell r="AZ14">
            <v>130</v>
          </cell>
          <cell r="BA14">
            <v>100</v>
          </cell>
          <cell r="BB14">
            <v>20</v>
          </cell>
          <cell r="BC14">
            <v>14</v>
          </cell>
          <cell r="BD14">
            <v>-10</v>
          </cell>
          <cell r="BE14">
            <v>14</v>
          </cell>
          <cell r="BT14">
            <v>6</v>
          </cell>
          <cell r="BU14" t="str">
            <v>Verkauf mit Kühlprodukten</v>
          </cell>
          <cell r="BV14" t="str">
            <v>s</v>
          </cell>
          <cell r="BW14" t="str">
            <v>x</v>
          </cell>
          <cell r="BX14">
            <v>4</v>
          </cell>
          <cell r="BY14">
            <v>20</v>
          </cell>
          <cell r="BZ14">
            <v>20</v>
          </cell>
          <cell r="CA14">
            <v>400</v>
          </cell>
          <cell r="CB14">
            <v>48</v>
          </cell>
          <cell r="CC14">
            <v>112</v>
          </cell>
          <cell r="CD14" t="str">
            <v>mittel</v>
          </cell>
          <cell r="CE14">
            <v>230</v>
          </cell>
          <cell r="CF14">
            <v>130</v>
          </cell>
          <cell r="CG14">
            <v>100</v>
          </cell>
          <cell r="CH14">
            <v>20</v>
          </cell>
          <cell r="CI14">
            <v>105.55555555555556</v>
          </cell>
          <cell r="CJ14">
            <v>0.25</v>
          </cell>
          <cell r="CK14">
            <v>1.3</v>
          </cell>
          <cell r="CL14">
            <v>0.2</v>
          </cell>
          <cell r="CM14">
            <v>0.9</v>
          </cell>
          <cell r="CN14">
            <v>0.15</v>
          </cell>
          <cell r="CO14">
            <v>0.6</v>
          </cell>
          <cell r="CP14">
            <v>14</v>
          </cell>
          <cell r="CQ14">
            <v>-10</v>
          </cell>
          <cell r="CR14">
            <v>14</v>
          </cell>
          <cell r="CS14" t="str">
            <v>x</v>
          </cell>
          <cell r="CT14">
            <v>0</v>
          </cell>
          <cell r="CU14">
            <v>5</v>
          </cell>
          <cell r="CV14">
            <v>0</v>
          </cell>
          <cell r="CW14">
            <v>25</v>
          </cell>
          <cell r="CX14">
            <v>0</v>
          </cell>
          <cell r="CY14">
            <v>13.449031634341054</v>
          </cell>
          <cell r="CZ14">
            <v>0</v>
          </cell>
          <cell r="DA14">
            <v>9.9349253731343268</v>
          </cell>
          <cell r="DO14" t="str">
            <v>040829_234242_0006</v>
          </cell>
          <cell r="DP14">
            <v>4</v>
          </cell>
          <cell r="DQ14">
            <v>20</v>
          </cell>
          <cell r="DR14">
            <v>20</v>
          </cell>
          <cell r="DS14">
            <v>400</v>
          </cell>
          <cell r="DT14">
            <v>0</v>
          </cell>
          <cell r="DU14">
            <v>48</v>
          </cell>
          <cell r="DV14">
            <v>112</v>
          </cell>
          <cell r="DX14">
            <v>400</v>
          </cell>
          <cell r="DY14">
            <v>25</v>
          </cell>
          <cell r="DZ14">
            <v>10</v>
          </cell>
          <cell r="EA14">
            <v>3.9739701492537307</v>
          </cell>
          <cell r="EB14" t="str">
            <v>KE01</v>
          </cell>
          <cell r="EC14">
            <v>2.5</v>
          </cell>
          <cell r="ED14">
            <v>4</v>
          </cell>
          <cell r="EE14">
            <v>1.5895880597014922</v>
          </cell>
          <cell r="EG14">
            <v>60</v>
          </cell>
          <cell r="EH14">
            <v>50</v>
          </cell>
          <cell r="EI14">
            <v>6.3888888888888893</v>
          </cell>
          <cell r="EJ14">
            <v>0.89444444444444449</v>
          </cell>
          <cell r="EK14">
            <v>0</v>
          </cell>
          <cell r="EL14" t="str">
            <v>KE01</v>
          </cell>
          <cell r="EM14">
            <v>2.5</v>
          </cell>
          <cell r="EN14">
            <v>2.5555555555555558</v>
          </cell>
          <cell r="EO14">
            <v>0.35777777777777781</v>
          </cell>
          <cell r="EQ14">
            <v>6.5555555555555554</v>
          </cell>
          <cell r="ER14">
            <v>16.388888888888889</v>
          </cell>
          <cell r="ES14">
            <v>1.9473658374792699</v>
          </cell>
          <cell r="ET14">
            <v>297</v>
          </cell>
        </row>
        <row r="15">
          <cell r="A15">
            <v>7</v>
          </cell>
          <cell r="C15" t="str">
            <v>Warenhaus</v>
          </cell>
          <cell r="D15" t="str">
            <v>x</v>
          </cell>
          <cell r="E15" t="str">
            <v>x</v>
          </cell>
          <cell r="F15" t="str">
            <v>s</v>
          </cell>
          <cell r="G15" t="str">
            <v>x</v>
          </cell>
          <cell r="H15">
            <v>1</v>
          </cell>
          <cell r="I15">
            <v>4</v>
          </cell>
          <cell r="J15">
            <v>40</v>
          </cell>
          <cell r="K15">
            <v>40</v>
          </cell>
          <cell r="L15">
            <v>1600</v>
          </cell>
          <cell r="M15">
            <v>30</v>
          </cell>
          <cell r="N15">
            <v>70</v>
          </cell>
          <cell r="O15" t="str">
            <v>x</v>
          </cell>
          <cell r="Q15" t="str">
            <v>mittel</v>
          </cell>
          <cell r="R15">
            <v>230</v>
          </cell>
          <cell r="S15">
            <v>130</v>
          </cell>
          <cell r="T15">
            <v>100</v>
          </cell>
          <cell r="U15">
            <v>20</v>
          </cell>
          <cell r="V15">
            <v>102.77777777777777</v>
          </cell>
          <cell r="W15">
            <v>0.25</v>
          </cell>
          <cell r="X15">
            <v>1.3</v>
          </cell>
          <cell r="Y15">
            <v>0.2</v>
          </cell>
          <cell r="Z15">
            <v>0.9</v>
          </cell>
          <cell r="AA15">
            <v>0.15</v>
          </cell>
          <cell r="AB15">
            <v>0.6</v>
          </cell>
          <cell r="AC15" t="str">
            <v>mittel</v>
          </cell>
          <cell r="AD15">
            <v>23.333333333333332</v>
          </cell>
          <cell r="AE15">
            <v>2</v>
          </cell>
          <cell r="AF15">
            <v>15</v>
          </cell>
          <cell r="AG15" t="str">
            <v>x</v>
          </cell>
          <cell r="AH15">
            <v>24.707118893866667</v>
          </cell>
          <cell r="AI15">
            <v>24.845373134328355</v>
          </cell>
          <cell r="AK15">
            <v>13333.333333333334</v>
          </cell>
          <cell r="AL15">
            <v>13.750000000000002</v>
          </cell>
          <cell r="AM15">
            <v>5</v>
          </cell>
          <cell r="AN15" t="str">
            <v>R1</v>
          </cell>
          <cell r="AO15">
            <v>100</v>
          </cell>
          <cell r="AP15" t="str">
            <v>x</v>
          </cell>
          <cell r="AS15">
            <v>25</v>
          </cell>
          <cell r="AT15" t="str">
            <v>R1</v>
          </cell>
          <cell r="AU15">
            <v>38.75</v>
          </cell>
          <cell r="AV15">
            <v>18.286223991155335</v>
          </cell>
          <cell r="AY15">
            <v>230</v>
          </cell>
          <cell r="AZ15">
            <v>130</v>
          </cell>
          <cell r="BA15">
            <v>100</v>
          </cell>
          <cell r="BB15">
            <v>20</v>
          </cell>
          <cell r="BC15">
            <v>23.333333333333332</v>
          </cell>
          <cell r="BD15">
            <v>2</v>
          </cell>
          <cell r="BE15">
            <v>15</v>
          </cell>
          <cell r="BT15">
            <v>7</v>
          </cell>
          <cell r="BU15" t="str">
            <v>Warenhaus</v>
          </cell>
          <cell r="BV15" t="str">
            <v>s</v>
          </cell>
          <cell r="BW15" t="str">
            <v>x</v>
          </cell>
          <cell r="BX15">
            <v>4</v>
          </cell>
          <cell r="BY15">
            <v>40</v>
          </cell>
          <cell r="BZ15">
            <v>40</v>
          </cell>
          <cell r="CA15">
            <v>1600</v>
          </cell>
          <cell r="CB15">
            <v>96</v>
          </cell>
          <cell r="CC15">
            <v>224</v>
          </cell>
          <cell r="CD15" t="str">
            <v>mittel</v>
          </cell>
          <cell r="CE15">
            <v>230</v>
          </cell>
          <cell r="CF15">
            <v>130</v>
          </cell>
          <cell r="CG15">
            <v>100</v>
          </cell>
          <cell r="CH15">
            <v>20</v>
          </cell>
          <cell r="CI15">
            <v>102.77777777777777</v>
          </cell>
          <cell r="CJ15">
            <v>0.25</v>
          </cell>
          <cell r="CK15">
            <v>1.3</v>
          </cell>
          <cell r="CL15">
            <v>0.2</v>
          </cell>
          <cell r="CM15">
            <v>0.9</v>
          </cell>
          <cell r="CN15">
            <v>0.15</v>
          </cell>
          <cell r="CO15">
            <v>0.6</v>
          </cell>
          <cell r="CP15">
            <v>23.333333333333332</v>
          </cell>
          <cell r="CQ15">
            <v>2</v>
          </cell>
          <cell r="CR15">
            <v>15</v>
          </cell>
          <cell r="CS15" t="str">
            <v>x</v>
          </cell>
          <cell r="CT15">
            <v>0</v>
          </cell>
          <cell r="CU15">
            <v>8.3333333333333339</v>
          </cell>
          <cell r="CV15">
            <v>0</v>
          </cell>
          <cell r="CW15">
            <v>25</v>
          </cell>
          <cell r="CX15">
            <v>0</v>
          </cell>
          <cell r="CY15">
            <v>24.707118893866667</v>
          </cell>
          <cell r="CZ15">
            <v>0</v>
          </cell>
          <cell r="DA15">
            <v>24.845373134328355</v>
          </cell>
          <cell r="DO15" t="str">
            <v>040829_234246_0007</v>
          </cell>
          <cell r="DP15">
            <v>4</v>
          </cell>
          <cell r="DQ15">
            <v>40</v>
          </cell>
          <cell r="DR15">
            <v>40</v>
          </cell>
          <cell r="DS15">
            <v>1600</v>
          </cell>
          <cell r="DT15">
            <v>0</v>
          </cell>
          <cell r="DU15">
            <v>96</v>
          </cell>
          <cell r="DV15">
            <v>224</v>
          </cell>
          <cell r="DX15">
            <v>1600</v>
          </cell>
          <cell r="DY15">
            <v>25</v>
          </cell>
          <cell r="DZ15">
            <v>40</v>
          </cell>
          <cell r="EA15">
            <v>39.752597014925371</v>
          </cell>
          <cell r="EB15" t="str">
            <v>KE01</v>
          </cell>
          <cell r="EC15">
            <v>2.5</v>
          </cell>
          <cell r="ED15">
            <v>16</v>
          </cell>
          <cell r="EE15">
            <v>15.901038805970149</v>
          </cell>
          <cell r="EG15">
            <v>60</v>
          </cell>
          <cell r="EH15">
            <v>50</v>
          </cell>
          <cell r="EI15">
            <v>42.592592592592595</v>
          </cell>
          <cell r="EJ15">
            <v>5.9629629629629637</v>
          </cell>
          <cell r="EK15">
            <v>0</v>
          </cell>
          <cell r="EL15" t="str">
            <v>KE01</v>
          </cell>
          <cell r="EM15">
            <v>2.5</v>
          </cell>
          <cell r="EN15">
            <v>17.037037037037038</v>
          </cell>
          <cell r="EO15">
            <v>2.3851851851851853</v>
          </cell>
          <cell r="EQ15">
            <v>33.037037037037038</v>
          </cell>
          <cell r="ER15">
            <v>20.648148148148149</v>
          </cell>
          <cell r="ES15">
            <v>18.286223991155335</v>
          </cell>
          <cell r="ET15">
            <v>554</v>
          </cell>
        </row>
        <row r="16">
          <cell r="A16">
            <v>8</v>
          </cell>
          <cell r="C16" t="str">
            <v>Schulzimmer</v>
          </cell>
          <cell r="D16" t="str">
            <v>x</v>
          </cell>
          <cell r="E16" t="str">
            <v>x</v>
          </cell>
          <cell r="F16" t="str">
            <v>s</v>
          </cell>
          <cell r="G16" t="str">
            <v>x</v>
          </cell>
          <cell r="H16">
            <v>1</v>
          </cell>
          <cell r="I16">
            <v>3</v>
          </cell>
          <cell r="J16">
            <v>9</v>
          </cell>
          <cell r="K16">
            <v>9</v>
          </cell>
          <cell r="L16">
            <v>81</v>
          </cell>
          <cell r="M16">
            <v>30</v>
          </cell>
          <cell r="N16">
            <v>70</v>
          </cell>
          <cell r="O16" t="str">
            <v>x</v>
          </cell>
          <cell r="Q16" t="str">
            <v>mittel</v>
          </cell>
          <cell r="R16">
            <v>230</v>
          </cell>
          <cell r="S16">
            <v>130</v>
          </cell>
          <cell r="T16">
            <v>100</v>
          </cell>
          <cell r="U16">
            <v>20</v>
          </cell>
          <cell r="V16">
            <v>109.25925925925925</v>
          </cell>
          <cell r="W16">
            <v>0.25</v>
          </cell>
          <cell r="X16">
            <v>1.3</v>
          </cell>
          <cell r="Y16">
            <v>0.2</v>
          </cell>
          <cell r="Z16">
            <v>0.9</v>
          </cell>
          <cell r="AA16">
            <v>0.15</v>
          </cell>
          <cell r="AB16">
            <v>0.6</v>
          </cell>
          <cell r="AC16" t="str">
            <v>mittel</v>
          </cell>
          <cell r="AD16">
            <v>20</v>
          </cell>
          <cell r="AE16">
            <v>4</v>
          </cell>
          <cell r="AF16">
            <v>10</v>
          </cell>
          <cell r="AG16" t="str">
            <v>x</v>
          </cell>
          <cell r="AH16">
            <v>47.926068745762961</v>
          </cell>
          <cell r="AI16">
            <v>16.320895522388057</v>
          </cell>
          <cell r="AK16">
            <v>675</v>
          </cell>
          <cell r="AL16">
            <v>13.75</v>
          </cell>
          <cell r="AM16">
            <v>5</v>
          </cell>
          <cell r="AN16" t="str">
            <v>R1</v>
          </cell>
          <cell r="AO16">
            <v>100</v>
          </cell>
          <cell r="AP16" t="str">
            <v>x</v>
          </cell>
          <cell r="AS16">
            <v>25</v>
          </cell>
          <cell r="AT16" t="str">
            <v>R1</v>
          </cell>
          <cell r="AU16">
            <v>38.75</v>
          </cell>
          <cell r="AV16">
            <v>0.64954701492537303</v>
          </cell>
          <cell r="AY16">
            <v>230</v>
          </cell>
          <cell r="AZ16">
            <v>130</v>
          </cell>
          <cell r="BA16">
            <v>100</v>
          </cell>
          <cell r="BB16">
            <v>20</v>
          </cell>
          <cell r="BC16">
            <v>20</v>
          </cell>
          <cell r="BD16">
            <v>4</v>
          </cell>
          <cell r="BE16">
            <v>10</v>
          </cell>
          <cell r="BT16">
            <v>8</v>
          </cell>
          <cell r="BU16" t="str">
            <v>Schulzimmer</v>
          </cell>
          <cell r="BV16" t="str">
            <v>s</v>
          </cell>
          <cell r="BW16" t="str">
            <v>x</v>
          </cell>
          <cell r="BX16">
            <v>3</v>
          </cell>
          <cell r="BY16">
            <v>9</v>
          </cell>
          <cell r="BZ16">
            <v>9</v>
          </cell>
          <cell r="CA16">
            <v>81</v>
          </cell>
          <cell r="CB16">
            <v>16.2</v>
          </cell>
          <cell r="CC16">
            <v>37.799999999999997</v>
          </cell>
          <cell r="CD16" t="str">
            <v>mittel</v>
          </cell>
          <cell r="CE16">
            <v>230</v>
          </cell>
          <cell r="CF16">
            <v>130</v>
          </cell>
          <cell r="CG16">
            <v>100</v>
          </cell>
          <cell r="CH16">
            <v>20</v>
          </cell>
          <cell r="CI16">
            <v>109.25925925925925</v>
          </cell>
          <cell r="CJ16">
            <v>0.25</v>
          </cell>
          <cell r="CK16">
            <v>1.3</v>
          </cell>
          <cell r="CL16">
            <v>0.2</v>
          </cell>
          <cell r="CM16">
            <v>0.9</v>
          </cell>
          <cell r="CN16">
            <v>0.15</v>
          </cell>
          <cell r="CO16">
            <v>0.6</v>
          </cell>
          <cell r="CP16">
            <v>20</v>
          </cell>
          <cell r="CQ16">
            <v>4</v>
          </cell>
          <cell r="CR16">
            <v>10</v>
          </cell>
          <cell r="CS16" t="str">
            <v>x</v>
          </cell>
          <cell r="CT16">
            <v>0</v>
          </cell>
          <cell r="CU16">
            <v>8.3333333333333339</v>
          </cell>
          <cell r="CV16">
            <v>0</v>
          </cell>
          <cell r="CW16">
            <v>25</v>
          </cell>
          <cell r="CX16">
            <v>22.926068745762961</v>
          </cell>
          <cell r="CY16">
            <v>25</v>
          </cell>
          <cell r="CZ16">
            <v>3.7347329442636061</v>
          </cell>
          <cell r="DA16">
            <v>12.586162578124451</v>
          </cell>
          <cell r="DO16" t="str">
            <v>040829_234455_0008</v>
          </cell>
          <cell r="DP16">
            <v>3</v>
          </cell>
          <cell r="DQ16">
            <v>9</v>
          </cell>
          <cell r="DR16">
            <v>9</v>
          </cell>
          <cell r="DS16">
            <v>81</v>
          </cell>
          <cell r="DT16">
            <v>0</v>
          </cell>
          <cell r="DU16">
            <v>16.2</v>
          </cell>
          <cell r="DV16">
            <v>37.799999999999997</v>
          </cell>
          <cell r="DX16">
            <v>81</v>
          </cell>
          <cell r="DY16">
            <v>25</v>
          </cell>
          <cell r="DZ16">
            <v>2.0249999999999999</v>
          </cell>
          <cell r="EA16">
            <v>1.0194791688280807</v>
          </cell>
          <cell r="EB16" t="str">
            <v>KE01</v>
          </cell>
          <cell r="EC16">
            <v>2.5</v>
          </cell>
          <cell r="ED16">
            <v>0.80999999999999994</v>
          </cell>
          <cell r="EE16">
            <v>0.40779166753123225</v>
          </cell>
          <cell r="EG16">
            <v>60</v>
          </cell>
          <cell r="EH16">
            <v>50</v>
          </cell>
          <cell r="EI16">
            <v>2.1562499999999996</v>
          </cell>
          <cell r="EJ16">
            <v>0.30187499999999995</v>
          </cell>
          <cell r="EK16">
            <v>0.3025133684853521</v>
          </cell>
          <cell r="EL16" t="str">
            <v>KE01</v>
          </cell>
          <cell r="EM16">
            <v>2.5</v>
          </cell>
          <cell r="EN16">
            <v>0.86249999999999982</v>
          </cell>
          <cell r="EO16">
            <v>0.24175534739414081</v>
          </cell>
          <cell r="EQ16">
            <v>1.6724999999999999</v>
          </cell>
          <cell r="ER16">
            <v>20.648148148148145</v>
          </cell>
          <cell r="ES16">
            <v>0.64954701492537303</v>
          </cell>
          <cell r="ET16">
            <v>388</v>
          </cell>
        </row>
        <row r="17">
          <cell r="D17"/>
          <cell r="H17">
            <v>0</v>
          </cell>
          <cell r="I17">
            <v>0</v>
          </cell>
          <cell r="J17">
            <v>0</v>
          </cell>
          <cell r="K17">
            <v>0</v>
          </cell>
          <cell r="L17">
            <v>0</v>
          </cell>
          <cell r="M17">
            <v>0</v>
          </cell>
          <cell r="N17">
            <v>0</v>
          </cell>
          <cell r="V17">
            <v>0</v>
          </cell>
          <cell r="AH17">
            <v>0</v>
          </cell>
          <cell r="AI17">
            <v>0</v>
          </cell>
          <cell r="AK17">
            <v>0</v>
          </cell>
          <cell r="AL17">
            <v>0</v>
          </cell>
          <cell r="AS17">
            <v>0</v>
          </cell>
          <cell r="AU17">
            <v>0</v>
          </cell>
          <cell r="AV17">
            <v>0</v>
          </cell>
          <cell r="AY17">
            <v>0</v>
          </cell>
          <cell r="AZ17">
            <v>0</v>
          </cell>
          <cell r="BA17">
            <v>0</v>
          </cell>
          <cell r="BB17">
            <v>0</v>
          </cell>
          <cell r="BC17">
            <v>0</v>
          </cell>
          <cell r="BD17">
            <v>0</v>
          </cell>
          <cell r="BE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P17">
            <v>0</v>
          </cell>
          <cell r="DQ17">
            <v>0</v>
          </cell>
          <cell r="DR17">
            <v>0</v>
          </cell>
          <cell r="DS17">
            <v>0</v>
          </cell>
          <cell r="DT17">
            <v>0</v>
          </cell>
          <cell r="DU17">
            <v>0</v>
          </cell>
          <cell r="DV17">
            <v>0</v>
          </cell>
          <cell r="DX17">
            <v>0</v>
          </cell>
          <cell r="DY17">
            <v>0</v>
          </cell>
          <cell r="DZ17">
            <v>0</v>
          </cell>
          <cell r="EA17">
            <v>0</v>
          </cell>
          <cell r="EB17">
            <v>0</v>
          </cell>
          <cell r="EC17">
            <v>0</v>
          </cell>
          <cell r="ED17">
            <v>0</v>
          </cell>
          <cell r="EE17">
            <v>0</v>
          </cell>
          <cell r="EG17">
            <v>0</v>
          </cell>
          <cell r="EH17">
            <v>0</v>
          </cell>
          <cell r="EI17">
            <v>0</v>
          </cell>
          <cell r="EJ17">
            <v>0</v>
          </cell>
          <cell r="EK17">
            <v>0</v>
          </cell>
          <cell r="EL17">
            <v>0</v>
          </cell>
          <cell r="EM17">
            <v>0</v>
          </cell>
          <cell r="EN17">
            <v>0</v>
          </cell>
          <cell r="EO17">
            <v>0</v>
          </cell>
          <cell r="EQ17">
            <v>0</v>
          </cell>
          <cell r="ER17">
            <v>0</v>
          </cell>
          <cell r="ES17">
            <v>0</v>
          </cell>
          <cell r="ET17">
            <v>0</v>
          </cell>
        </row>
        <row r="18">
          <cell r="D18"/>
          <cell r="H18">
            <v>0</v>
          </cell>
          <cell r="I18">
            <v>0</v>
          </cell>
          <cell r="J18">
            <v>0</v>
          </cell>
          <cell r="K18">
            <v>0</v>
          </cell>
          <cell r="L18">
            <v>0</v>
          </cell>
          <cell r="M18">
            <v>0</v>
          </cell>
          <cell r="N18">
            <v>0</v>
          </cell>
          <cell r="V18">
            <v>0</v>
          </cell>
          <cell r="AH18">
            <v>0</v>
          </cell>
          <cell r="AI18">
            <v>0</v>
          </cell>
          <cell r="AK18">
            <v>0</v>
          </cell>
          <cell r="AL18">
            <v>0</v>
          </cell>
          <cell r="AS18">
            <v>0</v>
          </cell>
          <cell r="AU18">
            <v>0</v>
          </cell>
          <cell r="AV18">
            <v>0</v>
          </cell>
          <cell r="AY18">
            <v>0</v>
          </cell>
          <cell r="AZ18">
            <v>0</v>
          </cell>
          <cell r="BA18">
            <v>0</v>
          </cell>
          <cell r="BB18">
            <v>0</v>
          </cell>
          <cell r="BC18">
            <v>0</v>
          </cell>
          <cell r="BD18">
            <v>0</v>
          </cell>
          <cell r="BE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P18">
            <v>0</v>
          </cell>
          <cell r="DQ18">
            <v>0</v>
          </cell>
          <cell r="DR18">
            <v>0</v>
          </cell>
          <cell r="DS18">
            <v>0</v>
          </cell>
          <cell r="DT18">
            <v>0</v>
          </cell>
          <cell r="DU18">
            <v>0</v>
          </cell>
          <cell r="DV18">
            <v>0</v>
          </cell>
          <cell r="DX18">
            <v>0</v>
          </cell>
          <cell r="DY18">
            <v>0</v>
          </cell>
          <cell r="DZ18">
            <v>0</v>
          </cell>
          <cell r="EA18">
            <v>0</v>
          </cell>
          <cell r="EB18">
            <v>0</v>
          </cell>
          <cell r="EC18">
            <v>0</v>
          </cell>
          <cell r="ED18">
            <v>0</v>
          </cell>
          <cell r="EE18">
            <v>0</v>
          </cell>
          <cell r="EG18">
            <v>0</v>
          </cell>
          <cell r="EH18">
            <v>0</v>
          </cell>
          <cell r="EI18">
            <v>0</v>
          </cell>
          <cell r="EJ18">
            <v>0</v>
          </cell>
          <cell r="EK18">
            <v>0</v>
          </cell>
          <cell r="EL18">
            <v>0</v>
          </cell>
          <cell r="EM18">
            <v>0</v>
          </cell>
          <cell r="EN18">
            <v>0</v>
          </cell>
          <cell r="EO18">
            <v>0</v>
          </cell>
          <cell r="EQ18">
            <v>0</v>
          </cell>
          <cell r="ER18">
            <v>0</v>
          </cell>
          <cell r="ES18">
            <v>0</v>
          </cell>
          <cell r="ET18">
            <v>0</v>
          </cell>
        </row>
        <row r="19">
          <cell r="D19"/>
          <cell r="H19">
            <v>0</v>
          </cell>
          <cell r="I19">
            <v>0</v>
          </cell>
          <cell r="J19">
            <v>0</v>
          </cell>
          <cell r="K19">
            <v>0</v>
          </cell>
          <cell r="L19">
            <v>0</v>
          </cell>
          <cell r="M19">
            <v>0</v>
          </cell>
          <cell r="N19">
            <v>0</v>
          </cell>
          <cell r="V19">
            <v>0</v>
          </cell>
          <cell r="AH19">
            <v>0</v>
          </cell>
          <cell r="AI19">
            <v>0</v>
          </cell>
          <cell r="AK19">
            <v>0</v>
          </cell>
          <cell r="AL19">
            <v>0</v>
          </cell>
          <cell r="AS19">
            <v>0</v>
          </cell>
          <cell r="AU19">
            <v>0</v>
          </cell>
          <cell r="AV19">
            <v>0</v>
          </cell>
          <cell r="AY19">
            <v>0</v>
          </cell>
          <cell r="AZ19">
            <v>0</v>
          </cell>
          <cell r="BA19">
            <v>0</v>
          </cell>
          <cell r="BB19">
            <v>0</v>
          </cell>
          <cell r="BC19">
            <v>0</v>
          </cell>
          <cell r="BD19">
            <v>0</v>
          </cell>
          <cell r="BE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P19">
            <v>0</v>
          </cell>
          <cell r="DQ19">
            <v>0</v>
          </cell>
          <cell r="DR19">
            <v>0</v>
          </cell>
          <cell r="DS19">
            <v>0</v>
          </cell>
          <cell r="DT19">
            <v>0</v>
          </cell>
          <cell r="DU19">
            <v>0</v>
          </cell>
          <cell r="DV19">
            <v>0</v>
          </cell>
          <cell r="DX19">
            <v>0</v>
          </cell>
          <cell r="DY19">
            <v>0</v>
          </cell>
          <cell r="DZ19">
            <v>0</v>
          </cell>
          <cell r="EA19">
            <v>0</v>
          </cell>
          <cell r="EB19">
            <v>0</v>
          </cell>
          <cell r="EC19">
            <v>0</v>
          </cell>
          <cell r="ED19">
            <v>0</v>
          </cell>
          <cell r="EE19">
            <v>0</v>
          </cell>
          <cell r="EG19">
            <v>0</v>
          </cell>
          <cell r="EH19">
            <v>0</v>
          </cell>
          <cell r="EI19">
            <v>0</v>
          </cell>
          <cell r="EJ19">
            <v>0</v>
          </cell>
          <cell r="EK19">
            <v>0</v>
          </cell>
          <cell r="EL19">
            <v>0</v>
          </cell>
          <cell r="EM19">
            <v>0</v>
          </cell>
          <cell r="EN19">
            <v>0</v>
          </cell>
          <cell r="EO19">
            <v>0</v>
          </cell>
          <cell r="EQ19">
            <v>0</v>
          </cell>
          <cell r="ER19">
            <v>0</v>
          </cell>
          <cell r="ES19">
            <v>0</v>
          </cell>
          <cell r="ET19">
            <v>0</v>
          </cell>
        </row>
        <row r="20">
          <cell r="D20"/>
          <cell r="H20">
            <v>0</v>
          </cell>
          <cell r="I20">
            <v>0</v>
          </cell>
          <cell r="J20">
            <v>0</v>
          </cell>
          <cell r="K20">
            <v>0</v>
          </cell>
          <cell r="L20">
            <v>0</v>
          </cell>
          <cell r="M20">
            <v>0</v>
          </cell>
          <cell r="N20">
            <v>0</v>
          </cell>
          <cell r="V20">
            <v>0</v>
          </cell>
          <cell r="AH20">
            <v>0</v>
          </cell>
          <cell r="AI20">
            <v>0</v>
          </cell>
          <cell r="AK20">
            <v>0</v>
          </cell>
          <cell r="AL20">
            <v>0</v>
          </cell>
          <cell r="AS20">
            <v>0</v>
          </cell>
          <cell r="AU20">
            <v>0</v>
          </cell>
          <cell r="AV20">
            <v>0</v>
          </cell>
          <cell r="AY20">
            <v>0</v>
          </cell>
          <cell r="AZ20">
            <v>0</v>
          </cell>
          <cell r="BA20">
            <v>0</v>
          </cell>
          <cell r="BB20">
            <v>0</v>
          </cell>
          <cell r="BC20">
            <v>0</v>
          </cell>
          <cell r="BD20">
            <v>0</v>
          </cell>
          <cell r="BE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P20">
            <v>0</v>
          </cell>
          <cell r="DQ20">
            <v>0</v>
          </cell>
          <cell r="DR20">
            <v>0</v>
          </cell>
          <cell r="DS20">
            <v>0</v>
          </cell>
          <cell r="DT20">
            <v>0</v>
          </cell>
          <cell r="DU20">
            <v>0</v>
          </cell>
          <cell r="DV20">
            <v>0</v>
          </cell>
          <cell r="DX20">
            <v>0</v>
          </cell>
          <cell r="DY20">
            <v>0</v>
          </cell>
          <cell r="DZ20">
            <v>0</v>
          </cell>
          <cell r="EA20">
            <v>0</v>
          </cell>
          <cell r="EB20">
            <v>0</v>
          </cell>
          <cell r="EC20">
            <v>0</v>
          </cell>
          <cell r="ED20">
            <v>0</v>
          </cell>
          <cell r="EE20">
            <v>0</v>
          </cell>
          <cell r="EG20">
            <v>0</v>
          </cell>
          <cell r="EH20">
            <v>0</v>
          </cell>
          <cell r="EI20">
            <v>0</v>
          </cell>
          <cell r="EJ20">
            <v>0</v>
          </cell>
          <cell r="EK20">
            <v>0</v>
          </cell>
          <cell r="EL20">
            <v>0</v>
          </cell>
          <cell r="EM20">
            <v>0</v>
          </cell>
          <cell r="EN20">
            <v>0</v>
          </cell>
          <cell r="EO20">
            <v>0</v>
          </cell>
          <cell r="EQ20">
            <v>0</v>
          </cell>
          <cell r="ER20">
            <v>0</v>
          </cell>
          <cell r="ES20">
            <v>0</v>
          </cell>
          <cell r="ET20">
            <v>0</v>
          </cell>
        </row>
        <row r="21">
          <cell r="D21"/>
          <cell r="H21">
            <v>0</v>
          </cell>
          <cell r="I21">
            <v>0</v>
          </cell>
          <cell r="J21">
            <v>0</v>
          </cell>
          <cell r="K21">
            <v>0</v>
          </cell>
          <cell r="L21">
            <v>0</v>
          </cell>
          <cell r="M21">
            <v>0</v>
          </cell>
          <cell r="N21">
            <v>0</v>
          </cell>
          <cell r="V21">
            <v>0</v>
          </cell>
          <cell r="AH21">
            <v>0</v>
          </cell>
          <cell r="AI21">
            <v>0</v>
          </cell>
          <cell r="AK21">
            <v>0</v>
          </cell>
          <cell r="AL21">
            <v>0</v>
          </cell>
          <cell r="AS21">
            <v>0</v>
          </cell>
          <cell r="AU21">
            <v>0</v>
          </cell>
          <cell r="AV21">
            <v>0</v>
          </cell>
          <cell r="AY21">
            <v>0</v>
          </cell>
          <cell r="AZ21">
            <v>0</v>
          </cell>
          <cell r="BA21">
            <v>0</v>
          </cell>
          <cell r="BB21">
            <v>0</v>
          </cell>
          <cell r="BC21">
            <v>0</v>
          </cell>
          <cell r="BD21">
            <v>0</v>
          </cell>
          <cell r="BE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P21">
            <v>0</v>
          </cell>
          <cell r="DQ21">
            <v>0</v>
          </cell>
          <cell r="DR21">
            <v>0</v>
          </cell>
          <cell r="DS21">
            <v>0</v>
          </cell>
          <cell r="DT21">
            <v>0</v>
          </cell>
          <cell r="DU21">
            <v>0</v>
          </cell>
          <cell r="DV21">
            <v>0</v>
          </cell>
          <cell r="DX21">
            <v>0</v>
          </cell>
          <cell r="DY21">
            <v>0</v>
          </cell>
          <cell r="DZ21">
            <v>0</v>
          </cell>
          <cell r="EA21">
            <v>0</v>
          </cell>
          <cell r="EB21">
            <v>0</v>
          </cell>
          <cell r="EC21">
            <v>0</v>
          </cell>
          <cell r="ED21">
            <v>0</v>
          </cell>
          <cell r="EE21">
            <v>0</v>
          </cell>
          <cell r="EG21">
            <v>0</v>
          </cell>
          <cell r="EH21">
            <v>0</v>
          </cell>
          <cell r="EI21">
            <v>0</v>
          </cell>
          <cell r="EJ21">
            <v>0</v>
          </cell>
          <cell r="EK21">
            <v>0</v>
          </cell>
          <cell r="EL21">
            <v>0</v>
          </cell>
          <cell r="EM21">
            <v>0</v>
          </cell>
          <cell r="EN21">
            <v>0</v>
          </cell>
          <cell r="EO21">
            <v>0</v>
          </cell>
          <cell r="EQ21">
            <v>0</v>
          </cell>
          <cell r="ER21">
            <v>0</v>
          </cell>
          <cell r="ES21">
            <v>0</v>
          </cell>
          <cell r="ET21">
            <v>0</v>
          </cell>
        </row>
        <row r="22">
          <cell r="D22"/>
          <cell r="H22">
            <v>0</v>
          </cell>
          <cell r="I22">
            <v>0</v>
          </cell>
          <cell r="J22">
            <v>0</v>
          </cell>
          <cell r="K22">
            <v>0</v>
          </cell>
          <cell r="L22">
            <v>0</v>
          </cell>
          <cell r="M22">
            <v>0</v>
          </cell>
          <cell r="N22">
            <v>0</v>
          </cell>
          <cell r="V22">
            <v>0</v>
          </cell>
          <cell r="AD22">
            <v>0</v>
          </cell>
          <cell r="AE22">
            <v>0</v>
          </cell>
          <cell r="AF22">
            <v>0</v>
          </cell>
          <cell r="AH22">
            <v>0</v>
          </cell>
          <cell r="AI22">
            <v>0</v>
          </cell>
          <cell r="AK22">
            <v>0</v>
          </cell>
          <cell r="AL22">
            <v>0</v>
          </cell>
          <cell r="AS22">
            <v>0</v>
          </cell>
          <cell r="AU22">
            <v>0</v>
          </cell>
          <cell r="AV22">
            <v>0</v>
          </cell>
          <cell r="AY22">
            <v>0</v>
          </cell>
          <cell r="AZ22">
            <v>0</v>
          </cell>
          <cell r="BA22">
            <v>0</v>
          </cell>
          <cell r="BB22">
            <v>0</v>
          </cell>
          <cell r="BC22">
            <v>0</v>
          </cell>
          <cell r="BD22">
            <v>0</v>
          </cell>
          <cell r="BE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P22">
            <v>0</v>
          </cell>
          <cell r="DQ22">
            <v>0</v>
          </cell>
          <cell r="DR22">
            <v>0</v>
          </cell>
          <cell r="DS22">
            <v>0</v>
          </cell>
          <cell r="DT22">
            <v>0</v>
          </cell>
          <cell r="DU22">
            <v>0</v>
          </cell>
          <cell r="DV22">
            <v>0</v>
          </cell>
          <cell r="DX22">
            <v>0</v>
          </cell>
          <cell r="DY22">
            <v>0</v>
          </cell>
          <cell r="DZ22">
            <v>0</v>
          </cell>
          <cell r="EA22">
            <v>0</v>
          </cell>
          <cell r="EB22">
            <v>0</v>
          </cell>
          <cell r="EC22">
            <v>0</v>
          </cell>
          <cell r="ED22">
            <v>0</v>
          </cell>
          <cell r="EE22">
            <v>0</v>
          </cell>
          <cell r="EG22">
            <v>0</v>
          </cell>
          <cell r="EH22">
            <v>0</v>
          </cell>
          <cell r="EI22">
            <v>0</v>
          </cell>
          <cell r="EJ22">
            <v>0</v>
          </cell>
          <cell r="EK22">
            <v>0</v>
          </cell>
          <cell r="EL22">
            <v>0</v>
          </cell>
          <cell r="EM22">
            <v>0</v>
          </cell>
          <cell r="EN22">
            <v>0</v>
          </cell>
          <cell r="EO22">
            <v>0</v>
          </cell>
          <cell r="EQ22">
            <v>0</v>
          </cell>
          <cell r="ER22">
            <v>0</v>
          </cell>
          <cell r="ES22">
            <v>0</v>
          </cell>
          <cell r="ET22">
            <v>0</v>
          </cell>
        </row>
        <row r="23">
          <cell r="D23"/>
          <cell r="H23">
            <v>0</v>
          </cell>
          <cell r="I23">
            <v>0</v>
          </cell>
          <cell r="J23">
            <v>0</v>
          </cell>
          <cell r="K23">
            <v>0</v>
          </cell>
          <cell r="L23">
            <v>0</v>
          </cell>
          <cell r="M23">
            <v>0</v>
          </cell>
          <cell r="N23">
            <v>0</v>
          </cell>
          <cell r="V23">
            <v>0</v>
          </cell>
          <cell r="AH23">
            <v>0</v>
          </cell>
          <cell r="AI23">
            <v>0</v>
          </cell>
          <cell r="AK23">
            <v>0</v>
          </cell>
          <cell r="AL23">
            <v>0</v>
          </cell>
          <cell r="AS23">
            <v>0</v>
          </cell>
          <cell r="AU23">
            <v>0</v>
          </cell>
          <cell r="AV23">
            <v>0</v>
          </cell>
          <cell r="AY23">
            <v>0</v>
          </cell>
          <cell r="AZ23">
            <v>0</v>
          </cell>
          <cell r="BA23">
            <v>0</v>
          </cell>
          <cell r="BB23">
            <v>0</v>
          </cell>
          <cell r="BC23">
            <v>0</v>
          </cell>
          <cell r="BD23">
            <v>0</v>
          </cell>
          <cell r="BE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P23">
            <v>0</v>
          </cell>
          <cell r="DQ23">
            <v>0</v>
          </cell>
          <cell r="DR23">
            <v>0</v>
          </cell>
          <cell r="DS23">
            <v>0</v>
          </cell>
          <cell r="DT23">
            <v>0</v>
          </cell>
          <cell r="DU23">
            <v>0</v>
          </cell>
          <cell r="DV23">
            <v>0</v>
          </cell>
          <cell r="DX23">
            <v>0</v>
          </cell>
          <cell r="DY23">
            <v>0</v>
          </cell>
          <cell r="DZ23">
            <v>0</v>
          </cell>
          <cell r="EA23">
            <v>0</v>
          </cell>
          <cell r="EB23">
            <v>0</v>
          </cell>
          <cell r="EC23">
            <v>0</v>
          </cell>
          <cell r="ED23">
            <v>0</v>
          </cell>
          <cell r="EE23">
            <v>0</v>
          </cell>
          <cell r="EG23">
            <v>0</v>
          </cell>
          <cell r="EH23">
            <v>0</v>
          </cell>
          <cell r="EI23">
            <v>0</v>
          </cell>
          <cell r="EJ23">
            <v>0</v>
          </cell>
          <cell r="EK23">
            <v>0</v>
          </cell>
          <cell r="EL23">
            <v>0</v>
          </cell>
          <cell r="EM23">
            <v>0</v>
          </cell>
          <cell r="EN23">
            <v>0</v>
          </cell>
          <cell r="EO23">
            <v>0</v>
          </cell>
          <cell r="EQ23">
            <v>0</v>
          </cell>
          <cell r="ER23">
            <v>0</v>
          </cell>
          <cell r="ES23">
            <v>0</v>
          </cell>
          <cell r="ET23">
            <v>0</v>
          </cell>
        </row>
        <row r="24">
          <cell r="D24"/>
          <cell r="H24">
            <v>0</v>
          </cell>
          <cell r="I24">
            <v>0</v>
          </cell>
          <cell r="J24">
            <v>0</v>
          </cell>
          <cell r="K24">
            <v>0</v>
          </cell>
          <cell r="L24">
            <v>0</v>
          </cell>
          <cell r="M24">
            <v>0</v>
          </cell>
          <cell r="N24">
            <v>0</v>
          </cell>
          <cell r="V24">
            <v>0</v>
          </cell>
          <cell r="AH24">
            <v>0</v>
          </cell>
          <cell r="AI24">
            <v>0</v>
          </cell>
          <cell r="AK24">
            <v>0</v>
          </cell>
          <cell r="AL24">
            <v>0</v>
          </cell>
          <cell r="AS24">
            <v>0</v>
          </cell>
          <cell r="AU24">
            <v>0</v>
          </cell>
          <cell r="AV24">
            <v>0</v>
          </cell>
          <cell r="AY24">
            <v>0</v>
          </cell>
          <cell r="AZ24">
            <v>0</v>
          </cell>
          <cell r="BA24">
            <v>0</v>
          </cell>
          <cell r="BB24">
            <v>0</v>
          </cell>
          <cell r="BC24">
            <v>0</v>
          </cell>
          <cell r="BD24">
            <v>0</v>
          </cell>
          <cell r="BE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P24">
            <v>0</v>
          </cell>
          <cell r="DQ24">
            <v>0</v>
          </cell>
          <cell r="DR24">
            <v>0</v>
          </cell>
          <cell r="DS24">
            <v>0</v>
          </cell>
          <cell r="DT24">
            <v>0</v>
          </cell>
          <cell r="DU24">
            <v>0</v>
          </cell>
          <cell r="DV24">
            <v>0</v>
          </cell>
          <cell r="DX24">
            <v>0</v>
          </cell>
          <cell r="DY24">
            <v>0</v>
          </cell>
          <cell r="DZ24">
            <v>0</v>
          </cell>
          <cell r="EA24">
            <v>0</v>
          </cell>
          <cell r="EB24">
            <v>0</v>
          </cell>
          <cell r="EC24">
            <v>0</v>
          </cell>
          <cell r="ED24">
            <v>0</v>
          </cell>
          <cell r="EE24">
            <v>0</v>
          </cell>
          <cell r="EG24">
            <v>0</v>
          </cell>
          <cell r="EH24">
            <v>0</v>
          </cell>
          <cell r="EI24">
            <v>0</v>
          </cell>
          <cell r="EJ24">
            <v>0</v>
          </cell>
          <cell r="EK24">
            <v>0</v>
          </cell>
          <cell r="EL24">
            <v>0</v>
          </cell>
          <cell r="EM24">
            <v>0</v>
          </cell>
          <cell r="EN24">
            <v>0</v>
          </cell>
          <cell r="EO24">
            <v>0</v>
          </cell>
          <cell r="EQ24">
            <v>0</v>
          </cell>
          <cell r="ER24">
            <v>0</v>
          </cell>
          <cell r="ES24">
            <v>0</v>
          </cell>
          <cell r="ET24">
            <v>0</v>
          </cell>
        </row>
        <row r="25">
          <cell r="D25"/>
          <cell r="H25">
            <v>0</v>
          </cell>
          <cell r="I25">
            <v>0</v>
          </cell>
          <cell r="J25">
            <v>0</v>
          </cell>
          <cell r="K25">
            <v>0</v>
          </cell>
          <cell r="L25">
            <v>0</v>
          </cell>
          <cell r="M25">
            <v>0</v>
          </cell>
          <cell r="N25">
            <v>0</v>
          </cell>
          <cell r="V25">
            <v>0</v>
          </cell>
          <cell r="AH25">
            <v>0</v>
          </cell>
          <cell r="AI25">
            <v>0</v>
          </cell>
          <cell r="AK25">
            <v>0</v>
          </cell>
          <cell r="AL25">
            <v>0</v>
          </cell>
          <cell r="AS25">
            <v>0</v>
          </cell>
          <cell r="AU25">
            <v>0</v>
          </cell>
          <cell r="AV25">
            <v>0</v>
          </cell>
          <cell r="AY25">
            <v>0</v>
          </cell>
          <cell r="AZ25">
            <v>0</v>
          </cell>
          <cell r="BA25">
            <v>0</v>
          </cell>
          <cell r="BB25">
            <v>0</v>
          </cell>
          <cell r="BC25">
            <v>0</v>
          </cell>
          <cell r="BD25">
            <v>0</v>
          </cell>
          <cell r="BE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P25">
            <v>0</v>
          </cell>
          <cell r="DQ25">
            <v>0</v>
          </cell>
          <cell r="DR25">
            <v>0</v>
          </cell>
          <cell r="DS25">
            <v>0</v>
          </cell>
          <cell r="DT25">
            <v>0</v>
          </cell>
          <cell r="DU25">
            <v>0</v>
          </cell>
          <cell r="DV25">
            <v>0</v>
          </cell>
          <cell r="DX25">
            <v>0</v>
          </cell>
          <cell r="DY25">
            <v>0</v>
          </cell>
          <cell r="DZ25">
            <v>0</v>
          </cell>
          <cell r="EA25">
            <v>0</v>
          </cell>
          <cell r="EB25">
            <v>0</v>
          </cell>
          <cell r="EC25">
            <v>0</v>
          </cell>
          <cell r="ED25">
            <v>0</v>
          </cell>
          <cell r="EE25">
            <v>0</v>
          </cell>
          <cell r="EG25">
            <v>0</v>
          </cell>
          <cell r="EH25">
            <v>0</v>
          </cell>
          <cell r="EI25">
            <v>0</v>
          </cell>
          <cell r="EJ25">
            <v>0</v>
          </cell>
          <cell r="EK25">
            <v>0</v>
          </cell>
          <cell r="EL25">
            <v>0</v>
          </cell>
          <cell r="EM25">
            <v>0</v>
          </cell>
          <cell r="EN25">
            <v>0</v>
          </cell>
          <cell r="EO25">
            <v>0</v>
          </cell>
          <cell r="EQ25">
            <v>0</v>
          </cell>
          <cell r="ER25">
            <v>0</v>
          </cell>
          <cell r="ES25">
            <v>0</v>
          </cell>
          <cell r="ET25">
            <v>0</v>
          </cell>
        </row>
        <row r="26">
          <cell r="D26"/>
          <cell r="H26">
            <v>0</v>
          </cell>
          <cell r="I26">
            <v>0</v>
          </cell>
          <cell r="J26">
            <v>0</v>
          </cell>
          <cell r="K26">
            <v>0</v>
          </cell>
          <cell r="L26">
            <v>0</v>
          </cell>
          <cell r="M26">
            <v>0</v>
          </cell>
          <cell r="N26">
            <v>0</v>
          </cell>
          <cell r="V26">
            <v>0</v>
          </cell>
          <cell r="AH26">
            <v>0</v>
          </cell>
          <cell r="AI26">
            <v>0</v>
          </cell>
          <cell r="AK26">
            <v>0</v>
          </cell>
          <cell r="AL26">
            <v>0</v>
          </cell>
          <cell r="AS26">
            <v>0</v>
          </cell>
          <cell r="AU26">
            <v>0</v>
          </cell>
          <cell r="AV26">
            <v>0</v>
          </cell>
          <cell r="AY26">
            <v>0</v>
          </cell>
          <cell r="AZ26">
            <v>0</v>
          </cell>
          <cell r="BA26">
            <v>0</v>
          </cell>
          <cell r="BB26">
            <v>0</v>
          </cell>
          <cell r="BC26">
            <v>0</v>
          </cell>
          <cell r="BD26">
            <v>0</v>
          </cell>
          <cell r="BE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P26">
            <v>0</v>
          </cell>
          <cell r="DQ26">
            <v>0</v>
          </cell>
          <cell r="DR26">
            <v>0</v>
          </cell>
          <cell r="DS26">
            <v>0</v>
          </cell>
          <cell r="DT26">
            <v>0</v>
          </cell>
          <cell r="DU26">
            <v>0</v>
          </cell>
          <cell r="DV26">
            <v>0</v>
          </cell>
          <cell r="DX26">
            <v>0</v>
          </cell>
          <cell r="DY26">
            <v>0</v>
          </cell>
          <cell r="DZ26">
            <v>0</v>
          </cell>
          <cell r="EA26">
            <v>0</v>
          </cell>
          <cell r="EB26">
            <v>0</v>
          </cell>
          <cell r="EC26">
            <v>0</v>
          </cell>
          <cell r="ED26">
            <v>0</v>
          </cell>
          <cell r="EE26">
            <v>0</v>
          </cell>
          <cell r="EG26">
            <v>0</v>
          </cell>
          <cell r="EH26">
            <v>0</v>
          </cell>
          <cell r="EI26">
            <v>0</v>
          </cell>
          <cell r="EJ26">
            <v>0</v>
          </cell>
          <cell r="EK26">
            <v>0</v>
          </cell>
          <cell r="EL26">
            <v>0</v>
          </cell>
          <cell r="EM26">
            <v>0</v>
          </cell>
          <cell r="EN26">
            <v>0</v>
          </cell>
          <cell r="EO26">
            <v>0</v>
          </cell>
          <cell r="EQ26">
            <v>0</v>
          </cell>
          <cell r="ER26">
            <v>0</v>
          </cell>
          <cell r="ES26">
            <v>0</v>
          </cell>
          <cell r="ET26">
            <v>0</v>
          </cell>
        </row>
        <row r="27">
          <cell r="D27"/>
          <cell r="H27">
            <v>0</v>
          </cell>
          <cell r="I27">
            <v>0</v>
          </cell>
          <cell r="J27">
            <v>0</v>
          </cell>
          <cell r="K27">
            <v>0</v>
          </cell>
          <cell r="L27">
            <v>0</v>
          </cell>
          <cell r="M27">
            <v>0</v>
          </cell>
          <cell r="N27">
            <v>0</v>
          </cell>
          <cell r="V27">
            <v>0</v>
          </cell>
          <cell r="AH27">
            <v>0</v>
          </cell>
          <cell r="AI27">
            <v>0</v>
          </cell>
          <cell r="AK27">
            <v>0</v>
          </cell>
          <cell r="AL27">
            <v>0</v>
          </cell>
          <cell r="AS27">
            <v>0</v>
          </cell>
          <cell r="AU27">
            <v>0</v>
          </cell>
          <cell r="AV27">
            <v>0</v>
          </cell>
          <cell r="AY27">
            <v>0</v>
          </cell>
          <cell r="AZ27">
            <v>0</v>
          </cell>
          <cell r="BA27">
            <v>0</v>
          </cell>
          <cell r="BB27">
            <v>0</v>
          </cell>
          <cell r="BC27">
            <v>0</v>
          </cell>
          <cell r="BD27">
            <v>0</v>
          </cell>
          <cell r="BE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P27">
            <v>0</v>
          </cell>
          <cell r="DQ27">
            <v>0</v>
          </cell>
          <cell r="DR27">
            <v>0</v>
          </cell>
          <cell r="DS27">
            <v>0</v>
          </cell>
          <cell r="DT27">
            <v>0</v>
          </cell>
          <cell r="DU27">
            <v>0</v>
          </cell>
          <cell r="DV27">
            <v>0</v>
          </cell>
          <cell r="DX27">
            <v>0</v>
          </cell>
          <cell r="DY27">
            <v>0</v>
          </cell>
          <cell r="DZ27">
            <v>0</v>
          </cell>
          <cell r="EA27">
            <v>0</v>
          </cell>
          <cell r="EB27">
            <v>0</v>
          </cell>
          <cell r="EC27">
            <v>0</v>
          </cell>
          <cell r="ED27">
            <v>0</v>
          </cell>
          <cell r="EE27">
            <v>0</v>
          </cell>
          <cell r="EG27">
            <v>0</v>
          </cell>
          <cell r="EH27">
            <v>0</v>
          </cell>
          <cell r="EI27">
            <v>0</v>
          </cell>
          <cell r="EJ27">
            <v>0</v>
          </cell>
          <cell r="EK27">
            <v>0</v>
          </cell>
          <cell r="EL27">
            <v>0</v>
          </cell>
          <cell r="EM27">
            <v>0</v>
          </cell>
          <cell r="EN27">
            <v>0</v>
          </cell>
          <cell r="EO27">
            <v>0</v>
          </cell>
          <cell r="EQ27">
            <v>0</v>
          </cell>
          <cell r="ER27">
            <v>0</v>
          </cell>
          <cell r="ES27">
            <v>0</v>
          </cell>
          <cell r="ET27">
            <v>0</v>
          </cell>
        </row>
        <row r="28">
          <cell r="D28"/>
          <cell r="H28">
            <v>0</v>
          </cell>
          <cell r="I28">
            <v>0</v>
          </cell>
          <cell r="J28">
            <v>0</v>
          </cell>
          <cell r="K28">
            <v>0</v>
          </cell>
          <cell r="L28">
            <v>0</v>
          </cell>
          <cell r="M28">
            <v>0</v>
          </cell>
          <cell r="N28">
            <v>0</v>
          </cell>
          <cell r="V28">
            <v>0</v>
          </cell>
          <cell r="AH28">
            <v>0</v>
          </cell>
          <cell r="AI28">
            <v>0</v>
          </cell>
          <cell r="AK28">
            <v>0</v>
          </cell>
          <cell r="AL28">
            <v>0</v>
          </cell>
          <cell r="AS28">
            <v>0</v>
          </cell>
          <cell r="AU28">
            <v>0</v>
          </cell>
          <cell r="AV28">
            <v>0</v>
          </cell>
          <cell r="AY28">
            <v>0</v>
          </cell>
          <cell r="AZ28">
            <v>0</v>
          </cell>
          <cell r="BA28">
            <v>0</v>
          </cell>
          <cell r="BB28">
            <v>0</v>
          </cell>
          <cell r="BC28">
            <v>0</v>
          </cell>
          <cell r="BD28">
            <v>0</v>
          </cell>
          <cell r="BE28">
            <v>0</v>
          </cell>
          <cell r="BT28">
            <v>0</v>
          </cell>
          <cell r="BU28">
            <v>0</v>
          </cell>
          <cell r="BV28">
            <v>0</v>
          </cell>
          <cell r="BW28">
            <v>0</v>
          </cell>
          <cell r="BX28">
            <v>0</v>
          </cell>
          <cell r="BY28">
            <v>0</v>
          </cell>
          <cell r="BZ28">
            <v>0</v>
          </cell>
          <cell r="CA28">
            <v>0</v>
          </cell>
          <cell r="CB28">
            <v>0</v>
          </cell>
          <cell r="CC28">
            <v>0</v>
          </cell>
          <cell r="CD28">
            <v>0</v>
          </cell>
          <cell r="CE28">
            <v>0</v>
          </cell>
          <cell r="CF28">
            <v>0</v>
          </cell>
          <cell r="CG28">
            <v>0</v>
          </cell>
          <cell r="CH28">
            <v>0</v>
          </cell>
          <cell r="CI28">
            <v>0</v>
          </cell>
          <cell r="CJ28">
            <v>0</v>
          </cell>
          <cell r="CK28">
            <v>0</v>
          </cell>
          <cell r="CL28">
            <v>0</v>
          </cell>
          <cell r="CM28">
            <v>0</v>
          </cell>
          <cell r="CN28">
            <v>0</v>
          </cell>
          <cell r="CO28">
            <v>0</v>
          </cell>
          <cell r="CP28">
            <v>0</v>
          </cell>
          <cell r="CQ28">
            <v>0</v>
          </cell>
          <cell r="CR28">
            <v>0</v>
          </cell>
          <cell r="CS28">
            <v>0</v>
          </cell>
          <cell r="CT28">
            <v>0</v>
          </cell>
          <cell r="CU28">
            <v>0</v>
          </cell>
          <cell r="CV28">
            <v>0</v>
          </cell>
          <cell r="CW28">
            <v>0</v>
          </cell>
          <cell r="CX28">
            <v>0</v>
          </cell>
          <cell r="CY28">
            <v>0</v>
          </cell>
          <cell r="CZ28">
            <v>0</v>
          </cell>
          <cell r="DA28">
            <v>0</v>
          </cell>
          <cell r="DP28">
            <v>0</v>
          </cell>
          <cell r="DQ28">
            <v>0</v>
          </cell>
          <cell r="DR28">
            <v>0</v>
          </cell>
          <cell r="DS28">
            <v>0</v>
          </cell>
          <cell r="DT28">
            <v>0</v>
          </cell>
          <cell r="DU28">
            <v>0</v>
          </cell>
          <cell r="DV28">
            <v>0</v>
          </cell>
          <cell r="DX28">
            <v>0</v>
          </cell>
          <cell r="DY28">
            <v>0</v>
          </cell>
          <cell r="DZ28">
            <v>0</v>
          </cell>
          <cell r="EA28">
            <v>0</v>
          </cell>
          <cell r="EB28">
            <v>0</v>
          </cell>
          <cell r="EC28">
            <v>0</v>
          </cell>
          <cell r="ED28">
            <v>0</v>
          </cell>
          <cell r="EE28">
            <v>0</v>
          </cell>
          <cell r="EG28">
            <v>0</v>
          </cell>
          <cell r="EH28">
            <v>0</v>
          </cell>
          <cell r="EI28">
            <v>0</v>
          </cell>
          <cell r="EJ28">
            <v>0</v>
          </cell>
          <cell r="EK28">
            <v>0</v>
          </cell>
          <cell r="EL28">
            <v>0</v>
          </cell>
          <cell r="EM28">
            <v>0</v>
          </cell>
          <cell r="EN28">
            <v>0</v>
          </cell>
          <cell r="EO28">
            <v>0</v>
          </cell>
          <cell r="EQ28">
            <v>0</v>
          </cell>
          <cell r="ER28">
            <v>0</v>
          </cell>
          <cell r="ES28">
            <v>0</v>
          </cell>
          <cell r="ET28">
            <v>0</v>
          </cell>
        </row>
        <row r="29">
          <cell r="D29"/>
          <cell r="H29">
            <v>0</v>
          </cell>
          <cell r="I29">
            <v>0</v>
          </cell>
          <cell r="J29">
            <v>0</v>
          </cell>
          <cell r="K29">
            <v>0</v>
          </cell>
          <cell r="L29">
            <v>0</v>
          </cell>
          <cell r="M29">
            <v>0</v>
          </cell>
          <cell r="N29">
            <v>0</v>
          </cell>
          <cell r="V29">
            <v>0</v>
          </cell>
          <cell r="AH29">
            <v>0</v>
          </cell>
          <cell r="AI29">
            <v>0</v>
          </cell>
          <cell r="AK29">
            <v>0</v>
          </cell>
          <cell r="AL29">
            <v>0</v>
          </cell>
          <cell r="AS29">
            <v>0</v>
          </cell>
          <cell r="AU29">
            <v>0</v>
          </cell>
          <cell r="AV29">
            <v>0</v>
          </cell>
          <cell r="AY29">
            <v>0</v>
          </cell>
          <cell r="AZ29">
            <v>0</v>
          </cell>
          <cell r="BA29">
            <v>0</v>
          </cell>
          <cell r="BB29">
            <v>0</v>
          </cell>
          <cell r="BC29">
            <v>0</v>
          </cell>
          <cell r="BD29">
            <v>0</v>
          </cell>
          <cell r="BE29">
            <v>0</v>
          </cell>
          <cell r="BT29">
            <v>0</v>
          </cell>
          <cell r="BU29">
            <v>0</v>
          </cell>
          <cell r="BV29">
            <v>0</v>
          </cell>
          <cell r="BW29">
            <v>0</v>
          </cell>
          <cell r="BX29">
            <v>0</v>
          </cell>
          <cell r="BY29">
            <v>0</v>
          </cell>
          <cell r="BZ29">
            <v>0</v>
          </cell>
          <cell r="CA29">
            <v>0</v>
          </cell>
          <cell r="CB29">
            <v>0</v>
          </cell>
          <cell r="CC29">
            <v>0</v>
          </cell>
          <cell r="CD29">
            <v>0</v>
          </cell>
          <cell r="CE29">
            <v>0</v>
          </cell>
          <cell r="CF29">
            <v>0</v>
          </cell>
          <cell r="CG29">
            <v>0</v>
          </cell>
          <cell r="CH29">
            <v>0</v>
          </cell>
          <cell r="CI29">
            <v>0</v>
          </cell>
          <cell r="CJ29">
            <v>0</v>
          </cell>
          <cell r="CK29">
            <v>0</v>
          </cell>
          <cell r="CL29">
            <v>0</v>
          </cell>
          <cell r="CM29">
            <v>0</v>
          </cell>
          <cell r="CN29">
            <v>0</v>
          </cell>
          <cell r="CO29">
            <v>0</v>
          </cell>
          <cell r="CP29">
            <v>0</v>
          </cell>
          <cell r="CQ29">
            <v>0</v>
          </cell>
          <cell r="CR29">
            <v>0</v>
          </cell>
          <cell r="CS29">
            <v>0</v>
          </cell>
          <cell r="CT29">
            <v>0</v>
          </cell>
          <cell r="CU29">
            <v>0</v>
          </cell>
          <cell r="CV29">
            <v>0</v>
          </cell>
          <cell r="CW29">
            <v>0</v>
          </cell>
          <cell r="CX29">
            <v>0</v>
          </cell>
          <cell r="CY29">
            <v>0</v>
          </cell>
          <cell r="CZ29">
            <v>0</v>
          </cell>
          <cell r="DA29">
            <v>0</v>
          </cell>
          <cell r="DP29">
            <v>0</v>
          </cell>
          <cell r="DQ29">
            <v>0</v>
          </cell>
          <cell r="DR29">
            <v>0</v>
          </cell>
          <cell r="DS29">
            <v>0</v>
          </cell>
          <cell r="DT29">
            <v>0</v>
          </cell>
          <cell r="DU29">
            <v>0</v>
          </cell>
          <cell r="DV29">
            <v>0</v>
          </cell>
          <cell r="DX29">
            <v>0</v>
          </cell>
          <cell r="DY29">
            <v>0</v>
          </cell>
          <cell r="DZ29">
            <v>0</v>
          </cell>
          <cell r="EA29">
            <v>0</v>
          </cell>
          <cell r="EB29">
            <v>0</v>
          </cell>
          <cell r="EC29">
            <v>0</v>
          </cell>
          <cell r="ED29">
            <v>0</v>
          </cell>
          <cell r="EE29">
            <v>0</v>
          </cell>
          <cell r="EG29">
            <v>0</v>
          </cell>
          <cell r="EH29">
            <v>0</v>
          </cell>
          <cell r="EI29">
            <v>0</v>
          </cell>
          <cell r="EJ29">
            <v>0</v>
          </cell>
          <cell r="EK29">
            <v>0</v>
          </cell>
          <cell r="EL29">
            <v>0</v>
          </cell>
          <cell r="EM29">
            <v>0</v>
          </cell>
          <cell r="EN29">
            <v>0</v>
          </cell>
          <cell r="EO29">
            <v>0</v>
          </cell>
          <cell r="EQ29">
            <v>0</v>
          </cell>
          <cell r="ER29">
            <v>0</v>
          </cell>
          <cell r="ES29">
            <v>0</v>
          </cell>
          <cell r="ET29">
            <v>0</v>
          </cell>
        </row>
        <row r="30">
          <cell r="D30"/>
          <cell r="H30">
            <v>0</v>
          </cell>
          <cell r="I30">
            <v>0</v>
          </cell>
          <cell r="J30">
            <v>0</v>
          </cell>
          <cell r="K30">
            <v>0</v>
          </cell>
          <cell r="L30">
            <v>0</v>
          </cell>
          <cell r="M30">
            <v>0</v>
          </cell>
          <cell r="N30">
            <v>0</v>
          </cell>
          <cell r="V30">
            <v>0</v>
          </cell>
          <cell r="AH30">
            <v>0</v>
          </cell>
          <cell r="AI30">
            <v>0</v>
          </cell>
          <cell r="AK30">
            <v>0</v>
          </cell>
          <cell r="AL30">
            <v>0</v>
          </cell>
          <cell r="AS30">
            <v>0</v>
          </cell>
          <cell r="AU30">
            <v>0</v>
          </cell>
          <cell r="AV30">
            <v>0</v>
          </cell>
          <cell r="AY30">
            <v>0</v>
          </cell>
          <cell r="AZ30">
            <v>0</v>
          </cell>
          <cell r="BA30">
            <v>0</v>
          </cell>
          <cell r="BB30">
            <v>0</v>
          </cell>
          <cell r="BC30">
            <v>0</v>
          </cell>
          <cell r="BD30">
            <v>0</v>
          </cell>
          <cell r="BE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P30">
            <v>0</v>
          </cell>
          <cell r="DQ30">
            <v>0</v>
          </cell>
          <cell r="DR30">
            <v>0</v>
          </cell>
          <cell r="DS30">
            <v>0</v>
          </cell>
          <cell r="DT30">
            <v>0</v>
          </cell>
          <cell r="DU30">
            <v>0</v>
          </cell>
          <cell r="DV30">
            <v>0</v>
          </cell>
          <cell r="DX30">
            <v>0</v>
          </cell>
          <cell r="DY30">
            <v>0</v>
          </cell>
          <cell r="DZ30">
            <v>0</v>
          </cell>
          <cell r="EA30">
            <v>0</v>
          </cell>
          <cell r="EB30">
            <v>0</v>
          </cell>
          <cell r="EC30">
            <v>0</v>
          </cell>
          <cell r="ED30">
            <v>0</v>
          </cell>
          <cell r="EE30">
            <v>0</v>
          </cell>
          <cell r="EG30">
            <v>0</v>
          </cell>
          <cell r="EH30">
            <v>0</v>
          </cell>
          <cell r="EI30">
            <v>0</v>
          </cell>
          <cell r="EJ30">
            <v>0</v>
          </cell>
          <cell r="EK30">
            <v>0</v>
          </cell>
          <cell r="EL30">
            <v>0</v>
          </cell>
          <cell r="EM30">
            <v>0</v>
          </cell>
          <cell r="EN30">
            <v>0</v>
          </cell>
          <cell r="EO30">
            <v>0</v>
          </cell>
          <cell r="EQ30">
            <v>0</v>
          </cell>
          <cell r="ER30">
            <v>0</v>
          </cell>
          <cell r="ES30">
            <v>0</v>
          </cell>
          <cell r="ET30">
            <v>0</v>
          </cell>
        </row>
        <row r="31">
          <cell r="D31"/>
          <cell r="H31">
            <v>0</v>
          </cell>
          <cell r="I31">
            <v>0</v>
          </cell>
          <cell r="J31">
            <v>0</v>
          </cell>
          <cell r="K31">
            <v>0</v>
          </cell>
          <cell r="L31">
            <v>0</v>
          </cell>
          <cell r="M31">
            <v>0</v>
          </cell>
          <cell r="N31">
            <v>0</v>
          </cell>
          <cell r="V31">
            <v>0</v>
          </cell>
          <cell r="AH31">
            <v>0</v>
          </cell>
          <cell r="AI31">
            <v>0</v>
          </cell>
          <cell r="AK31">
            <v>0</v>
          </cell>
          <cell r="AL31">
            <v>0</v>
          </cell>
          <cell r="AS31">
            <v>0</v>
          </cell>
          <cell r="AU31">
            <v>0</v>
          </cell>
          <cell r="AV31">
            <v>0</v>
          </cell>
          <cell r="AY31">
            <v>0</v>
          </cell>
          <cell r="AZ31">
            <v>0</v>
          </cell>
          <cell r="BA31">
            <v>0</v>
          </cell>
          <cell r="BB31">
            <v>0</v>
          </cell>
          <cell r="BC31">
            <v>0</v>
          </cell>
          <cell r="BD31">
            <v>0</v>
          </cell>
          <cell r="BE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P31">
            <v>0</v>
          </cell>
          <cell r="DQ31">
            <v>0</v>
          </cell>
          <cell r="DR31">
            <v>0</v>
          </cell>
          <cell r="DS31">
            <v>0</v>
          </cell>
          <cell r="DT31">
            <v>0</v>
          </cell>
          <cell r="DU31">
            <v>0</v>
          </cell>
          <cell r="DV31">
            <v>0</v>
          </cell>
          <cell r="DX31">
            <v>0</v>
          </cell>
          <cell r="DY31">
            <v>0</v>
          </cell>
          <cell r="DZ31">
            <v>0</v>
          </cell>
          <cell r="EA31">
            <v>0</v>
          </cell>
          <cell r="EB31">
            <v>0</v>
          </cell>
          <cell r="EC31">
            <v>0</v>
          </cell>
          <cell r="ED31">
            <v>0</v>
          </cell>
          <cell r="EE31">
            <v>0</v>
          </cell>
          <cell r="EG31">
            <v>0</v>
          </cell>
          <cell r="EH31">
            <v>0</v>
          </cell>
          <cell r="EI31">
            <v>0</v>
          </cell>
          <cell r="EJ31">
            <v>0</v>
          </cell>
          <cell r="EK31">
            <v>0</v>
          </cell>
          <cell r="EL31">
            <v>0</v>
          </cell>
          <cell r="EM31">
            <v>0</v>
          </cell>
          <cell r="EN31">
            <v>0</v>
          </cell>
          <cell r="EO31">
            <v>0</v>
          </cell>
          <cell r="EQ31">
            <v>0</v>
          </cell>
          <cell r="ER31">
            <v>0</v>
          </cell>
          <cell r="ES31">
            <v>0</v>
          </cell>
          <cell r="ET31">
            <v>0</v>
          </cell>
        </row>
        <row r="32">
          <cell r="D32"/>
          <cell r="H32">
            <v>0</v>
          </cell>
          <cell r="I32">
            <v>0</v>
          </cell>
          <cell r="J32">
            <v>0</v>
          </cell>
          <cell r="K32">
            <v>0</v>
          </cell>
          <cell r="L32">
            <v>0</v>
          </cell>
          <cell r="M32">
            <v>0</v>
          </cell>
          <cell r="N32">
            <v>0</v>
          </cell>
          <cell r="V32">
            <v>0</v>
          </cell>
          <cell r="AH32">
            <v>0</v>
          </cell>
          <cell r="AI32">
            <v>0</v>
          </cell>
          <cell r="AK32">
            <v>0</v>
          </cell>
          <cell r="AL32">
            <v>0</v>
          </cell>
          <cell r="AS32">
            <v>0</v>
          </cell>
          <cell r="AU32">
            <v>0</v>
          </cell>
          <cell r="AV32">
            <v>0</v>
          </cell>
          <cell r="AY32">
            <v>0</v>
          </cell>
          <cell r="AZ32">
            <v>0</v>
          </cell>
          <cell r="BA32">
            <v>0</v>
          </cell>
          <cell r="BB32">
            <v>0</v>
          </cell>
          <cell r="BC32">
            <v>0</v>
          </cell>
          <cell r="BD32">
            <v>0</v>
          </cell>
          <cell r="BE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P32">
            <v>0</v>
          </cell>
          <cell r="DQ32">
            <v>0</v>
          </cell>
          <cell r="DR32">
            <v>0</v>
          </cell>
          <cell r="DS32">
            <v>0</v>
          </cell>
          <cell r="DT32">
            <v>0</v>
          </cell>
          <cell r="DU32">
            <v>0</v>
          </cell>
          <cell r="DV32">
            <v>0</v>
          </cell>
          <cell r="DX32">
            <v>0</v>
          </cell>
          <cell r="DY32">
            <v>0</v>
          </cell>
          <cell r="DZ32">
            <v>0</v>
          </cell>
          <cell r="EA32">
            <v>0</v>
          </cell>
          <cell r="EB32">
            <v>0</v>
          </cell>
          <cell r="EC32">
            <v>0</v>
          </cell>
          <cell r="ED32">
            <v>0</v>
          </cell>
          <cell r="EE32">
            <v>0</v>
          </cell>
          <cell r="EG32">
            <v>0</v>
          </cell>
          <cell r="EH32">
            <v>0</v>
          </cell>
          <cell r="EI32">
            <v>0</v>
          </cell>
          <cell r="EJ32">
            <v>0</v>
          </cell>
          <cell r="EK32">
            <v>0</v>
          </cell>
          <cell r="EL32">
            <v>0</v>
          </cell>
          <cell r="EM32">
            <v>0</v>
          </cell>
          <cell r="EN32">
            <v>0</v>
          </cell>
          <cell r="EO32">
            <v>0</v>
          </cell>
          <cell r="EQ32">
            <v>0</v>
          </cell>
          <cell r="ER32">
            <v>0</v>
          </cell>
          <cell r="ES32">
            <v>0</v>
          </cell>
          <cell r="ET32">
            <v>0</v>
          </cell>
        </row>
        <row r="33">
          <cell r="A33" t="str">
            <v>Total</v>
          </cell>
          <cell r="H33">
            <v>8</v>
          </cell>
          <cell r="L33">
            <v>2841</v>
          </cell>
          <cell r="AK33">
            <v>19220</v>
          </cell>
          <cell r="AV33">
            <v>26.833846641238253</v>
          </cell>
        </row>
        <row r="34">
          <cell r="A34">
            <v>0</v>
          </cell>
          <cell r="C34">
            <v>0</v>
          </cell>
          <cell r="F34" t="str">
            <v>s</v>
          </cell>
          <cell r="G34">
            <v>0</v>
          </cell>
          <cell r="H34">
            <v>0</v>
          </cell>
          <cell r="I34">
            <v>0</v>
          </cell>
          <cell r="J34">
            <v>0</v>
          </cell>
          <cell r="K34">
            <v>0</v>
          </cell>
          <cell r="L34">
            <v>0</v>
          </cell>
          <cell r="M34">
            <v>0</v>
          </cell>
          <cell r="N34">
            <v>70</v>
          </cell>
          <cell r="O34">
            <v>0</v>
          </cell>
          <cell r="P34">
            <v>0</v>
          </cell>
          <cell r="Q34" t="str">
            <v>mittel</v>
          </cell>
          <cell r="R34">
            <v>230</v>
          </cell>
          <cell r="S34">
            <v>130</v>
          </cell>
          <cell r="T34">
            <v>100</v>
          </cell>
          <cell r="U34">
            <v>20</v>
          </cell>
          <cell r="V34">
            <v>0</v>
          </cell>
          <cell r="W34">
            <v>0.25</v>
          </cell>
          <cell r="X34">
            <v>1.3</v>
          </cell>
          <cell r="Y34">
            <v>0.2</v>
          </cell>
          <cell r="Z34">
            <v>0.9</v>
          </cell>
          <cell r="AA34">
            <v>0.15</v>
          </cell>
          <cell r="AB34">
            <v>0.6</v>
          </cell>
          <cell r="AC34">
            <v>0</v>
          </cell>
          <cell r="AD34">
            <v>0</v>
          </cell>
          <cell r="AE34">
            <v>0</v>
          </cell>
          <cell r="AF34">
            <v>0</v>
          </cell>
          <cell r="AG34" t="str">
            <v>x</v>
          </cell>
          <cell r="AH34">
            <v>0</v>
          </cell>
          <cell r="AI34">
            <v>0</v>
          </cell>
          <cell r="BT34">
            <v>0</v>
          </cell>
          <cell r="BU34">
            <v>0</v>
          </cell>
          <cell r="BV34" t="str">
            <v>s</v>
          </cell>
          <cell r="BW34">
            <v>0</v>
          </cell>
          <cell r="BX34">
            <v>0</v>
          </cell>
          <cell r="BY34">
            <v>0</v>
          </cell>
          <cell r="BZ34">
            <v>0</v>
          </cell>
          <cell r="CA34">
            <v>0</v>
          </cell>
          <cell r="CB34">
            <v>-70</v>
          </cell>
          <cell r="CC34">
            <v>70</v>
          </cell>
          <cell r="CD34" t="str">
            <v>mittel</v>
          </cell>
          <cell r="CE34">
            <v>230</v>
          </cell>
          <cell r="CF34">
            <v>130</v>
          </cell>
          <cell r="CG34">
            <v>100</v>
          </cell>
          <cell r="CH34">
            <v>20</v>
          </cell>
          <cell r="CI34">
            <v>0</v>
          </cell>
          <cell r="CJ34">
            <v>0.25</v>
          </cell>
          <cell r="CK34">
            <v>1.3</v>
          </cell>
          <cell r="CL34">
            <v>0.2</v>
          </cell>
          <cell r="CM34">
            <v>0.9</v>
          </cell>
          <cell r="CN34">
            <v>0.15</v>
          </cell>
          <cell r="CO34">
            <v>0.6</v>
          </cell>
          <cell r="CP34">
            <v>0</v>
          </cell>
          <cell r="CQ34">
            <v>0</v>
          </cell>
          <cell r="CR34">
            <v>0</v>
          </cell>
          <cell r="CS34" t="str">
            <v>x</v>
          </cell>
          <cell r="CT34">
            <v>0</v>
          </cell>
          <cell r="CV34">
            <v>0</v>
          </cell>
          <cell r="CW34">
            <v>0</v>
          </cell>
          <cell r="CX34">
            <v>0</v>
          </cell>
          <cell r="CY34">
            <v>0</v>
          </cell>
          <cell r="CZ34">
            <v>0</v>
          </cell>
          <cell r="DA34">
            <v>0</v>
          </cell>
          <cell r="DU34">
            <v>-70</v>
          </cell>
          <cell r="DV34">
            <v>70</v>
          </cell>
        </row>
        <row r="35">
          <cell r="A35">
            <v>0</v>
          </cell>
          <cell r="C35">
            <v>0</v>
          </cell>
          <cell r="F35" t="str">
            <v>s</v>
          </cell>
          <cell r="G35">
            <v>0</v>
          </cell>
          <cell r="H35">
            <v>0</v>
          </cell>
          <cell r="I35">
            <v>0</v>
          </cell>
          <cell r="J35">
            <v>0</v>
          </cell>
          <cell r="K35">
            <v>0</v>
          </cell>
          <cell r="L35">
            <v>0</v>
          </cell>
          <cell r="M35">
            <v>0</v>
          </cell>
          <cell r="N35">
            <v>70</v>
          </cell>
          <cell r="O35" t="str">
            <v>x</v>
          </cell>
          <cell r="P35">
            <v>0</v>
          </cell>
          <cell r="Q35" t="str">
            <v>mittel</v>
          </cell>
          <cell r="R35">
            <v>230</v>
          </cell>
          <cell r="S35">
            <v>130</v>
          </cell>
          <cell r="T35">
            <v>100</v>
          </cell>
          <cell r="U35">
            <v>20</v>
          </cell>
          <cell r="V35">
            <v>0</v>
          </cell>
          <cell r="W35">
            <v>0.25</v>
          </cell>
          <cell r="X35">
            <v>1.3</v>
          </cell>
          <cell r="Y35">
            <v>0.2</v>
          </cell>
          <cell r="Z35">
            <v>0.9</v>
          </cell>
          <cell r="AA35">
            <v>0.15</v>
          </cell>
          <cell r="AB35">
            <v>0.6</v>
          </cell>
          <cell r="AC35">
            <v>0</v>
          </cell>
          <cell r="AD35">
            <v>0</v>
          </cell>
          <cell r="AE35">
            <v>0</v>
          </cell>
          <cell r="AF35">
            <v>0</v>
          </cell>
          <cell r="AG35" t="str">
            <v>x</v>
          </cell>
          <cell r="AH35">
            <v>0</v>
          </cell>
          <cell r="AI35">
            <v>0</v>
          </cell>
          <cell r="BT35">
            <v>0</v>
          </cell>
          <cell r="BU35">
            <v>0</v>
          </cell>
          <cell r="BV35" t="str">
            <v>s</v>
          </cell>
          <cell r="BW35">
            <v>0</v>
          </cell>
          <cell r="BX35">
            <v>0</v>
          </cell>
          <cell r="BY35">
            <v>0</v>
          </cell>
          <cell r="BZ35">
            <v>0</v>
          </cell>
          <cell r="CA35">
            <v>0</v>
          </cell>
          <cell r="CB35">
            <v>0</v>
          </cell>
          <cell r="CC35">
            <v>0</v>
          </cell>
          <cell r="CD35" t="str">
            <v>mittel</v>
          </cell>
          <cell r="CE35">
            <v>230</v>
          </cell>
          <cell r="CF35">
            <v>130</v>
          </cell>
          <cell r="CG35">
            <v>100</v>
          </cell>
          <cell r="CH35">
            <v>20</v>
          </cell>
          <cell r="CI35">
            <v>0</v>
          </cell>
          <cell r="CJ35">
            <v>0.25</v>
          </cell>
          <cell r="CK35">
            <v>1.3</v>
          </cell>
          <cell r="CL35">
            <v>0.2</v>
          </cell>
          <cell r="CM35">
            <v>0.9</v>
          </cell>
          <cell r="CN35">
            <v>0.15</v>
          </cell>
          <cell r="CO35">
            <v>0.6</v>
          </cell>
          <cell r="CP35">
            <v>0</v>
          </cell>
          <cell r="CQ35">
            <v>0</v>
          </cell>
          <cell r="CR35">
            <v>0</v>
          </cell>
          <cell r="CS35" t="str">
            <v>x</v>
          </cell>
          <cell r="CT35">
            <v>0</v>
          </cell>
          <cell r="CV35">
            <v>0</v>
          </cell>
          <cell r="CW35">
            <v>0</v>
          </cell>
          <cell r="CX35">
            <v>0</v>
          </cell>
          <cell r="CY35">
            <v>0</v>
          </cell>
          <cell r="CZ35">
            <v>0</v>
          </cell>
          <cell r="DA35">
            <v>0</v>
          </cell>
          <cell r="DT35">
            <v>0</v>
          </cell>
          <cell r="DU35">
            <v>0</v>
          </cell>
          <cell r="DV35">
            <v>0</v>
          </cell>
        </row>
        <row r="36">
          <cell r="A36">
            <v>0</v>
          </cell>
          <cell r="C36">
            <v>0</v>
          </cell>
          <cell r="F36" t="str">
            <v>s</v>
          </cell>
          <cell r="G36">
            <v>0</v>
          </cell>
          <cell r="H36">
            <v>0</v>
          </cell>
          <cell r="I36">
            <v>0</v>
          </cell>
          <cell r="J36">
            <v>0</v>
          </cell>
          <cell r="K36">
            <v>0</v>
          </cell>
          <cell r="L36">
            <v>0</v>
          </cell>
          <cell r="M36">
            <v>0</v>
          </cell>
          <cell r="N36">
            <v>70</v>
          </cell>
          <cell r="O36" t="str">
            <v>x</v>
          </cell>
          <cell r="P36">
            <v>0</v>
          </cell>
          <cell r="Q36" t="str">
            <v>mittel</v>
          </cell>
          <cell r="R36">
            <v>230</v>
          </cell>
          <cell r="S36">
            <v>130</v>
          </cell>
          <cell r="T36">
            <v>100</v>
          </cell>
          <cell r="U36">
            <v>20</v>
          </cell>
          <cell r="V36">
            <v>0</v>
          </cell>
          <cell r="W36">
            <v>0.25</v>
          </cell>
          <cell r="X36">
            <v>1.3</v>
          </cell>
          <cell r="Y36">
            <v>0.2</v>
          </cell>
          <cell r="Z36">
            <v>0.9</v>
          </cell>
          <cell r="AA36">
            <v>0.15</v>
          </cell>
          <cell r="AB36">
            <v>0.6</v>
          </cell>
          <cell r="AC36">
            <v>0</v>
          </cell>
          <cell r="AD36">
            <v>0</v>
          </cell>
          <cell r="AE36">
            <v>0</v>
          </cell>
          <cell r="AF36">
            <v>0</v>
          </cell>
          <cell r="AG36" t="str">
            <v>x</v>
          </cell>
          <cell r="AH36">
            <v>0</v>
          </cell>
          <cell r="AI36">
            <v>0</v>
          </cell>
          <cell r="BT36">
            <v>0</v>
          </cell>
          <cell r="BU36">
            <v>0</v>
          </cell>
          <cell r="BV36" t="str">
            <v>s</v>
          </cell>
          <cell r="BW36">
            <v>0</v>
          </cell>
          <cell r="BX36">
            <v>0</v>
          </cell>
          <cell r="BY36">
            <v>0</v>
          </cell>
          <cell r="BZ36">
            <v>0</v>
          </cell>
          <cell r="CA36">
            <v>0</v>
          </cell>
          <cell r="CB36">
            <v>0</v>
          </cell>
          <cell r="CC36">
            <v>0</v>
          </cell>
          <cell r="CD36" t="str">
            <v>mittel</v>
          </cell>
          <cell r="CE36">
            <v>230</v>
          </cell>
          <cell r="CF36">
            <v>130</v>
          </cell>
          <cell r="CG36">
            <v>100</v>
          </cell>
          <cell r="CH36">
            <v>20</v>
          </cell>
          <cell r="CI36">
            <v>0</v>
          </cell>
          <cell r="CJ36">
            <v>0.25</v>
          </cell>
          <cell r="CK36">
            <v>1.3</v>
          </cell>
          <cell r="CL36">
            <v>0.2</v>
          </cell>
          <cell r="CM36">
            <v>0.9</v>
          </cell>
          <cell r="CN36">
            <v>0.15</v>
          </cell>
          <cell r="CO36">
            <v>0.6</v>
          </cell>
          <cell r="CP36">
            <v>0</v>
          </cell>
          <cell r="CQ36">
            <v>0</v>
          </cell>
          <cell r="CR36">
            <v>0</v>
          </cell>
          <cell r="CS36" t="str">
            <v>x</v>
          </cell>
          <cell r="CT36">
            <v>0</v>
          </cell>
          <cell r="CV36">
            <v>0</v>
          </cell>
          <cell r="CW36">
            <v>0</v>
          </cell>
          <cell r="CX36">
            <v>0</v>
          </cell>
          <cell r="CY36">
            <v>0</v>
          </cell>
          <cell r="CZ36">
            <v>0</v>
          </cell>
          <cell r="DA36">
            <v>0</v>
          </cell>
          <cell r="DT36">
            <v>0</v>
          </cell>
          <cell r="DU36">
            <v>0</v>
          </cell>
          <cell r="DV36">
            <v>0</v>
          </cell>
        </row>
        <row r="37">
          <cell r="A37">
            <v>0</v>
          </cell>
          <cell r="C37">
            <v>0</v>
          </cell>
          <cell r="F37" t="str">
            <v>s</v>
          </cell>
          <cell r="G37">
            <v>0</v>
          </cell>
          <cell r="H37">
            <v>0</v>
          </cell>
          <cell r="I37">
            <v>0</v>
          </cell>
          <cell r="J37">
            <v>0</v>
          </cell>
          <cell r="K37">
            <v>0</v>
          </cell>
          <cell r="L37">
            <v>0</v>
          </cell>
          <cell r="M37">
            <v>0</v>
          </cell>
          <cell r="N37">
            <v>70</v>
          </cell>
          <cell r="O37" t="str">
            <v>x</v>
          </cell>
          <cell r="P37">
            <v>0</v>
          </cell>
          <cell r="Q37" t="str">
            <v>mittel</v>
          </cell>
          <cell r="R37">
            <v>230</v>
          </cell>
          <cell r="S37">
            <v>130</v>
          </cell>
          <cell r="T37">
            <v>100</v>
          </cell>
          <cell r="U37">
            <v>20</v>
          </cell>
          <cell r="V37">
            <v>0</v>
          </cell>
          <cell r="W37">
            <v>0.25</v>
          </cell>
          <cell r="X37">
            <v>1.3</v>
          </cell>
          <cell r="Y37">
            <v>0.2</v>
          </cell>
          <cell r="Z37">
            <v>0.9</v>
          </cell>
          <cell r="AA37">
            <v>0.15</v>
          </cell>
          <cell r="AB37">
            <v>0.6</v>
          </cell>
          <cell r="AC37">
            <v>0</v>
          </cell>
          <cell r="AD37">
            <v>0</v>
          </cell>
          <cell r="AE37">
            <v>0</v>
          </cell>
          <cell r="AF37">
            <v>0</v>
          </cell>
          <cell r="AG37" t="str">
            <v>x</v>
          </cell>
          <cell r="AH37">
            <v>0</v>
          </cell>
          <cell r="AI37">
            <v>0</v>
          </cell>
          <cell r="BT37">
            <v>0</v>
          </cell>
          <cell r="BU37">
            <v>0</v>
          </cell>
          <cell r="BV37" t="str">
            <v>s</v>
          </cell>
          <cell r="BW37">
            <v>0</v>
          </cell>
          <cell r="BX37">
            <v>0</v>
          </cell>
          <cell r="BY37">
            <v>0</v>
          </cell>
          <cell r="BZ37">
            <v>0</v>
          </cell>
          <cell r="CA37">
            <v>0</v>
          </cell>
          <cell r="CB37">
            <v>0</v>
          </cell>
          <cell r="CC37">
            <v>0</v>
          </cell>
          <cell r="CD37" t="str">
            <v>mittel</v>
          </cell>
          <cell r="CE37">
            <v>230</v>
          </cell>
          <cell r="CF37">
            <v>130</v>
          </cell>
          <cell r="CG37">
            <v>100</v>
          </cell>
          <cell r="CH37">
            <v>20</v>
          </cell>
          <cell r="CI37">
            <v>0</v>
          </cell>
          <cell r="CJ37">
            <v>0.25</v>
          </cell>
          <cell r="CK37">
            <v>1.3</v>
          </cell>
          <cell r="CL37">
            <v>0.2</v>
          </cell>
          <cell r="CM37">
            <v>0.9</v>
          </cell>
          <cell r="CN37">
            <v>0.15</v>
          </cell>
          <cell r="CO37">
            <v>0.6</v>
          </cell>
          <cell r="CP37">
            <v>0</v>
          </cell>
          <cell r="CQ37">
            <v>0</v>
          </cell>
          <cell r="CR37">
            <v>0</v>
          </cell>
          <cell r="CS37" t="str">
            <v>x</v>
          </cell>
          <cell r="CT37">
            <v>0</v>
          </cell>
          <cell r="CV37">
            <v>0</v>
          </cell>
          <cell r="CW37">
            <v>0</v>
          </cell>
          <cell r="CX37">
            <v>0</v>
          </cell>
          <cell r="CY37">
            <v>0</v>
          </cell>
          <cell r="CZ37">
            <v>0</v>
          </cell>
          <cell r="DA37">
            <v>0</v>
          </cell>
          <cell r="DT37">
            <v>0</v>
          </cell>
          <cell r="DU37">
            <v>0</v>
          </cell>
          <cell r="DV37">
            <v>0</v>
          </cell>
        </row>
        <row r="38">
          <cell r="A38">
            <v>0</v>
          </cell>
          <cell r="C38">
            <v>0</v>
          </cell>
          <cell r="F38" t="str">
            <v>s</v>
          </cell>
          <cell r="G38">
            <v>0</v>
          </cell>
          <cell r="H38">
            <v>0</v>
          </cell>
          <cell r="I38">
            <v>0</v>
          </cell>
          <cell r="J38">
            <v>0</v>
          </cell>
          <cell r="K38">
            <v>0</v>
          </cell>
          <cell r="L38">
            <v>0</v>
          </cell>
          <cell r="M38">
            <v>0</v>
          </cell>
          <cell r="N38">
            <v>70</v>
          </cell>
          <cell r="O38" t="str">
            <v>x</v>
          </cell>
          <cell r="P38">
            <v>0</v>
          </cell>
          <cell r="Q38" t="str">
            <v>mittel</v>
          </cell>
          <cell r="R38">
            <v>230</v>
          </cell>
          <cell r="S38">
            <v>130</v>
          </cell>
          <cell r="T38">
            <v>100</v>
          </cell>
          <cell r="U38">
            <v>20</v>
          </cell>
          <cell r="V38">
            <v>0</v>
          </cell>
          <cell r="W38">
            <v>0.25</v>
          </cell>
          <cell r="X38">
            <v>1.3</v>
          </cell>
          <cell r="Y38">
            <v>0.2</v>
          </cell>
          <cell r="Z38">
            <v>0.9</v>
          </cell>
          <cell r="AA38">
            <v>0.15</v>
          </cell>
          <cell r="AB38">
            <v>0.6</v>
          </cell>
          <cell r="AC38">
            <v>0</v>
          </cell>
          <cell r="AD38">
            <v>0</v>
          </cell>
          <cell r="AE38">
            <v>0</v>
          </cell>
          <cell r="AF38">
            <v>0</v>
          </cell>
          <cell r="AG38" t="str">
            <v>x</v>
          </cell>
          <cell r="AH38">
            <v>0</v>
          </cell>
          <cell r="AI38">
            <v>0</v>
          </cell>
          <cell r="BT38">
            <v>0</v>
          </cell>
          <cell r="BU38">
            <v>0</v>
          </cell>
          <cell r="BV38" t="str">
            <v>s</v>
          </cell>
          <cell r="BW38">
            <v>0</v>
          </cell>
          <cell r="BX38">
            <v>0</v>
          </cell>
          <cell r="BY38">
            <v>0</v>
          </cell>
          <cell r="BZ38">
            <v>0</v>
          </cell>
          <cell r="CA38">
            <v>0</v>
          </cell>
          <cell r="CB38">
            <v>0</v>
          </cell>
          <cell r="CC38">
            <v>0</v>
          </cell>
          <cell r="CD38" t="str">
            <v>mittel</v>
          </cell>
          <cell r="CE38">
            <v>230</v>
          </cell>
          <cell r="CF38">
            <v>130</v>
          </cell>
          <cell r="CG38">
            <v>100</v>
          </cell>
          <cell r="CH38">
            <v>20</v>
          </cell>
          <cell r="CI38">
            <v>0</v>
          </cell>
          <cell r="CJ38">
            <v>0.25</v>
          </cell>
          <cell r="CK38">
            <v>1.3</v>
          </cell>
          <cell r="CL38">
            <v>0.2</v>
          </cell>
          <cell r="CM38">
            <v>0.9</v>
          </cell>
          <cell r="CN38">
            <v>0.15</v>
          </cell>
          <cell r="CO38">
            <v>0.6</v>
          </cell>
          <cell r="CP38">
            <v>0</v>
          </cell>
          <cell r="CQ38">
            <v>0</v>
          </cell>
          <cell r="CR38">
            <v>0</v>
          </cell>
          <cell r="CS38" t="str">
            <v>x</v>
          </cell>
          <cell r="CT38">
            <v>0</v>
          </cell>
          <cell r="CV38">
            <v>0</v>
          </cell>
          <cell r="CW38">
            <v>0</v>
          </cell>
          <cell r="CX38">
            <v>0</v>
          </cell>
          <cell r="CY38">
            <v>0</v>
          </cell>
          <cell r="CZ38">
            <v>0</v>
          </cell>
          <cell r="DA38">
            <v>0</v>
          </cell>
          <cell r="DT38">
            <v>0</v>
          </cell>
          <cell r="DU38">
            <v>0</v>
          </cell>
          <cell r="DV38">
            <v>0</v>
          </cell>
        </row>
        <row r="39">
          <cell r="A39">
            <v>0</v>
          </cell>
          <cell r="C39">
            <v>0</v>
          </cell>
          <cell r="F39" t="str">
            <v>s</v>
          </cell>
          <cell r="G39">
            <v>0</v>
          </cell>
          <cell r="H39">
            <v>0</v>
          </cell>
          <cell r="I39">
            <v>0</v>
          </cell>
          <cell r="J39">
            <v>0</v>
          </cell>
          <cell r="K39">
            <v>0</v>
          </cell>
          <cell r="L39">
            <v>0</v>
          </cell>
          <cell r="M39">
            <v>0</v>
          </cell>
          <cell r="N39">
            <v>70</v>
          </cell>
          <cell r="O39" t="str">
            <v>x</v>
          </cell>
          <cell r="P39">
            <v>0</v>
          </cell>
          <cell r="Q39" t="str">
            <v>mittel</v>
          </cell>
          <cell r="R39">
            <v>230</v>
          </cell>
          <cell r="S39">
            <v>130</v>
          </cell>
          <cell r="T39">
            <v>100</v>
          </cell>
          <cell r="U39">
            <v>20</v>
          </cell>
          <cell r="V39">
            <v>0</v>
          </cell>
          <cell r="W39">
            <v>0.25</v>
          </cell>
          <cell r="X39">
            <v>1.3</v>
          </cell>
          <cell r="Y39">
            <v>0.2</v>
          </cell>
          <cell r="Z39">
            <v>0.9</v>
          </cell>
          <cell r="AA39">
            <v>0.15</v>
          </cell>
          <cell r="AB39">
            <v>0.6</v>
          </cell>
          <cell r="AC39">
            <v>0</v>
          </cell>
          <cell r="AD39">
            <v>0</v>
          </cell>
          <cell r="AE39">
            <v>0</v>
          </cell>
          <cell r="AF39">
            <v>0</v>
          </cell>
          <cell r="AG39" t="str">
            <v>x</v>
          </cell>
          <cell r="AH39">
            <v>0</v>
          </cell>
          <cell r="AI39">
            <v>0</v>
          </cell>
          <cell r="BT39">
            <v>0</v>
          </cell>
          <cell r="BU39">
            <v>0</v>
          </cell>
          <cell r="BV39" t="str">
            <v>s</v>
          </cell>
          <cell r="BW39">
            <v>0</v>
          </cell>
          <cell r="BX39">
            <v>0</v>
          </cell>
          <cell r="BY39">
            <v>0</v>
          </cell>
          <cell r="BZ39">
            <v>0</v>
          </cell>
          <cell r="CA39">
            <v>0</v>
          </cell>
          <cell r="CB39">
            <v>0</v>
          </cell>
          <cell r="CC39">
            <v>0</v>
          </cell>
          <cell r="CD39" t="str">
            <v>mittel</v>
          </cell>
          <cell r="CE39">
            <v>230</v>
          </cell>
          <cell r="CF39">
            <v>130</v>
          </cell>
          <cell r="CG39">
            <v>100</v>
          </cell>
          <cell r="CH39">
            <v>20</v>
          </cell>
          <cell r="CI39">
            <v>0</v>
          </cell>
          <cell r="CJ39">
            <v>0.25</v>
          </cell>
          <cell r="CK39">
            <v>1.3</v>
          </cell>
          <cell r="CL39">
            <v>0.2</v>
          </cell>
          <cell r="CM39">
            <v>0.9</v>
          </cell>
          <cell r="CN39">
            <v>0.15</v>
          </cell>
          <cell r="CO39">
            <v>0.6</v>
          </cell>
          <cell r="CP39">
            <v>0</v>
          </cell>
          <cell r="CQ39">
            <v>0</v>
          </cell>
          <cell r="CR39">
            <v>0</v>
          </cell>
          <cell r="CS39" t="str">
            <v>x</v>
          </cell>
          <cell r="CT39">
            <v>0</v>
          </cell>
          <cell r="CV39">
            <v>0</v>
          </cell>
          <cell r="CW39">
            <v>0</v>
          </cell>
          <cell r="CX39">
            <v>0</v>
          </cell>
          <cell r="CY39">
            <v>0</v>
          </cell>
          <cell r="CZ39">
            <v>0</v>
          </cell>
          <cell r="DA39">
            <v>0</v>
          </cell>
          <cell r="DT39">
            <v>0</v>
          </cell>
          <cell r="DU39">
            <v>0</v>
          </cell>
          <cell r="DV39">
            <v>0</v>
          </cell>
        </row>
        <row r="40">
          <cell r="A40">
            <v>0</v>
          </cell>
          <cell r="C40">
            <v>0</v>
          </cell>
          <cell r="F40" t="str">
            <v>s</v>
          </cell>
          <cell r="G40">
            <v>0</v>
          </cell>
          <cell r="H40">
            <v>0</v>
          </cell>
          <cell r="I40">
            <v>0</v>
          </cell>
          <cell r="J40">
            <v>0</v>
          </cell>
          <cell r="K40">
            <v>0</v>
          </cell>
          <cell r="L40">
            <v>0</v>
          </cell>
          <cell r="M40">
            <v>0</v>
          </cell>
          <cell r="N40">
            <v>70</v>
          </cell>
          <cell r="O40" t="str">
            <v>x</v>
          </cell>
          <cell r="P40">
            <v>0</v>
          </cell>
          <cell r="Q40" t="str">
            <v>mittel</v>
          </cell>
          <cell r="R40">
            <v>230</v>
          </cell>
          <cell r="S40">
            <v>130</v>
          </cell>
          <cell r="T40">
            <v>100</v>
          </cell>
          <cell r="U40">
            <v>20</v>
          </cell>
          <cell r="V40">
            <v>0</v>
          </cell>
          <cell r="W40">
            <v>0.25</v>
          </cell>
          <cell r="X40">
            <v>1.3</v>
          </cell>
          <cell r="Y40">
            <v>0.2</v>
          </cell>
          <cell r="Z40">
            <v>0.9</v>
          </cell>
          <cell r="AA40">
            <v>0.15</v>
          </cell>
          <cell r="AB40">
            <v>0.6</v>
          </cell>
          <cell r="AC40">
            <v>0</v>
          </cell>
          <cell r="AD40">
            <v>0</v>
          </cell>
          <cell r="AE40">
            <v>0</v>
          </cell>
          <cell r="AF40">
            <v>0</v>
          </cell>
          <cell r="AG40" t="str">
            <v>x</v>
          </cell>
          <cell r="AH40">
            <v>0</v>
          </cell>
          <cell r="AI40">
            <v>0</v>
          </cell>
          <cell r="BT40">
            <v>0</v>
          </cell>
          <cell r="BU40">
            <v>0</v>
          </cell>
          <cell r="BV40" t="str">
            <v>s</v>
          </cell>
          <cell r="BW40">
            <v>0</v>
          </cell>
          <cell r="BX40">
            <v>0</v>
          </cell>
          <cell r="BY40">
            <v>0</v>
          </cell>
          <cell r="BZ40">
            <v>0</v>
          </cell>
          <cell r="CA40">
            <v>0</v>
          </cell>
          <cell r="CB40">
            <v>0</v>
          </cell>
          <cell r="CC40">
            <v>0</v>
          </cell>
          <cell r="CD40" t="str">
            <v>mittel</v>
          </cell>
          <cell r="CE40">
            <v>230</v>
          </cell>
          <cell r="CF40">
            <v>130</v>
          </cell>
          <cell r="CG40">
            <v>100</v>
          </cell>
          <cell r="CH40">
            <v>20</v>
          </cell>
          <cell r="CI40">
            <v>0</v>
          </cell>
          <cell r="CJ40">
            <v>0.25</v>
          </cell>
          <cell r="CK40">
            <v>1.3</v>
          </cell>
          <cell r="CL40">
            <v>0.2</v>
          </cell>
          <cell r="CM40">
            <v>0.9</v>
          </cell>
          <cell r="CN40">
            <v>0.15</v>
          </cell>
          <cell r="CO40">
            <v>0.6</v>
          </cell>
          <cell r="CP40">
            <v>0</v>
          </cell>
          <cell r="CQ40">
            <v>0</v>
          </cell>
          <cell r="CR40">
            <v>0</v>
          </cell>
          <cell r="CS40" t="str">
            <v>x</v>
          </cell>
          <cell r="CT40">
            <v>0</v>
          </cell>
          <cell r="CV40">
            <v>0</v>
          </cell>
          <cell r="CW40">
            <v>0</v>
          </cell>
          <cell r="CX40">
            <v>0</v>
          </cell>
          <cell r="CY40">
            <v>0</v>
          </cell>
          <cell r="CZ40">
            <v>0</v>
          </cell>
          <cell r="DA40">
            <v>0</v>
          </cell>
          <cell r="DT40">
            <v>0</v>
          </cell>
          <cell r="DU40">
            <v>0</v>
          </cell>
          <cell r="DV40">
            <v>0</v>
          </cell>
        </row>
        <row r="41">
          <cell r="A41">
            <v>0</v>
          </cell>
          <cell r="C41">
            <v>0</v>
          </cell>
          <cell r="F41" t="str">
            <v>s</v>
          </cell>
          <cell r="G41">
            <v>0</v>
          </cell>
          <cell r="H41">
            <v>0</v>
          </cell>
          <cell r="I41">
            <v>0</v>
          </cell>
          <cell r="J41">
            <v>0</v>
          </cell>
          <cell r="K41">
            <v>0</v>
          </cell>
          <cell r="L41">
            <v>0</v>
          </cell>
          <cell r="M41">
            <v>0</v>
          </cell>
          <cell r="N41">
            <v>70</v>
          </cell>
          <cell r="O41" t="str">
            <v>x</v>
          </cell>
          <cell r="P41">
            <v>0</v>
          </cell>
          <cell r="Q41" t="str">
            <v>mittel</v>
          </cell>
          <cell r="R41">
            <v>230</v>
          </cell>
          <cell r="S41">
            <v>130</v>
          </cell>
          <cell r="T41">
            <v>100</v>
          </cell>
          <cell r="U41">
            <v>20</v>
          </cell>
          <cell r="V41">
            <v>0</v>
          </cell>
          <cell r="W41">
            <v>0.25</v>
          </cell>
          <cell r="X41">
            <v>1.3</v>
          </cell>
          <cell r="Y41">
            <v>0.2</v>
          </cell>
          <cell r="Z41">
            <v>0.9</v>
          </cell>
          <cell r="AA41">
            <v>0.15</v>
          </cell>
          <cell r="AB41">
            <v>0.6</v>
          </cell>
          <cell r="AC41">
            <v>0</v>
          </cell>
          <cell r="AD41">
            <v>0</v>
          </cell>
          <cell r="AE41">
            <v>0</v>
          </cell>
          <cell r="AF41">
            <v>0</v>
          </cell>
          <cell r="AG41" t="str">
            <v>x</v>
          </cell>
          <cell r="AH41">
            <v>0</v>
          </cell>
          <cell r="AI41">
            <v>0</v>
          </cell>
          <cell r="BT41">
            <v>0</v>
          </cell>
          <cell r="BU41">
            <v>0</v>
          </cell>
          <cell r="BV41" t="str">
            <v>s</v>
          </cell>
          <cell r="BW41">
            <v>0</v>
          </cell>
          <cell r="BX41">
            <v>0</v>
          </cell>
          <cell r="BY41">
            <v>0</v>
          </cell>
          <cell r="BZ41">
            <v>0</v>
          </cell>
          <cell r="CA41">
            <v>0</v>
          </cell>
          <cell r="CB41">
            <v>0</v>
          </cell>
          <cell r="CC41">
            <v>0</v>
          </cell>
          <cell r="CD41" t="str">
            <v>mittel</v>
          </cell>
          <cell r="CE41">
            <v>230</v>
          </cell>
          <cell r="CF41">
            <v>130</v>
          </cell>
          <cell r="CG41">
            <v>100</v>
          </cell>
          <cell r="CH41">
            <v>20</v>
          </cell>
          <cell r="CI41">
            <v>0</v>
          </cell>
          <cell r="CJ41">
            <v>0.25</v>
          </cell>
          <cell r="CK41">
            <v>1.3</v>
          </cell>
          <cell r="CL41">
            <v>0.2</v>
          </cell>
          <cell r="CM41">
            <v>0.9</v>
          </cell>
          <cell r="CN41">
            <v>0.15</v>
          </cell>
          <cell r="CO41">
            <v>0.6</v>
          </cell>
          <cell r="CP41">
            <v>0</v>
          </cell>
          <cell r="CQ41">
            <v>0</v>
          </cell>
          <cell r="CR41">
            <v>0</v>
          </cell>
          <cell r="CS41" t="str">
            <v>x</v>
          </cell>
          <cell r="CT41">
            <v>0</v>
          </cell>
          <cell r="CV41">
            <v>0</v>
          </cell>
          <cell r="CW41">
            <v>0</v>
          </cell>
          <cell r="CX41">
            <v>0</v>
          </cell>
          <cell r="CY41">
            <v>0</v>
          </cell>
          <cell r="CZ41">
            <v>0</v>
          </cell>
          <cell r="DA41">
            <v>0</v>
          </cell>
          <cell r="DT41">
            <v>0</v>
          </cell>
          <cell r="DU41">
            <v>0</v>
          </cell>
          <cell r="DV41">
            <v>0</v>
          </cell>
        </row>
        <row r="42">
          <cell r="A42">
            <v>0</v>
          </cell>
          <cell r="C42">
            <v>0</v>
          </cell>
          <cell r="F42" t="str">
            <v>s</v>
          </cell>
          <cell r="G42">
            <v>0</v>
          </cell>
          <cell r="H42">
            <v>0</v>
          </cell>
          <cell r="I42">
            <v>0</v>
          </cell>
          <cell r="J42">
            <v>0</v>
          </cell>
          <cell r="K42">
            <v>0</v>
          </cell>
          <cell r="L42">
            <v>0</v>
          </cell>
          <cell r="M42">
            <v>0</v>
          </cell>
          <cell r="N42">
            <v>70</v>
          </cell>
          <cell r="O42" t="str">
            <v>x</v>
          </cell>
          <cell r="P42">
            <v>0</v>
          </cell>
          <cell r="Q42" t="str">
            <v>mittel</v>
          </cell>
          <cell r="R42">
            <v>230</v>
          </cell>
          <cell r="S42">
            <v>130</v>
          </cell>
          <cell r="T42">
            <v>100</v>
          </cell>
          <cell r="U42">
            <v>20</v>
          </cell>
          <cell r="V42">
            <v>0</v>
          </cell>
          <cell r="W42">
            <v>0.25</v>
          </cell>
          <cell r="X42">
            <v>1.3</v>
          </cell>
          <cell r="Y42">
            <v>0.2</v>
          </cell>
          <cell r="Z42">
            <v>0.9</v>
          </cell>
          <cell r="AA42">
            <v>0.15</v>
          </cell>
          <cell r="AB42">
            <v>0.6</v>
          </cell>
          <cell r="AC42">
            <v>0</v>
          </cell>
          <cell r="AD42">
            <v>0</v>
          </cell>
          <cell r="AE42">
            <v>0</v>
          </cell>
          <cell r="AF42">
            <v>0</v>
          </cell>
          <cell r="AG42" t="str">
            <v>x</v>
          </cell>
          <cell r="AH42">
            <v>0</v>
          </cell>
          <cell r="AI42">
            <v>0</v>
          </cell>
          <cell r="BT42">
            <v>0</v>
          </cell>
          <cell r="BU42">
            <v>0</v>
          </cell>
          <cell r="BV42" t="str">
            <v>s</v>
          </cell>
          <cell r="BW42">
            <v>0</v>
          </cell>
          <cell r="BX42">
            <v>0</v>
          </cell>
          <cell r="BY42">
            <v>0</v>
          </cell>
          <cell r="BZ42">
            <v>0</v>
          </cell>
          <cell r="CA42">
            <v>0</v>
          </cell>
          <cell r="CB42">
            <v>0</v>
          </cell>
          <cell r="CC42">
            <v>0</v>
          </cell>
          <cell r="CD42" t="str">
            <v>mittel</v>
          </cell>
          <cell r="CE42">
            <v>230</v>
          </cell>
          <cell r="CF42">
            <v>130</v>
          </cell>
          <cell r="CG42">
            <v>100</v>
          </cell>
          <cell r="CH42">
            <v>20</v>
          </cell>
          <cell r="CI42">
            <v>0</v>
          </cell>
          <cell r="CJ42">
            <v>0.25</v>
          </cell>
          <cell r="CK42">
            <v>1.3</v>
          </cell>
          <cell r="CL42">
            <v>0.2</v>
          </cell>
          <cell r="CM42">
            <v>0.9</v>
          </cell>
          <cell r="CN42">
            <v>0.15</v>
          </cell>
          <cell r="CO42">
            <v>0.6</v>
          </cell>
          <cell r="CP42">
            <v>0</v>
          </cell>
          <cell r="CQ42">
            <v>0</v>
          </cell>
          <cell r="CR42">
            <v>0</v>
          </cell>
          <cell r="CS42" t="str">
            <v>x</v>
          </cell>
          <cell r="CT42">
            <v>0</v>
          </cell>
          <cell r="CV42">
            <v>0</v>
          </cell>
          <cell r="CW42">
            <v>0</v>
          </cell>
          <cell r="CX42">
            <v>0</v>
          </cell>
          <cell r="CY42">
            <v>0</v>
          </cell>
          <cell r="CZ42">
            <v>0</v>
          </cell>
          <cell r="DA42">
            <v>0</v>
          </cell>
          <cell r="DT42">
            <v>0</v>
          </cell>
          <cell r="DU42">
            <v>0</v>
          </cell>
          <cell r="DV42">
            <v>0</v>
          </cell>
        </row>
        <row r="43">
          <cell r="A43">
            <v>0</v>
          </cell>
          <cell r="C43">
            <v>0</v>
          </cell>
          <cell r="F43" t="str">
            <v>s</v>
          </cell>
          <cell r="G43">
            <v>0</v>
          </cell>
          <cell r="H43">
            <v>0</v>
          </cell>
          <cell r="I43">
            <v>0</v>
          </cell>
          <cell r="J43">
            <v>0</v>
          </cell>
          <cell r="K43">
            <v>0</v>
          </cell>
          <cell r="L43">
            <v>0</v>
          </cell>
          <cell r="M43">
            <v>0</v>
          </cell>
          <cell r="N43">
            <v>70</v>
          </cell>
          <cell r="O43" t="str">
            <v>x</v>
          </cell>
          <cell r="P43">
            <v>0</v>
          </cell>
          <cell r="Q43" t="str">
            <v>mittel</v>
          </cell>
          <cell r="R43">
            <v>230</v>
          </cell>
          <cell r="S43">
            <v>130</v>
          </cell>
          <cell r="T43">
            <v>100</v>
          </cell>
          <cell r="U43">
            <v>20</v>
          </cell>
          <cell r="V43">
            <v>0</v>
          </cell>
          <cell r="W43">
            <v>0.25</v>
          </cell>
          <cell r="X43">
            <v>1.3</v>
          </cell>
          <cell r="Y43">
            <v>0.2</v>
          </cell>
          <cell r="Z43">
            <v>0.9</v>
          </cell>
          <cell r="AA43">
            <v>0.15</v>
          </cell>
          <cell r="AB43">
            <v>0.6</v>
          </cell>
          <cell r="AC43">
            <v>0</v>
          </cell>
          <cell r="AD43">
            <v>0</v>
          </cell>
          <cell r="AE43">
            <v>0</v>
          </cell>
          <cell r="AF43">
            <v>0</v>
          </cell>
          <cell r="AG43" t="str">
            <v>x</v>
          </cell>
          <cell r="AH43">
            <v>0</v>
          </cell>
          <cell r="AI43">
            <v>0</v>
          </cell>
          <cell r="BT43">
            <v>0</v>
          </cell>
          <cell r="BU43">
            <v>0</v>
          </cell>
          <cell r="BV43" t="str">
            <v>s</v>
          </cell>
          <cell r="BW43">
            <v>0</v>
          </cell>
          <cell r="BX43">
            <v>0</v>
          </cell>
          <cell r="BY43">
            <v>0</v>
          </cell>
          <cell r="BZ43">
            <v>0</v>
          </cell>
          <cell r="CA43">
            <v>0</v>
          </cell>
          <cell r="CB43">
            <v>0</v>
          </cell>
          <cell r="CC43">
            <v>0</v>
          </cell>
          <cell r="CD43" t="str">
            <v>mittel</v>
          </cell>
          <cell r="CE43">
            <v>230</v>
          </cell>
          <cell r="CF43">
            <v>130</v>
          </cell>
          <cell r="CG43">
            <v>100</v>
          </cell>
          <cell r="CH43">
            <v>20</v>
          </cell>
          <cell r="CI43">
            <v>0</v>
          </cell>
          <cell r="CJ43">
            <v>0.25</v>
          </cell>
          <cell r="CK43">
            <v>1.3</v>
          </cell>
          <cell r="CL43">
            <v>0.2</v>
          </cell>
          <cell r="CM43">
            <v>0.9</v>
          </cell>
          <cell r="CN43">
            <v>0.15</v>
          </cell>
          <cell r="CO43">
            <v>0.6</v>
          </cell>
          <cell r="CP43">
            <v>0</v>
          </cell>
          <cell r="CQ43">
            <v>0</v>
          </cell>
          <cell r="CR43">
            <v>0</v>
          </cell>
          <cell r="CS43" t="str">
            <v>x</v>
          </cell>
          <cell r="CT43">
            <v>0</v>
          </cell>
          <cell r="CV43">
            <v>0</v>
          </cell>
          <cell r="CW43">
            <v>0</v>
          </cell>
          <cell r="CX43">
            <v>0</v>
          </cell>
          <cell r="CY43">
            <v>0</v>
          </cell>
          <cell r="CZ43">
            <v>0</v>
          </cell>
          <cell r="DA43">
            <v>0</v>
          </cell>
          <cell r="DT43">
            <v>0</v>
          </cell>
          <cell r="DU43">
            <v>0</v>
          </cell>
          <cell r="DV43">
            <v>0</v>
          </cell>
        </row>
      </sheetData>
      <sheetData sheetId="10">
        <row r="7">
          <cell r="A7" t="str">
            <v>D</v>
          </cell>
          <cell r="E7" t="str">
            <v>Form</v>
          </cell>
        </row>
        <row r="8">
          <cell r="A8" t="str">
            <v>F</v>
          </cell>
          <cell r="B8">
            <v>0</v>
          </cell>
          <cell r="D8">
            <v>0</v>
          </cell>
          <cell r="E8">
            <v>0</v>
          </cell>
          <cell r="I8">
            <v>0</v>
          </cell>
          <cell r="J8">
            <v>0</v>
          </cell>
          <cell r="K8">
            <v>0</v>
          </cell>
          <cell r="L8">
            <v>0</v>
          </cell>
          <cell r="M8">
            <v>0</v>
          </cell>
          <cell r="N8">
            <v>0</v>
          </cell>
        </row>
        <row r="9">
          <cell r="A9">
            <v>1</v>
          </cell>
          <cell r="B9">
            <v>0</v>
          </cell>
          <cell r="D9">
            <v>0</v>
          </cell>
          <cell r="E9">
            <v>0</v>
          </cell>
          <cell r="I9">
            <v>0</v>
          </cell>
          <cell r="J9">
            <v>0</v>
          </cell>
          <cell r="K9">
            <v>0</v>
          </cell>
          <cell r="L9">
            <v>0</v>
          </cell>
          <cell r="M9">
            <v>0</v>
          </cell>
          <cell r="N9">
            <v>0</v>
          </cell>
        </row>
        <row r="10">
          <cell r="A10">
            <v>2</v>
          </cell>
          <cell r="B10">
            <v>0</v>
          </cell>
          <cell r="D10">
            <v>0</v>
          </cell>
          <cell r="E10">
            <v>0</v>
          </cell>
          <cell r="I10">
            <v>0</v>
          </cell>
          <cell r="J10">
            <v>0</v>
          </cell>
          <cell r="K10">
            <v>0</v>
          </cell>
          <cell r="L10">
            <v>0</v>
          </cell>
          <cell r="M10">
            <v>0</v>
          </cell>
          <cell r="N10">
            <v>0</v>
          </cell>
        </row>
        <row r="11">
          <cell r="A11">
            <v>3</v>
          </cell>
          <cell r="B11">
            <v>0</v>
          </cell>
          <cell r="D11">
            <v>0</v>
          </cell>
          <cell r="E11">
            <v>0</v>
          </cell>
          <cell r="I11">
            <v>0</v>
          </cell>
          <cell r="J11">
            <v>0</v>
          </cell>
          <cell r="K11">
            <v>0</v>
          </cell>
          <cell r="L11">
            <v>0</v>
          </cell>
          <cell r="M11">
            <v>0</v>
          </cell>
          <cell r="N11">
            <v>0</v>
          </cell>
        </row>
        <row r="12">
          <cell r="A12">
            <v>4</v>
          </cell>
          <cell r="B12">
            <v>0</v>
          </cell>
          <cell r="D12">
            <v>0</v>
          </cell>
          <cell r="E12">
            <v>0</v>
          </cell>
          <cell r="I12">
            <v>0</v>
          </cell>
          <cell r="J12">
            <v>0</v>
          </cell>
          <cell r="K12">
            <v>0</v>
          </cell>
          <cell r="L12">
            <v>0</v>
          </cell>
          <cell r="M12">
            <v>0</v>
          </cell>
          <cell r="N12">
            <v>0</v>
          </cell>
        </row>
        <row r="13">
          <cell r="A13">
            <v>5</v>
          </cell>
          <cell r="B13">
            <v>0</v>
          </cell>
          <cell r="D13">
            <v>0</v>
          </cell>
          <cell r="E13">
            <v>0</v>
          </cell>
          <cell r="I13">
            <v>0</v>
          </cell>
          <cell r="J13">
            <v>0</v>
          </cell>
          <cell r="K13">
            <v>0</v>
          </cell>
          <cell r="L13">
            <v>0</v>
          </cell>
          <cell r="M13">
            <v>0</v>
          </cell>
          <cell r="N13">
            <v>0</v>
          </cell>
        </row>
        <row r="14">
          <cell r="A14">
            <v>6</v>
          </cell>
          <cell r="B14">
            <v>0</v>
          </cell>
          <cell r="D14">
            <v>0</v>
          </cell>
          <cell r="E14">
            <v>0</v>
          </cell>
          <cell r="I14">
            <v>0</v>
          </cell>
          <cell r="J14">
            <v>0</v>
          </cell>
          <cell r="K14">
            <v>0</v>
          </cell>
          <cell r="L14">
            <v>0</v>
          </cell>
          <cell r="M14">
            <v>0</v>
          </cell>
          <cell r="N14">
            <v>0</v>
          </cell>
        </row>
        <row r="15">
          <cell r="A15">
            <v>7</v>
          </cell>
          <cell r="B15">
            <v>0</v>
          </cell>
          <cell r="D15">
            <v>0</v>
          </cell>
          <cell r="E15">
            <v>0</v>
          </cell>
          <cell r="I15">
            <v>0</v>
          </cell>
          <cell r="J15">
            <v>0</v>
          </cell>
          <cell r="K15">
            <v>0</v>
          </cell>
          <cell r="L15">
            <v>0</v>
          </cell>
          <cell r="M15">
            <v>0</v>
          </cell>
          <cell r="N15">
            <v>0</v>
          </cell>
        </row>
        <row r="16">
          <cell r="A16">
            <v>8</v>
          </cell>
          <cell r="B16">
            <v>0</v>
          </cell>
          <cell r="D16">
            <v>0</v>
          </cell>
          <cell r="E16">
            <v>0</v>
          </cell>
          <cell r="I16">
            <v>0</v>
          </cell>
          <cell r="J16">
            <v>0</v>
          </cell>
          <cell r="K16">
            <v>0</v>
          </cell>
          <cell r="L16">
            <v>0</v>
          </cell>
          <cell r="M16">
            <v>0</v>
          </cell>
          <cell r="N16">
            <v>0</v>
          </cell>
        </row>
        <row r="17">
          <cell r="A17">
            <v>9</v>
          </cell>
          <cell r="B17">
            <v>0</v>
          </cell>
          <cell r="D17">
            <v>0</v>
          </cell>
          <cell r="E17">
            <v>0</v>
          </cell>
          <cell r="I17">
            <v>0</v>
          </cell>
          <cell r="J17">
            <v>0</v>
          </cell>
          <cell r="K17">
            <v>0</v>
          </cell>
          <cell r="L17">
            <v>0</v>
          </cell>
          <cell r="M17">
            <v>0</v>
          </cell>
          <cell r="N17">
            <v>0</v>
          </cell>
        </row>
        <row r="18">
          <cell r="A18">
            <v>10</v>
          </cell>
          <cell r="B18">
            <v>0</v>
          </cell>
          <cell r="D18">
            <v>0</v>
          </cell>
          <cell r="E18">
            <v>0</v>
          </cell>
          <cell r="I18">
            <v>0</v>
          </cell>
          <cell r="J18">
            <v>0</v>
          </cell>
          <cell r="K18">
            <v>0</v>
          </cell>
          <cell r="L18">
            <v>0</v>
          </cell>
          <cell r="M18">
            <v>0</v>
          </cell>
          <cell r="N18">
            <v>0</v>
          </cell>
        </row>
      </sheetData>
      <sheetData sheetId="11">
        <row r="3">
          <cell r="A3" t="str">
            <v>Erfassung Anlagen</v>
          </cell>
          <cell r="P3" t="str">
            <v>Objekt: Mustergebäude</v>
          </cell>
        </row>
        <row r="6">
          <cell r="A6" t="str">
            <v>Kühl-register 
[Nr]</v>
          </cell>
          <cell r="B6" t="str">
            <v>Zuluft-volumen-strom [m³/h]</v>
          </cell>
          <cell r="C6" t="str">
            <v>Aussen-oder Abluftluft Enthalpie [kJ/kg]</v>
          </cell>
          <cell r="D6" t="str">
            <v>Zuluft Enthalpie [kJ/kg]</v>
          </cell>
          <cell r="E6" t="str">
            <v>Kälte Leistung Register [kW]</v>
          </cell>
          <cell r="F6" t="str">
            <v>Aussenluft-kühlung [MWh/a]</v>
          </cell>
          <cell r="G6" t="str">
            <v>Raum-kühlung [MWh/a]</v>
          </cell>
          <cell r="H6" t="str">
            <v>Kälteer-zeugungs-
anlage 
[Nr]</v>
          </cell>
          <cell r="J6" t="str">
            <v>Kälteer-zeugungs-
anlage 
[Nr]</v>
          </cell>
          <cell r="K6" t="str">
            <v>Kälte-leistung [kW]</v>
          </cell>
          <cell r="L6" t="str">
            <v>Kälte-energie-bedarf [MWh/a]</v>
          </cell>
          <cell r="M6" t="str">
            <v>Arbeitszahl Kälte-erzeugung 
[]</v>
          </cell>
          <cell r="N6" t="str">
            <v>El. Leistung [kW]</v>
          </cell>
          <cell r="O6" t="str">
            <v>Vollast-stunden [h/a]</v>
          </cell>
          <cell r="P6" t="str">
            <v>Energie-
verbrauch [MWh/a]</v>
          </cell>
        </row>
        <row r="7">
          <cell r="A7" t="str">
            <v>Default</v>
          </cell>
          <cell r="B7">
            <v>0</v>
          </cell>
          <cell r="C7">
            <v>0</v>
          </cell>
          <cell r="D7">
            <v>50</v>
          </cell>
          <cell r="E7">
            <v>0</v>
          </cell>
          <cell r="F7">
            <v>0</v>
          </cell>
          <cell r="G7">
            <v>0</v>
          </cell>
          <cell r="J7" t="str">
            <v>Default</v>
          </cell>
          <cell r="K7">
            <v>0</v>
          </cell>
          <cell r="L7">
            <v>0</v>
          </cell>
          <cell r="N7"/>
          <cell r="O7"/>
          <cell r="P7"/>
          <cell r="AC7">
            <v>0</v>
          </cell>
          <cell r="AD7">
            <v>0</v>
          </cell>
        </row>
        <row r="8">
          <cell r="A8" t="str">
            <v>Formel</v>
          </cell>
          <cell r="B8">
            <v>0</v>
          </cell>
          <cell r="E8">
            <v>0</v>
          </cell>
          <cell r="F8">
            <v>0</v>
          </cell>
          <cell r="G8">
            <v>0</v>
          </cell>
          <cell r="K8">
            <v>0</v>
          </cell>
          <cell r="L8">
            <v>0</v>
          </cell>
          <cell r="N8"/>
          <cell r="O8"/>
          <cell r="P8">
            <v>0</v>
          </cell>
          <cell r="AC8">
            <v>0</v>
          </cell>
          <cell r="AD8">
            <v>0</v>
          </cell>
        </row>
        <row r="9">
          <cell r="A9" t="str">
            <v>R1</v>
          </cell>
          <cell r="B9">
            <v>19219.304761904765</v>
          </cell>
          <cell r="C9">
            <v>60</v>
          </cell>
          <cell r="D9">
            <v>50</v>
          </cell>
          <cell r="E9">
            <v>61.395001322751327</v>
          </cell>
          <cell r="F9">
            <v>8.5953001851851862</v>
          </cell>
          <cell r="G9">
            <v>0.52701244896426414</v>
          </cell>
          <cell r="H9" t="str">
            <v>KE01</v>
          </cell>
          <cell r="J9" t="str">
            <v>KE01</v>
          </cell>
          <cell r="K9">
            <v>61.395001322751327</v>
          </cell>
          <cell r="L9">
            <v>9.1223126341494503</v>
          </cell>
          <cell r="M9">
            <v>2.5</v>
          </cell>
          <cell r="N9">
            <v>24.558000529100532</v>
          </cell>
          <cell r="O9">
            <v>148.58396347601294</v>
          </cell>
          <cell r="P9">
            <v>3.6489250536597799</v>
          </cell>
          <cell r="AC9" t="e">
            <v>#N/A</v>
          </cell>
          <cell r="AD9" t="e">
            <v>#N/A</v>
          </cell>
        </row>
        <row r="10">
          <cell r="B10">
            <v>0</v>
          </cell>
          <cell r="E10">
            <v>0</v>
          </cell>
          <cell r="F10">
            <v>0</v>
          </cell>
          <cell r="G10">
            <v>0</v>
          </cell>
          <cell r="K10">
            <v>0</v>
          </cell>
          <cell r="L10">
            <v>0</v>
          </cell>
          <cell r="N10"/>
          <cell r="O10"/>
          <cell r="P10">
            <v>0</v>
          </cell>
          <cell r="AC10">
            <v>0</v>
          </cell>
          <cell r="AD10">
            <v>0</v>
          </cell>
        </row>
        <row r="11">
          <cell r="B11">
            <v>0</v>
          </cell>
          <cell r="E11">
            <v>0</v>
          </cell>
          <cell r="F11">
            <v>0</v>
          </cell>
          <cell r="G11">
            <v>0</v>
          </cell>
          <cell r="K11">
            <v>0</v>
          </cell>
          <cell r="L11">
            <v>0</v>
          </cell>
          <cell r="N11"/>
          <cell r="O11"/>
          <cell r="P11">
            <v>0</v>
          </cell>
          <cell r="AC11">
            <v>0</v>
          </cell>
          <cell r="AD11">
            <v>0</v>
          </cell>
        </row>
        <row r="12">
          <cell r="B12">
            <v>0</v>
          </cell>
          <cell r="E12">
            <v>0</v>
          </cell>
          <cell r="F12">
            <v>0</v>
          </cell>
          <cell r="G12">
            <v>0</v>
          </cell>
          <cell r="K12">
            <v>0</v>
          </cell>
          <cell r="L12">
            <v>0</v>
          </cell>
          <cell r="N12"/>
          <cell r="O12"/>
          <cell r="P12">
            <v>0</v>
          </cell>
          <cell r="AC12">
            <v>0</v>
          </cell>
          <cell r="AD12">
            <v>0</v>
          </cell>
        </row>
        <row r="13">
          <cell r="B13">
            <v>0</v>
          </cell>
          <cell r="E13">
            <v>0</v>
          </cell>
          <cell r="F13">
            <v>0</v>
          </cell>
          <cell r="G13">
            <v>0</v>
          </cell>
          <cell r="K13">
            <v>0</v>
          </cell>
          <cell r="L13">
            <v>0</v>
          </cell>
          <cell r="N13"/>
          <cell r="O13"/>
          <cell r="P13">
            <v>0</v>
          </cell>
          <cell r="AC13">
            <v>0</v>
          </cell>
          <cell r="AD13">
            <v>0</v>
          </cell>
        </row>
        <row r="14">
          <cell r="B14">
            <v>0</v>
          </cell>
          <cell r="E14">
            <v>0</v>
          </cell>
          <cell r="F14">
            <v>0</v>
          </cell>
          <cell r="G14">
            <v>0</v>
          </cell>
          <cell r="K14">
            <v>0</v>
          </cell>
          <cell r="L14">
            <v>0</v>
          </cell>
          <cell r="N14"/>
          <cell r="O14"/>
          <cell r="P14">
            <v>0</v>
          </cell>
          <cell r="AC14">
            <v>0</v>
          </cell>
          <cell r="AD14">
            <v>0</v>
          </cell>
        </row>
        <row r="15">
          <cell r="B15">
            <v>0</v>
          </cell>
          <cell r="E15">
            <v>0</v>
          </cell>
          <cell r="F15">
            <v>0</v>
          </cell>
          <cell r="G15">
            <v>0</v>
          </cell>
          <cell r="K15">
            <v>0</v>
          </cell>
          <cell r="L15">
            <v>0</v>
          </cell>
          <cell r="N15"/>
          <cell r="O15"/>
          <cell r="P15">
            <v>0</v>
          </cell>
          <cell r="AC15">
            <v>0</v>
          </cell>
          <cell r="AD15">
            <v>0</v>
          </cell>
        </row>
        <row r="16">
          <cell r="B16">
            <v>0</v>
          </cell>
          <cell r="E16">
            <v>0</v>
          </cell>
          <cell r="F16">
            <v>0</v>
          </cell>
          <cell r="G16">
            <v>0</v>
          </cell>
          <cell r="K16">
            <v>0</v>
          </cell>
          <cell r="L16">
            <v>0</v>
          </cell>
          <cell r="N16"/>
          <cell r="O16"/>
          <cell r="P16">
            <v>0</v>
          </cell>
          <cell r="AC16">
            <v>0</v>
          </cell>
          <cell r="AD16">
            <v>0</v>
          </cell>
        </row>
        <row r="17">
          <cell r="B17">
            <v>0</v>
          </cell>
          <cell r="E17">
            <v>0</v>
          </cell>
          <cell r="F17">
            <v>0</v>
          </cell>
          <cell r="G17">
            <v>0</v>
          </cell>
          <cell r="K17">
            <v>0</v>
          </cell>
          <cell r="L17">
            <v>0</v>
          </cell>
          <cell r="N17"/>
          <cell r="O17"/>
          <cell r="P17">
            <v>0</v>
          </cell>
          <cell r="AC17">
            <v>0</v>
          </cell>
          <cell r="AD17">
            <v>0</v>
          </cell>
        </row>
        <row r="18">
          <cell r="B18">
            <v>0</v>
          </cell>
          <cell r="E18">
            <v>0</v>
          </cell>
          <cell r="F18">
            <v>0</v>
          </cell>
          <cell r="G18">
            <v>0</v>
          </cell>
          <cell r="K18">
            <v>0</v>
          </cell>
          <cell r="L18">
            <v>0</v>
          </cell>
          <cell r="N18"/>
          <cell r="O18"/>
          <cell r="P18">
            <v>0</v>
          </cell>
          <cell r="AC18">
            <v>0</v>
          </cell>
          <cell r="AD18">
            <v>0</v>
          </cell>
        </row>
        <row r="19">
          <cell r="B19">
            <v>0</v>
          </cell>
          <cell r="E19">
            <v>0</v>
          </cell>
          <cell r="F19">
            <v>0</v>
          </cell>
          <cell r="G19">
            <v>0</v>
          </cell>
          <cell r="K19">
            <v>0</v>
          </cell>
          <cell r="L19">
            <v>0</v>
          </cell>
          <cell r="N19"/>
          <cell r="O19"/>
          <cell r="P19">
            <v>0</v>
          </cell>
          <cell r="AC19">
            <v>0</v>
          </cell>
          <cell r="AD19">
            <v>0</v>
          </cell>
        </row>
        <row r="20">
          <cell r="B20">
            <v>0</v>
          </cell>
          <cell r="E20">
            <v>0</v>
          </cell>
          <cell r="F20">
            <v>0</v>
          </cell>
          <cell r="G20">
            <v>0</v>
          </cell>
          <cell r="K20">
            <v>0</v>
          </cell>
          <cell r="L20">
            <v>0</v>
          </cell>
          <cell r="N20"/>
          <cell r="O20"/>
          <cell r="P20">
            <v>0</v>
          </cell>
          <cell r="AC20">
            <v>0</v>
          </cell>
          <cell r="AD20">
            <v>0</v>
          </cell>
        </row>
        <row r="21">
          <cell r="B21">
            <v>0</v>
          </cell>
          <cell r="E21">
            <v>0</v>
          </cell>
          <cell r="F21">
            <v>0</v>
          </cell>
          <cell r="G21">
            <v>0</v>
          </cell>
          <cell r="K21">
            <v>0</v>
          </cell>
          <cell r="L21">
            <v>0</v>
          </cell>
          <cell r="N21"/>
          <cell r="O21"/>
          <cell r="P21">
            <v>0</v>
          </cell>
          <cell r="AC21">
            <v>0</v>
          </cell>
          <cell r="AD21">
            <v>0</v>
          </cell>
        </row>
        <row r="22">
          <cell r="B22">
            <v>0</v>
          </cell>
          <cell r="E22">
            <v>0</v>
          </cell>
          <cell r="F22">
            <v>0</v>
          </cell>
          <cell r="G22">
            <v>0</v>
          </cell>
          <cell r="K22">
            <v>0</v>
          </cell>
          <cell r="L22">
            <v>0</v>
          </cell>
          <cell r="N22"/>
          <cell r="O22"/>
          <cell r="P22">
            <v>0</v>
          </cell>
          <cell r="AC22">
            <v>0</v>
          </cell>
          <cell r="AD22">
            <v>0</v>
          </cell>
        </row>
        <row r="23">
          <cell r="B23">
            <v>0</v>
          </cell>
          <cell r="E23">
            <v>0</v>
          </cell>
          <cell r="F23">
            <v>0</v>
          </cell>
          <cell r="G23">
            <v>0</v>
          </cell>
          <cell r="K23">
            <v>0</v>
          </cell>
          <cell r="L23">
            <v>0</v>
          </cell>
          <cell r="N23"/>
          <cell r="O23"/>
          <cell r="P23">
            <v>0</v>
          </cell>
          <cell r="AC23">
            <v>0</v>
          </cell>
          <cell r="AD23">
            <v>0</v>
          </cell>
        </row>
        <row r="24">
          <cell r="B24">
            <v>0</v>
          </cell>
          <cell r="E24">
            <v>0</v>
          </cell>
          <cell r="F24">
            <v>0</v>
          </cell>
          <cell r="G24">
            <v>0</v>
          </cell>
          <cell r="K24">
            <v>0</v>
          </cell>
          <cell r="L24">
            <v>0</v>
          </cell>
          <cell r="N24"/>
          <cell r="O24"/>
          <cell r="P24">
            <v>0</v>
          </cell>
          <cell r="AC24">
            <v>0</v>
          </cell>
          <cell r="AD24">
            <v>0</v>
          </cell>
        </row>
        <row r="25">
          <cell r="B25">
            <v>0</v>
          </cell>
          <cell r="E25">
            <v>0</v>
          </cell>
          <cell r="F25">
            <v>0</v>
          </cell>
          <cell r="G25">
            <v>0</v>
          </cell>
          <cell r="K25">
            <v>0</v>
          </cell>
          <cell r="L25">
            <v>0</v>
          </cell>
          <cell r="N25"/>
          <cell r="O25"/>
          <cell r="P25">
            <v>0</v>
          </cell>
          <cell r="AC25">
            <v>0</v>
          </cell>
          <cell r="AD25">
            <v>0</v>
          </cell>
        </row>
        <row r="26">
          <cell r="B26">
            <v>0</v>
          </cell>
          <cell r="E26">
            <v>0</v>
          </cell>
          <cell r="F26">
            <v>0</v>
          </cell>
          <cell r="G26">
            <v>0</v>
          </cell>
          <cell r="K26">
            <v>0</v>
          </cell>
          <cell r="L26">
            <v>0</v>
          </cell>
          <cell r="N26"/>
          <cell r="O26"/>
          <cell r="P26">
            <v>0</v>
          </cell>
          <cell r="AC26">
            <v>0</v>
          </cell>
          <cell r="AD26">
            <v>0</v>
          </cell>
        </row>
        <row r="27">
          <cell r="B27">
            <v>0</v>
          </cell>
          <cell r="E27">
            <v>0</v>
          </cell>
          <cell r="F27">
            <v>0</v>
          </cell>
          <cell r="G27">
            <v>0</v>
          </cell>
          <cell r="K27">
            <v>0</v>
          </cell>
          <cell r="L27">
            <v>0</v>
          </cell>
          <cell r="N27"/>
          <cell r="O27"/>
          <cell r="P27">
            <v>0</v>
          </cell>
          <cell r="AC27">
            <v>0</v>
          </cell>
          <cell r="AD27">
            <v>0</v>
          </cell>
        </row>
        <row r="28">
          <cell r="B28">
            <v>0</v>
          </cell>
          <cell r="E28">
            <v>0</v>
          </cell>
          <cell r="F28">
            <v>0</v>
          </cell>
          <cell r="G28">
            <v>0</v>
          </cell>
          <cell r="K28">
            <v>0</v>
          </cell>
          <cell r="L28">
            <v>0</v>
          </cell>
          <cell r="N28"/>
          <cell r="O28"/>
          <cell r="P28">
            <v>0</v>
          </cell>
          <cell r="AC28">
            <v>0</v>
          </cell>
          <cell r="AD28">
            <v>0</v>
          </cell>
        </row>
        <row r="29">
          <cell r="B29">
            <v>0</v>
          </cell>
          <cell r="E29">
            <v>0</v>
          </cell>
          <cell r="F29">
            <v>0</v>
          </cell>
          <cell r="G29">
            <v>0</v>
          </cell>
          <cell r="K29">
            <v>0</v>
          </cell>
          <cell r="L29">
            <v>0</v>
          </cell>
          <cell r="N29"/>
          <cell r="O29"/>
          <cell r="P29">
            <v>0</v>
          </cell>
          <cell r="AC29">
            <v>0</v>
          </cell>
          <cell r="AD29">
            <v>0</v>
          </cell>
        </row>
        <row r="30">
          <cell r="B30">
            <v>0</v>
          </cell>
          <cell r="E30">
            <v>0</v>
          </cell>
          <cell r="F30">
            <v>0</v>
          </cell>
          <cell r="G30">
            <v>0</v>
          </cell>
          <cell r="K30">
            <v>0</v>
          </cell>
          <cell r="L30">
            <v>0</v>
          </cell>
          <cell r="N30"/>
          <cell r="O30"/>
          <cell r="P30">
            <v>0</v>
          </cell>
          <cell r="AC30">
            <v>0</v>
          </cell>
          <cell r="AD30">
            <v>0</v>
          </cell>
        </row>
        <row r="31">
          <cell r="B31">
            <v>0</v>
          </cell>
          <cell r="E31">
            <v>0</v>
          </cell>
          <cell r="F31">
            <v>0</v>
          </cell>
          <cell r="G31">
            <v>0</v>
          </cell>
          <cell r="K31">
            <v>0</v>
          </cell>
          <cell r="L31">
            <v>0</v>
          </cell>
          <cell r="N31"/>
          <cell r="O31"/>
          <cell r="P31">
            <v>0</v>
          </cell>
          <cell r="AC31">
            <v>0</v>
          </cell>
          <cell r="AD31">
            <v>0</v>
          </cell>
        </row>
        <row r="32">
          <cell r="B32">
            <v>0</v>
          </cell>
          <cell r="E32">
            <v>0</v>
          </cell>
          <cell r="F32">
            <v>0</v>
          </cell>
          <cell r="G32">
            <v>0</v>
          </cell>
          <cell r="K32">
            <v>0</v>
          </cell>
          <cell r="L32">
            <v>0</v>
          </cell>
          <cell r="N32"/>
          <cell r="O32"/>
          <cell r="P32">
            <v>0</v>
          </cell>
          <cell r="AC32">
            <v>0</v>
          </cell>
          <cell r="AD32">
            <v>0</v>
          </cell>
        </row>
        <row r="33">
          <cell r="A33" t="str">
            <v>Total</v>
          </cell>
          <cell r="B33">
            <v>0</v>
          </cell>
          <cell r="E33">
            <v>61.395001322751327</v>
          </cell>
          <cell r="F33">
            <v>8.5953001851851862</v>
          </cell>
          <cell r="G33">
            <v>0.52701244896426414</v>
          </cell>
          <cell r="K33">
            <v>61.395001322751327</v>
          </cell>
          <cell r="L33">
            <v>9.1223126341494503</v>
          </cell>
          <cell r="M33">
            <v>2.5</v>
          </cell>
          <cell r="N33">
            <v>24.558000529100532</v>
          </cell>
          <cell r="O33">
            <v>150</v>
          </cell>
          <cell r="P33">
            <v>3.6489250536597799</v>
          </cell>
        </row>
      </sheetData>
      <sheetData sheetId="12"/>
      <sheetData sheetId="13">
        <row r="3">
          <cell r="AR3" t="str">
            <v>[x]</v>
          </cell>
          <cell r="AS3" t="str">
            <v>W/m²</v>
          </cell>
          <cell r="AT3" t="str">
            <v>W/m²</v>
          </cell>
          <cell r="AU3" t="str">
            <v>W/m²</v>
          </cell>
          <cell r="AV3" t="str">
            <v>kWh/m²a</v>
          </cell>
          <cell r="AW3" t="str">
            <v>kWh/m²a</v>
          </cell>
          <cell r="AX3" t="str">
            <v>h/a</v>
          </cell>
          <cell r="AY3" t="str">
            <v>h/a</v>
          </cell>
        </row>
        <row r="40">
          <cell r="M40" t="str">
            <v>DOE Variante</v>
          </cell>
          <cell r="O40">
            <v>33</v>
          </cell>
        </row>
        <row r="44">
          <cell r="M44" t="str">
            <v>Orientierung [n,e,s,w]</v>
          </cell>
          <cell r="O44" t="str">
            <v>nw</v>
          </cell>
          <cell r="R44" t="str">
            <v>sw</v>
          </cell>
          <cell r="S44">
            <v>6</v>
          </cell>
        </row>
        <row r="46">
          <cell r="M46" t="str">
            <v>Eckfassade [x]</v>
          </cell>
          <cell r="O46" t="str">
            <v>x</v>
          </cell>
          <cell r="R46">
            <v>0</v>
          </cell>
          <cell r="S46">
            <v>2</v>
          </cell>
        </row>
        <row r="48">
          <cell r="M48" t="str">
            <v>Fassadenlänge</v>
          </cell>
          <cell r="O48">
            <v>6</v>
          </cell>
          <cell r="P48" t="str">
            <v>m</v>
          </cell>
          <cell r="S48">
            <v>12</v>
          </cell>
        </row>
        <row r="50">
          <cell r="M50" t="str">
            <v>Raumtiefe</v>
          </cell>
          <cell r="O50">
            <v>6</v>
          </cell>
          <cell r="P50" t="str">
            <v>m</v>
          </cell>
          <cell r="S50">
            <v>12</v>
          </cell>
        </row>
        <row r="52">
          <cell r="M52" t="str">
            <v>Raumhöhe</v>
          </cell>
          <cell r="O52">
            <v>3</v>
          </cell>
          <cell r="P52" t="str">
            <v>m</v>
          </cell>
          <cell r="S52">
            <v>29</v>
          </cell>
        </row>
        <row r="54">
          <cell r="M54" t="str">
            <v>Fensterflächenanteil</v>
          </cell>
          <cell r="O54">
            <v>100</v>
          </cell>
          <cell r="P54" t="str">
            <v>%</v>
          </cell>
          <cell r="S54">
            <v>50</v>
          </cell>
        </row>
        <row r="56">
          <cell r="E56" t="str">
            <v>Max. Wärmelast (Design Day)</v>
          </cell>
          <cell r="F56">
            <v>105.26404280000001</v>
          </cell>
          <cell r="G56" t="str">
            <v>W/m²</v>
          </cell>
          <cell r="I56" t="str">
            <v>Nachtlüftung ca.</v>
          </cell>
          <cell r="J56">
            <v>0</v>
          </cell>
          <cell r="K56" t="str">
            <v>h/a</v>
          </cell>
          <cell r="M56" t="str">
            <v xml:space="preserve">g-Wert Sonnenschutz </v>
          </cell>
          <cell r="O56">
            <v>0.3</v>
          </cell>
          <cell r="P56" t="str">
            <v>-</v>
          </cell>
          <cell r="S56">
            <v>5</v>
          </cell>
        </row>
        <row r="57">
          <cell r="E57" t="str">
            <v>Wärmeergie (Design Day)</v>
          </cell>
          <cell r="F57">
            <v>740</v>
          </cell>
          <cell r="G57" t="str">
            <v>Wh/m²d</v>
          </cell>
        </row>
        <row r="58">
          <cell r="M58" t="str">
            <v xml:space="preserve">u-Wert Fenster </v>
          </cell>
          <cell r="O58">
            <v>1.3</v>
          </cell>
          <cell r="P58" t="str">
            <v>W/(m²*K)</v>
          </cell>
          <cell r="S58">
            <v>37</v>
          </cell>
        </row>
        <row r="59">
          <cell r="E59" t="str">
            <v>Kühlleistungsbedarf Luftkühlung</v>
          </cell>
          <cell r="F59">
            <v>81.875045971080013</v>
          </cell>
          <cell r="G59" t="str">
            <v>W/m²</v>
          </cell>
          <cell r="I59" t="str">
            <v>Kühlenergiebedarf Luftkühlung</v>
          </cell>
          <cell r="J59">
            <v>33.991938008766432</v>
          </cell>
          <cell r="K59" t="str">
            <v>kWh/m²a</v>
          </cell>
        </row>
        <row r="60">
          <cell r="E60" t="str">
            <v>Kühlleistungsbedarf Wasserkühlung</v>
          </cell>
          <cell r="F60">
            <v>0</v>
          </cell>
          <cell r="G60" t="str">
            <v>W/m²</v>
          </cell>
          <cell r="I60" t="str">
            <v>Kühlenergiebedarf Wasserkühlung</v>
          </cell>
          <cell r="J60">
            <v>0</v>
          </cell>
          <cell r="K60" t="str">
            <v>kWh/m²a</v>
          </cell>
          <cell r="M60" t="str">
            <v>Wärmekapazität</v>
          </cell>
          <cell r="O60">
            <v>50</v>
          </cell>
          <cell r="P60" t="str">
            <v>Wh/(m²*K)</v>
          </cell>
          <cell r="S60">
            <v>200</v>
          </cell>
        </row>
        <row r="61">
          <cell r="E61" t="str">
            <v>Total Kühlleistungsbedarf</v>
          </cell>
          <cell r="F61">
            <v>81.875045971080013</v>
          </cell>
          <cell r="G61" t="str">
            <v>W/m²</v>
          </cell>
          <cell r="I61" t="str">
            <v>Total Kühlenergiebedarf</v>
          </cell>
          <cell r="J61">
            <v>33.991938008766432</v>
          </cell>
          <cell r="K61" t="str">
            <v>kWh/m²a</v>
          </cell>
        </row>
        <row r="62">
          <cell r="M62" t="str">
            <v>Sollwert [1=26/21°C;2=26°C]</v>
          </cell>
          <cell r="O62">
            <v>2</v>
          </cell>
          <cell r="S62">
            <v>2</v>
          </cell>
        </row>
        <row r="65">
          <cell r="G65" t="str">
            <v>Etool 380/4</v>
          </cell>
          <cell r="I65" t="str">
            <v>DOE 2.0</v>
          </cell>
          <cell r="K65" t="str">
            <v>CSTB</v>
          </cell>
        </row>
        <row r="66">
          <cell r="E66" t="str">
            <v>Max. aufsummierte Kühllast</v>
          </cell>
          <cell r="G66">
            <v>105.26404280000001</v>
          </cell>
        </row>
        <row r="67">
          <cell r="E67" t="str">
            <v>Kühlleistungsbedarf</v>
          </cell>
          <cell r="F67" t="str">
            <v>W/m2</v>
          </cell>
          <cell r="G67">
            <v>81.875045971080013</v>
          </cell>
          <cell r="I67">
            <v>79.176083333333338</v>
          </cell>
          <cell r="K67">
            <v>80.394773792753142</v>
          </cell>
        </row>
        <row r="68">
          <cell r="E68" t="str">
            <v>Kühlenergiebedarf</v>
          </cell>
          <cell r="F68" t="str">
            <v>kWh/m2</v>
          </cell>
          <cell r="G68">
            <v>33.991938008766432</v>
          </cell>
          <cell r="I68">
            <v>33.26430555555558</v>
          </cell>
          <cell r="K68">
            <v>45.502838303269044</v>
          </cell>
        </row>
        <row r="69">
          <cell r="E69" t="str">
            <v>Statisch aufsummierte Heizlast</v>
          </cell>
        </row>
        <row r="70">
          <cell r="E70" t="str">
            <v>Heizleistungsbedarf</v>
          </cell>
          <cell r="F70" t="str">
            <v>W/m2</v>
          </cell>
          <cell r="G70">
            <v>42</v>
          </cell>
          <cell r="I70">
            <v>50.861111111111114</v>
          </cell>
          <cell r="K70">
            <v>48.525727086549139</v>
          </cell>
        </row>
        <row r="71">
          <cell r="E71" t="str">
            <v>Heizenergiebedarf</v>
          </cell>
          <cell r="F71" t="str">
            <v>kWh/m2</v>
          </cell>
          <cell r="G71">
            <v>50.272864746399499</v>
          </cell>
          <cell r="I71">
            <v>54.216999999999949</v>
          </cell>
          <cell r="K71">
            <v>52.332807150495391</v>
          </cell>
        </row>
      </sheetData>
      <sheetData sheetId="14"/>
      <sheetData sheetId="15">
        <row r="5">
          <cell r="A5" t="str">
            <v>Nutzungen</v>
          </cell>
          <cell r="C5" t="str">
            <v>Raumabmessungen</v>
          </cell>
          <cell r="G5" t="str">
            <v>Pers.belegung</v>
          </cell>
          <cell r="J5" t="str">
            <v>Gleichzeitigkeit Personenbelegung</v>
          </cell>
          <cell r="AJ5" t="str">
            <v>Gleichzeitigkeit Gerätebenutzung</v>
          </cell>
          <cell r="BH5" t="str">
            <v>Jahresgleichzeitigkeit</v>
          </cell>
          <cell r="DH5" t="str">
            <v>Frischluftbedarf</v>
          </cell>
          <cell r="DN5" t="str">
            <v>Vollaststd. Lüftung</v>
          </cell>
          <cell r="DR5" t="str">
            <v>Druckverlust Lüftung</v>
          </cell>
          <cell r="DX5" t="str">
            <v>Grenzwert Lüftung</v>
          </cell>
          <cell r="EF5" t="str">
            <v>Zielwert Lüftung</v>
          </cell>
          <cell r="EQ5" t="str">
            <v>Bauweise</v>
          </cell>
          <cell r="FD5" t="str">
            <v>Wärmelasten intern</v>
          </cell>
          <cell r="FM5" t="str">
            <v>Defaultwerte</v>
          </cell>
          <cell r="FU5" t="str">
            <v>Kühlleistungsbedarf gemäss Simulation</v>
          </cell>
        </row>
        <row r="6">
          <cell r="G6" t="str">
            <v xml:space="preserve">GW, ZW </v>
          </cell>
          <cell r="DR6" t="str">
            <v>Grenzwert</v>
          </cell>
          <cell r="DU6" t="str">
            <v>Zielwert</v>
          </cell>
          <cell r="ER6" t="str">
            <v>leichte Bauweise</v>
          </cell>
          <cell r="EV6" t="str">
            <v>mittlere Bauweise 
(Grenzwert)</v>
          </cell>
          <cell r="EZ6" t="str">
            <v>schwere Bauweise
(Zielwert)</v>
          </cell>
          <cell r="FD6" t="str">
            <v>tiefe 
Wärmelast</v>
          </cell>
          <cell r="FG6" t="str">
            <v>mittlere 
Wärmelast</v>
          </cell>
          <cell r="FJ6" t="str">
            <v>hohe 
Wärmelast</v>
          </cell>
        </row>
        <row r="7">
          <cell r="C7" t="str">
            <v>Raumhöhe [m]</v>
          </cell>
          <cell r="D7" t="str">
            <v>Raumlänge [m]</v>
          </cell>
          <cell r="E7" t="str">
            <v>Raumtiefe [m]</v>
          </cell>
          <cell r="F7" t="str">
            <v>Boden Fläche [m²]</v>
          </cell>
          <cell r="G7" t="str">
            <v>Belegungsdichte tief [m²/P]</v>
          </cell>
          <cell r="H7" t="str">
            <v>Belegungsdichte mittel[m²/P]</v>
          </cell>
          <cell r="I7" t="str">
            <v>Belegungsdichte hoch[m²/P]</v>
          </cell>
          <cell r="J7" t="str">
            <v>Jahrestag [d/a]</v>
          </cell>
          <cell r="K7" t="str">
            <v>Jahresgleichzeitigkeit [-]</v>
          </cell>
          <cell r="L7" t="str">
            <v>1. [h]</v>
          </cell>
          <cell r="M7" t="str">
            <v>2. [h]</v>
          </cell>
          <cell r="N7" t="str">
            <v>3. [h]</v>
          </cell>
          <cell r="O7" t="str">
            <v>4. [h]</v>
          </cell>
          <cell r="P7" t="str">
            <v>5. [h]</v>
          </cell>
          <cell r="Q7" t="str">
            <v>6. [h]</v>
          </cell>
          <cell r="R7" t="str">
            <v>7. [h]</v>
          </cell>
          <cell r="S7" t="str">
            <v>8. [h]</v>
          </cell>
          <cell r="T7" t="str">
            <v>9. [h]</v>
          </cell>
          <cell r="U7" t="str">
            <v>10. [h]</v>
          </cell>
          <cell r="V7" t="str">
            <v>11. [h]</v>
          </cell>
          <cell r="W7" t="str">
            <v>12. [h]</v>
          </cell>
          <cell r="X7" t="str">
            <v>13. [h]</v>
          </cell>
          <cell r="Y7" t="str">
            <v>14. [h]</v>
          </cell>
          <cell r="Z7" t="str">
            <v>15. [h]</v>
          </cell>
          <cell r="AA7" t="str">
            <v>16. [h]</v>
          </cell>
          <cell r="AB7" t="str">
            <v>17. [h]</v>
          </cell>
          <cell r="AC7" t="str">
            <v>18. [h]</v>
          </cell>
          <cell r="AD7" t="str">
            <v>19. [h]</v>
          </cell>
          <cell r="AE7" t="str">
            <v>20. [h]</v>
          </cell>
          <cell r="AF7" t="str">
            <v>21. [h]</v>
          </cell>
          <cell r="AG7" t="str">
            <v>22. [h]</v>
          </cell>
          <cell r="AH7" t="str">
            <v>23. [h]</v>
          </cell>
          <cell r="AI7" t="str">
            <v>24. [h]</v>
          </cell>
          <cell r="AJ7" t="str">
            <v>1. [h]</v>
          </cell>
          <cell r="AK7" t="str">
            <v>2. [h]</v>
          </cell>
          <cell r="AL7" t="str">
            <v>3. [h]</v>
          </cell>
          <cell r="AM7" t="str">
            <v>4. [h]</v>
          </cell>
          <cell r="AN7" t="str">
            <v>5. [h]</v>
          </cell>
          <cell r="AO7" t="str">
            <v>6. [h]</v>
          </cell>
          <cell r="AP7" t="str">
            <v>7. [h]</v>
          </cell>
          <cell r="AQ7" t="str">
            <v>8. [h]</v>
          </cell>
          <cell r="AR7" t="str">
            <v>9. [h]</v>
          </cell>
          <cell r="AS7" t="str">
            <v>10. [h]</v>
          </cell>
          <cell r="AT7" t="str">
            <v>11. [h]</v>
          </cell>
          <cell r="AU7" t="str">
            <v>12. [h]</v>
          </cell>
          <cell r="AV7" t="str">
            <v>13. [h]</v>
          </cell>
          <cell r="AW7" t="str">
            <v>14. [h]</v>
          </cell>
          <cell r="AX7" t="str">
            <v>15. [h]</v>
          </cell>
          <cell r="AY7" t="str">
            <v>16. [h]</v>
          </cell>
          <cell r="AZ7" t="str">
            <v>17. [h]</v>
          </cell>
          <cell r="BA7" t="str">
            <v>18. [h]</v>
          </cell>
          <cell r="BB7" t="str">
            <v>19. [h]</v>
          </cell>
          <cell r="BC7" t="str">
            <v>20. [h]</v>
          </cell>
          <cell r="BD7" t="str">
            <v>21. [h]</v>
          </cell>
          <cell r="BE7" t="str">
            <v>22. [h]</v>
          </cell>
          <cell r="BF7" t="str">
            <v>23. [h]</v>
          </cell>
          <cell r="BG7" t="str">
            <v>24. [h]</v>
          </cell>
          <cell r="BH7" t="str">
            <v>1. [w]</v>
          </cell>
          <cell r="BI7" t="str">
            <v>2. [w]</v>
          </cell>
          <cell r="BJ7" t="str">
            <v>3. [w]</v>
          </cell>
          <cell r="BK7" t="str">
            <v>4. [w]</v>
          </cell>
          <cell r="BL7" t="str">
            <v>5. [w]</v>
          </cell>
          <cell r="BM7" t="str">
            <v>6. [w]</v>
          </cell>
          <cell r="BN7" t="str">
            <v>7. [w]</v>
          </cell>
          <cell r="BO7" t="str">
            <v>8. [w]</v>
          </cell>
          <cell r="BP7" t="str">
            <v>9. [w]</v>
          </cell>
          <cell r="BQ7" t="str">
            <v>10. [w]</v>
          </cell>
          <cell r="BR7" t="str">
            <v>11. [w]</v>
          </cell>
          <cell r="BS7" t="str">
            <v>12. [w]</v>
          </cell>
          <cell r="BT7" t="str">
            <v>13. [w]</v>
          </cell>
          <cell r="BU7" t="str">
            <v>14. [w]</v>
          </cell>
          <cell r="BV7" t="str">
            <v>15. [w]</v>
          </cell>
          <cell r="BW7" t="str">
            <v>16. [w]</v>
          </cell>
          <cell r="BX7" t="str">
            <v>17. [w]</v>
          </cell>
          <cell r="BY7" t="str">
            <v>18. [w]</v>
          </cell>
          <cell r="BZ7" t="str">
            <v>19. [w]</v>
          </cell>
          <cell r="CA7" t="str">
            <v>20. [w]</v>
          </cell>
          <cell r="CB7" t="str">
            <v>21. [w]</v>
          </cell>
          <cell r="CC7" t="str">
            <v>22. [w]</v>
          </cell>
          <cell r="CD7" t="str">
            <v>23. [w]</v>
          </cell>
          <cell r="CE7" t="str">
            <v>24. [w]</v>
          </cell>
          <cell r="CF7" t="str">
            <v>25. [w]</v>
          </cell>
          <cell r="CG7" t="str">
            <v>26. [w]</v>
          </cell>
          <cell r="CH7" t="str">
            <v>27. [w]</v>
          </cell>
          <cell r="CI7" t="str">
            <v>28. [w]</v>
          </cell>
          <cell r="CJ7" t="str">
            <v>29. [w]</v>
          </cell>
          <cell r="CK7" t="str">
            <v>30. [w]</v>
          </cell>
          <cell r="CL7" t="str">
            <v>31. [w]</v>
          </cell>
          <cell r="CM7" t="str">
            <v>32. [w]</v>
          </cell>
          <cell r="CN7" t="str">
            <v>33. [w]</v>
          </cell>
          <cell r="CO7" t="str">
            <v>34. [w]</v>
          </cell>
          <cell r="CP7" t="str">
            <v>35. [w]</v>
          </cell>
          <cell r="CQ7" t="str">
            <v>36. [w]</v>
          </cell>
          <cell r="CR7" t="str">
            <v>37. [w]</v>
          </cell>
          <cell r="CS7" t="str">
            <v>38. [w]</v>
          </cell>
          <cell r="CT7" t="str">
            <v>39. [w]</v>
          </cell>
          <cell r="CU7" t="str">
            <v>40. [w]</v>
          </cell>
          <cell r="CV7" t="str">
            <v>41. [w]</v>
          </cell>
          <cell r="CW7" t="str">
            <v>42. [w]</v>
          </cell>
          <cell r="CX7" t="str">
            <v>43. [w]</v>
          </cell>
          <cell r="CY7" t="str">
            <v>44. [w]</v>
          </cell>
          <cell r="CZ7" t="str">
            <v>45. [w]</v>
          </cell>
          <cell r="DA7" t="str">
            <v>46. [w]</v>
          </cell>
          <cell r="DB7" t="str">
            <v>47. [w]</v>
          </cell>
          <cell r="DC7" t="str">
            <v>48. [w]</v>
          </cell>
          <cell r="DD7" t="str">
            <v>49. [w]</v>
          </cell>
          <cell r="DE7" t="str">
            <v>50. [w]</v>
          </cell>
          <cell r="DF7" t="str">
            <v>51. [w]</v>
          </cell>
          <cell r="DG7" t="str">
            <v>52. [w]</v>
          </cell>
          <cell r="DH7" t="str">
            <v>kurzzeitige Belegungsdauer [x]</v>
          </cell>
          <cell r="DI7" t="str">
            <v>Rauchen erlaubt [x]</v>
          </cell>
          <cell r="DJ7" t="str">
            <v>Luftmenge ZUL [m³/Pers.]</v>
          </cell>
          <cell r="DK7" t="str">
            <v>Luftmenge ABL[m³/Pers.]</v>
          </cell>
          <cell r="DL7" t="str">
            <v>[m³/hPers]</v>
          </cell>
          <cell r="DM7" t="str">
            <v>[m³/m²h]</v>
          </cell>
          <cell r="DN7" t="str">
            <v>1. Stufe (bei 2-stufiger Anlage) [-]</v>
          </cell>
          <cell r="DO7" t="str">
            <v>1-stufig [h/a]</v>
          </cell>
          <cell r="DP7" t="str">
            <v>2-stufig [h/a]</v>
          </cell>
          <cell r="DQ7" t="str">
            <v>stufenlos [h/a]</v>
          </cell>
          <cell r="DR7" t="str">
            <v>Druckverlust ZUL [Pa]</v>
          </cell>
          <cell r="DS7" t="str">
            <v>Druckverlust ABL Pa]</v>
          </cell>
          <cell r="DT7" t="str">
            <v>Gesamtwirkungsgrad Venti.[-]</v>
          </cell>
          <cell r="DU7" t="str">
            <v>Druckverlust ZUL [Pa]</v>
          </cell>
          <cell r="DV7" t="str">
            <v>Druckverlust ABL [Pa]</v>
          </cell>
          <cell r="DW7" t="str">
            <v>Gesamtwirkungsgrad Venti.[-]</v>
          </cell>
          <cell r="DY7" t="str">
            <v>Volllaststunden [h/a]</v>
          </cell>
          <cell r="DZ7" t="str">
            <v>Spez. Leistung ZUL [W/m²]</v>
          </cell>
          <cell r="EA7" t="str">
            <v>Spez. Leistung ABL [W/m²]</v>
          </cell>
          <cell r="EB7" t="str">
            <v>Total Leistung ZUL + ABL [W/m²]</v>
          </cell>
          <cell r="EC7" t="str">
            <v>Energie ZUL [kWh/m²a]</v>
          </cell>
          <cell r="ED7" t="str">
            <v>Energie ABL [kWh/m²a]</v>
          </cell>
          <cell r="EE7" t="str">
            <v>Total Energie ZUL + ABL [kWh/m²a]</v>
          </cell>
          <cell r="EG7" t="str">
            <v>Volllaststunden [h/a]</v>
          </cell>
          <cell r="EH7" t="str">
            <v>Spez. Leistung ZUL [W/m²]</v>
          </cell>
          <cell r="EI7" t="str">
            <v>Spez. Leistung ABL [W/m²]</v>
          </cell>
          <cell r="EJ7" t="str">
            <v>Total Leistung ZUL + ABL [W/m²]</v>
          </cell>
          <cell r="EK7" t="str">
            <v>Energie ZUL [kWh/m²a]</v>
          </cell>
          <cell r="EL7" t="str">
            <v>Energie ABL [kWh/m²a]</v>
          </cell>
          <cell r="EM7" t="str">
            <v>Total Energie ZUL + ABL [kWh/m²a]</v>
          </cell>
          <cell r="EN7" t="str">
            <v>Standardorientierung []</v>
          </cell>
          <cell r="EO7" t="str">
            <v>Opake Fläche [-]</v>
          </cell>
          <cell r="EP7" t="str">
            <v>Fenster Fläche inkl. Rahmen [-]</v>
          </cell>
          <cell r="EQ7" t="str">
            <v>Standardbauweise [s,m,l]</v>
          </cell>
          <cell r="ER7" t="str">
            <v>Decke [kJ/m²K]</v>
          </cell>
          <cell r="ES7" t="str">
            <v>Boden [kJ/m²K]</v>
          </cell>
          <cell r="ET7" t="str">
            <v>Aussenwand [kJ/m²K]</v>
          </cell>
          <cell r="EU7" t="str">
            <v>Innenwand [kJ/m²K]</v>
          </cell>
          <cell r="EV7" t="str">
            <v>Decke [kJ/m²K]</v>
          </cell>
          <cell r="EW7" t="str">
            <v>Boden [kJ/m²K]</v>
          </cell>
          <cell r="EX7" t="str">
            <v>Aussenwand [kJ/m²K]</v>
          </cell>
          <cell r="EY7" t="str">
            <v>Innenwand [kJ/m²K]</v>
          </cell>
          <cell r="EZ7" t="str">
            <v>Decke [kJ/m²K]</v>
          </cell>
          <cell r="FA7" t="str">
            <v>Boden [kJ/m²K]</v>
          </cell>
          <cell r="FB7" t="str">
            <v>Aussenwand [kJ/m²K]</v>
          </cell>
          <cell r="FC7" t="str">
            <v>Innenwand [kJ/m²K]</v>
          </cell>
          <cell r="FD7" t="str">
            <v>Personen [W/m²]</v>
          </cell>
          <cell r="FE7" t="str">
            <v>Geräte [W/m²]</v>
          </cell>
          <cell r="FF7" t="str">
            <v>Beleuchtung [W/m²]</v>
          </cell>
          <cell r="FG7" t="str">
            <v>Personen [W/m²]</v>
          </cell>
          <cell r="FH7" t="str">
            <v>Geräte [W/m²]</v>
          </cell>
          <cell r="FI7" t="str">
            <v>Beleuchtung [W/m²]</v>
          </cell>
          <cell r="FJ7" t="str">
            <v>Personen [W/m²]</v>
          </cell>
          <cell r="FK7" t="str">
            <v>Geräte [W/m²]</v>
          </cell>
          <cell r="FL7" t="str">
            <v>Beleuchtung [W/m²]</v>
          </cell>
          <cell r="FM7" t="str">
            <v>Personenlast [W/m²]</v>
          </cell>
          <cell r="FN7" t="str">
            <v>Beleuchtungssteuerung [-]</v>
          </cell>
          <cell r="FO7" t="str">
            <v>u-Wert Opak [W/m²K]</v>
          </cell>
          <cell r="FP7" t="str">
            <v>u-Wert Fenster + Rahmen [W/m²K]</v>
          </cell>
          <cell r="FQ7" t="str">
            <v>Fensterrahmenanteil [-]</v>
          </cell>
          <cell r="FR7" t="str">
            <v>Reduktionsfaktor Beschatt. und Verschmutz.[-]</v>
          </cell>
          <cell r="FS7" t="str">
            <v>g-Wert Sonnenschutz (Design Day) [-]</v>
          </cell>
          <cell r="FT7" t="str">
            <v>natürlicher Luftwechsel (Undichtigkeit) [m³/m²h]</v>
          </cell>
          <cell r="FU7" t="str">
            <v>Wärmekapazität leichte Bauweise [Wh/m²K]</v>
          </cell>
          <cell r="FV7" t="str">
            <v>Wärmekapazität schwere Bauweise [Wh/m²K]</v>
          </cell>
          <cell r="GN7" t="str">
            <v>Volllaststunden [h/a]</v>
          </cell>
          <cell r="GO7" t="str">
            <v>Spez. Leistung [W/m²]</v>
          </cell>
          <cell r="GP7" t="str">
            <v>Energie [kWh/m²a]</v>
          </cell>
          <cell r="GQ7" t="str">
            <v>Volllaststunden [h/a]</v>
          </cell>
          <cell r="GR7" t="str">
            <v>Spez. Leistung [W/m²]</v>
          </cell>
          <cell r="GS7" t="str">
            <v>Energie [kWh/m²a]</v>
          </cell>
          <cell r="GV7" t="str">
            <v>1-stufig [h/a]</v>
          </cell>
          <cell r="GW7" t="str">
            <v>2-stufig [h/a]</v>
          </cell>
          <cell r="GX7" t="str">
            <v>stufenlos [h/a]</v>
          </cell>
        </row>
        <row r="8">
          <cell r="FX8" t="str">
            <v>l_1</v>
          </cell>
          <cell r="FY8" t="str">
            <v>l_2</v>
          </cell>
          <cell r="FZ8" t="str">
            <v>l_3</v>
          </cell>
          <cell r="GA8" t="str">
            <v>l_4</v>
          </cell>
          <cell r="GB8" t="str">
            <v>l_5</v>
          </cell>
          <cell r="GC8" t="str">
            <v>l_6</v>
          </cell>
          <cell r="GD8" t="str">
            <v>l_7</v>
          </cell>
          <cell r="GE8" t="str">
            <v>l_8</v>
          </cell>
          <cell r="GF8" t="str">
            <v>s_1</v>
          </cell>
          <cell r="GG8" t="str">
            <v>s_2</v>
          </cell>
          <cell r="GH8" t="str">
            <v>s_3</v>
          </cell>
          <cell r="GI8" t="str">
            <v>s_4</v>
          </cell>
          <cell r="GJ8" t="str">
            <v>s_5</v>
          </cell>
          <cell r="GK8" t="str">
            <v>s_6</v>
          </cell>
          <cell r="GL8" t="str">
            <v>s_7</v>
          </cell>
          <cell r="GM8" t="str">
            <v>s_8</v>
          </cell>
          <cell r="GV8">
            <v>0</v>
          </cell>
          <cell r="GW8">
            <v>0</v>
          </cell>
          <cell r="GX8">
            <v>0</v>
          </cell>
        </row>
        <row r="9">
          <cell r="A9">
            <v>1</v>
          </cell>
          <cell r="B9" t="str">
            <v>Einzel/Gruppenbüro</v>
          </cell>
          <cell r="C9">
            <v>3</v>
          </cell>
          <cell r="D9">
            <v>6</v>
          </cell>
          <cell r="E9">
            <v>6</v>
          </cell>
          <cell r="F9">
            <v>36</v>
          </cell>
          <cell r="G9">
            <v>18</v>
          </cell>
          <cell r="H9">
            <v>14</v>
          </cell>
          <cell r="I9">
            <v>10</v>
          </cell>
          <cell r="J9">
            <v>250</v>
          </cell>
          <cell r="K9">
            <v>0.84</v>
          </cell>
          <cell r="L9">
            <v>0</v>
          </cell>
          <cell r="M9">
            <v>0</v>
          </cell>
          <cell r="N9">
            <v>0</v>
          </cell>
          <cell r="O9">
            <v>0</v>
          </cell>
          <cell r="P9">
            <v>0</v>
          </cell>
          <cell r="Q9">
            <v>0</v>
          </cell>
          <cell r="R9">
            <v>0</v>
          </cell>
          <cell r="S9">
            <v>0.2</v>
          </cell>
          <cell r="T9">
            <v>0.4</v>
          </cell>
          <cell r="U9">
            <v>0.6</v>
          </cell>
          <cell r="V9">
            <v>0.8</v>
          </cell>
          <cell r="W9">
            <v>0.8</v>
          </cell>
          <cell r="X9">
            <v>0.4</v>
          </cell>
          <cell r="Y9">
            <v>0.6</v>
          </cell>
          <cell r="Z9">
            <v>0.8</v>
          </cell>
          <cell r="AA9">
            <v>0.8</v>
          </cell>
          <cell r="AB9">
            <v>0.4</v>
          </cell>
          <cell r="AC9">
            <v>0.2</v>
          </cell>
          <cell r="AD9">
            <v>0</v>
          </cell>
          <cell r="AE9">
            <v>0</v>
          </cell>
          <cell r="AF9">
            <v>0</v>
          </cell>
          <cell r="AG9">
            <v>0</v>
          </cell>
          <cell r="AH9">
            <v>0</v>
          </cell>
          <cell r="AI9">
            <v>0</v>
          </cell>
          <cell r="AJ9">
            <v>0</v>
          </cell>
          <cell r="AK9">
            <v>0</v>
          </cell>
          <cell r="AL9">
            <v>0</v>
          </cell>
          <cell r="AM9">
            <v>0</v>
          </cell>
          <cell r="AN9">
            <v>0</v>
          </cell>
          <cell r="AO9">
            <v>0</v>
          </cell>
          <cell r="AP9">
            <v>0</v>
          </cell>
          <cell r="AQ9">
            <v>0.2</v>
          </cell>
          <cell r="AR9">
            <v>0.4</v>
          </cell>
          <cell r="AS9">
            <v>0.6</v>
          </cell>
          <cell r="AT9">
            <v>0.8</v>
          </cell>
          <cell r="AU9">
            <v>0.8</v>
          </cell>
          <cell r="AV9">
            <v>0.4</v>
          </cell>
          <cell r="AW9">
            <v>0.6</v>
          </cell>
          <cell r="AX9">
            <v>0.8</v>
          </cell>
          <cell r="AY9">
            <v>0.8</v>
          </cell>
          <cell r="AZ9">
            <v>0.4</v>
          </cell>
          <cell r="BA9">
            <v>0.2</v>
          </cell>
          <cell r="BB9">
            <v>0</v>
          </cell>
          <cell r="BC9">
            <v>0</v>
          </cell>
          <cell r="BD9">
            <v>0</v>
          </cell>
          <cell r="BE9">
            <v>0</v>
          </cell>
          <cell r="BF9">
            <v>0</v>
          </cell>
          <cell r="BG9">
            <v>0</v>
          </cell>
          <cell r="BH9">
            <v>0.4</v>
          </cell>
          <cell r="BI9">
            <v>1</v>
          </cell>
          <cell r="BJ9">
            <v>1</v>
          </cell>
          <cell r="BK9">
            <v>1</v>
          </cell>
          <cell r="BL9">
            <v>1</v>
          </cell>
          <cell r="BM9">
            <v>0.8</v>
          </cell>
          <cell r="BN9">
            <v>0.4</v>
          </cell>
          <cell r="BO9">
            <v>0.4</v>
          </cell>
          <cell r="BP9">
            <v>0.8</v>
          </cell>
          <cell r="BQ9">
            <v>1</v>
          </cell>
          <cell r="BR9">
            <v>1</v>
          </cell>
          <cell r="BS9">
            <v>1</v>
          </cell>
          <cell r="BT9">
            <v>1</v>
          </cell>
          <cell r="BU9">
            <v>1</v>
          </cell>
          <cell r="BV9">
            <v>0.8</v>
          </cell>
          <cell r="BW9">
            <v>0</v>
          </cell>
          <cell r="BX9">
            <v>0.4</v>
          </cell>
          <cell r="BY9">
            <v>0.8</v>
          </cell>
          <cell r="BZ9">
            <v>1</v>
          </cell>
          <cell r="CA9">
            <v>1</v>
          </cell>
          <cell r="CB9">
            <v>1</v>
          </cell>
          <cell r="CC9">
            <v>1</v>
          </cell>
          <cell r="CD9">
            <v>1</v>
          </cell>
          <cell r="CE9">
            <v>1</v>
          </cell>
          <cell r="CF9">
            <v>1</v>
          </cell>
          <cell r="CG9">
            <v>0.8</v>
          </cell>
          <cell r="CH9">
            <v>0.4</v>
          </cell>
          <cell r="CI9">
            <v>0.2</v>
          </cell>
          <cell r="CJ9">
            <v>0.2</v>
          </cell>
          <cell r="CK9">
            <v>0.4</v>
          </cell>
          <cell r="CL9">
            <v>0.8</v>
          </cell>
          <cell r="CM9">
            <v>1</v>
          </cell>
          <cell r="CN9">
            <v>1</v>
          </cell>
          <cell r="CO9">
            <v>1</v>
          </cell>
          <cell r="CP9">
            <v>1</v>
          </cell>
          <cell r="CQ9">
            <v>1</v>
          </cell>
          <cell r="CR9">
            <v>1</v>
          </cell>
          <cell r="CS9">
            <v>0.8</v>
          </cell>
          <cell r="CT9">
            <v>0.6</v>
          </cell>
          <cell r="CU9">
            <v>0.8</v>
          </cell>
          <cell r="CV9">
            <v>1</v>
          </cell>
          <cell r="CW9">
            <v>1</v>
          </cell>
          <cell r="CX9">
            <v>1</v>
          </cell>
          <cell r="CY9">
            <v>1</v>
          </cell>
          <cell r="CZ9">
            <v>1</v>
          </cell>
          <cell r="DA9">
            <v>1</v>
          </cell>
          <cell r="DB9">
            <v>1</v>
          </cell>
          <cell r="DC9">
            <v>1</v>
          </cell>
          <cell r="DD9">
            <v>1</v>
          </cell>
          <cell r="DE9">
            <v>0.8</v>
          </cell>
          <cell r="DF9">
            <v>0.4</v>
          </cell>
          <cell r="DG9">
            <v>0</v>
          </cell>
          <cell r="DJ9">
            <v>36</v>
          </cell>
          <cell r="DK9">
            <v>36</v>
          </cell>
          <cell r="DL9" t="str">
            <v>x</v>
          </cell>
          <cell r="DN9">
            <v>0.67</v>
          </cell>
          <cell r="DO9">
            <v>2750</v>
          </cell>
          <cell r="DP9">
            <v>1380</v>
          </cell>
          <cell r="DQ9">
            <v>700</v>
          </cell>
          <cell r="DR9">
            <v>800</v>
          </cell>
          <cell r="DS9">
            <v>600</v>
          </cell>
          <cell r="DT9">
            <v>0.55000000000000004</v>
          </cell>
          <cell r="DU9">
            <v>600</v>
          </cell>
          <cell r="DV9">
            <v>450</v>
          </cell>
          <cell r="DW9">
            <v>0.59950000000000014</v>
          </cell>
          <cell r="DX9" t="str">
            <v>1-stufig</v>
          </cell>
          <cell r="DY9">
            <v>2750</v>
          </cell>
          <cell r="DZ9">
            <v>1.0389610389610389</v>
          </cell>
          <cell r="EA9">
            <v>0.77922077922077926</v>
          </cell>
          <cell r="EB9">
            <v>1.8181818181818181</v>
          </cell>
          <cell r="EC9">
            <v>2.8571428571428568</v>
          </cell>
          <cell r="ED9">
            <v>2.1428571428571432</v>
          </cell>
          <cell r="EE9">
            <v>5</v>
          </cell>
          <cell r="EF9" t="str">
            <v>1-stufig</v>
          </cell>
          <cell r="EG9">
            <v>2750</v>
          </cell>
          <cell r="EH9">
            <v>0.7148814488264027</v>
          </cell>
          <cell r="EI9">
            <v>0.53616108661980222</v>
          </cell>
          <cell r="EJ9">
            <v>1.2510425354462049</v>
          </cell>
          <cell r="EK9">
            <v>1.9659239842726075</v>
          </cell>
          <cell r="EL9">
            <v>1.4744429882044561</v>
          </cell>
          <cell r="EM9">
            <v>3.4403669724770634</v>
          </cell>
          <cell r="EN9" t="str">
            <v>s</v>
          </cell>
          <cell r="EO9">
            <v>0.30000000000000004</v>
          </cell>
          <cell r="EP9">
            <v>0.7</v>
          </cell>
          <cell r="EQ9" t="str">
            <v>m</v>
          </cell>
          <cell r="ER9">
            <v>70</v>
          </cell>
          <cell r="ES9">
            <v>80</v>
          </cell>
          <cell r="ET9">
            <v>10</v>
          </cell>
          <cell r="EU9">
            <v>20</v>
          </cell>
          <cell r="EV9">
            <v>230</v>
          </cell>
          <cell r="EW9">
            <v>130</v>
          </cell>
          <cell r="EX9">
            <v>100</v>
          </cell>
          <cell r="EY9">
            <v>20</v>
          </cell>
          <cell r="EZ9">
            <v>380</v>
          </cell>
          <cell r="FA9">
            <v>250</v>
          </cell>
          <cell r="FB9">
            <v>100</v>
          </cell>
          <cell r="FC9">
            <v>110</v>
          </cell>
          <cell r="FD9">
            <v>4</v>
          </cell>
          <cell r="FE9">
            <v>3</v>
          </cell>
          <cell r="FF9">
            <v>9</v>
          </cell>
          <cell r="FG9">
            <v>5</v>
          </cell>
          <cell r="FH9">
            <v>7</v>
          </cell>
          <cell r="FI9">
            <v>11</v>
          </cell>
          <cell r="FJ9">
            <v>7</v>
          </cell>
          <cell r="FK9">
            <v>15</v>
          </cell>
          <cell r="FL9">
            <v>12.5</v>
          </cell>
          <cell r="FM9">
            <v>70</v>
          </cell>
          <cell r="FN9" t="str">
            <v>x</v>
          </cell>
          <cell r="FO9">
            <v>0.25</v>
          </cell>
          <cell r="FP9">
            <v>1.3</v>
          </cell>
          <cell r="FQ9">
            <v>0.8</v>
          </cell>
          <cell r="FR9">
            <v>0.9</v>
          </cell>
          <cell r="FS9">
            <v>0.15</v>
          </cell>
          <cell r="FT9">
            <v>0.6</v>
          </cell>
          <cell r="FU9">
            <v>50</v>
          </cell>
          <cell r="FV9">
            <v>210</v>
          </cell>
          <cell r="FW9">
            <v>1</v>
          </cell>
          <cell r="FX9">
            <v>1</v>
          </cell>
          <cell r="FY9">
            <v>5</v>
          </cell>
          <cell r="FZ9">
            <v>3</v>
          </cell>
          <cell r="GA9">
            <v>4</v>
          </cell>
          <cell r="GB9">
            <v>6</v>
          </cell>
          <cell r="GC9">
            <v>5</v>
          </cell>
          <cell r="GD9">
            <v>4</v>
          </cell>
          <cell r="GE9">
            <v>5</v>
          </cell>
          <cell r="GF9">
            <v>2</v>
          </cell>
          <cell r="GG9">
            <v>7</v>
          </cell>
          <cell r="GH9">
            <v>5</v>
          </cell>
          <cell r="GI9">
            <v>6</v>
          </cell>
          <cell r="GJ9">
            <v>7</v>
          </cell>
          <cell r="GK9">
            <v>6</v>
          </cell>
          <cell r="GL9">
            <v>6</v>
          </cell>
          <cell r="GM9">
            <v>7</v>
          </cell>
          <cell r="GN9">
            <v>775</v>
          </cell>
          <cell r="GO9">
            <v>6.08</v>
          </cell>
          <cell r="GP9">
            <v>4.7</v>
          </cell>
          <cell r="GQ9">
            <v>775</v>
          </cell>
          <cell r="GR9">
            <v>4.3428571428571425</v>
          </cell>
          <cell r="GS9">
            <v>3.4</v>
          </cell>
          <cell r="GV9">
            <v>2750</v>
          </cell>
          <cell r="GW9">
            <v>1810.2000000000003</v>
          </cell>
          <cell r="GX9">
            <v>1260</v>
          </cell>
        </row>
        <row r="10">
          <cell r="A10">
            <v>2</v>
          </cell>
          <cell r="B10" t="str">
            <v>Grossraumbüro</v>
          </cell>
          <cell r="C10">
            <v>3</v>
          </cell>
          <cell r="D10">
            <v>12</v>
          </cell>
          <cell r="E10">
            <v>12</v>
          </cell>
          <cell r="F10">
            <v>144</v>
          </cell>
          <cell r="G10">
            <v>12</v>
          </cell>
          <cell r="H10">
            <v>10</v>
          </cell>
          <cell r="I10">
            <v>8</v>
          </cell>
          <cell r="J10">
            <v>250</v>
          </cell>
          <cell r="K10">
            <v>0.84</v>
          </cell>
          <cell r="L10">
            <v>0</v>
          </cell>
          <cell r="M10">
            <v>0</v>
          </cell>
          <cell r="N10">
            <v>0</v>
          </cell>
          <cell r="O10">
            <v>0</v>
          </cell>
          <cell r="P10">
            <v>0</v>
          </cell>
          <cell r="Q10">
            <v>0</v>
          </cell>
          <cell r="R10">
            <v>0</v>
          </cell>
          <cell r="S10">
            <v>0.2</v>
          </cell>
          <cell r="T10">
            <v>0.4</v>
          </cell>
          <cell r="U10">
            <v>0.6</v>
          </cell>
          <cell r="V10">
            <v>0.8</v>
          </cell>
          <cell r="W10">
            <v>0.8</v>
          </cell>
          <cell r="X10">
            <v>0.4</v>
          </cell>
          <cell r="Y10">
            <v>0.6</v>
          </cell>
          <cell r="Z10">
            <v>0.8</v>
          </cell>
          <cell r="AA10">
            <v>0.8</v>
          </cell>
          <cell r="AB10">
            <v>0.4</v>
          </cell>
          <cell r="AC10">
            <v>0.2</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0.2</v>
          </cell>
          <cell r="AR10">
            <v>0.4</v>
          </cell>
          <cell r="AS10">
            <v>0.6</v>
          </cell>
          <cell r="AT10">
            <v>0.8</v>
          </cell>
          <cell r="AU10">
            <v>0.8</v>
          </cell>
          <cell r="AV10">
            <v>0.4</v>
          </cell>
          <cell r="AW10">
            <v>0.6</v>
          </cell>
          <cell r="AX10">
            <v>0.8</v>
          </cell>
          <cell r="AY10">
            <v>0.8</v>
          </cell>
          <cell r="AZ10">
            <v>0.4</v>
          </cell>
          <cell r="BA10">
            <v>0.2</v>
          </cell>
          <cell r="BB10">
            <v>0</v>
          </cell>
          <cell r="BC10">
            <v>0</v>
          </cell>
          <cell r="BD10">
            <v>0</v>
          </cell>
          <cell r="BE10">
            <v>0</v>
          </cell>
          <cell r="BF10">
            <v>0</v>
          </cell>
          <cell r="BG10">
            <v>0</v>
          </cell>
          <cell r="BH10">
            <v>0.4</v>
          </cell>
          <cell r="BI10">
            <v>1</v>
          </cell>
          <cell r="BJ10">
            <v>1</v>
          </cell>
          <cell r="BK10">
            <v>1</v>
          </cell>
          <cell r="BL10">
            <v>1</v>
          </cell>
          <cell r="BM10">
            <v>0.8</v>
          </cell>
          <cell r="BN10">
            <v>0.4</v>
          </cell>
          <cell r="BO10">
            <v>0.4</v>
          </cell>
          <cell r="BP10">
            <v>0.8</v>
          </cell>
          <cell r="BQ10">
            <v>1</v>
          </cell>
          <cell r="BR10">
            <v>1</v>
          </cell>
          <cell r="BS10">
            <v>1</v>
          </cell>
          <cell r="BT10">
            <v>1</v>
          </cell>
          <cell r="BU10">
            <v>1</v>
          </cell>
          <cell r="BV10">
            <v>0.8</v>
          </cell>
          <cell r="BW10">
            <v>0</v>
          </cell>
          <cell r="BX10">
            <v>0.4</v>
          </cell>
          <cell r="BY10">
            <v>0.8</v>
          </cell>
          <cell r="BZ10">
            <v>1</v>
          </cell>
          <cell r="CA10">
            <v>1</v>
          </cell>
          <cell r="CB10">
            <v>1</v>
          </cell>
          <cell r="CC10">
            <v>1</v>
          </cell>
          <cell r="CD10">
            <v>1</v>
          </cell>
          <cell r="CE10">
            <v>1</v>
          </cell>
          <cell r="CF10">
            <v>1</v>
          </cell>
          <cell r="CG10">
            <v>0.8</v>
          </cell>
          <cell r="CH10">
            <v>0.4</v>
          </cell>
          <cell r="CI10">
            <v>0.2</v>
          </cell>
          <cell r="CJ10">
            <v>0.2</v>
          </cell>
          <cell r="CK10">
            <v>0.4</v>
          </cell>
          <cell r="CL10">
            <v>0.8</v>
          </cell>
          <cell r="CM10">
            <v>1</v>
          </cell>
          <cell r="CN10">
            <v>1</v>
          </cell>
          <cell r="CO10">
            <v>1</v>
          </cell>
          <cell r="CP10">
            <v>1</v>
          </cell>
          <cell r="CQ10">
            <v>1</v>
          </cell>
          <cell r="CR10">
            <v>1</v>
          </cell>
          <cell r="CS10">
            <v>0.8</v>
          </cell>
          <cell r="CT10">
            <v>0.6</v>
          </cell>
          <cell r="CU10">
            <v>0.8</v>
          </cell>
          <cell r="CV10">
            <v>1</v>
          </cell>
          <cell r="CW10">
            <v>1</v>
          </cell>
          <cell r="CX10">
            <v>1</v>
          </cell>
          <cell r="CY10">
            <v>1</v>
          </cell>
          <cell r="CZ10">
            <v>1</v>
          </cell>
          <cell r="DA10">
            <v>1</v>
          </cell>
          <cell r="DB10">
            <v>1</v>
          </cell>
          <cell r="DC10">
            <v>1</v>
          </cell>
          <cell r="DD10">
            <v>1</v>
          </cell>
          <cell r="DE10">
            <v>0.8</v>
          </cell>
          <cell r="DF10">
            <v>0.4</v>
          </cell>
          <cell r="DG10">
            <v>0</v>
          </cell>
          <cell r="DJ10">
            <v>36</v>
          </cell>
          <cell r="DK10">
            <v>36</v>
          </cell>
          <cell r="DL10" t="str">
            <v>x</v>
          </cell>
          <cell r="DN10">
            <v>0.67</v>
          </cell>
          <cell r="DO10">
            <v>2750</v>
          </cell>
          <cell r="DP10">
            <v>1380</v>
          </cell>
          <cell r="DQ10">
            <v>700</v>
          </cell>
          <cell r="DR10">
            <v>800</v>
          </cell>
          <cell r="DS10">
            <v>600</v>
          </cell>
          <cell r="DT10">
            <v>0.55000000000000004</v>
          </cell>
          <cell r="DU10">
            <v>600</v>
          </cell>
          <cell r="DV10">
            <v>450</v>
          </cell>
          <cell r="DW10">
            <v>0.59950000000000014</v>
          </cell>
          <cell r="DX10" t="str">
            <v>1-stufig</v>
          </cell>
          <cell r="DY10">
            <v>2750</v>
          </cell>
          <cell r="DZ10">
            <v>1.4545454545454544</v>
          </cell>
          <cell r="EA10">
            <v>1.0909090909090908</v>
          </cell>
          <cell r="EB10">
            <v>2.545454545454545</v>
          </cell>
          <cell r="EC10">
            <v>3.9999999999999996</v>
          </cell>
          <cell r="ED10">
            <v>3</v>
          </cell>
          <cell r="EE10">
            <v>7</v>
          </cell>
          <cell r="EF10" t="str">
            <v>1-stufig</v>
          </cell>
          <cell r="EG10">
            <v>2750</v>
          </cell>
          <cell r="EH10">
            <v>1.0008340283569639</v>
          </cell>
          <cell r="EI10">
            <v>0.75062552126772286</v>
          </cell>
          <cell r="EJ10">
            <v>1.7514595496246868</v>
          </cell>
          <cell r="EK10">
            <v>2.7522935779816509</v>
          </cell>
          <cell r="EL10">
            <v>2.0642201834862379</v>
          </cell>
          <cell r="EM10">
            <v>4.8165137614678883</v>
          </cell>
          <cell r="EN10" t="str">
            <v>s</v>
          </cell>
          <cell r="EO10">
            <v>0.30000000000000004</v>
          </cell>
          <cell r="EP10">
            <v>0.7</v>
          </cell>
          <cell r="EQ10" t="str">
            <v>m</v>
          </cell>
          <cell r="ER10">
            <v>70</v>
          </cell>
          <cell r="ES10">
            <v>80</v>
          </cell>
          <cell r="ET10">
            <v>10</v>
          </cell>
          <cell r="EU10">
            <v>20</v>
          </cell>
          <cell r="EV10">
            <v>230</v>
          </cell>
          <cell r="EW10">
            <v>130</v>
          </cell>
          <cell r="EX10">
            <v>100</v>
          </cell>
          <cell r="EY10">
            <v>20</v>
          </cell>
          <cell r="EZ10">
            <v>380</v>
          </cell>
          <cell r="FA10">
            <v>250</v>
          </cell>
          <cell r="FB10">
            <v>100</v>
          </cell>
          <cell r="FC10">
            <v>110</v>
          </cell>
          <cell r="FD10">
            <v>6</v>
          </cell>
          <cell r="FE10">
            <v>4</v>
          </cell>
          <cell r="FF10">
            <v>7.5</v>
          </cell>
          <cell r="FG10">
            <v>7</v>
          </cell>
          <cell r="FH10">
            <v>10</v>
          </cell>
          <cell r="FI10">
            <v>9</v>
          </cell>
          <cell r="FJ10">
            <v>9</v>
          </cell>
          <cell r="FK10">
            <v>19</v>
          </cell>
          <cell r="FL10">
            <v>10.5</v>
          </cell>
          <cell r="FM10">
            <v>70</v>
          </cell>
          <cell r="FN10" t="str">
            <v>x</v>
          </cell>
          <cell r="FO10">
            <v>0.25</v>
          </cell>
          <cell r="FP10">
            <v>1.3</v>
          </cell>
          <cell r="FQ10">
            <v>0.8</v>
          </cell>
          <cell r="FR10">
            <v>0.9</v>
          </cell>
          <cell r="FS10">
            <v>0.15</v>
          </cell>
          <cell r="FT10">
            <v>0.6</v>
          </cell>
          <cell r="FU10">
            <v>45</v>
          </cell>
          <cell r="FV10">
            <v>180</v>
          </cell>
          <cell r="FW10">
            <v>2</v>
          </cell>
          <cell r="FX10">
            <v>5</v>
          </cell>
          <cell r="FY10">
            <v>7</v>
          </cell>
          <cell r="FZ10">
            <v>6</v>
          </cell>
          <cell r="GA10">
            <v>7</v>
          </cell>
          <cell r="GB10">
            <v>6</v>
          </cell>
          <cell r="GC10">
            <v>6</v>
          </cell>
          <cell r="GD10">
            <v>7</v>
          </cell>
          <cell r="GE10">
            <v>7</v>
          </cell>
          <cell r="GF10">
            <v>10</v>
          </cell>
          <cell r="GG10">
            <v>11</v>
          </cell>
          <cell r="GH10">
            <v>10</v>
          </cell>
          <cell r="GI10">
            <v>11</v>
          </cell>
          <cell r="GJ10">
            <v>11</v>
          </cell>
          <cell r="GK10">
            <v>11</v>
          </cell>
          <cell r="GL10">
            <v>11</v>
          </cell>
          <cell r="GM10">
            <v>11</v>
          </cell>
          <cell r="GN10">
            <v>1310</v>
          </cell>
          <cell r="GO10">
            <v>5.22</v>
          </cell>
          <cell r="GP10">
            <v>6.8</v>
          </cell>
          <cell r="GQ10">
            <v>1310</v>
          </cell>
          <cell r="GR10">
            <v>3.7</v>
          </cell>
          <cell r="GS10">
            <v>4.8</v>
          </cell>
          <cell r="GV10">
            <v>2750</v>
          </cell>
          <cell r="GW10">
            <v>1810.2000000000003</v>
          </cell>
          <cell r="GX10">
            <v>1260</v>
          </cell>
        </row>
        <row r="11">
          <cell r="A11">
            <v>3</v>
          </cell>
          <cell r="B11" t="str">
            <v>Sitzungszimmer</v>
          </cell>
          <cell r="C11">
            <v>3</v>
          </cell>
          <cell r="D11">
            <v>6</v>
          </cell>
          <cell r="E11">
            <v>6</v>
          </cell>
          <cell r="F11">
            <v>36</v>
          </cell>
          <cell r="G11">
            <v>4</v>
          </cell>
          <cell r="H11">
            <v>3</v>
          </cell>
          <cell r="I11">
            <v>2</v>
          </cell>
          <cell r="J11">
            <v>250</v>
          </cell>
          <cell r="K11">
            <v>0.84</v>
          </cell>
          <cell r="L11">
            <v>0</v>
          </cell>
          <cell r="M11">
            <v>0</v>
          </cell>
          <cell r="N11">
            <v>0</v>
          </cell>
          <cell r="O11">
            <v>0</v>
          </cell>
          <cell r="P11">
            <v>0</v>
          </cell>
          <cell r="Q11">
            <v>0</v>
          </cell>
          <cell r="R11">
            <v>0</v>
          </cell>
          <cell r="S11">
            <v>0</v>
          </cell>
          <cell r="T11">
            <v>0</v>
          </cell>
          <cell r="U11">
            <v>0.6</v>
          </cell>
          <cell r="V11">
            <v>1</v>
          </cell>
          <cell r="W11">
            <v>0.4</v>
          </cell>
          <cell r="X11">
            <v>0</v>
          </cell>
          <cell r="Y11">
            <v>0</v>
          </cell>
          <cell r="Z11">
            <v>0.6</v>
          </cell>
          <cell r="AA11">
            <v>1</v>
          </cell>
          <cell r="AB11">
            <v>0.4</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0.6</v>
          </cell>
          <cell r="AT11">
            <v>1</v>
          </cell>
          <cell r="AU11">
            <v>0.4</v>
          </cell>
          <cell r="AV11">
            <v>0</v>
          </cell>
          <cell r="AW11">
            <v>0</v>
          </cell>
          <cell r="AX11">
            <v>0.6</v>
          </cell>
          <cell r="AY11">
            <v>1</v>
          </cell>
          <cell r="AZ11">
            <v>0.4</v>
          </cell>
          <cell r="BA11">
            <v>0</v>
          </cell>
          <cell r="BB11">
            <v>0</v>
          </cell>
          <cell r="BC11">
            <v>0</v>
          </cell>
          <cell r="BD11">
            <v>0</v>
          </cell>
          <cell r="BE11">
            <v>0</v>
          </cell>
          <cell r="BF11">
            <v>0</v>
          </cell>
          <cell r="BG11">
            <v>0</v>
          </cell>
          <cell r="BH11">
            <v>0.4</v>
          </cell>
          <cell r="BI11">
            <v>1</v>
          </cell>
          <cell r="BJ11">
            <v>1</v>
          </cell>
          <cell r="BK11">
            <v>1</v>
          </cell>
          <cell r="BL11">
            <v>1</v>
          </cell>
          <cell r="BM11">
            <v>0.8</v>
          </cell>
          <cell r="BN11">
            <v>0.4</v>
          </cell>
          <cell r="BO11">
            <v>0.4</v>
          </cell>
          <cell r="BP11">
            <v>0.8</v>
          </cell>
          <cell r="BQ11">
            <v>1</v>
          </cell>
          <cell r="BR11">
            <v>1</v>
          </cell>
          <cell r="BS11">
            <v>1</v>
          </cell>
          <cell r="BT11">
            <v>1</v>
          </cell>
          <cell r="BU11">
            <v>1</v>
          </cell>
          <cell r="BV11">
            <v>0.8</v>
          </cell>
          <cell r="BW11">
            <v>0</v>
          </cell>
          <cell r="BX11">
            <v>0.4</v>
          </cell>
          <cell r="BY11">
            <v>0.8</v>
          </cell>
          <cell r="BZ11">
            <v>1</v>
          </cell>
          <cell r="CA11">
            <v>1</v>
          </cell>
          <cell r="CB11">
            <v>1</v>
          </cell>
          <cell r="CC11">
            <v>1</v>
          </cell>
          <cell r="CD11">
            <v>1</v>
          </cell>
          <cell r="CE11">
            <v>1</v>
          </cell>
          <cell r="CF11">
            <v>1</v>
          </cell>
          <cell r="CG11">
            <v>0.8</v>
          </cell>
          <cell r="CH11">
            <v>0.4</v>
          </cell>
          <cell r="CI11">
            <v>0.2</v>
          </cell>
          <cell r="CJ11">
            <v>0.2</v>
          </cell>
          <cell r="CK11">
            <v>0.4</v>
          </cell>
          <cell r="CL11">
            <v>0.8</v>
          </cell>
          <cell r="CM11">
            <v>1</v>
          </cell>
          <cell r="CN11">
            <v>1</v>
          </cell>
          <cell r="CO11">
            <v>1</v>
          </cell>
          <cell r="CP11">
            <v>1</v>
          </cell>
          <cell r="CQ11">
            <v>1</v>
          </cell>
          <cell r="CR11">
            <v>1</v>
          </cell>
          <cell r="CS11">
            <v>0.8</v>
          </cell>
          <cell r="CT11">
            <v>0.6</v>
          </cell>
          <cell r="CU11">
            <v>0.8</v>
          </cell>
          <cell r="CV11">
            <v>1</v>
          </cell>
          <cell r="CW11">
            <v>1</v>
          </cell>
          <cell r="CX11">
            <v>1</v>
          </cell>
          <cell r="CY11">
            <v>1</v>
          </cell>
          <cell r="CZ11">
            <v>1</v>
          </cell>
          <cell r="DA11">
            <v>1</v>
          </cell>
          <cell r="DB11">
            <v>1</v>
          </cell>
          <cell r="DC11">
            <v>1</v>
          </cell>
          <cell r="DD11">
            <v>1</v>
          </cell>
          <cell r="DE11">
            <v>0.8</v>
          </cell>
          <cell r="DF11">
            <v>0.4</v>
          </cell>
          <cell r="DG11">
            <v>0</v>
          </cell>
          <cell r="DH11" t="str">
            <v>x</v>
          </cell>
          <cell r="DJ11">
            <v>25</v>
          </cell>
          <cell r="DK11">
            <v>25</v>
          </cell>
          <cell r="DL11" t="str">
            <v>x</v>
          </cell>
          <cell r="DN11">
            <v>0.67</v>
          </cell>
          <cell r="DO11">
            <v>1500</v>
          </cell>
          <cell r="DP11">
            <v>730</v>
          </cell>
          <cell r="DQ11">
            <v>580</v>
          </cell>
          <cell r="DR11">
            <v>800</v>
          </cell>
          <cell r="DS11">
            <v>600</v>
          </cell>
          <cell r="DT11">
            <v>0.55000000000000004</v>
          </cell>
          <cell r="DU11">
            <v>600</v>
          </cell>
          <cell r="DV11">
            <v>450</v>
          </cell>
          <cell r="DW11">
            <v>0.59950000000000014</v>
          </cell>
          <cell r="DX11" t="str">
            <v>1-stufig</v>
          </cell>
          <cell r="DY11">
            <v>1500</v>
          </cell>
          <cell r="DZ11">
            <v>3.3670033670033668</v>
          </cell>
          <cell r="EA11">
            <v>2.5252525252525251</v>
          </cell>
          <cell r="EB11">
            <v>5.8922558922558919</v>
          </cell>
          <cell r="EC11">
            <v>5.0505050505050502</v>
          </cell>
          <cell r="ED11">
            <v>3.7878787878787876</v>
          </cell>
          <cell r="EE11">
            <v>8.8383838383838373</v>
          </cell>
          <cell r="EF11" t="str">
            <v>2-stufig</v>
          </cell>
          <cell r="EG11">
            <v>730</v>
          </cell>
          <cell r="EH11">
            <v>2.3167454360114905</v>
          </cell>
          <cell r="EI11">
            <v>1.737559077008618</v>
          </cell>
          <cell r="EJ11">
            <v>4.0543045130201083</v>
          </cell>
          <cell r="EK11">
            <v>1.691224168288388</v>
          </cell>
          <cell r="EL11">
            <v>1.268418126216291</v>
          </cell>
          <cell r="EM11">
            <v>2.959642294504679</v>
          </cell>
          <cell r="EN11" t="str">
            <v>s</v>
          </cell>
          <cell r="EO11">
            <v>0.30000000000000004</v>
          </cell>
          <cell r="EP11">
            <v>0.7</v>
          </cell>
          <cell r="EQ11" t="str">
            <v>m</v>
          </cell>
          <cell r="ER11">
            <v>70</v>
          </cell>
          <cell r="ES11">
            <v>80</v>
          </cell>
          <cell r="ET11">
            <v>10</v>
          </cell>
          <cell r="EU11">
            <v>20</v>
          </cell>
          <cell r="EV11">
            <v>230</v>
          </cell>
          <cell r="EW11">
            <v>130</v>
          </cell>
          <cell r="EX11">
            <v>100</v>
          </cell>
          <cell r="EY11">
            <v>20</v>
          </cell>
          <cell r="EZ11">
            <v>380</v>
          </cell>
          <cell r="FA11">
            <v>250</v>
          </cell>
          <cell r="FB11">
            <v>100</v>
          </cell>
          <cell r="FC11">
            <v>110</v>
          </cell>
          <cell r="FD11">
            <v>17.5</v>
          </cell>
          <cell r="FE11">
            <v>1</v>
          </cell>
          <cell r="FF11">
            <v>9</v>
          </cell>
          <cell r="FG11">
            <v>23.5</v>
          </cell>
          <cell r="FH11">
            <v>2</v>
          </cell>
          <cell r="FI11">
            <v>11</v>
          </cell>
          <cell r="FJ11">
            <v>35</v>
          </cell>
          <cell r="FK11">
            <v>3</v>
          </cell>
          <cell r="FL11">
            <v>13</v>
          </cell>
          <cell r="FM11">
            <v>70</v>
          </cell>
          <cell r="FN11" t="str">
            <v>x</v>
          </cell>
          <cell r="FO11">
            <v>0.25</v>
          </cell>
          <cell r="FP11">
            <v>1.3</v>
          </cell>
          <cell r="FQ11">
            <v>0.8</v>
          </cell>
          <cell r="FR11">
            <v>0.9</v>
          </cell>
          <cell r="FS11">
            <v>0.15</v>
          </cell>
          <cell r="FT11">
            <v>0.6</v>
          </cell>
          <cell r="FU11">
            <v>50</v>
          </cell>
          <cell r="FV11">
            <v>210</v>
          </cell>
          <cell r="FW11">
            <v>3</v>
          </cell>
          <cell r="FX11">
            <v>6</v>
          </cell>
          <cell r="FY11">
            <v>6</v>
          </cell>
          <cell r="FZ11">
            <v>5</v>
          </cell>
          <cell r="GA11">
            <v>9</v>
          </cell>
          <cell r="GB11">
            <v>6</v>
          </cell>
          <cell r="GC11">
            <v>8</v>
          </cell>
          <cell r="GD11">
            <v>7</v>
          </cell>
          <cell r="GE11">
            <v>8</v>
          </cell>
          <cell r="GF11">
            <v>12</v>
          </cell>
          <cell r="GG11">
            <v>11</v>
          </cell>
          <cell r="GH11">
            <v>10</v>
          </cell>
          <cell r="GI11">
            <v>13</v>
          </cell>
          <cell r="GJ11">
            <v>11</v>
          </cell>
          <cell r="GK11">
            <v>12</v>
          </cell>
          <cell r="GL11">
            <v>12</v>
          </cell>
          <cell r="GM11">
            <v>13</v>
          </cell>
          <cell r="GN11">
            <v>550</v>
          </cell>
          <cell r="GO11">
            <v>10.4</v>
          </cell>
          <cell r="GP11">
            <v>5.7</v>
          </cell>
          <cell r="GQ11">
            <v>550</v>
          </cell>
          <cell r="GR11">
            <v>7.4</v>
          </cell>
          <cell r="GS11">
            <v>4.0999999999999996</v>
          </cell>
          <cell r="GV11">
            <v>1500</v>
          </cell>
          <cell r="GW11">
            <v>974.4000000000002</v>
          </cell>
          <cell r="GX11">
            <v>840</v>
          </cell>
        </row>
        <row r="12">
          <cell r="A12">
            <v>4</v>
          </cell>
          <cell r="B12" t="str">
            <v>Schalterhalle</v>
          </cell>
          <cell r="C12">
            <v>4</v>
          </cell>
          <cell r="D12">
            <v>12</v>
          </cell>
          <cell r="E12">
            <v>12</v>
          </cell>
          <cell r="F12">
            <v>144</v>
          </cell>
          <cell r="G12">
            <v>16</v>
          </cell>
          <cell r="H12">
            <v>12</v>
          </cell>
          <cell r="I12">
            <v>8</v>
          </cell>
          <cell r="J12">
            <v>250</v>
          </cell>
          <cell r="K12">
            <v>0.61200000000000043</v>
          </cell>
          <cell r="L12">
            <v>0</v>
          </cell>
          <cell r="M12">
            <v>0</v>
          </cell>
          <cell r="N12">
            <v>0</v>
          </cell>
          <cell r="O12">
            <v>0</v>
          </cell>
          <cell r="P12">
            <v>0</v>
          </cell>
          <cell r="Q12">
            <v>0</v>
          </cell>
          <cell r="R12">
            <v>0</v>
          </cell>
          <cell r="S12">
            <v>0.2</v>
          </cell>
          <cell r="T12">
            <v>0.4</v>
          </cell>
          <cell r="U12">
            <v>0.6</v>
          </cell>
          <cell r="V12">
            <v>0.8</v>
          </cell>
          <cell r="W12">
            <v>0.8</v>
          </cell>
          <cell r="X12">
            <v>0.4</v>
          </cell>
          <cell r="Y12">
            <v>0.4</v>
          </cell>
          <cell r="Z12">
            <v>0.6</v>
          </cell>
          <cell r="AA12">
            <v>0.8</v>
          </cell>
          <cell r="AB12">
            <v>0.8</v>
          </cell>
          <cell r="AC12">
            <v>0.2</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0.2</v>
          </cell>
          <cell r="AR12">
            <v>0.4</v>
          </cell>
          <cell r="AS12">
            <v>0.6</v>
          </cell>
          <cell r="AT12">
            <v>0.8</v>
          </cell>
          <cell r="AU12">
            <v>0.8</v>
          </cell>
          <cell r="AV12">
            <v>0.4</v>
          </cell>
          <cell r="AW12">
            <v>0.4</v>
          </cell>
          <cell r="AX12">
            <v>0.6</v>
          </cell>
          <cell r="AY12">
            <v>0.8</v>
          </cell>
          <cell r="AZ12">
            <v>0.8</v>
          </cell>
          <cell r="BA12">
            <v>0.2</v>
          </cell>
          <cell r="BB12">
            <v>0</v>
          </cell>
          <cell r="BC12">
            <v>0</v>
          </cell>
          <cell r="BD12">
            <v>0</v>
          </cell>
          <cell r="BE12">
            <v>0</v>
          </cell>
          <cell r="BF12">
            <v>0</v>
          </cell>
          <cell r="BG12">
            <v>0</v>
          </cell>
          <cell r="BH12">
            <v>0.4</v>
          </cell>
          <cell r="BI12">
            <v>0.6</v>
          </cell>
          <cell r="BJ12">
            <v>0.6</v>
          </cell>
          <cell r="BK12">
            <v>0.8</v>
          </cell>
          <cell r="BL12">
            <v>0.6</v>
          </cell>
          <cell r="BM12">
            <v>0.6</v>
          </cell>
          <cell r="BN12">
            <v>0.4</v>
          </cell>
          <cell r="BO12">
            <v>0.4</v>
          </cell>
          <cell r="BP12">
            <v>0.6</v>
          </cell>
          <cell r="BQ12">
            <v>0.6</v>
          </cell>
          <cell r="BR12">
            <v>0.6</v>
          </cell>
          <cell r="BS12">
            <v>0.8</v>
          </cell>
          <cell r="BT12">
            <v>0.6</v>
          </cell>
          <cell r="BU12">
            <v>0.6</v>
          </cell>
          <cell r="BV12">
            <v>0.6</v>
          </cell>
          <cell r="BW12">
            <v>0</v>
          </cell>
          <cell r="BX12">
            <v>0.4</v>
          </cell>
          <cell r="BY12">
            <v>0.4</v>
          </cell>
          <cell r="BZ12">
            <v>0.6</v>
          </cell>
          <cell r="CA12">
            <v>0.8</v>
          </cell>
          <cell r="CB12">
            <v>0.6</v>
          </cell>
          <cell r="CC12">
            <v>0.6</v>
          </cell>
          <cell r="CD12">
            <v>0.6</v>
          </cell>
          <cell r="CE12">
            <v>0.8</v>
          </cell>
          <cell r="CF12">
            <v>0.6</v>
          </cell>
          <cell r="CG12">
            <v>0.6</v>
          </cell>
          <cell r="CH12">
            <v>0.4</v>
          </cell>
          <cell r="CI12">
            <v>0.4</v>
          </cell>
          <cell r="CJ12">
            <v>0.4</v>
          </cell>
          <cell r="CK12">
            <v>0.4</v>
          </cell>
          <cell r="CL12">
            <v>0.6</v>
          </cell>
          <cell r="CM12">
            <v>0.8</v>
          </cell>
          <cell r="CN12">
            <v>0.6</v>
          </cell>
          <cell r="CO12">
            <v>0.6</v>
          </cell>
          <cell r="CP12">
            <v>0.6</v>
          </cell>
          <cell r="CQ12">
            <v>0.8</v>
          </cell>
          <cell r="CR12">
            <v>0.6</v>
          </cell>
          <cell r="CS12">
            <v>0.6</v>
          </cell>
          <cell r="CT12">
            <v>0.6</v>
          </cell>
          <cell r="CU12">
            <v>0.8</v>
          </cell>
          <cell r="CV12">
            <v>0.6</v>
          </cell>
          <cell r="CW12">
            <v>0.6</v>
          </cell>
          <cell r="CX12">
            <v>0.6</v>
          </cell>
          <cell r="CY12">
            <v>0.8</v>
          </cell>
          <cell r="CZ12">
            <v>0.6</v>
          </cell>
          <cell r="DA12">
            <v>0.6</v>
          </cell>
          <cell r="DB12">
            <v>0.6</v>
          </cell>
          <cell r="DC12">
            <v>0.8</v>
          </cell>
          <cell r="DD12">
            <v>0.8</v>
          </cell>
          <cell r="DE12">
            <v>0.8</v>
          </cell>
          <cell r="DF12">
            <v>0.8</v>
          </cell>
          <cell r="DG12">
            <v>0</v>
          </cell>
          <cell r="DH12" t="str">
            <v>x</v>
          </cell>
          <cell r="DJ12">
            <v>25</v>
          </cell>
          <cell r="DK12">
            <v>25</v>
          </cell>
          <cell r="DL12" t="str">
            <v>x</v>
          </cell>
          <cell r="DN12">
            <v>0.67</v>
          </cell>
          <cell r="DO12">
            <v>2750</v>
          </cell>
          <cell r="DP12">
            <v>1010</v>
          </cell>
          <cell r="DQ12">
            <v>510</v>
          </cell>
          <cell r="DR12">
            <v>800</v>
          </cell>
          <cell r="DS12">
            <v>600</v>
          </cell>
          <cell r="DT12">
            <v>0.55000000000000004</v>
          </cell>
          <cell r="DU12">
            <v>600</v>
          </cell>
          <cell r="DV12">
            <v>450</v>
          </cell>
          <cell r="DW12">
            <v>0.59950000000000014</v>
          </cell>
          <cell r="DX12" t="str">
            <v>1-stufig</v>
          </cell>
          <cell r="DY12">
            <v>2750</v>
          </cell>
          <cell r="DZ12">
            <v>0.84175084175084169</v>
          </cell>
          <cell r="EA12">
            <v>0.63131313131313127</v>
          </cell>
          <cell r="EB12">
            <v>1.473063973063973</v>
          </cell>
          <cell r="EC12">
            <v>2.3148148148148149</v>
          </cell>
          <cell r="ED12">
            <v>1.7361111111111112</v>
          </cell>
          <cell r="EE12">
            <v>4.0509259259259256</v>
          </cell>
          <cell r="EF12" t="str">
            <v>1-stufig</v>
          </cell>
          <cell r="EG12">
            <v>2750</v>
          </cell>
          <cell r="EH12">
            <v>0.57918635900287263</v>
          </cell>
          <cell r="EI12">
            <v>0.4343897692521545</v>
          </cell>
          <cell r="EJ12">
            <v>1.0135761282550271</v>
          </cell>
          <cell r="EK12">
            <v>1.5927624872578996</v>
          </cell>
          <cell r="EL12">
            <v>1.194571865443425</v>
          </cell>
          <cell r="EM12">
            <v>2.7873343527013246</v>
          </cell>
          <cell r="EN12" t="str">
            <v>s</v>
          </cell>
          <cell r="EO12">
            <v>0.30000000000000004</v>
          </cell>
          <cell r="EP12">
            <v>0.7</v>
          </cell>
          <cell r="EQ12" t="str">
            <v>m</v>
          </cell>
          <cell r="ER12">
            <v>70</v>
          </cell>
          <cell r="ES12">
            <v>80</v>
          </cell>
          <cell r="ET12">
            <v>10</v>
          </cell>
          <cell r="EU12">
            <v>20</v>
          </cell>
          <cell r="EV12">
            <v>230</v>
          </cell>
          <cell r="EW12">
            <v>130</v>
          </cell>
          <cell r="EX12">
            <v>100</v>
          </cell>
          <cell r="EY12">
            <v>20</v>
          </cell>
          <cell r="EZ12">
            <v>380</v>
          </cell>
          <cell r="FA12">
            <v>250</v>
          </cell>
          <cell r="FB12">
            <v>100</v>
          </cell>
          <cell r="FC12">
            <v>110</v>
          </cell>
          <cell r="FD12">
            <v>4.5</v>
          </cell>
          <cell r="FE12">
            <v>1.5</v>
          </cell>
          <cell r="FF12">
            <v>9</v>
          </cell>
          <cell r="FG12">
            <v>6</v>
          </cell>
          <cell r="FH12">
            <v>4</v>
          </cell>
          <cell r="FI12">
            <v>10</v>
          </cell>
          <cell r="FJ12">
            <v>9</v>
          </cell>
          <cell r="FK12">
            <v>9.5</v>
          </cell>
          <cell r="FL12">
            <v>11</v>
          </cell>
          <cell r="FM12">
            <v>70</v>
          </cell>
          <cell r="FN12" t="str">
            <v>x</v>
          </cell>
          <cell r="FO12">
            <v>0.25</v>
          </cell>
          <cell r="FP12">
            <v>1.3</v>
          </cell>
          <cell r="FQ12">
            <v>0.8</v>
          </cell>
          <cell r="FR12">
            <v>0.9</v>
          </cell>
          <cell r="FS12">
            <v>0.15</v>
          </cell>
          <cell r="FT12">
            <v>0.6</v>
          </cell>
          <cell r="FU12">
            <v>60</v>
          </cell>
          <cell r="FV12">
            <v>220</v>
          </cell>
          <cell r="FW12">
            <v>4</v>
          </cell>
          <cell r="FX12">
            <v>7</v>
          </cell>
          <cell r="FY12">
            <v>8</v>
          </cell>
          <cell r="FZ12">
            <v>7</v>
          </cell>
          <cell r="GA12">
            <v>6</v>
          </cell>
          <cell r="GB12">
            <v>6</v>
          </cell>
          <cell r="GC12">
            <v>7</v>
          </cell>
          <cell r="GD12">
            <v>5</v>
          </cell>
          <cell r="GE12">
            <v>4</v>
          </cell>
          <cell r="GF12">
            <v>14</v>
          </cell>
          <cell r="GG12">
            <v>14</v>
          </cell>
          <cell r="GH12">
            <v>13</v>
          </cell>
          <cell r="GI12">
            <v>13</v>
          </cell>
          <cell r="GJ12">
            <v>13</v>
          </cell>
          <cell r="GK12">
            <v>12</v>
          </cell>
          <cell r="GL12">
            <v>12</v>
          </cell>
          <cell r="GM12">
            <v>12</v>
          </cell>
          <cell r="GN12">
            <v>1145</v>
          </cell>
          <cell r="GO12">
            <v>4.32</v>
          </cell>
          <cell r="GP12">
            <v>4.9000000000000004</v>
          </cell>
          <cell r="GQ12">
            <v>1145</v>
          </cell>
          <cell r="GR12">
            <v>3.1</v>
          </cell>
          <cell r="GS12">
            <v>3.5</v>
          </cell>
          <cell r="GV12">
            <v>2750</v>
          </cell>
          <cell r="GW12">
            <v>1318.8600000000013</v>
          </cell>
          <cell r="GX12">
            <v>918.00000000000045</v>
          </cell>
        </row>
        <row r="13">
          <cell r="A13">
            <v>5</v>
          </cell>
          <cell r="B13" t="str">
            <v>Verkauf</v>
          </cell>
          <cell r="C13">
            <v>4</v>
          </cell>
          <cell r="D13">
            <v>20</v>
          </cell>
          <cell r="E13">
            <v>20</v>
          </cell>
          <cell r="F13">
            <v>400</v>
          </cell>
          <cell r="G13">
            <v>6</v>
          </cell>
          <cell r="H13">
            <v>5</v>
          </cell>
          <cell r="I13">
            <v>4</v>
          </cell>
          <cell r="J13">
            <v>300</v>
          </cell>
          <cell r="K13">
            <v>0.75200000000000022</v>
          </cell>
          <cell r="L13">
            <v>0</v>
          </cell>
          <cell r="M13">
            <v>0</v>
          </cell>
          <cell r="N13">
            <v>0</v>
          </cell>
          <cell r="O13">
            <v>0</v>
          </cell>
          <cell r="P13">
            <v>0</v>
          </cell>
          <cell r="Q13">
            <v>0</v>
          </cell>
          <cell r="R13">
            <v>0</v>
          </cell>
          <cell r="S13">
            <v>0.2</v>
          </cell>
          <cell r="T13">
            <v>0.4</v>
          </cell>
          <cell r="U13">
            <v>0.4</v>
          </cell>
          <cell r="V13">
            <v>0.4</v>
          </cell>
          <cell r="W13">
            <v>0.6</v>
          </cell>
          <cell r="X13">
            <v>0.6</v>
          </cell>
          <cell r="Y13">
            <v>0.6</v>
          </cell>
          <cell r="Z13">
            <v>0.4</v>
          </cell>
          <cell r="AA13">
            <v>0.4</v>
          </cell>
          <cell r="AB13">
            <v>0.6</v>
          </cell>
          <cell r="AC13">
            <v>0.8</v>
          </cell>
          <cell r="AD13">
            <v>0.6</v>
          </cell>
          <cell r="AE13">
            <v>0</v>
          </cell>
          <cell r="AF13">
            <v>0</v>
          </cell>
          <cell r="AG13">
            <v>0</v>
          </cell>
          <cell r="AH13">
            <v>0</v>
          </cell>
          <cell r="AI13">
            <v>0</v>
          </cell>
          <cell r="AJ13">
            <v>0</v>
          </cell>
          <cell r="AK13">
            <v>0</v>
          </cell>
          <cell r="AL13">
            <v>0</v>
          </cell>
          <cell r="AM13">
            <v>0</v>
          </cell>
          <cell r="AN13">
            <v>0</v>
          </cell>
          <cell r="AO13">
            <v>0</v>
          </cell>
          <cell r="AP13">
            <v>0</v>
          </cell>
          <cell r="AQ13">
            <v>1</v>
          </cell>
          <cell r="AR13">
            <v>1</v>
          </cell>
          <cell r="AS13">
            <v>1</v>
          </cell>
          <cell r="AT13">
            <v>1</v>
          </cell>
          <cell r="AU13">
            <v>1</v>
          </cell>
          <cell r="AV13">
            <v>1</v>
          </cell>
          <cell r="AW13">
            <v>1</v>
          </cell>
          <cell r="AX13">
            <v>1</v>
          </cell>
          <cell r="AY13">
            <v>1</v>
          </cell>
          <cell r="AZ13">
            <v>1</v>
          </cell>
          <cell r="BA13">
            <v>1</v>
          </cell>
          <cell r="BB13">
            <v>1</v>
          </cell>
          <cell r="BC13">
            <v>0</v>
          </cell>
          <cell r="BD13">
            <v>0</v>
          </cell>
          <cell r="BE13">
            <v>0</v>
          </cell>
          <cell r="BF13">
            <v>0</v>
          </cell>
          <cell r="BG13">
            <v>0</v>
          </cell>
          <cell r="BH13">
            <v>0.8</v>
          </cell>
          <cell r="BI13">
            <v>0.8</v>
          </cell>
          <cell r="BJ13">
            <v>0.8</v>
          </cell>
          <cell r="BK13">
            <v>0.8</v>
          </cell>
          <cell r="BL13">
            <v>0.8</v>
          </cell>
          <cell r="BM13">
            <v>0.8</v>
          </cell>
          <cell r="BN13">
            <v>0.4</v>
          </cell>
          <cell r="BO13">
            <v>0.4</v>
          </cell>
          <cell r="BP13">
            <v>0.8</v>
          </cell>
          <cell r="BQ13">
            <v>0.8</v>
          </cell>
          <cell r="BR13">
            <v>0.8</v>
          </cell>
          <cell r="BS13">
            <v>0.8</v>
          </cell>
          <cell r="BT13">
            <v>0.8</v>
          </cell>
          <cell r="BU13">
            <v>0.8</v>
          </cell>
          <cell r="BV13">
            <v>0.8</v>
          </cell>
          <cell r="BW13">
            <v>0</v>
          </cell>
          <cell r="BX13">
            <v>0.4</v>
          </cell>
          <cell r="BY13">
            <v>0.4</v>
          </cell>
          <cell r="BZ13">
            <v>0.8</v>
          </cell>
          <cell r="CA13">
            <v>0.8</v>
          </cell>
          <cell r="CB13">
            <v>0.8</v>
          </cell>
          <cell r="CC13">
            <v>0.8</v>
          </cell>
          <cell r="CD13">
            <v>0.8</v>
          </cell>
          <cell r="CE13">
            <v>0.8</v>
          </cell>
          <cell r="CF13">
            <v>0.8</v>
          </cell>
          <cell r="CG13">
            <v>0.8</v>
          </cell>
          <cell r="CH13">
            <v>0.4</v>
          </cell>
          <cell r="CI13">
            <v>0.4</v>
          </cell>
          <cell r="CJ13">
            <v>0.4</v>
          </cell>
          <cell r="CK13">
            <v>0.4</v>
          </cell>
          <cell r="CL13">
            <v>0.8</v>
          </cell>
          <cell r="CM13">
            <v>0.8</v>
          </cell>
          <cell r="CN13">
            <v>0.8</v>
          </cell>
          <cell r="CO13">
            <v>0.8</v>
          </cell>
          <cell r="CP13">
            <v>0.8</v>
          </cell>
          <cell r="CQ13">
            <v>0.8</v>
          </cell>
          <cell r="CR13">
            <v>0.8</v>
          </cell>
          <cell r="CS13">
            <v>0.8</v>
          </cell>
          <cell r="CT13">
            <v>0.8</v>
          </cell>
          <cell r="CU13">
            <v>0.8</v>
          </cell>
          <cell r="CV13">
            <v>0.8</v>
          </cell>
          <cell r="CW13">
            <v>0.8</v>
          </cell>
          <cell r="CX13">
            <v>0.8</v>
          </cell>
          <cell r="CY13">
            <v>0.8</v>
          </cell>
          <cell r="CZ13">
            <v>0.8</v>
          </cell>
          <cell r="DA13">
            <v>0.8</v>
          </cell>
          <cell r="DB13">
            <v>0.8</v>
          </cell>
          <cell r="DC13">
            <v>1</v>
          </cell>
          <cell r="DD13">
            <v>1</v>
          </cell>
          <cell r="DE13">
            <v>1</v>
          </cell>
          <cell r="DF13">
            <v>1</v>
          </cell>
          <cell r="DG13">
            <v>0</v>
          </cell>
          <cell r="DH13" t="str">
            <v>x</v>
          </cell>
          <cell r="DJ13">
            <v>25</v>
          </cell>
          <cell r="DK13">
            <v>25</v>
          </cell>
          <cell r="DL13" t="str">
            <v>x</v>
          </cell>
          <cell r="DN13">
            <v>0.67</v>
          </cell>
          <cell r="DO13">
            <v>3600</v>
          </cell>
          <cell r="DP13">
            <v>1140</v>
          </cell>
          <cell r="DQ13">
            <v>580</v>
          </cell>
          <cell r="DR13">
            <v>800</v>
          </cell>
          <cell r="DS13">
            <v>600</v>
          </cell>
          <cell r="DT13">
            <v>0.55000000000000004</v>
          </cell>
          <cell r="DU13">
            <v>600</v>
          </cell>
          <cell r="DV13">
            <v>450</v>
          </cell>
          <cell r="DW13">
            <v>0.59950000000000014</v>
          </cell>
          <cell r="DX13" t="str">
            <v>1-stufig</v>
          </cell>
          <cell r="DY13">
            <v>3600</v>
          </cell>
          <cell r="DZ13">
            <v>2.0202020202020199</v>
          </cell>
          <cell r="EA13">
            <v>1.5151515151515149</v>
          </cell>
          <cell r="EB13">
            <v>3.5353535353535346</v>
          </cell>
          <cell r="EC13">
            <v>7.2727272727272716</v>
          </cell>
          <cell r="ED13">
            <v>5.4545454545454541</v>
          </cell>
          <cell r="EE13">
            <v>12.727272727272727</v>
          </cell>
          <cell r="EF13" t="str">
            <v>2-stufig</v>
          </cell>
          <cell r="EG13">
            <v>1140</v>
          </cell>
          <cell r="EH13">
            <v>1.3900472616068944</v>
          </cell>
          <cell r="EI13">
            <v>1.0425354462051706</v>
          </cell>
          <cell r="EJ13">
            <v>2.432582707812065</v>
          </cell>
          <cell r="EK13">
            <v>1.5846538782318595</v>
          </cell>
          <cell r="EL13">
            <v>1.1884904086738945</v>
          </cell>
          <cell r="EM13">
            <v>2.7731442869057541</v>
          </cell>
          <cell r="EN13" t="str">
            <v>s</v>
          </cell>
          <cell r="EO13">
            <v>0.30000000000000004</v>
          </cell>
          <cell r="EP13">
            <v>0.7</v>
          </cell>
          <cell r="EQ13" t="str">
            <v>m</v>
          </cell>
          <cell r="ER13">
            <v>70</v>
          </cell>
          <cell r="ES13">
            <v>80</v>
          </cell>
          <cell r="ET13">
            <v>10</v>
          </cell>
          <cell r="EU13">
            <v>20</v>
          </cell>
          <cell r="EV13">
            <v>230</v>
          </cell>
          <cell r="EW13">
            <v>130</v>
          </cell>
          <cell r="EX13">
            <v>100</v>
          </cell>
          <cell r="EY13">
            <v>20</v>
          </cell>
          <cell r="EZ13">
            <v>380</v>
          </cell>
          <cell r="FA13">
            <v>250</v>
          </cell>
          <cell r="FB13">
            <v>100</v>
          </cell>
          <cell r="FC13">
            <v>110</v>
          </cell>
          <cell r="FD13">
            <v>11.5</v>
          </cell>
          <cell r="FE13">
            <v>1</v>
          </cell>
          <cell r="FF13">
            <v>12</v>
          </cell>
          <cell r="FG13">
            <v>14</v>
          </cell>
          <cell r="FH13">
            <v>2</v>
          </cell>
          <cell r="FI13">
            <v>14</v>
          </cell>
          <cell r="FJ13">
            <v>17.5</v>
          </cell>
          <cell r="FK13">
            <v>3</v>
          </cell>
          <cell r="FL13">
            <v>15.5</v>
          </cell>
          <cell r="FM13">
            <v>70</v>
          </cell>
          <cell r="FN13" t="str">
            <v>x</v>
          </cell>
          <cell r="FO13">
            <v>0.25</v>
          </cell>
          <cell r="FP13">
            <v>1.3</v>
          </cell>
          <cell r="FQ13">
            <v>0.8</v>
          </cell>
          <cell r="FR13">
            <v>0.9</v>
          </cell>
          <cell r="FS13">
            <v>0.15</v>
          </cell>
          <cell r="FT13">
            <v>0.6</v>
          </cell>
          <cell r="FU13">
            <v>130</v>
          </cell>
          <cell r="FV13">
            <v>225</v>
          </cell>
          <cell r="FW13">
            <v>5</v>
          </cell>
          <cell r="FX13">
            <v>6</v>
          </cell>
          <cell r="FY13">
            <v>6</v>
          </cell>
          <cell r="FZ13">
            <v>9</v>
          </cell>
          <cell r="GA13">
            <v>8</v>
          </cell>
          <cell r="GB13">
            <v>10</v>
          </cell>
          <cell r="GC13">
            <v>11</v>
          </cell>
          <cell r="GD13">
            <v>10</v>
          </cell>
          <cell r="GE13">
            <v>11</v>
          </cell>
          <cell r="GF13">
            <v>7</v>
          </cell>
          <cell r="GG13">
            <v>7</v>
          </cell>
          <cell r="GH13">
            <v>10</v>
          </cell>
          <cell r="GI13">
            <v>9</v>
          </cell>
          <cell r="GJ13">
            <v>11</v>
          </cell>
          <cell r="GK13">
            <v>12</v>
          </cell>
          <cell r="GL13">
            <v>11</v>
          </cell>
          <cell r="GM13">
            <v>12</v>
          </cell>
          <cell r="GN13">
            <v>2795</v>
          </cell>
          <cell r="GO13">
            <v>4.83</v>
          </cell>
          <cell r="GP13">
            <v>13.5</v>
          </cell>
          <cell r="GQ13">
            <v>2795</v>
          </cell>
          <cell r="GR13">
            <v>3.5</v>
          </cell>
          <cell r="GS13">
            <v>9.8000000000000007</v>
          </cell>
          <cell r="GV13">
            <v>3600</v>
          </cell>
          <cell r="GW13">
            <v>1863.4560000000008</v>
          </cell>
          <cell r="GX13">
            <v>1353.6000000000001</v>
          </cell>
        </row>
        <row r="14">
          <cell r="A14">
            <v>6</v>
          </cell>
          <cell r="B14" t="str">
            <v>Verkauf mit Kühlprodukten</v>
          </cell>
          <cell r="C14">
            <v>4</v>
          </cell>
          <cell r="D14">
            <v>20</v>
          </cell>
          <cell r="E14">
            <v>20</v>
          </cell>
          <cell r="F14">
            <v>400</v>
          </cell>
          <cell r="G14">
            <v>6</v>
          </cell>
          <cell r="H14">
            <v>5</v>
          </cell>
          <cell r="I14">
            <v>4</v>
          </cell>
          <cell r="J14">
            <v>300</v>
          </cell>
          <cell r="K14">
            <v>0.75200000000000022</v>
          </cell>
          <cell r="L14">
            <v>0</v>
          </cell>
          <cell r="M14">
            <v>0</v>
          </cell>
          <cell r="N14">
            <v>0</v>
          </cell>
          <cell r="O14">
            <v>0</v>
          </cell>
          <cell r="P14">
            <v>0</v>
          </cell>
          <cell r="Q14">
            <v>0</v>
          </cell>
          <cell r="R14">
            <v>0</v>
          </cell>
          <cell r="S14">
            <v>0.2</v>
          </cell>
          <cell r="T14">
            <v>0.4</v>
          </cell>
          <cell r="U14">
            <v>0.4</v>
          </cell>
          <cell r="V14">
            <v>0.4</v>
          </cell>
          <cell r="W14">
            <v>0.6</v>
          </cell>
          <cell r="X14">
            <v>0.6</v>
          </cell>
          <cell r="Y14">
            <v>0.6</v>
          </cell>
          <cell r="Z14">
            <v>0.4</v>
          </cell>
          <cell r="AA14">
            <v>0.4</v>
          </cell>
          <cell r="AB14">
            <v>0.6</v>
          </cell>
          <cell r="AC14">
            <v>0.8</v>
          </cell>
          <cell r="AD14">
            <v>0.6</v>
          </cell>
          <cell r="AE14">
            <v>0</v>
          </cell>
          <cell r="AF14">
            <v>0</v>
          </cell>
          <cell r="AG14">
            <v>0</v>
          </cell>
          <cell r="AH14">
            <v>0</v>
          </cell>
          <cell r="AI14">
            <v>0</v>
          </cell>
          <cell r="AJ14">
            <v>0</v>
          </cell>
          <cell r="AK14">
            <v>0</v>
          </cell>
          <cell r="AL14">
            <v>0</v>
          </cell>
          <cell r="AM14">
            <v>0</v>
          </cell>
          <cell r="AN14">
            <v>0</v>
          </cell>
          <cell r="AO14">
            <v>0</v>
          </cell>
          <cell r="AP14">
            <v>0</v>
          </cell>
          <cell r="AQ14">
            <v>1</v>
          </cell>
          <cell r="AR14">
            <v>1</v>
          </cell>
          <cell r="AS14">
            <v>1</v>
          </cell>
          <cell r="AT14">
            <v>1</v>
          </cell>
          <cell r="AU14">
            <v>1</v>
          </cell>
          <cell r="AV14">
            <v>1</v>
          </cell>
          <cell r="AW14">
            <v>1</v>
          </cell>
          <cell r="AX14">
            <v>1</v>
          </cell>
          <cell r="AY14">
            <v>1</v>
          </cell>
          <cell r="AZ14">
            <v>1</v>
          </cell>
          <cell r="BA14">
            <v>1</v>
          </cell>
          <cell r="BB14">
            <v>1</v>
          </cell>
          <cell r="BC14">
            <v>0</v>
          </cell>
          <cell r="BD14">
            <v>0</v>
          </cell>
          <cell r="BE14">
            <v>0</v>
          </cell>
          <cell r="BF14">
            <v>0</v>
          </cell>
          <cell r="BG14">
            <v>0</v>
          </cell>
          <cell r="BH14">
            <v>0.8</v>
          </cell>
          <cell r="BI14">
            <v>0.8</v>
          </cell>
          <cell r="BJ14">
            <v>0.8</v>
          </cell>
          <cell r="BK14">
            <v>0.8</v>
          </cell>
          <cell r="BL14">
            <v>0.8</v>
          </cell>
          <cell r="BM14">
            <v>0.8</v>
          </cell>
          <cell r="BN14">
            <v>0.4</v>
          </cell>
          <cell r="BO14">
            <v>0.4</v>
          </cell>
          <cell r="BP14">
            <v>0.8</v>
          </cell>
          <cell r="BQ14">
            <v>0.8</v>
          </cell>
          <cell r="BR14">
            <v>0.8</v>
          </cell>
          <cell r="BS14">
            <v>0.8</v>
          </cell>
          <cell r="BT14">
            <v>0.8</v>
          </cell>
          <cell r="BU14">
            <v>0.8</v>
          </cell>
          <cell r="BV14">
            <v>0.8</v>
          </cell>
          <cell r="BW14">
            <v>0</v>
          </cell>
          <cell r="BX14">
            <v>0.4</v>
          </cell>
          <cell r="BY14">
            <v>0.4</v>
          </cell>
          <cell r="BZ14">
            <v>0.8</v>
          </cell>
          <cell r="CA14">
            <v>0.8</v>
          </cell>
          <cell r="CB14">
            <v>0.8</v>
          </cell>
          <cell r="CC14">
            <v>0.8</v>
          </cell>
          <cell r="CD14">
            <v>0.8</v>
          </cell>
          <cell r="CE14">
            <v>0.8</v>
          </cell>
          <cell r="CF14">
            <v>0.8</v>
          </cell>
          <cell r="CG14">
            <v>0.8</v>
          </cell>
          <cell r="CH14">
            <v>0.4</v>
          </cell>
          <cell r="CI14">
            <v>0.4</v>
          </cell>
          <cell r="CJ14">
            <v>0.4</v>
          </cell>
          <cell r="CK14">
            <v>0.4</v>
          </cell>
          <cell r="CL14">
            <v>0.8</v>
          </cell>
          <cell r="CM14">
            <v>0.8</v>
          </cell>
          <cell r="CN14">
            <v>0.8</v>
          </cell>
          <cell r="CO14">
            <v>0.8</v>
          </cell>
          <cell r="CP14">
            <v>0.8</v>
          </cell>
          <cell r="CQ14">
            <v>0.8</v>
          </cell>
          <cell r="CR14">
            <v>0.8</v>
          </cell>
          <cell r="CS14">
            <v>0.8</v>
          </cell>
          <cell r="CT14">
            <v>0.8</v>
          </cell>
          <cell r="CU14">
            <v>0.8</v>
          </cell>
          <cell r="CV14">
            <v>0.8</v>
          </cell>
          <cell r="CW14">
            <v>0.8</v>
          </cell>
          <cell r="CX14">
            <v>0.8</v>
          </cell>
          <cell r="CY14">
            <v>0.8</v>
          </cell>
          <cell r="CZ14">
            <v>0.8</v>
          </cell>
          <cell r="DA14">
            <v>0.8</v>
          </cell>
          <cell r="DB14">
            <v>0.8</v>
          </cell>
          <cell r="DC14">
            <v>1</v>
          </cell>
          <cell r="DD14">
            <v>1</v>
          </cell>
          <cell r="DE14">
            <v>1</v>
          </cell>
          <cell r="DF14">
            <v>1</v>
          </cell>
          <cell r="DG14">
            <v>0</v>
          </cell>
          <cell r="DH14" t="str">
            <v>x</v>
          </cell>
          <cell r="DJ14">
            <v>25</v>
          </cell>
          <cell r="DK14">
            <v>25</v>
          </cell>
          <cell r="DL14" t="str">
            <v>x</v>
          </cell>
          <cell r="DN14">
            <v>0.67</v>
          </cell>
          <cell r="DO14">
            <v>3600</v>
          </cell>
          <cell r="DP14">
            <v>1140</v>
          </cell>
          <cell r="DQ14">
            <v>580</v>
          </cell>
          <cell r="DR14">
            <v>800</v>
          </cell>
          <cell r="DS14">
            <v>600</v>
          </cell>
          <cell r="DT14">
            <v>0.55000000000000004</v>
          </cell>
          <cell r="DU14">
            <v>600</v>
          </cell>
          <cell r="DV14">
            <v>450</v>
          </cell>
          <cell r="DW14">
            <v>0.59950000000000014</v>
          </cell>
          <cell r="DX14" t="str">
            <v>1-stufig</v>
          </cell>
          <cell r="DY14">
            <v>3600</v>
          </cell>
          <cell r="DZ14">
            <v>2.0202020202020199</v>
          </cell>
          <cell r="EA14">
            <v>1.5151515151515149</v>
          </cell>
          <cell r="EB14">
            <v>3.5353535353535346</v>
          </cell>
          <cell r="EC14">
            <v>7.2727272727272716</v>
          </cell>
          <cell r="ED14">
            <v>5.4545454545454541</v>
          </cell>
          <cell r="EE14">
            <v>12.727272727272727</v>
          </cell>
          <cell r="EF14" t="str">
            <v>2-stufig</v>
          </cell>
          <cell r="EG14">
            <v>1140</v>
          </cell>
          <cell r="EH14">
            <v>1.3900472616068944</v>
          </cell>
          <cell r="EI14">
            <v>1.0425354462051706</v>
          </cell>
          <cell r="EJ14">
            <v>2.432582707812065</v>
          </cell>
          <cell r="EK14">
            <v>1.5846538782318595</v>
          </cell>
          <cell r="EL14">
            <v>1.1884904086738945</v>
          </cell>
          <cell r="EM14">
            <v>2.7731442869057541</v>
          </cell>
          <cell r="EN14" t="str">
            <v>s</v>
          </cell>
          <cell r="EO14">
            <v>0.30000000000000004</v>
          </cell>
          <cell r="EP14">
            <v>0.7</v>
          </cell>
          <cell r="EQ14" t="str">
            <v>m</v>
          </cell>
          <cell r="ER14">
            <v>70</v>
          </cell>
          <cell r="ES14">
            <v>80</v>
          </cell>
          <cell r="ET14">
            <v>10</v>
          </cell>
          <cell r="EU14">
            <v>20</v>
          </cell>
          <cell r="EV14">
            <v>230</v>
          </cell>
          <cell r="EW14">
            <v>130</v>
          </cell>
          <cell r="EX14">
            <v>100</v>
          </cell>
          <cell r="EY14">
            <v>20</v>
          </cell>
          <cell r="EZ14">
            <v>380</v>
          </cell>
          <cell r="FA14">
            <v>250</v>
          </cell>
          <cell r="FB14">
            <v>100</v>
          </cell>
          <cell r="FC14">
            <v>110</v>
          </cell>
          <cell r="FD14">
            <v>11.5</v>
          </cell>
          <cell r="FE14">
            <v>-12</v>
          </cell>
          <cell r="FF14">
            <v>12</v>
          </cell>
          <cell r="FG14">
            <v>14</v>
          </cell>
          <cell r="FH14">
            <v>-10</v>
          </cell>
          <cell r="FI14">
            <v>14</v>
          </cell>
          <cell r="FJ14">
            <v>17.5</v>
          </cell>
          <cell r="FK14">
            <v>-8</v>
          </cell>
          <cell r="FL14">
            <v>15.5</v>
          </cell>
          <cell r="FM14">
            <v>70</v>
          </cell>
          <cell r="FN14" t="str">
            <v>x</v>
          </cell>
          <cell r="FO14">
            <v>0.25</v>
          </cell>
          <cell r="FP14">
            <v>1.3</v>
          </cell>
          <cell r="FQ14">
            <v>0.8</v>
          </cell>
          <cell r="FR14">
            <v>0.9</v>
          </cell>
          <cell r="FS14">
            <v>0.15</v>
          </cell>
          <cell r="FT14">
            <v>0.6</v>
          </cell>
          <cell r="FU14">
            <v>130</v>
          </cell>
          <cell r="FV14">
            <v>225</v>
          </cell>
          <cell r="FW14">
            <v>6</v>
          </cell>
          <cell r="FX14">
            <v>6</v>
          </cell>
          <cell r="FY14">
            <v>6</v>
          </cell>
          <cell r="FZ14">
            <v>9</v>
          </cell>
          <cell r="GA14">
            <v>8</v>
          </cell>
          <cell r="GB14">
            <v>10</v>
          </cell>
          <cell r="GC14">
            <v>11</v>
          </cell>
          <cell r="GD14">
            <v>10</v>
          </cell>
          <cell r="GE14">
            <v>11</v>
          </cell>
          <cell r="GF14">
            <v>7</v>
          </cell>
          <cell r="GG14">
            <v>7</v>
          </cell>
          <cell r="GH14">
            <v>10</v>
          </cell>
          <cell r="GI14">
            <v>9</v>
          </cell>
          <cell r="GJ14">
            <v>11</v>
          </cell>
          <cell r="GK14">
            <v>12</v>
          </cell>
          <cell r="GL14">
            <v>11</v>
          </cell>
          <cell r="GM14">
            <v>12</v>
          </cell>
          <cell r="GN14">
            <v>3110</v>
          </cell>
          <cell r="GO14">
            <v>1.61</v>
          </cell>
          <cell r="GP14">
            <v>5</v>
          </cell>
          <cell r="GQ14">
            <v>3110</v>
          </cell>
          <cell r="GR14">
            <v>1.2</v>
          </cell>
          <cell r="GS14">
            <v>3.7</v>
          </cell>
          <cell r="GV14">
            <v>3600</v>
          </cell>
          <cell r="GW14">
            <v>1863.4560000000008</v>
          </cell>
          <cell r="GX14">
            <v>1353.6000000000001</v>
          </cell>
        </row>
        <row r="15">
          <cell r="A15">
            <v>7</v>
          </cell>
          <cell r="B15" t="str">
            <v>Warenhaus</v>
          </cell>
          <cell r="C15">
            <v>4</v>
          </cell>
          <cell r="D15">
            <v>40</v>
          </cell>
          <cell r="E15">
            <v>40</v>
          </cell>
          <cell r="F15">
            <v>1600</v>
          </cell>
          <cell r="G15">
            <v>3.5</v>
          </cell>
          <cell r="H15">
            <v>3</v>
          </cell>
          <cell r="I15">
            <v>2.5</v>
          </cell>
          <cell r="J15">
            <v>300</v>
          </cell>
          <cell r="K15">
            <v>0.75200000000000022</v>
          </cell>
          <cell r="L15">
            <v>0</v>
          </cell>
          <cell r="M15">
            <v>0</v>
          </cell>
          <cell r="N15">
            <v>0</v>
          </cell>
          <cell r="O15">
            <v>0</v>
          </cell>
          <cell r="P15">
            <v>0</v>
          </cell>
          <cell r="Q15">
            <v>0</v>
          </cell>
          <cell r="R15">
            <v>0</v>
          </cell>
          <cell r="S15">
            <v>0.2</v>
          </cell>
          <cell r="T15">
            <v>0.4</v>
          </cell>
          <cell r="U15">
            <v>0.4</v>
          </cell>
          <cell r="V15">
            <v>0.4</v>
          </cell>
          <cell r="W15">
            <v>0.6</v>
          </cell>
          <cell r="X15">
            <v>0.6</v>
          </cell>
          <cell r="Y15">
            <v>0.6</v>
          </cell>
          <cell r="Z15">
            <v>0.4</v>
          </cell>
          <cell r="AA15">
            <v>0.4</v>
          </cell>
          <cell r="AB15">
            <v>0.6</v>
          </cell>
          <cell r="AC15">
            <v>0.8</v>
          </cell>
          <cell r="AD15">
            <v>0.6</v>
          </cell>
          <cell r="AE15">
            <v>0</v>
          </cell>
          <cell r="AF15">
            <v>0</v>
          </cell>
          <cell r="AG15">
            <v>0</v>
          </cell>
          <cell r="AH15">
            <v>0</v>
          </cell>
          <cell r="AI15">
            <v>0</v>
          </cell>
          <cell r="AJ15">
            <v>0</v>
          </cell>
          <cell r="AK15">
            <v>0</v>
          </cell>
          <cell r="AL15">
            <v>0</v>
          </cell>
          <cell r="AM15">
            <v>0</v>
          </cell>
          <cell r="AN15">
            <v>0</v>
          </cell>
          <cell r="AO15">
            <v>0</v>
          </cell>
          <cell r="AP15">
            <v>0</v>
          </cell>
          <cell r="AQ15">
            <v>1</v>
          </cell>
          <cell r="AR15">
            <v>1</v>
          </cell>
          <cell r="AS15">
            <v>1</v>
          </cell>
          <cell r="AT15">
            <v>1</v>
          </cell>
          <cell r="AU15">
            <v>1</v>
          </cell>
          <cell r="AV15">
            <v>1</v>
          </cell>
          <cell r="AW15">
            <v>1</v>
          </cell>
          <cell r="AX15">
            <v>1</v>
          </cell>
          <cell r="AY15">
            <v>1</v>
          </cell>
          <cell r="AZ15">
            <v>1</v>
          </cell>
          <cell r="BA15">
            <v>1</v>
          </cell>
          <cell r="BB15">
            <v>1</v>
          </cell>
          <cell r="BC15">
            <v>0</v>
          </cell>
          <cell r="BD15">
            <v>0</v>
          </cell>
          <cell r="BE15">
            <v>0</v>
          </cell>
          <cell r="BF15">
            <v>0</v>
          </cell>
          <cell r="BG15">
            <v>0</v>
          </cell>
          <cell r="BH15">
            <v>0.8</v>
          </cell>
          <cell r="BI15">
            <v>0.8</v>
          </cell>
          <cell r="BJ15">
            <v>0.8</v>
          </cell>
          <cell r="BK15">
            <v>0.8</v>
          </cell>
          <cell r="BL15">
            <v>0.8</v>
          </cell>
          <cell r="BM15">
            <v>0.8</v>
          </cell>
          <cell r="BN15">
            <v>0.4</v>
          </cell>
          <cell r="BO15">
            <v>0.4</v>
          </cell>
          <cell r="BP15">
            <v>0.8</v>
          </cell>
          <cell r="BQ15">
            <v>0.8</v>
          </cell>
          <cell r="BR15">
            <v>0.8</v>
          </cell>
          <cell r="BS15">
            <v>0.8</v>
          </cell>
          <cell r="BT15">
            <v>0.8</v>
          </cell>
          <cell r="BU15">
            <v>0.8</v>
          </cell>
          <cell r="BV15">
            <v>0.8</v>
          </cell>
          <cell r="BW15">
            <v>0</v>
          </cell>
          <cell r="BX15">
            <v>0.4</v>
          </cell>
          <cell r="BY15">
            <v>0.4</v>
          </cell>
          <cell r="BZ15">
            <v>0.8</v>
          </cell>
          <cell r="CA15">
            <v>0.8</v>
          </cell>
          <cell r="CB15">
            <v>0.8</v>
          </cell>
          <cell r="CC15">
            <v>0.8</v>
          </cell>
          <cell r="CD15">
            <v>0.8</v>
          </cell>
          <cell r="CE15">
            <v>0.8</v>
          </cell>
          <cell r="CF15">
            <v>0.8</v>
          </cell>
          <cell r="CG15">
            <v>0.8</v>
          </cell>
          <cell r="CH15">
            <v>0.4</v>
          </cell>
          <cell r="CI15">
            <v>0.4</v>
          </cell>
          <cell r="CJ15">
            <v>0.4</v>
          </cell>
          <cell r="CK15">
            <v>0.4</v>
          </cell>
          <cell r="CL15">
            <v>0.8</v>
          </cell>
          <cell r="CM15">
            <v>0.8</v>
          </cell>
          <cell r="CN15">
            <v>0.8</v>
          </cell>
          <cell r="CO15">
            <v>0.8</v>
          </cell>
          <cell r="CP15">
            <v>0.8</v>
          </cell>
          <cell r="CQ15">
            <v>0.8</v>
          </cell>
          <cell r="CR15">
            <v>0.8</v>
          </cell>
          <cell r="CS15">
            <v>0.8</v>
          </cell>
          <cell r="CT15">
            <v>0.8</v>
          </cell>
          <cell r="CU15">
            <v>0.8</v>
          </cell>
          <cell r="CV15">
            <v>0.8</v>
          </cell>
          <cell r="CW15">
            <v>0.8</v>
          </cell>
          <cell r="CX15">
            <v>0.8</v>
          </cell>
          <cell r="CY15">
            <v>0.8</v>
          </cell>
          <cell r="CZ15">
            <v>0.8</v>
          </cell>
          <cell r="DA15">
            <v>0.8</v>
          </cell>
          <cell r="DB15">
            <v>0.8</v>
          </cell>
          <cell r="DC15">
            <v>1</v>
          </cell>
          <cell r="DD15">
            <v>1</v>
          </cell>
          <cell r="DE15">
            <v>1</v>
          </cell>
          <cell r="DF15">
            <v>1</v>
          </cell>
          <cell r="DG15">
            <v>0</v>
          </cell>
          <cell r="DH15" t="str">
            <v>x</v>
          </cell>
          <cell r="DJ15">
            <v>25</v>
          </cell>
          <cell r="DK15">
            <v>25</v>
          </cell>
          <cell r="DL15" t="str">
            <v>x</v>
          </cell>
          <cell r="DN15">
            <v>0.67</v>
          </cell>
          <cell r="DO15">
            <v>3600</v>
          </cell>
          <cell r="DP15">
            <v>1140</v>
          </cell>
          <cell r="DQ15">
            <v>580</v>
          </cell>
          <cell r="DR15">
            <v>800</v>
          </cell>
          <cell r="DS15">
            <v>600</v>
          </cell>
          <cell r="DT15">
            <v>0.55000000000000004</v>
          </cell>
          <cell r="DU15">
            <v>600</v>
          </cell>
          <cell r="DV15">
            <v>450</v>
          </cell>
          <cell r="DW15">
            <v>0.59950000000000014</v>
          </cell>
          <cell r="DX15" t="str">
            <v>1-stufig</v>
          </cell>
          <cell r="DY15">
            <v>3600</v>
          </cell>
          <cell r="DZ15">
            <v>3.3670033670033668</v>
          </cell>
          <cell r="EA15">
            <v>2.5252525252525251</v>
          </cell>
          <cell r="EB15">
            <v>5.8922558922558919</v>
          </cell>
          <cell r="EC15">
            <v>12.121212121212119</v>
          </cell>
          <cell r="ED15">
            <v>9.0909090909090899</v>
          </cell>
          <cell r="EE15">
            <v>21.212121212121211</v>
          </cell>
          <cell r="EF15" t="str">
            <v>2-stufig</v>
          </cell>
          <cell r="EG15">
            <v>1140</v>
          </cell>
          <cell r="EH15">
            <v>2.3167454360114905</v>
          </cell>
          <cell r="EI15">
            <v>1.737559077008618</v>
          </cell>
          <cell r="EJ15">
            <v>4.0543045130201083</v>
          </cell>
          <cell r="EK15">
            <v>2.6410897970530991</v>
          </cell>
          <cell r="EL15">
            <v>1.9808173477898245</v>
          </cell>
          <cell r="EM15">
            <v>4.6219071448429236</v>
          </cell>
          <cell r="EN15" t="str">
            <v>s</v>
          </cell>
          <cell r="EO15">
            <v>0.30000000000000004</v>
          </cell>
          <cell r="EP15">
            <v>0.7</v>
          </cell>
          <cell r="EQ15" t="str">
            <v>m</v>
          </cell>
          <cell r="ER15">
            <v>70</v>
          </cell>
          <cell r="ES15">
            <v>80</v>
          </cell>
          <cell r="ET15">
            <v>10</v>
          </cell>
          <cell r="EU15">
            <v>20</v>
          </cell>
          <cell r="EV15">
            <v>230</v>
          </cell>
          <cell r="EW15">
            <v>130</v>
          </cell>
          <cell r="EX15">
            <v>100</v>
          </cell>
          <cell r="EY15">
            <v>20</v>
          </cell>
          <cell r="EZ15">
            <v>380</v>
          </cell>
          <cell r="FA15">
            <v>250</v>
          </cell>
          <cell r="FB15">
            <v>100</v>
          </cell>
          <cell r="FC15">
            <v>110</v>
          </cell>
          <cell r="FD15">
            <v>20</v>
          </cell>
          <cell r="FE15">
            <v>1</v>
          </cell>
          <cell r="FF15">
            <v>13.5</v>
          </cell>
          <cell r="FG15">
            <v>23.5</v>
          </cell>
          <cell r="FH15">
            <v>2</v>
          </cell>
          <cell r="FI15">
            <v>15</v>
          </cell>
          <cell r="FJ15">
            <v>28</v>
          </cell>
          <cell r="FK15">
            <v>3</v>
          </cell>
          <cell r="FL15">
            <v>16.5</v>
          </cell>
          <cell r="FM15">
            <v>70</v>
          </cell>
          <cell r="FN15" t="str">
            <v>x</v>
          </cell>
          <cell r="FO15">
            <v>0.25</v>
          </cell>
          <cell r="FP15">
            <v>1.3</v>
          </cell>
          <cell r="FQ15">
            <v>0.8</v>
          </cell>
          <cell r="FR15">
            <v>0.9</v>
          </cell>
          <cell r="FS15">
            <v>0.15</v>
          </cell>
          <cell r="FT15">
            <v>0.6</v>
          </cell>
          <cell r="FU15">
            <v>125</v>
          </cell>
          <cell r="FV15">
            <v>215</v>
          </cell>
          <cell r="FW15">
            <v>7</v>
          </cell>
          <cell r="FX15">
            <v>6</v>
          </cell>
          <cell r="FY15">
            <v>6</v>
          </cell>
          <cell r="FZ15">
            <v>9</v>
          </cell>
          <cell r="GA15">
            <v>8</v>
          </cell>
          <cell r="GB15">
            <v>10</v>
          </cell>
          <cell r="GC15">
            <v>11</v>
          </cell>
          <cell r="GD15">
            <v>10</v>
          </cell>
          <cell r="GE15">
            <v>11</v>
          </cell>
          <cell r="GF15">
            <v>7</v>
          </cell>
          <cell r="GG15">
            <v>7</v>
          </cell>
          <cell r="GH15">
            <v>10</v>
          </cell>
          <cell r="GI15">
            <v>9</v>
          </cell>
          <cell r="GJ15">
            <v>11</v>
          </cell>
          <cell r="GK15">
            <v>12</v>
          </cell>
          <cell r="GL15">
            <v>11</v>
          </cell>
          <cell r="GM15">
            <v>12</v>
          </cell>
          <cell r="GN15">
            <v>3930</v>
          </cell>
          <cell r="GO15">
            <v>6.09</v>
          </cell>
          <cell r="GP15">
            <v>23.9</v>
          </cell>
          <cell r="GQ15">
            <v>3930</v>
          </cell>
          <cell r="GR15">
            <v>4.4000000000000004</v>
          </cell>
          <cell r="GS15">
            <v>17.3</v>
          </cell>
          <cell r="GV15">
            <v>3600</v>
          </cell>
          <cell r="GW15">
            <v>1863.4560000000008</v>
          </cell>
          <cell r="GX15">
            <v>1353.6000000000001</v>
          </cell>
        </row>
        <row r="16">
          <cell r="A16">
            <v>8</v>
          </cell>
          <cell r="B16" t="str">
            <v>Schulzimmer</v>
          </cell>
          <cell r="C16">
            <v>3</v>
          </cell>
          <cell r="D16">
            <v>8.6</v>
          </cell>
          <cell r="E16">
            <v>8.6</v>
          </cell>
          <cell r="F16">
            <v>73.959999999999994</v>
          </cell>
          <cell r="G16">
            <v>3.5</v>
          </cell>
          <cell r="H16">
            <v>3</v>
          </cell>
          <cell r="I16">
            <v>2.5</v>
          </cell>
          <cell r="J16">
            <v>200</v>
          </cell>
          <cell r="K16">
            <v>1</v>
          </cell>
          <cell r="L16">
            <v>0</v>
          </cell>
          <cell r="M16">
            <v>0</v>
          </cell>
          <cell r="N16">
            <v>0</v>
          </cell>
          <cell r="O16">
            <v>0</v>
          </cell>
          <cell r="P16">
            <v>0</v>
          </cell>
          <cell r="Q16">
            <v>0</v>
          </cell>
          <cell r="R16">
            <v>0</v>
          </cell>
          <cell r="S16">
            <v>0.2</v>
          </cell>
          <cell r="T16">
            <v>0.4</v>
          </cell>
          <cell r="U16">
            <v>0.8</v>
          </cell>
          <cell r="V16">
            <v>0.8</v>
          </cell>
          <cell r="W16">
            <v>0.4</v>
          </cell>
          <cell r="X16">
            <v>0.2</v>
          </cell>
          <cell r="Y16">
            <v>0.4</v>
          </cell>
          <cell r="Z16">
            <v>0.8</v>
          </cell>
          <cell r="AA16">
            <v>0.8</v>
          </cell>
          <cell r="AB16">
            <v>0.2</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0.2</v>
          </cell>
          <cell r="AR16">
            <v>0.4</v>
          </cell>
          <cell r="AS16">
            <v>0.8</v>
          </cell>
          <cell r="AT16">
            <v>0.8</v>
          </cell>
          <cell r="AU16">
            <v>0.4</v>
          </cell>
          <cell r="AV16">
            <v>0.2</v>
          </cell>
          <cell r="AW16">
            <v>0.4</v>
          </cell>
          <cell r="AX16">
            <v>0.8</v>
          </cell>
          <cell r="AY16">
            <v>0.8</v>
          </cell>
          <cell r="AZ16">
            <v>0.2</v>
          </cell>
          <cell r="BA16">
            <v>0</v>
          </cell>
          <cell r="BB16">
            <v>0</v>
          </cell>
          <cell r="BC16">
            <v>0</v>
          </cell>
          <cell r="BD16">
            <v>0</v>
          </cell>
          <cell r="BE16">
            <v>0</v>
          </cell>
          <cell r="BF16">
            <v>0</v>
          </cell>
          <cell r="BG16">
            <v>0</v>
          </cell>
          <cell r="BH16">
            <v>1</v>
          </cell>
          <cell r="BI16">
            <v>1</v>
          </cell>
          <cell r="BJ16">
            <v>1</v>
          </cell>
          <cell r="BK16">
            <v>1</v>
          </cell>
          <cell r="BL16">
            <v>1</v>
          </cell>
          <cell r="BM16">
            <v>1</v>
          </cell>
          <cell r="BN16">
            <v>1</v>
          </cell>
          <cell r="BO16">
            <v>0</v>
          </cell>
          <cell r="BP16">
            <v>1</v>
          </cell>
          <cell r="BQ16">
            <v>1</v>
          </cell>
          <cell r="BR16">
            <v>1</v>
          </cell>
          <cell r="BS16">
            <v>1</v>
          </cell>
          <cell r="BT16">
            <v>1</v>
          </cell>
          <cell r="BU16">
            <v>1</v>
          </cell>
          <cell r="BV16">
            <v>1</v>
          </cell>
          <cell r="BW16">
            <v>0</v>
          </cell>
          <cell r="BX16">
            <v>0</v>
          </cell>
          <cell r="BY16">
            <v>0</v>
          </cell>
          <cell r="BZ16">
            <v>1</v>
          </cell>
          <cell r="CA16">
            <v>1</v>
          </cell>
          <cell r="CB16">
            <v>1</v>
          </cell>
          <cell r="CC16">
            <v>1</v>
          </cell>
          <cell r="CD16">
            <v>1</v>
          </cell>
          <cell r="CE16">
            <v>1</v>
          </cell>
          <cell r="CF16">
            <v>1</v>
          </cell>
          <cell r="CG16">
            <v>1</v>
          </cell>
          <cell r="CH16">
            <v>0</v>
          </cell>
          <cell r="CI16">
            <v>0</v>
          </cell>
          <cell r="CJ16">
            <v>0</v>
          </cell>
          <cell r="CK16">
            <v>0</v>
          </cell>
          <cell r="CL16">
            <v>0</v>
          </cell>
          <cell r="CM16">
            <v>1</v>
          </cell>
          <cell r="CN16">
            <v>1</v>
          </cell>
          <cell r="CO16">
            <v>1</v>
          </cell>
          <cell r="CP16">
            <v>1</v>
          </cell>
          <cell r="CQ16">
            <v>1</v>
          </cell>
          <cell r="CR16">
            <v>1</v>
          </cell>
          <cell r="CS16">
            <v>1</v>
          </cell>
          <cell r="CT16">
            <v>1</v>
          </cell>
          <cell r="CU16">
            <v>1</v>
          </cell>
          <cell r="CV16">
            <v>0</v>
          </cell>
          <cell r="CW16">
            <v>0</v>
          </cell>
          <cell r="CX16">
            <v>1</v>
          </cell>
          <cell r="CY16">
            <v>1</v>
          </cell>
          <cell r="CZ16">
            <v>1</v>
          </cell>
          <cell r="DA16">
            <v>1</v>
          </cell>
          <cell r="DB16">
            <v>1</v>
          </cell>
          <cell r="DC16">
            <v>1</v>
          </cell>
          <cell r="DD16">
            <v>1</v>
          </cell>
          <cell r="DE16">
            <v>1</v>
          </cell>
          <cell r="DF16">
            <v>1</v>
          </cell>
          <cell r="DG16">
            <v>0</v>
          </cell>
          <cell r="DH16" t="str">
            <v>x</v>
          </cell>
          <cell r="DJ16">
            <v>25</v>
          </cell>
          <cell r="DK16">
            <v>25</v>
          </cell>
          <cell r="DL16" t="str">
            <v>x</v>
          </cell>
          <cell r="DN16">
            <v>0.67</v>
          </cell>
          <cell r="DO16">
            <v>2000</v>
          </cell>
          <cell r="DP16">
            <v>1240</v>
          </cell>
          <cell r="DQ16">
            <v>580</v>
          </cell>
          <cell r="DR16">
            <v>800</v>
          </cell>
          <cell r="DS16">
            <v>600</v>
          </cell>
          <cell r="DT16">
            <v>0.55000000000000004</v>
          </cell>
          <cell r="DU16">
            <v>600</v>
          </cell>
          <cell r="DV16">
            <v>450</v>
          </cell>
          <cell r="DW16">
            <v>0.59950000000000014</v>
          </cell>
          <cell r="DX16" t="str">
            <v>1-stufig</v>
          </cell>
          <cell r="DY16">
            <v>2000</v>
          </cell>
          <cell r="DZ16">
            <v>3.3670033670033668</v>
          </cell>
          <cell r="EA16">
            <v>2.5252525252525251</v>
          </cell>
          <cell r="EB16">
            <v>5.8922558922558919</v>
          </cell>
          <cell r="EC16">
            <v>6.7340067340067336</v>
          </cell>
          <cell r="ED16">
            <v>5.0505050505050502</v>
          </cell>
          <cell r="EE16">
            <v>11.784511784511784</v>
          </cell>
          <cell r="EF16" t="str">
            <v>2-stufig</v>
          </cell>
          <cell r="EG16">
            <v>1240</v>
          </cell>
          <cell r="EH16">
            <v>2.3167454360114905</v>
          </cell>
          <cell r="EI16">
            <v>1.737559077008618</v>
          </cell>
          <cell r="EJ16">
            <v>4.0543045130201083</v>
          </cell>
          <cell r="EK16">
            <v>2.8727643406542485</v>
          </cell>
          <cell r="EL16">
            <v>2.1545732554906865</v>
          </cell>
          <cell r="EM16">
            <v>5.0273375961449354</v>
          </cell>
          <cell r="EN16" t="str">
            <v>s</v>
          </cell>
          <cell r="EO16">
            <v>0.30000000000000004</v>
          </cell>
          <cell r="EP16">
            <v>0.7</v>
          </cell>
          <cell r="EQ16" t="str">
            <v>m</v>
          </cell>
          <cell r="ER16">
            <v>70</v>
          </cell>
          <cell r="ES16">
            <v>80</v>
          </cell>
          <cell r="ET16">
            <v>10</v>
          </cell>
          <cell r="EU16">
            <v>20</v>
          </cell>
          <cell r="EV16">
            <v>230</v>
          </cell>
          <cell r="EW16">
            <v>130</v>
          </cell>
          <cell r="EX16">
            <v>100</v>
          </cell>
          <cell r="EY16">
            <v>20</v>
          </cell>
          <cell r="EZ16">
            <v>380</v>
          </cell>
          <cell r="FA16">
            <v>250</v>
          </cell>
          <cell r="FB16">
            <v>100</v>
          </cell>
          <cell r="FC16">
            <v>110</v>
          </cell>
          <cell r="FD16">
            <v>17</v>
          </cell>
          <cell r="FE16">
            <v>2</v>
          </cell>
          <cell r="FF16">
            <v>8.5</v>
          </cell>
          <cell r="FG16">
            <v>20</v>
          </cell>
          <cell r="FH16">
            <v>4</v>
          </cell>
          <cell r="FI16">
            <v>10</v>
          </cell>
          <cell r="FJ16">
            <v>24</v>
          </cell>
          <cell r="FK16">
            <v>6</v>
          </cell>
          <cell r="FL16">
            <v>11.5</v>
          </cell>
          <cell r="FM16">
            <v>60</v>
          </cell>
          <cell r="FN16" t="str">
            <v>x</v>
          </cell>
          <cell r="FO16">
            <v>0.25</v>
          </cell>
          <cell r="FP16">
            <v>1.3</v>
          </cell>
          <cell r="FQ16">
            <v>0.8</v>
          </cell>
          <cell r="FR16">
            <v>0.9</v>
          </cell>
          <cell r="FS16">
            <v>0.15</v>
          </cell>
          <cell r="FT16">
            <v>0.6</v>
          </cell>
          <cell r="FU16">
            <v>60</v>
          </cell>
          <cell r="FV16">
            <v>195</v>
          </cell>
          <cell r="FW16">
            <v>8</v>
          </cell>
          <cell r="FX16">
            <v>5</v>
          </cell>
          <cell r="FY16">
            <v>5</v>
          </cell>
          <cell r="FZ16">
            <v>4</v>
          </cell>
          <cell r="GA16">
            <v>2</v>
          </cell>
          <cell r="GB16">
            <v>4</v>
          </cell>
          <cell r="GC16">
            <v>4</v>
          </cell>
          <cell r="GD16">
            <v>3</v>
          </cell>
          <cell r="GE16">
            <v>2</v>
          </cell>
          <cell r="GF16">
            <v>9</v>
          </cell>
          <cell r="GG16">
            <v>9</v>
          </cell>
          <cell r="GH16">
            <v>9</v>
          </cell>
          <cell r="GI16">
            <v>9</v>
          </cell>
          <cell r="GJ16">
            <v>9</v>
          </cell>
          <cell r="GK16">
            <v>9</v>
          </cell>
          <cell r="GL16">
            <v>8</v>
          </cell>
          <cell r="GM16">
            <v>9</v>
          </cell>
          <cell r="GN16">
            <v>690</v>
          </cell>
          <cell r="GO16">
            <v>9.42</v>
          </cell>
          <cell r="GP16">
            <v>6.5</v>
          </cell>
          <cell r="GQ16">
            <v>690</v>
          </cell>
          <cell r="GR16">
            <v>6.7</v>
          </cell>
          <cell r="GS16">
            <v>4.5999999999999996</v>
          </cell>
          <cell r="GV16">
            <v>2000</v>
          </cell>
          <cell r="GW16">
            <v>1592</v>
          </cell>
          <cell r="GX16">
            <v>1000</v>
          </cell>
        </row>
        <row r="17">
          <cell r="A17">
            <v>9</v>
          </cell>
          <cell r="B17" t="str">
            <v>Übungsraum</v>
          </cell>
          <cell r="C17">
            <v>3</v>
          </cell>
          <cell r="D17">
            <v>6</v>
          </cell>
          <cell r="E17">
            <v>6</v>
          </cell>
          <cell r="F17">
            <v>36</v>
          </cell>
          <cell r="G17">
            <v>12</v>
          </cell>
          <cell r="H17">
            <v>8</v>
          </cell>
          <cell r="I17">
            <v>4</v>
          </cell>
          <cell r="J17">
            <v>200</v>
          </cell>
          <cell r="K17">
            <v>1</v>
          </cell>
          <cell r="L17">
            <v>0</v>
          </cell>
          <cell r="M17">
            <v>0</v>
          </cell>
          <cell r="N17">
            <v>0</v>
          </cell>
          <cell r="O17">
            <v>0</v>
          </cell>
          <cell r="P17">
            <v>0</v>
          </cell>
          <cell r="Q17">
            <v>0</v>
          </cell>
          <cell r="R17">
            <v>0</v>
          </cell>
          <cell r="S17">
            <v>0</v>
          </cell>
          <cell r="T17">
            <v>0.4</v>
          </cell>
          <cell r="U17">
            <v>0.8</v>
          </cell>
          <cell r="V17">
            <v>0.8</v>
          </cell>
          <cell r="W17">
            <v>0.4</v>
          </cell>
          <cell r="X17">
            <v>0.2</v>
          </cell>
          <cell r="Y17">
            <v>0.4</v>
          </cell>
          <cell r="Z17">
            <v>0.8</v>
          </cell>
          <cell r="AA17">
            <v>0.8</v>
          </cell>
          <cell r="AB17">
            <v>0.4</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0.4</v>
          </cell>
          <cell r="AS17">
            <v>0.8</v>
          </cell>
          <cell r="AT17">
            <v>0.8</v>
          </cell>
          <cell r="AU17">
            <v>0.4</v>
          </cell>
          <cell r="AV17">
            <v>0.2</v>
          </cell>
          <cell r="AW17">
            <v>0.4</v>
          </cell>
          <cell r="AX17">
            <v>0.8</v>
          </cell>
          <cell r="AY17">
            <v>0.8</v>
          </cell>
          <cell r="AZ17">
            <v>0.4</v>
          </cell>
          <cell r="BA17">
            <v>0</v>
          </cell>
          <cell r="BB17">
            <v>0</v>
          </cell>
          <cell r="BC17">
            <v>0</v>
          </cell>
          <cell r="BD17">
            <v>0</v>
          </cell>
          <cell r="BE17">
            <v>0</v>
          </cell>
          <cell r="BF17">
            <v>0</v>
          </cell>
          <cell r="BG17">
            <v>0</v>
          </cell>
          <cell r="BH17">
            <v>1</v>
          </cell>
          <cell r="BI17">
            <v>1</v>
          </cell>
          <cell r="BJ17">
            <v>1</v>
          </cell>
          <cell r="BK17">
            <v>1</v>
          </cell>
          <cell r="BL17">
            <v>1</v>
          </cell>
          <cell r="BM17">
            <v>1</v>
          </cell>
          <cell r="BN17">
            <v>1</v>
          </cell>
          <cell r="BO17">
            <v>0</v>
          </cell>
          <cell r="BP17">
            <v>1</v>
          </cell>
          <cell r="BQ17">
            <v>1</v>
          </cell>
          <cell r="BR17">
            <v>1</v>
          </cell>
          <cell r="BS17">
            <v>1</v>
          </cell>
          <cell r="BT17">
            <v>1</v>
          </cell>
          <cell r="BU17">
            <v>1</v>
          </cell>
          <cell r="BV17">
            <v>1</v>
          </cell>
          <cell r="BW17">
            <v>0</v>
          </cell>
          <cell r="BX17">
            <v>0</v>
          </cell>
          <cell r="BY17">
            <v>0</v>
          </cell>
          <cell r="BZ17">
            <v>1</v>
          </cell>
          <cell r="CA17">
            <v>1</v>
          </cell>
          <cell r="CB17">
            <v>1</v>
          </cell>
          <cell r="CC17">
            <v>1</v>
          </cell>
          <cell r="CD17">
            <v>1</v>
          </cell>
          <cell r="CE17">
            <v>1</v>
          </cell>
          <cell r="CF17">
            <v>1</v>
          </cell>
          <cell r="CG17">
            <v>1</v>
          </cell>
          <cell r="CH17">
            <v>0</v>
          </cell>
          <cell r="CI17">
            <v>0</v>
          </cell>
          <cell r="CJ17">
            <v>0</v>
          </cell>
          <cell r="CK17">
            <v>0</v>
          </cell>
          <cell r="CL17">
            <v>0</v>
          </cell>
          <cell r="CM17">
            <v>1</v>
          </cell>
          <cell r="CN17">
            <v>1</v>
          </cell>
          <cell r="CO17">
            <v>1</v>
          </cell>
          <cell r="CP17">
            <v>1</v>
          </cell>
          <cell r="CQ17">
            <v>1</v>
          </cell>
          <cell r="CR17">
            <v>1</v>
          </cell>
          <cell r="CS17">
            <v>1</v>
          </cell>
          <cell r="CT17">
            <v>1</v>
          </cell>
          <cell r="CU17">
            <v>1</v>
          </cell>
          <cell r="CV17">
            <v>0</v>
          </cell>
          <cell r="CW17">
            <v>0</v>
          </cell>
          <cell r="CX17">
            <v>1</v>
          </cell>
          <cell r="CY17">
            <v>1</v>
          </cell>
          <cell r="CZ17">
            <v>1</v>
          </cell>
          <cell r="DA17">
            <v>1</v>
          </cell>
          <cell r="DB17">
            <v>1</v>
          </cell>
          <cell r="DC17">
            <v>1</v>
          </cell>
          <cell r="DD17">
            <v>1</v>
          </cell>
          <cell r="DE17">
            <v>1</v>
          </cell>
          <cell r="DF17">
            <v>1</v>
          </cell>
          <cell r="DG17">
            <v>0</v>
          </cell>
          <cell r="DH17" t="str">
            <v>x</v>
          </cell>
          <cell r="DJ17">
            <v>25</v>
          </cell>
          <cell r="DK17">
            <v>25</v>
          </cell>
          <cell r="DL17" t="str">
            <v>x</v>
          </cell>
          <cell r="DN17">
            <v>0.67</v>
          </cell>
          <cell r="DO17">
            <v>1800</v>
          </cell>
          <cell r="DP17">
            <v>1170</v>
          </cell>
          <cell r="DQ17">
            <v>560</v>
          </cell>
          <cell r="DR17">
            <v>800</v>
          </cell>
          <cell r="DS17">
            <v>600</v>
          </cell>
          <cell r="DT17">
            <v>0.55000000000000004</v>
          </cell>
          <cell r="DU17">
            <v>600</v>
          </cell>
          <cell r="DV17">
            <v>450</v>
          </cell>
          <cell r="DW17">
            <v>0.59950000000000014</v>
          </cell>
          <cell r="DX17" t="str">
            <v>1-stufig</v>
          </cell>
          <cell r="DY17">
            <v>1800</v>
          </cell>
          <cell r="DZ17">
            <v>1.2626262626262625</v>
          </cell>
          <cell r="EA17">
            <v>0.94696969696969691</v>
          </cell>
          <cell r="EB17">
            <v>2.2095959595959593</v>
          </cell>
          <cell r="EC17">
            <v>2.2727272727272725</v>
          </cell>
          <cell r="ED17">
            <v>1.7045454545454546</v>
          </cell>
          <cell r="EE17">
            <v>3.9772727272727271</v>
          </cell>
          <cell r="EF17" t="str">
            <v>1-stufig</v>
          </cell>
          <cell r="EG17">
            <v>1800</v>
          </cell>
          <cell r="EH17">
            <v>0.86877953850430889</v>
          </cell>
          <cell r="EI17">
            <v>0.65158465387823172</v>
          </cell>
          <cell r="EJ17">
            <v>1.5203641923825406</v>
          </cell>
          <cell r="EK17">
            <v>1.5638031693077559</v>
          </cell>
          <cell r="EL17">
            <v>1.172852376980817</v>
          </cell>
          <cell r="EM17">
            <v>2.7366555462885729</v>
          </cell>
          <cell r="EN17" t="str">
            <v>s</v>
          </cell>
          <cell r="EO17">
            <v>0.30000000000000004</v>
          </cell>
          <cell r="EP17">
            <v>0.7</v>
          </cell>
          <cell r="EQ17" t="str">
            <v>m</v>
          </cell>
          <cell r="ER17">
            <v>70</v>
          </cell>
          <cell r="ES17">
            <v>80</v>
          </cell>
          <cell r="ET17">
            <v>10</v>
          </cell>
          <cell r="EU17">
            <v>20</v>
          </cell>
          <cell r="EV17">
            <v>230</v>
          </cell>
          <cell r="EW17">
            <v>130</v>
          </cell>
          <cell r="EX17">
            <v>100</v>
          </cell>
          <cell r="EY17">
            <v>20</v>
          </cell>
          <cell r="EZ17">
            <v>380</v>
          </cell>
          <cell r="FA17">
            <v>250</v>
          </cell>
          <cell r="FB17">
            <v>100</v>
          </cell>
          <cell r="FC17">
            <v>110</v>
          </cell>
          <cell r="FD17">
            <v>6.5</v>
          </cell>
          <cell r="FE17">
            <v>0</v>
          </cell>
          <cell r="FF17">
            <v>10</v>
          </cell>
          <cell r="FG17">
            <v>10</v>
          </cell>
          <cell r="FH17">
            <v>6.25</v>
          </cell>
          <cell r="FI17">
            <v>12</v>
          </cell>
          <cell r="FJ17">
            <v>20</v>
          </cell>
          <cell r="FK17">
            <v>12.5</v>
          </cell>
          <cell r="FL17">
            <v>14</v>
          </cell>
          <cell r="FM17">
            <v>80</v>
          </cell>
          <cell r="FN17" t="str">
            <v>x</v>
          </cell>
          <cell r="FO17">
            <v>0.25</v>
          </cell>
          <cell r="FP17">
            <v>1.3</v>
          </cell>
          <cell r="FQ17">
            <v>0.8</v>
          </cell>
          <cell r="FR17">
            <v>0.9</v>
          </cell>
          <cell r="FS17">
            <v>0.15</v>
          </cell>
          <cell r="FT17">
            <v>0.6</v>
          </cell>
          <cell r="FU17">
            <v>50</v>
          </cell>
          <cell r="FV17">
            <v>210</v>
          </cell>
          <cell r="FW17">
            <v>3</v>
          </cell>
          <cell r="FX17">
            <v>6</v>
          </cell>
          <cell r="FY17">
            <v>6</v>
          </cell>
          <cell r="FZ17">
            <v>5</v>
          </cell>
          <cell r="GA17">
            <v>9</v>
          </cell>
          <cell r="GB17">
            <v>6</v>
          </cell>
          <cell r="GC17">
            <v>8</v>
          </cell>
          <cell r="GD17">
            <v>7</v>
          </cell>
          <cell r="GE17">
            <v>8</v>
          </cell>
          <cell r="GF17">
            <v>12</v>
          </cell>
          <cell r="GG17">
            <v>11</v>
          </cell>
          <cell r="GH17">
            <v>10</v>
          </cell>
          <cell r="GI17">
            <v>13</v>
          </cell>
          <cell r="GJ17">
            <v>11</v>
          </cell>
          <cell r="GK17">
            <v>12</v>
          </cell>
          <cell r="GL17">
            <v>12</v>
          </cell>
          <cell r="GM17">
            <v>13</v>
          </cell>
          <cell r="GN17">
            <v>605</v>
          </cell>
          <cell r="GO17">
            <v>7.38</v>
          </cell>
          <cell r="GP17">
            <v>4.5</v>
          </cell>
          <cell r="GQ17">
            <v>605</v>
          </cell>
          <cell r="GR17">
            <v>5.3</v>
          </cell>
          <cell r="GS17">
            <v>3.2</v>
          </cell>
          <cell r="GV17">
            <v>1800</v>
          </cell>
          <cell r="GW17">
            <v>1460.0000000000002</v>
          </cell>
          <cell r="GX17">
            <v>1000</v>
          </cell>
        </row>
        <row r="18">
          <cell r="A18">
            <v>10</v>
          </cell>
          <cell r="B18" t="str">
            <v>Hörsaal</v>
          </cell>
          <cell r="C18">
            <v>4</v>
          </cell>
          <cell r="D18">
            <v>20</v>
          </cell>
          <cell r="E18">
            <v>20</v>
          </cell>
          <cell r="F18">
            <v>400</v>
          </cell>
          <cell r="G18">
            <v>1.2</v>
          </cell>
          <cell r="H18">
            <v>1</v>
          </cell>
          <cell r="I18">
            <v>0.8</v>
          </cell>
          <cell r="J18">
            <v>250</v>
          </cell>
          <cell r="K18">
            <v>0.41199999999999998</v>
          </cell>
          <cell r="L18">
            <v>0</v>
          </cell>
          <cell r="M18">
            <v>0</v>
          </cell>
          <cell r="N18">
            <v>0</v>
          </cell>
          <cell r="O18">
            <v>0</v>
          </cell>
          <cell r="P18">
            <v>0</v>
          </cell>
          <cell r="Q18">
            <v>0</v>
          </cell>
          <cell r="R18">
            <v>0</v>
          </cell>
          <cell r="S18">
            <v>0.2</v>
          </cell>
          <cell r="T18">
            <v>0.6</v>
          </cell>
          <cell r="U18">
            <v>1</v>
          </cell>
          <cell r="V18">
            <v>1</v>
          </cell>
          <cell r="W18">
            <v>0.2</v>
          </cell>
          <cell r="X18">
            <v>0.2</v>
          </cell>
          <cell r="Y18">
            <v>1</v>
          </cell>
          <cell r="Z18">
            <v>1</v>
          </cell>
          <cell r="AA18">
            <v>0.6</v>
          </cell>
          <cell r="AB18">
            <v>0.2</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0.2</v>
          </cell>
          <cell r="AR18">
            <v>0.6</v>
          </cell>
          <cell r="AS18">
            <v>1</v>
          </cell>
          <cell r="AT18">
            <v>1</v>
          </cell>
          <cell r="AU18">
            <v>0.2</v>
          </cell>
          <cell r="AV18">
            <v>0.2</v>
          </cell>
          <cell r="AW18">
            <v>1</v>
          </cell>
          <cell r="AX18">
            <v>1</v>
          </cell>
          <cell r="AY18">
            <v>0.6</v>
          </cell>
          <cell r="AZ18">
            <v>0.2</v>
          </cell>
          <cell r="BA18">
            <v>0</v>
          </cell>
          <cell r="BB18">
            <v>0</v>
          </cell>
          <cell r="BC18">
            <v>0</v>
          </cell>
          <cell r="BD18">
            <v>0</v>
          </cell>
          <cell r="BE18">
            <v>0</v>
          </cell>
          <cell r="BF18">
            <v>0</v>
          </cell>
          <cell r="BG18">
            <v>0</v>
          </cell>
          <cell r="BH18">
            <v>0.4</v>
          </cell>
          <cell r="BI18">
            <v>0.6</v>
          </cell>
          <cell r="BJ18">
            <v>0.6</v>
          </cell>
          <cell r="BK18">
            <v>0.6</v>
          </cell>
          <cell r="BL18">
            <v>0.6</v>
          </cell>
          <cell r="BM18">
            <v>0.6</v>
          </cell>
          <cell r="BN18">
            <v>0.2</v>
          </cell>
          <cell r="BO18">
            <v>0.2</v>
          </cell>
          <cell r="BP18">
            <v>0.2</v>
          </cell>
          <cell r="BQ18">
            <v>0.2</v>
          </cell>
          <cell r="BR18">
            <v>0.2</v>
          </cell>
          <cell r="BS18">
            <v>0.2</v>
          </cell>
          <cell r="BT18">
            <v>0.2</v>
          </cell>
          <cell r="BU18">
            <v>0.6</v>
          </cell>
          <cell r="BV18">
            <v>0.6</v>
          </cell>
          <cell r="BW18">
            <v>0</v>
          </cell>
          <cell r="BX18">
            <v>0.6</v>
          </cell>
          <cell r="BY18">
            <v>0.6</v>
          </cell>
          <cell r="BZ18">
            <v>0.6</v>
          </cell>
          <cell r="CA18">
            <v>0.6</v>
          </cell>
          <cell r="CB18">
            <v>0.6</v>
          </cell>
          <cell r="CC18">
            <v>0.6</v>
          </cell>
          <cell r="CD18">
            <v>0.6</v>
          </cell>
          <cell r="CE18">
            <v>0.6</v>
          </cell>
          <cell r="CF18">
            <v>0.6</v>
          </cell>
          <cell r="CG18">
            <v>0.6</v>
          </cell>
          <cell r="CH18">
            <v>0.2</v>
          </cell>
          <cell r="CI18">
            <v>0.2</v>
          </cell>
          <cell r="CJ18">
            <v>0.2</v>
          </cell>
          <cell r="CK18">
            <v>0.2</v>
          </cell>
          <cell r="CL18">
            <v>0.2</v>
          </cell>
          <cell r="CM18">
            <v>0.2</v>
          </cell>
          <cell r="CN18">
            <v>0.2</v>
          </cell>
          <cell r="CO18">
            <v>0.2</v>
          </cell>
          <cell r="CP18">
            <v>0.2</v>
          </cell>
          <cell r="CQ18">
            <v>0.2</v>
          </cell>
          <cell r="CR18">
            <v>0.2</v>
          </cell>
          <cell r="CS18">
            <v>0.2</v>
          </cell>
          <cell r="CT18">
            <v>0.2</v>
          </cell>
          <cell r="CU18">
            <v>0.2</v>
          </cell>
          <cell r="CV18">
            <v>0.2</v>
          </cell>
          <cell r="CW18">
            <v>0.2</v>
          </cell>
          <cell r="CX18">
            <v>0.6</v>
          </cell>
          <cell r="CY18">
            <v>0.6</v>
          </cell>
          <cell r="CZ18">
            <v>0.6</v>
          </cell>
          <cell r="DA18">
            <v>0.6</v>
          </cell>
          <cell r="DB18">
            <v>0.6</v>
          </cell>
          <cell r="DC18">
            <v>0.6</v>
          </cell>
          <cell r="DD18">
            <v>0.6</v>
          </cell>
          <cell r="DE18">
            <v>0.6</v>
          </cell>
          <cell r="DF18">
            <v>0.6</v>
          </cell>
          <cell r="DG18">
            <v>0</v>
          </cell>
          <cell r="DH18" t="str">
            <v>x</v>
          </cell>
          <cell r="DJ18">
            <v>25</v>
          </cell>
          <cell r="DK18">
            <v>25</v>
          </cell>
          <cell r="DL18" t="str">
            <v>x</v>
          </cell>
          <cell r="DN18">
            <v>0.67</v>
          </cell>
          <cell r="DO18">
            <v>2500</v>
          </cell>
          <cell r="DP18">
            <v>640</v>
          </cell>
          <cell r="DQ18">
            <v>510</v>
          </cell>
          <cell r="DR18">
            <v>800</v>
          </cell>
          <cell r="DS18">
            <v>600</v>
          </cell>
          <cell r="DT18">
            <v>0.55000000000000004</v>
          </cell>
          <cell r="DU18">
            <v>600</v>
          </cell>
          <cell r="DV18">
            <v>450</v>
          </cell>
          <cell r="DW18">
            <v>0.59950000000000014</v>
          </cell>
          <cell r="DX18" t="str">
            <v>2-stufig</v>
          </cell>
          <cell r="DY18">
            <v>640</v>
          </cell>
          <cell r="DZ18">
            <v>10.1010101010101</v>
          </cell>
          <cell r="EA18">
            <v>7.5757575757575752</v>
          </cell>
          <cell r="EB18">
            <v>17.676767676767675</v>
          </cell>
          <cell r="EC18">
            <v>6.4646464646464645</v>
          </cell>
          <cell r="ED18">
            <v>4.8484848484848477</v>
          </cell>
          <cell r="EE18">
            <v>11.313131313131311</v>
          </cell>
          <cell r="EF18" t="str">
            <v>stufenlos</v>
          </cell>
          <cell r="EG18">
            <v>510</v>
          </cell>
          <cell r="EH18">
            <v>6.9502363080344711</v>
          </cell>
          <cell r="EI18">
            <v>5.2126772310258538</v>
          </cell>
          <cell r="EJ18">
            <v>12.162913539060325</v>
          </cell>
          <cell r="EK18">
            <v>3.5446205170975804</v>
          </cell>
          <cell r="EL18">
            <v>2.6584653878231852</v>
          </cell>
          <cell r="EM18">
            <v>6.2030859049207656</v>
          </cell>
          <cell r="EN18" t="str">
            <v>s</v>
          </cell>
          <cell r="EO18">
            <v>0.30000000000000004</v>
          </cell>
          <cell r="EP18">
            <v>0.7</v>
          </cell>
          <cell r="EQ18" t="str">
            <v>m</v>
          </cell>
          <cell r="ER18">
            <v>70</v>
          </cell>
          <cell r="ES18">
            <v>80</v>
          </cell>
          <cell r="ET18">
            <v>10</v>
          </cell>
          <cell r="EU18">
            <v>20</v>
          </cell>
          <cell r="EV18">
            <v>230</v>
          </cell>
          <cell r="EW18">
            <v>130</v>
          </cell>
          <cell r="EX18">
            <v>100</v>
          </cell>
          <cell r="EY18">
            <v>20</v>
          </cell>
          <cell r="EZ18">
            <v>380</v>
          </cell>
          <cell r="FA18">
            <v>250</v>
          </cell>
          <cell r="FB18">
            <v>100</v>
          </cell>
          <cell r="FC18">
            <v>110</v>
          </cell>
          <cell r="FD18">
            <v>58.5</v>
          </cell>
          <cell r="FE18">
            <v>2</v>
          </cell>
          <cell r="FF18">
            <v>10</v>
          </cell>
          <cell r="FG18">
            <v>70</v>
          </cell>
          <cell r="FH18">
            <v>4</v>
          </cell>
          <cell r="FI18">
            <v>12</v>
          </cell>
          <cell r="FJ18">
            <v>87.5</v>
          </cell>
          <cell r="FK18">
            <v>6</v>
          </cell>
          <cell r="FL18">
            <v>14</v>
          </cell>
          <cell r="FM18">
            <v>70</v>
          </cell>
          <cell r="FN18" t="str">
            <v>x</v>
          </cell>
          <cell r="FO18">
            <v>0.25</v>
          </cell>
          <cell r="FP18">
            <v>1.3</v>
          </cell>
          <cell r="FQ18">
            <v>0.8</v>
          </cell>
          <cell r="FR18">
            <v>0.9</v>
          </cell>
          <cell r="FS18">
            <v>0.15</v>
          </cell>
          <cell r="FT18">
            <v>0.6</v>
          </cell>
          <cell r="FU18">
            <v>45</v>
          </cell>
          <cell r="FV18">
            <v>180</v>
          </cell>
          <cell r="FW18">
            <v>10</v>
          </cell>
          <cell r="FX18">
            <v>2</v>
          </cell>
          <cell r="FY18">
            <v>3</v>
          </cell>
          <cell r="FZ18">
            <v>2</v>
          </cell>
          <cell r="GA18">
            <v>2</v>
          </cell>
          <cell r="GB18">
            <v>3</v>
          </cell>
          <cell r="GC18">
            <v>2</v>
          </cell>
          <cell r="GD18">
            <v>2</v>
          </cell>
          <cell r="GE18">
            <v>2</v>
          </cell>
          <cell r="GF18">
            <v>8</v>
          </cell>
          <cell r="GG18">
            <v>9</v>
          </cell>
          <cell r="GH18">
            <v>8</v>
          </cell>
          <cell r="GI18">
            <v>8</v>
          </cell>
          <cell r="GJ18">
            <v>9</v>
          </cell>
          <cell r="GK18">
            <v>8</v>
          </cell>
          <cell r="GL18">
            <v>8</v>
          </cell>
          <cell r="GM18">
            <v>9</v>
          </cell>
          <cell r="GN18">
            <v>605</v>
          </cell>
          <cell r="GO18">
            <v>29.13</v>
          </cell>
          <cell r="GP18">
            <v>17.600000000000001</v>
          </cell>
          <cell r="GQ18">
            <v>605</v>
          </cell>
          <cell r="GR18">
            <v>20.8</v>
          </cell>
          <cell r="GS18">
            <v>12.6</v>
          </cell>
          <cell r="GV18">
            <v>2500</v>
          </cell>
          <cell r="GW18">
            <v>819.88</v>
          </cell>
          <cell r="GX18">
            <v>618</v>
          </cell>
        </row>
        <row r="19">
          <cell r="A19">
            <v>11</v>
          </cell>
          <cell r="B19" t="str">
            <v>Bettenzimmer</v>
          </cell>
          <cell r="C19">
            <v>2.5</v>
          </cell>
          <cell r="D19">
            <v>4</v>
          </cell>
          <cell r="E19">
            <v>4</v>
          </cell>
          <cell r="F19">
            <v>16</v>
          </cell>
          <cell r="G19">
            <v>18</v>
          </cell>
          <cell r="H19">
            <v>15</v>
          </cell>
          <cell r="I19">
            <v>12</v>
          </cell>
          <cell r="J19">
            <v>364</v>
          </cell>
          <cell r="K19">
            <v>0.76153846153846139</v>
          </cell>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0.2</v>
          </cell>
          <cell r="AK19">
            <v>0.2</v>
          </cell>
          <cell r="AL19">
            <v>0.2</v>
          </cell>
          <cell r="AM19">
            <v>0.2</v>
          </cell>
          <cell r="AN19">
            <v>0.2</v>
          </cell>
          <cell r="AO19">
            <v>0.2</v>
          </cell>
          <cell r="AP19">
            <v>0.2</v>
          </cell>
          <cell r="AQ19">
            <v>0.2</v>
          </cell>
          <cell r="AR19">
            <v>0.2</v>
          </cell>
          <cell r="AS19">
            <v>0.2</v>
          </cell>
          <cell r="AT19">
            <v>0.2</v>
          </cell>
          <cell r="AU19">
            <v>0.2</v>
          </cell>
          <cell r="AV19">
            <v>0.2</v>
          </cell>
          <cell r="AW19">
            <v>0.2</v>
          </cell>
          <cell r="AX19">
            <v>0.2</v>
          </cell>
          <cell r="AY19">
            <v>0.2</v>
          </cell>
          <cell r="AZ19">
            <v>0.2</v>
          </cell>
          <cell r="BA19">
            <v>0.2</v>
          </cell>
          <cell r="BB19">
            <v>0.2</v>
          </cell>
          <cell r="BC19">
            <v>0.8</v>
          </cell>
          <cell r="BD19">
            <v>0.6</v>
          </cell>
          <cell r="BE19">
            <v>0.4</v>
          </cell>
          <cell r="BF19">
            <v>0.2</v>
          </cell>
          <cell r="BG19">
            <v>0.2</v>
          </cell>
          <cell r="BH19">
            <v>0.6</v>
          </cell>
          <cell r="BI19">
            <v>0.8</v>
          </cell>
          <cell r="BJ19">
            <v>0.8</v>
          </cell>
          <cell r="BK19">
            <v>0.8</v>
          </cell>
          <cell r="BL19">
            <v>0.8</v>
          </cell>
          <cell r="BM19">
            <v>0.8</v>
          </cell>
          <cell r="BN19">
            <v>0.8</v>
          </cell>
          <cell r="BO19">
            <v>0.8</v>
          </cell>
          <cell r="BP19">
            <v>0.8</v>
          </cell>
          <cell r="BQ19">
            <v>0.8</v>
          </cell>
          <cell r="BR19">
            <v>0.8</v>
          </cell>
          <cell r="BS19">
            <v>0.8</v>
          </cell>
          <cell r="BT19">
            <v>0.8</v>
          </cell>
          <cell r="BU19">
            <v>0.8</v>
          </cell>
          <cell r="BV19">
            <v>0.8</v>
          </cell>
          <cell r="BW19">
            <v>0.8</v>
          </cell>
          <cell r="BX19">
            <v>0.8</v>
          </cell>
          <cell r="BY19">
            <v>0.8</v>
          </cell>
          <cell r="BZ19">
            <v>0.8</v>
          </cell>
          <cell r="CA19">
            <v>0.8</v>
          </cell>
          <cell r="CB19">
            <v>0.8</v>
          </cell>
          <cell r="CC19">
            <v>0.8</v>
          </cell>
          <cell r="CD19">
            <v>0.8</v>
          </cell>
          <cell r="CE19">
            <v>0.8</v>
          </cell>
          <cell r="CF19">
            <v>0.8</v>
          </cell>
          <cell r="CG19">
            <v>0.8</v>
          </cell>
          <cell r="CH19">
            <v>0.6</v>
          </cell>
          <cell r="CI19">
            <v>0.4</v>
          </cell>
          <cell r="CJ19">
            <v>0.4</v>
          </cell>
          <cell r="CK19">
            <v>0.4</v>
          </cell>
          <cell r="CL19">
            <v>0.6</v>
          </cell>
          <cell r="CM19">
            <v>0.8</v>
          </cell>
          <cell r="CN19">
            <v>0.8</v>
          </cell>
          <cell r="CO19">
            <v>0.8</v>
          </cell>
          <cell r="CP19">
            <v>0.8</v>
          </cell>
          <cell r="CQ19">
            <v>0.8</v>
          </cell>
          <cell r="CR19">
            <v>0.8</v>
          </cell>
          <cell r="CS19">
            <v>0.8</v>
          </cell>
          <cell r="CT19">
            <v>0.8</v>
          </cell>
          <cell r="CU19">
            <v>0.8</v>
          </cell>
          <cell r="CV19">
            <v>0.8</v>
          </cell>
          <cell r="CW19">
            <v>0.8</v>
          </cell>
          <cell r="CX19">
            <v>0.8</v>
          </cell>
          <cell r="CY19">
            <v>0.8</v>
          </cell>
          <cell r="CZ19">
            <v>0.8</v>
          </cell>
          <cell r="DA19">
            <v>0.8</v>
          </cell>
          <cell r="DB19">
            <v>0.8</v>
          </cell>
          <cell r="DC19">
            <v>0.8</v>
          </cell>
          <cell r="DD19">
            <v>0.8</v>
          </cell>
          <cell r="DE19">
            <v>0.8</v>
          </cell>
          <cell r="DF19">
            <v>0.8</v>
          </cell>
          <cell r="DG19">
            <v>0.6</v>
          </cell>
          <cell r="DJ19">
            <v>36</v>
          </cell>
          <cell r="DK19">
            <v>36</v>
          </cell>
          <cell r="DL19" t="str">
            <v>x</v>
          </cell>
          <cell r="DN19">
            <v>0.67</v>
          </cell>
          <cell r="DO19">
            <v>8740</v>
          </cell>
          <cell r="DP19">
            <v>6650</v>
          </cell>
          <cell r="DQ19">
            <v>6650</v>
          </cell>
          <cell r="DR19">
            <v>800</v>
          </cell>
          <cell r="DS19">
            <v>600</v>
          </cell>
          <cell r="DT19">
            <v>0.55000000000000004</v>
          </cell>
          <cell r="DU19">
            <v>600</v>
          </cell>
          <cell r="DV19">
            <v>450</v>
          </cell>
          <cell r="DW19">
            <v>0.59950000000000014</v>
          </cell>
          <cell r="DX19" t="str">
            <v>2-stufig</v>
          </cell>
          <cell r="DY19">
            <v>6650</v>
          </cell>
          <cell r="DZ19">
            <v>0.96969696969696961</v>
          </cell>
          <cell r="EA19">
            <v>0.72727272727272718</v>
          </cell>
          <cell r="EB19">
            <v>1.6969696969696968</v>
          </cell>
          <cell r="EC19">
            <v>6.4484848484848483</v>
          </cell>
          <cell r="ED19">
            <v>4.836363636363636</v>
          </cell>
          <cell r="EE19">
            <v>11.284848484848485</v>
          </cell>
          <cell r="EF19" t="str">
            <v>2-stufig</v>
          </cell>
          <cell r="EG19">
            <v>6650</v>
          </cell>
          <cell r="EH19">
            <v>0.66722268557130926</v>
          </cell>
          <cell r="EI19">
            <v>0.50041701417848194</v>
          </cell>
          <cell r="EJ19">
            <v>1.1676396997497913</v>
          </cell>
          <cell r="EK19">
            <v>4.4370308590492069</v>
          </cell>
          <cell r="EL19">
            <v>3.3277731442869047</v>
          </cell>
          <cell r="EM19">
            <v>7.7648040033361116</v>
          </cell>
          <cell r="EN19" t="str">
            <v>s</v>
          </cell>
          <cell r="EO19">
            <v>0.30000000000000004</v>
          </cell>
          <cell r="EP19">
            <v>0.7</v>
          </cell>
          <cell r="EQ19" t="str">
            <v>m</v>
          </cell>
          <cell r="ER19">
            <v>70</v>
          </cell>
          <cell r="ES19">
            <v>80</v>
          </cell>
          <cell r="ET19">
            <v>10</v>
          </cell>
          <cell r="EU19">
            <v>20</v>
          </cell>
          <cell r="EV19">
            <v>230</v>
          </cell>
          <cell r="EW19">
            <v>130</v>
          </cell>
          <cell r="EX19">
            <v>100</v>
          </cell>
          <cell r="EY19">
            <v>20</v>
          </cell>
          <cell r="EZ19">
            <v>380</v>
          </cell>
          <cell r="FA19">
            <v>250</v>
          </cell>
          <cell r="FB19">
            <v>100</v>
          </cell>
          <cell r="FC19">
            <v>110</v>
          </cell>
          <cell r="FD19">
            <v>4</v>
          </cell>
          <cell r="FE19">
            <v>2</v>
          </cell>
          <cell r="FF19">
            <v>5.5</v>
          </cell>
          <cell r="FG19">
            <v>4.5</v>
          </cell>
          <cell r="FH19">
            <v>4</v>
          </cell>
          <cell r="FI19">
            <v>6.5</v>
          </cell>
          <cell r="FJ19">
            <v>6</v>
          </cell>
          <cell r="FK19">
            <v>6</v>
          </cell>
          <cell r="FL19">
            <v>7</v>
          </cell>
          <cell r="FM19">
            <v>70</v>
          </cell>
          <cell r="FN19" t="str">
            <v>x</v>
          </cell>
          <cell r="FO19">
            <v>0.25</v>
          </cell>
          <cell r="FP19">
            <v>1.3</v>
          </cell>
          <cell r="FQ19">
            <v>0.8</v>
          </cell>
          <cell r="FR19">
            <v>0.9</v>
          </cell>
          <cell r="FS19">
            <v>0.15</v>
          </cell>
          <cell r="FT19">
            <v>0.6</v>
          </cell>
          <cell r="FU19">
            <v>60</v>
          </cell>
          <cell r="FV19">
            <v>210</v>
          </cell>
          <cell r="FW19">
            <v>15</v>
          </cell>
          <cell r="FX19">
            <v>6</v>
          </cell>
          <cell r="FY19">
            <v>6</v>
          </cell>
          <cell r="FZ19">
            <v>6</v>
          </cell>
          <cell r="GA19">
            <v>6</v>
          </cell>
          <cell r="GB19">
            <v>6</v>
          </cell>
          <cell r="GC19">
            <v>6</v>
          </cell>
          <cell r="GD19">
            <v>6</v>
          </cell>
          <cell r="GE19">
            <v>6</v>
          </cell>
          <cell r="GF19">
            <v>12</v>
          </cell>
          <cell r="GG19">
            <v>12</v>
          </cell>
          <cell r="GH19">
            <v>12</v>
          </cell>
          <cell r="GI19">
            <v>12</v>
          </cell>
          <cell r="GJ19">
            <v>12</v>
          </cell>
          <cell r="GK19">
            <v>12</v>
          </cell>
          <cell r="GL19">
            <v>12</v>
          </cell>
          <cell r="GM19">
            <v>12</v>
          </cell>
          <cell r="GN19">
            <v>1025</v>
          </cell>
          <cell r="GO19">
            <v>10.3</v>
          </cell>
          <cell r="GP19">
            <v>10.6</v>
          </cell>
          <cell r="GQ19">
            <v>1025</v>
          </cell>
          <cell r="GR19">
            <v>7.4</v>
          </cell>
          <cell r="GS19">
            <v>7.6</v>
          </cell>
          <cell r="GV19">
            <v>8736</v>
          </cell>
          <cell r="GW19">
            <v>6652.7999999999984</v>
          </cell>
          <cell r="GX19">
            <v>6652.7999999999984</v>
          </cell>
        </row>
        <row r="20">
          <cell r="A20">
            <v>12</v>
          </cell>
          <cell r="B20" t="str">
            <v>Hotelzimmer</v>
          </cell>
          <cell r="C20">
            <v>2.5</v>
          </cell>
          <cell r="D20">
            <v>4</v>
          </cell>
          <cell r="E20">
            <v>4</v>
          </cell>
          <cell r="F20">
            <v>16</v>
          </cell>
          <cell r="G20">
            <v>12</v>
          </cell>
          <cell r="H20">
            <v>10</v>
          </cell>
          <cell r="I20">
            <v>8</v>
          </cell>
          <cell r="J20">
            <v>364</v>
          </cell>
          <cell r="K20">
            <v>0.60000000000000009</v>
          </cell>
          <cell r="L20">
            <v>1</v>
          </cell>
          <cell r="M20">
            <v>1</v>
          </cell>
          <cell r="N20">
            <v>1</v>
          </cell>
          <cell r="O20">
            <v>1</v>
          </cell>
          <cell r="P20">
            <v>1</v>
          </cell>
          <cell r="Q20">
            <v>1</v>
          </cell>
          <cell r="R20">
            <v>0.8</v>
          </cell>
          <cell r="S20">
            <v>0.4</v>
          </cell>
          <cell r="T20">
            <v>0</v>
          </cell>
          <cell r="U20">
            <v>0</v>
          </cell>
          <cell r="V20">
            <v>0</v>
          </cell>
          <cell r="W20">
            <v>0</v>
          </cell>
          <cell r="X20">
            <v>0</v>
          </cell>
          <cell r="Y20">
            <v>0</v>
          </cell>
          <cell r="Z20">
            <v>0</v>
          </cell>
          <cell r="AA20">
            <v>0</v>
          </cell>
          <cell r="AB20">
            <v>0</v>
          </cell>
          <cell r="AC20">
            <v>0</v>
          </cell>
          <cell r="AD20">
            <v>0</v>
          </cell>
          <cell r="AE20">
            <v>0</v>
          </cell>
          <cell r="AF20">
            <v>0.4</v>
          </cell>
          <cell r="AG20">
            <v>0.6</v>
          </cell>
          <cell r="AH20">
            <v>0.8</v>
          </cell>
          <cell r="AI20">
            <v>1</v>
          </cell>
          <cell r="AJ20">
            <v>0.6</v>
          </cell>
          <cell r="AK20">
            <v>0.4</v>
          </cell>
          <cell r="AL20">
            <v>0.4</v>
          </cell>
          <cell r="AM20">
            <v>0.4</v>
          </cell>
          <cell r="AN20">
            <v>0.4</v>
          </cell>
          <cell r="AO20">
            <v>0.4</v>
          </cell>
          <cell r="AP20">
            <v>0.4</v>
          </cell>
          <cell r="AQ20">
            <v>0.4</v>
          </cell>
          <cell r="AR20">
            <v>0.4</v>
          </cell>
          <cell r="AS20">
            <v>0.4</v>
          </cell>
          <cell r="AT20">
            <v>0.4</v>
          </cell>
          <cell r="AU20">
            <v>0.4</v>
          </cell>
          <cell r="AV20">
            <v>0.4</v>
          </cell>
          <cell r="AW20">
            <v>0.4</v>
          </cell>
          <cell r="AX20">
            <v>0.4</v>
          </cell>
          <cell r="AY20">
            <v>0.4</v>
          </cell>
          <cell r="AZ20">
            <v>0.4</v>
          </cell>
          <cell r="BA20">
            <v>0.4</v>
          </cell>
          <cell r="BB20">
            <v>0.4</v>
          </cell>
          <cell r="BC20">
            <v>0.4</v>
          </cell>
          <cell r="BD20">
            <v>0.4</v>
          </cell>
          <cell r="BE20">
            <v>0.6</v>
          </cell>
          <cell r="BF20">
            <v>0.8</v>
          </cell>
          <cell r="BG20">
            <v>1</v>
          </cell>
          <cell r="BH20">
            <v>1</v>
          </cell>
          <cell r="BI20">
            <v>1</v>
          </cell>
          <cell r="BJ20">
            <v>0.6</v>
          </cell>
          <cell r="BK20">
            <v>0.6</v>
          </cell>
          <cell r="BL20">
            <v>0.6</v>
          </cell>
          <cell r="BM20">
            <v>0.6</v>
          </cell>
          <cell r="BN20">
            <v>0.8</v>
          </cell>
          <cell r="BO20">
            <v>0.8</v>
          </cell>
          <cell r="BP20">
            <v>0.6</v>
          </cell>
          <cell r="BQ20">
            <v>0.6</v>
          </cell>
          <cell r="BR20">
            <v>0.4</v>
          </cell>
          <cell r="BS20">
            <v>0.4</v>
          </cell>
          <cell r="BT20">
            <v>0.4</v>
          </cell>
          <cell r="BU20">
            <v>0.6</v>
          </cell>
          <cell r="BV20">
            <v>0.8</v>
          </cell>
          <cell r="BW20">
            <v>0.6</v>
          </cell>
          <cell r="BX20">
            <v>0.6</v>
          </cell>
          <cell r="BY20">
            <v>0.4</v>
          </cell>
          <cell r="BZ20">
            <v>0.4</v>
          </cell>
          <cell r="CA20">
            <v>0.4</v>
          </cell>
          <cell r="CB20">
            <v>0.4</v>
          </cell>
          <cell r="CC20">
            <v>0.4</v>
          </cell>
          <cell r="CD20">
            <v>0.4</v>
          </cell>
          <cell r="CE20">
            <v>0.4</v>
          </cell>
          <cell r="CF20">
            <v>0.6</v>
          </cell>
          <cell r="CG20">
            <v>0.8</v>
          </cell>
          <cell r="CH20">
            <v>1</v>
          </cell>
          <cell r="CI20">
            <v>1</v>
          </cell>
          <cell r="CJ20">
            <v>1</v>
          </cell>
          <cell r="CK20">
            <v>1</v>
          </cell>
          <cell r="CL20">
            <v>1</v>
          </cell>
          <cell r="CM20">
            <v>0.8</v>
          </cell>
          <cell r="CN20">
            <v>0.8</v>
          </cell>
          <cell r="CO20">
            <v>0.4</v>
          </cell>
          <cell r="CP20">
            <v>0.4</v>
          </cell>
          <cell r="CQ20">
            <v>0.4</v>
          </cell>
          <cell r="CR20">
            <v>0.8</v>
          </cell>
          <cell r="CS20">
            <v>0.8</v>
          </cell>
          <cell r="CT20">
            <v>0.8</v>
          </cell>
          <cell r="CU20">
            <v>0.8</v>
          </cell>
          <cell r="CV20">
            <v>0.6</v>
          </cell>
          <cell r="CW20">
            <v>0.6</v>
          </cell>
          <cell r="CX20">
            <v>0.2</v>
          </cell>
          <cell r="CY20">
            <v>0.2</v>
          </cell>
          <cell r="CZ20">
            <v>0.2</v>
          </cell>
          <cell r="DA20">
            <v>0.2</v>
          </cell>
          <cell r="DB20">
            <v>0.2</v>
          </cell>
          <cell r="DC20">
            <v>0.2</v>
          </cell>
          <cell r="DD20">
            <v>0.2</v>
          </cell>
          <cell r="DE20">
            <v>0.6</v>
          </cell>
          <cell r="DF20">
            <v>0.8</v>
          </cell>
          <cell r="DG20">
            <v>1</v>
          </cell>
          <cell r="DJ20">
            <v>36</v>
          </cell>
          <cell r="DK20">
            <v>36</v>
          </cell>
          <cell r="DL20" t="str">
            <v>x</v>
          </cell>
          <cell r="DN20">
            <v>0.67</v>
          </cell>
          <cell r="DO20">
            <v>4370</v>
          </cell>
          <cell r="DP20">
            <v>2210</v>
          </cell>
          <cell r="DQ20">
            <v>1880</v>
          </cell>
          <cell r="DR20">
            <v>800</v>
          </cell>
          <cell r="DS20">
            <v>600</v>
          </cell>
          <cell r="DT20">
            <v>0.55000000000000004</v>
          </cell>
          <cell r="DU20">
            <v>600</v>
          </cell>
          <cell r="DV20">
            <v>450</v>
          </cell>
          <cell r="DW20">
            <v>0.59950000000000014</v>
          </cell>
          <cell r="DX20" t="str">
            <v>1-stufig</v>
          </cell>
          <cell r="DY20">
            <v>4370</v>
          </cell>
          <cell r="DZ20">
            <v>1.4545454545454544</v>
          </cell>
          <cell r="EA20">
            <v>1.0909090909090908</v>
          </cell>
          <cell r="EB20">
            <v>2.545454545454545</v>
          </cell>
          <cell r="EC20">
            <v>6.3563636363636355</v>
          </cell>
          <cell r="ED20">
            <v>4.7672727272727267</v>
          </cell>
          <cell r="EE20">
            <v>11.123636363636361</v>
          </cell>
          <cell r="EF20" t="str">
            <v>1-stufig</v>
          </cell>
          <cell r="EG20">
            <v>4370</v>
          </cell>
          <cell r="EH20">
            <v>1.0008340283569639</v>
          </cell>
          <cell r="EI20">
            <v>0.75062552126772286</v>
          </cell>
          <cell r="EJ20">
            <v>1.7514595496246868</v>
          </cell>
          <cell r="EK20">
            <v>4.3736447039199318</v>
          </cell>
          <cell r="EL20">
            <v>3.280233527939949</v>
          </cell>
          <cell r="EM20">
            <v>7.6538782318598813</v>
          </cell>
          <cell r="EN20" t="str">
            <v>s</v>
          </cell>
          <cell r="EO20">
            <v>0.30000000000000004</v>
          </cell>
          <cell r="EP20">
            <v>0.7</v>
          </cell>
          <cell r="EQ20" t="str">
            <v>m</v>
          </cell>
          <cell r="ER20">
            <v>70</v>
          </cell>
          <cell r="ES20">
            <v>80</v>
          </cell>
          <cell r="ET20">
            <v>10</v>
          </cell>
          <cell r="EU20">
            <v>20</v>
          </cell>
          <cell r="EV20">
            <v>230</v>
          </cell>
          <cell r="EW20">
            <v>130</v>
          </cell>
          <cell r="EX20">
            <v>100</v>
          </cell>
          <cell r="EY20">
            <v>20</v>
          </cell>
          <cell r="EZ20">
            <v>380</v>
          </cell>
          <cell r="FA20">
            <v>250</v>
          </cell>
          <cell r="FB20">
            <v>100</v>
          </cell>
          <cell r="FC20">
            <v>110</v>
          </cell>
          <cell r="FD20">
            <v>6</v>
          </cell>
          <cell r="FE20">
            <v>2</v>
          </cell>
          <cell r="FF20">
            <v>6</v>
          </cell>
          <cell r="FG20">
            <v>7</v>
          </cell>
          <cell r="FH20">
            <v>4</v>
          </cell>
          <cell r="FI20">
            <v>7.5</v>
          </cell>
          <cell r="FJ20">
            <v>9</v>
          </cell>
          <cell r="FK20">
            <v>6</v>
          </cell>
          <cell r="FL20">
            <v>8.5</v>
          </cell>
          <cell r="FM20">
            <v>70</v>
          </cell>
          <cell r="FN20" t="str">
            <v>x</v>
          </cell>
          <cell r="FO20">
            <v>0.25</v>
          </cell>
          <cell r="FP20">
            <v>1.3</v>
          </cell>
          <cell r="FQ20">
            <v>0.8</v>
          </cell>
          <cell r="FR20">
            <v>0.9</v>
          </cell>
          <cell r="FS20">
            <v>0.15</v>
          </cell>
          <cell r="FT20">
            <v>0.6</v>
          </cell>
          <cell r="FU20">
            <v>60</v>
          </cell>
          <cell r="FV20">
            <v>210</v>
          </cell>
          <cell r="FW20">
            <v>15</v>
          </cell>
          <cell r="FX20">
            <v>6</v>
          </cell>
          <cell r="FY20">
            <v>6</v>
          </cell>
          <cell r="FZ20">
            <v>6</v>
          </cell>
          <cell r="GA20">
            <v>6</v>
          </cell>
          <cell r="GB20">
            <v>6</v>
          </cell>
          <cell r="GC20">
            <v>6</v>
          </cell>
          <cell r="GD20">
            <v>6</v>
          </cell>
          <cell r="GE20">
            <v>6</v>
          </cell>
          <cell r="GF20">
            <v>12</v>
          </cell>
          <cell r="GG20">
            <v>12</v>
          </cell>
          <cell r="GH20">
            <v>12</v>
          </cell>
          <cell r="GI20">
            <v>12</v>
          </cell>
          <cell r="GJ20">
            <v>12</v>
          </cell>
          <cell r="GK20">
            <v>12</v>
          </cell>
          <cell r="GL20">
            <v>12</v>
          </cell>
          <cell r="GM20">
            <v>12</v>
          </cell>
          <cell r="GN20">
            <v>945</v>
          </cell>
          <cell r="GO20">
            <v>8.9700000000000006</v>
          </cell>
          <cell r="GP20">
            <v>8.5</v>
          </cell>
          <cell r="GQ20">
            <v>945</v>
          </cell>
          <cell r="GR20">
            <v>6.4</v>
          </cell>
          <cell r="GS20">
            <v>6</v>
          </cell>
          <cell r="GV20">
            <v>4368</v>
          </cell>
          <cell r="GW20">
            <v>2398.0320000000006</v>
          </cell>
          <cell r="GX20">
            <v>2184.0000000000005</v>
          </cell>
        </row>
        <row r="21">
          <cell r="A21">
            <v>13</v>
          </cell>
          <cell r="B21" t="str">
            <v>Kantine</v>
          </cell>
          <cell r="C21">
            <v>3</v>
          </cell>
          <cell r="D21">
            <v>20</v>
          </cell>
          <cell r="E21">
            <v>20</v>
          </cell>
          <cell r="F21">
            <v>400</v>
          </cell>
          <cell r="G21">
            <v>1.4</v>
          </cell>
          <cell r="H21">
            <v>1.2</v>
          </cell>
          <cell r="I21">
            <v>0.8</v>
          </cell>
          <cell r="J21">
            <v>250</v>
          </cell>
          <cell r="K21">
            <v>0.84</v>
          </cell>
          <cell r="L21">
            <v>0</v>
          </cell>
          <cell r="M21">
            <v>0</v>
          </cell>
          <cell r="N21">
            <v>0</v>
          </cell>
          <cell r="O21">
            <v>0</v>
          </cell>
          <cell r="P21">
            <v>0</v>
          </cell>
          <cell r="Q21">
            <v>0</v>
          </cell>
          <cell r="R21">
            <v>0</v>
          </cell>
          <cell r="S21">
            <v>0</v>
          </cell>
          <cell r="T21">
            <v>0.4</v>
          </cell>
          <cell r="U21">
            <v>0.2</v>
          </cell>
          <cell r="V21">
            <v>0.4</v>
          </cell>
          <cell r="W21">
            <v>1</v>
          </cell>
          <cell r="X21">
            <v>0.4</v>
          </cell>
          <cell r="Y21">
            <v>0.2</v>
          </cell>
          <cell r="Z21">
            <v>0.4</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0.4</v>
          </cell>
          <cell r="AR21">
            <v>0.4</v>
          </cell>
          <cell r="AS21">
            <v>0.4</v>
          </cell>
          <cell r="AT21">
            <v>0.6</v>
          </cell>
          <cell r="AU21">
            <v>1</v>
          </cell>
          <cell r="AV21">
            <v>1</v>
          </cell>
          <cell r="AW21">
            <v>0.8</v>
          </cell>
          <cell r="AX21">
            <v>0.4</v>
          </cell>
          <cell r="AY21">
            <v>0</v>
          </cell>
          <cell r="AZ21">
            <v>0</v>
          </cell>
          <cell r="BA21">
            <v>0</v>
          </cell>
          <cell r="BB21">
            <v>0</v>
          </cell>
          <cell r="BC21">
            <v>0</v>
          </cell>
          <cell r="BD21">
            <v>0</v>
          </cell>
          <cell r="BE21">
            <v>0</v>
          </cell>
          <cell r="BF21">
            <v>0</v>
          </cell>
          <cell r="BG21">
            <v>0</v>
          </cell>
          <cell r="BH21">
            <v>0.4</v>
          </cell>
          <cell r="BI21">
            <v>1</v>
          </cell>
          <cell r="BJ21">
            <v>1</v>
          </cell>
          <cell r="BK21">
            <v>1</v>
          </cell>
          <cell r="BL21">
            <v>1</v>
          </cell>
          <cell r="BM21">
            <v>0.8</v>
          </cell>
          <cell r="BN21">
            <v>0.4</v>
          </cell>
          <cell r="BO21">
            <v>0.4</v>
          </cell>
          <cell r="BP21">
            <v>0.8</v>
          </cell>
          <cell r="BQ21">
            <v>1</v>
          </cell>
          <cell r="BR21">
            <v>1</v>
          </cell>
          <cell r="BS21">
            <v>1</v>
          </cell>
          <cell r="BT21">
            <v>1</v>
          </cell>
          <cell r="BU21">
            <v>1</v>
          </cell>
          <cell r="BV21">
            <v>0.8</v>
          </cell>
          <cell r="BW21">
            <v>0</v>
          </cell>
          <cell r="BX21">
            <v>0.4</v>
          </cell>
          <cell r="BY21">
            <v>0.8</v>
          </cell>
          <cell r="BZ21">
            <v>0.8</v>
          </cell>
          <cell r="CA21">
            <v>1</v>
          </cell>
          <cell r="CB21">
            <v>1</v>
          </cell>
          <cell r="CC21">
            <v>1</v>
          </cell>
          <cell r="CD21">
            <v>1</v>
          </cell>
          <cell r="CE21">
            <v>1</v>
          </cell>
          <cell r="CF21">
            <v>1</v>
          </cell>
          <cell r="CG21">
            <v>0.8</v>
          </cell>
          <cell r="CH21">
            <v>0.4</v>
          </cell>
          <cell r="CI21">
            <v>0.2</v>
          </cell>
          <cell r="CJ21">
            <v>0.2</v>
          </cell>
          <cell r="CK21">
            <v>0.6</v>
          </cell>
          <cell r="CL21">
            <v>0.8</v>
          </cell>
          <cell r="CM21">
            <v>1</v>
          </cell>
          <cell r="CN21">
            <v>1</v>
          </cell>
          <cell r="CO21">
            <v>1</v>
          </cell>
          <cell r="CP21">
            <v>1</v>
          </cell>
          <cell r="CQ21">
            <v>1</v>
          </cell>
          <cell r="CR21">
            <v>1</v>
          </cell>
          <cell r="CS21">
            <v>0.8</v>
          </cell>
          <cell r="CT21">
            <v>0.6</v>
          </cell>
          <cell r="CU21">
            <v>0.8</v>
          </cell>
          <cell r="CV21">
            <v>1</v>
          </cell>
          <cell r="CW21">
            <v>1</v>
          </cell>
          <cell r="CX21">
            <v>1</v>
          </cell>
          <cell r="CY21">
            <v>1</v>
          </cell>
          <cell r="CZ21">
            <v>1</v>
          </cell>
          <cell r="DA21">
            <v>1</v>
          </cell>
          <cell r="DB21">
            <v>1</v>
          </cell>
          <cell r="DC21">
            <v>1</v>
          </cell>
          <cell r="DD21">
            <v>1</v>
          </cell>
          <cell r="DE21">
            <v>0.8</v>
          </cell>
          <cell r="DF21">
            <v>0.4</v>
          </cell>
          <cell r="DG21">
            <v>0</v>
          </cell>
          <cell r="DH21" t="str">
            <v>x</v>
          </cell>
          <cell r="DI21" t="str">
            <v>x</v>
          </cell>
          <cell r="DJ21">
            <v>36</v>
          </cell>
          <cell r="DK21">
            <v>36</v>
          </cell>
          <cell r="DL21" t="str">
            <v>x</v>
          </cell>
          <cell r="DN21">
            <v>0.67</v>
          </cell>
          <cell r="DO21">
            <v>1750</v>
          </cell>
          <cell r="DP21">
            <v>670</v>
          </cell>
          <cell r="DQ21">
            <v>340</v>
          </cell>
          <cell r="DR21">
            <v>800</v>
          </cell>
          <cell r="DS21">
            <v>600</v>
          </cell>
          <cell r="DT21">
            <v>0.55000000000000004</v>
          </cell>
          <cell r="DU21">
            <v>600</v>
          </cell>
          <cell r="DV21">
            <v>450</v>
          </cell>
          <cell r="DW21">
            <v>0.59950000000000014</v>
          </cell>
          <cell r="DX21" t="str">
            <v>2-stufig</v>
          </cell>
          <cell r="DY21">
            <v>670</v>
          </cell>
          <cell r="DZ21">
            <v>12.121212121212119</v>
          </cell>
          <cell r="EA21">
            <v>9.0909090909090899</v>
          </cell>
          <cell r="EB21">
            <v>21.212121212121211</v>
          </cell>
          <cell r="EC21">
            <v>8.1212121212121193</v>
          </cell>
          <cell r="ED21">
            <v>6.0909090909090899</v>
          </cell>
          <cell r="EE21">
            <v>14.212121212121209</v>
          </cell>
          <cell r="EF21" t="str">
            <v>stufenlos</v>
          </cell>
          <cell r="EG21">
            <v>340</v>
          </cell>
          <cell r="EH21">
            <v>8.3402835696413646</v>
          </cell>
          <cell r="EI21">
            <v>6.2552126772310244</v>
          </cell>
          <cell r="EJ21">
            <v>14.59549624687239</v>
          </cell>
          <cell r="EK21">
            <v>2.8356964136780638</v>
          </cell>
          <cell r="EL21">
            <v>2.1267723102585481</v>
          </cell>
          <cell r="EM21">
            <v>4.9624687239366114</v>
          </cell>
          <cell r="EN21" t="str">
            <v>s</v>
          </cell>
          <cell r="EO21">
            <v>0.30000000000000004</v>
          </cell>
          <cell r="EP21">
            <v>0.7</v>
          </cell>
          <cell r="EQ21" t="str">
            <v>m</v>
          </cell>
          <cell r="ER21">
            <v>70</v>
          </cell>
          <cell r="ES21">
            <v>80</v>
          </cell>
          <cell r="ET21">
            <v>10</v>
          </cell>
          <cell r="EU21">
            <v>20</v>
          </cell>
          <cell r="EV21">
            <v>230</v>
          </cell>
          <cell r="EW21">
            <v>130</v>
          </cell>
          <cell r="EX21">
            <v>100</v>
          </cell>
          <cell r="EY21">
            <v>20</v>
          </cell>
          <cell r="EZ21">
            <v>380</v>
          </cell>
          <cell r="FA21">
            <v>250</v>
          </cell>
          <cell r="FB21">
            <v>100</v>
          </cell>
          <cell r="FC21">
            <v>110</v>
          </cell>
          <cell r="FD21">
            <v>50</v>
          </cell>
          <cell r="FE21">
            <v>1</v>
          </cell>
          <cell r="FF21">
            <v>9</v>
          </cell>
          <cell r="FG21">
            <v>58.5</v>
          </cell>
          <cell r="FH21">
            <v>2</v>
          </cell>
          <cell r="FI21">
            <v>10</v>
          </cell>
          <cell r="FJ21">
            <v>87.5</v>
          </cell>
          <cell r="FK21">
            <v>3</v>
          </cell>
          <cell r="FL21">
            <v>11</v>
          </cell>
          <cell r="FM21">
            <v>70</v>
          </cell>
          <cell r="FN21" t="str">
            <v>x</v>
          </cell>
          <cell r="FO21">
            <v>0.25</v>
          </cell>
          <cell r="FP21">
            <v>1.3</v>
          </cell>
          <cell r="FQ21">
            <v>0.8</v>
          </cell>
          <cell r="FR21">
            <v>0.9</v>
          </cell>
          <cell r="FS21">
            <v>0.15</v>
          </cell>
          <cell r="FT21">
            <v>0.6</v>
          </cell>
          <cell r="FU21">
            <v>60</v>
          </cell>
          <cell r="FV21">
            <v>210</v>
          </cell>
          <cell r="FW21">
            <v>13</v>
          </cell>
          <cell r="FX21">
            <v>10</v>
          </cell>
          <cell r="FY21">
            <v>7</v>
          </cell>
          <cell r="FZ21">
            <v>10</v>
          </cell>
          <cell r="GA21">
            <v>9</v>
          </cell>
          <cell r="GB21">
            <v>7</v>
          </cell>
          <cell r="GC21">
            <v>8</v>
          </cell>
          <cell r="GD21">
            <v>9</v>
          </cell>
          <cell r="GE21">
            <v>9</v>
          </cell>
          <cell r="GF21">
            <v>14</v>
          </cell>
          <cell r="GG21">
            <v>12</v>
          </cell>
          <cell r="GH21">
            <v>14</v>
          </cell>
          <cell r="GI21">
            <v>13</v>
          </cell>
          <cell r="GJ21">
            <v>12</v>
          </cell>
          <cell r="GK21">
            <v>13</v>
          </cell>
          <cell r="GL21">
            <v>13</v>
          </cell>
          <cell r="GM21">
            <v>13</v>
          </cell>
          <cell r="GN21">
            <v>495</v>
          </cell>
          <cell r="GO21">
            <v>24.6</v>
          </cell>
          <cell r="GP21">
            <v>12.2</v>
          </cell>
          <cell r="GQ21">
            <v>495</v>
          </cell>
          <cell r="GR21">
            <v>17.600000000000001</v>
          </cell>
          <cell r="GS21">
            <v>8.6999999999999993</v>
          </cell>
          <cell r="GV21">
            <v>1750</v>
          </cell>
          <cell r="GW21">
            <v>1041.5999999999999</v>
          </cell>
          <cell r="GX21">
            <v>630</v>
          </cell>
        </row>
        <row r="22">
          <cell r="A22">
            <v>14</v>
          </cell>
          <cell r="B22" t="str">
            <v>Restaurant</v>
          </cell>
          <cell r="C22">
            <v>3</v>
          </cell>
          <cell r="D22">
            <v>12</v>
          </cell>
          <cell r="E22">
            <v>12</v>
          </cell>
          <cell r="F22">
            <v>144</v>
          </cell>
          <cell r="G22">
            <v>1.6</v>
          </cell>
          <cell r="H22">
            <v>1.2</v>
          </cell>
          <cell r="I22">
            <v>0.8</v>
          </cell>
          <cell r="J22">
            <v>300</v>
          </cell>
          <cell r="K22">
            <v>0.73599999999999999</v>
          </cell>
          <cell r="L22">
            <v>0</v>
          </cell>
          <cell r="M22">
            <v>0</v>
          </cell>
          <cell r="N22">
            <v>0</v>
          </cell>
          <cell r="O22">
            <v>0</v>
          </cell>
          <cell r="P22">
            <v>0</v>
          </cell>
          <cell r="Q22">
            <v>0</v>
          </cell>
          <cell r="R22">
            <v>0</v>
          </cell>
          <cell r="S22">
            <v>0</v>
          </cell>
          <cell r="T22">
            <v>0.2</v>
          </cell>
          <cell r="U22">
            <v>0.2</v>
          </cell>
          <cell r="V22">
            <v>0.2</v>
          </cell>
          <cell r="W22">
            <v>0.2</v>
          </cell>
          <cell r="X22">
            <v>0.8</v>
          </cell>
          <cell r="Y22">
            <v>0.4</v>
          </cell>
          <cell r="Z22">
            <v>0</v>
          </cell>
          <cell r="AA22">
            <v>0</v>
          </cell>
          <cell r="AB22">
            <v>0</v>
          </cell>
          <cell r="AC22">
            <v>0</v>
          </cell>
          <cell r="AD22">
            <v>0.2</v>
          </cell>
          <cell r="AE22">
            <v>0.2</v>
          </cell>
          <cell r="AF22">
            <v>0.4</v>
          </cell>
          <cell r="AG22">
            <v>0.8</v>
          </cell>
          <cell r="AH22">
            <v>0.2</v>
          </cell>
          <cell r="AI22">
            <v>0.2</v>
          </cell>
          <cell r="AJ22">
            <v>0</v>
          </cell>
          <cell r="AK22">
            <v>0</v>
          </cell>
          <cell r="AL22">
            <v>0</v>
          </cell>
          <cell r="AM22">
            <v>0</v>
          </cell>
          <cell r="AN22">
            <v>0</v>
          </cell>
          <cell r="AO22">
            <v>0</v>
          </cell>
          <cell r="AP22">
            <v>0</v>
          </cell>
          <cell r="AQ22">
            <v>0</v>
          </cell>
          <cell r="AR22">
            <v>0.4</v>
          </cell>
          <cell r="AS22">
            <v>0.4</v>
          </cell>
          <cell r="AT22">
            <v>0.4</v>
          </cell>
          <cell r="AU22">
            <v>0.4</v>
          </cell>
          <cell r="AV22">
            <v>1</v>
          </cell>
          <cell r="AW22">
            <v>1</v>
          </cell>
          <cell r="AX22">
            <v>0</v>
          </cell>
          <cell r="AY22">
            <v>0</v>
          </cell>
          <cell r="AZ22">
            <v>0</v>
          </cell>
          <cell r="BA22">
            <v>0</v>
          </cell>
          <cell r="BB22">
            <v>0.4</v>
          </cell>
          <cell r="BC22">
            <v>0.4</v>
          </cell>
          <cell r="BD22">
            <v>0.4</v>
          </cell>
          <cell r="BE22">
            <v>1</v>
          </cell>
          <cell r="BF22">
            <v>0.8</v>
          </cell>
          <cell r="BG22">
            <v>0.4</v>
          </cell>
          <cell r="BH22">
            <v>0.4</v>
          </cell>
          <cell r="BI22">
            <v>0.6</v>
          </cell>
          <cell r="BJ22">
            <v>0.6</v>
          </cell>
          <cell r="BK22">
            <v>0.6</v>
          </cell>
          <cell r="BL22">
            <v>0.6</v>
          </cell>
          <cell r="BM22">
            <v>0.8</v>
          </cell>
          <cell r="BN22">
            <v>0.8</v>
          </cell>
          <cell r="BO22">
            <v>0.8</v>
          </cell>
          <cell r="BP22">
            <v>0.8</v>
          </cell>
          <cell r="BQ22">
            <v>0.8</v>
          </cell>
          <cell r="BR22">
            <v>0.8</v>
          </cell>
          <cell r="BS22">
            <v>0.8</v>
          </cell>
          <cell r="BT22">
            <v>0.8</v>
          </cell>
          <cell r="BU22">
            <v>0.8</v>
          </cell>
          <cell r="BV22">
            <v>0.8</v>
          </cell>
          <cell r="BW22">
            <v>0</v>
          </cell>
          <cell r="BX22">
            <v>0.8</v>
          </cell>
          <cell r="BY22">
            <v>0.8</v>
          </cell>
          <cell r="BZ22">
            <v>0.8</v>
          </cell>
          <cell r="CA22">
            <v>0.8</v>
          </cell>
          <cell r="CB22">
            <v>0.8</v>
          </cell>
          <cell r="CC22">
            <v>0.8</v>
          </cell>
          <cell r="CD22">
            <v>0.8</v>
          </cell>
          <cell r="CE22">
            <v>0.8</v>
          </cell>
          <cell r="CF22">
            <v>0.8</v>
          </cell>
          <cell r="CG22">
            <v>0.8</v>
          </cell>
          <cell r="CH22">
            <v>0.6</v>
          </cell>
          <cell r="CI22">
            <v>0.4</v>
          </cell>
          <cell r="CJ22">
            <v>0.4</v>
          </cell>
          <cell r="CK22">
            <v>0.4</v>
          </cell>
          <cell r="CL22">
            <v>0.4</v>
          </cell>
          <cell r="CM22">
            <v>0.6</v>
          </cell>
          <cell r="CN22">
            <v>0.8</v>
          </cell>
          <cell r="CO22">
            <v>0.8</v>
          </cell>
          <cell r="CP22">
            <v>0.8</v>
          </cell>
          <cell r="CQ22">
            <v>0.8</v>
          </cell>
          <cell r="CR22">
            <v>0.8</v>
          </cell>
          <cell r="CS22">
            <v>0.8</v>
          </cell>
          <cell r="CT22">
            <v>0.8</v>
          </cell>
          <cell r="CU22">
            <v>0.8</v>
          </cell>
          <cell r="CV22">
            <v>0.8</v>
          </cell>
          <cell r="CW22">
            <v>0.8</v>
          </cell>
          <cell r="CX22">
            <v>0.8</v>
          </cell>
          <cell r="CY22">
            <v>0.8</v>
          </cell>
          <cell r="CZ22">
            <v>0.8</v>
          </cell>
          <cell r="DA22">
            <v>0.8</v>
          </cell>
          <cell r="DB22">
            <v>0.8</v>
          </cell>
          <cell r="DC22">
            <v>0.8</v>
          </cell>
          <cell r="DD22">
            <v>0.8</v>
          </cell>
          <cell r="DE22">
            <v>0.8</v>
          </cell>
          <cell r="DF22">
            <v>0.8</v>
          </cell>
          <cell r="DG22">
            <v>0</v>
          </cell>
          <cell r="DH22" t="str">
            <v>x</v>
          </cell>
          <cell r="DI22" t="str">
            <v>x</v>
          </cell>
          <cell r="DJ22">
            <v>36</v>
          </cell>
          <cell r="DK22">
            <v>36</v>
          </cell>
          <cell r="DL22" t="str">
            <v>x</v>
          </cell>
          <cell r="DN22">
            <v>0.67</v>
          </cell>
          <cell r="DO22">
            <v>3600</v>
          </cell>
          <cell r="DP22">
            <v>1250</v>
          </cell>
          <cell r="DQ22">
            <v>470</v>
          </cell>
          <cell r="DR22">
            <v>800</v>
          </cell>
          <cell r="DS22">
            <v>600</v>
          </cell>
          <cell r="DT22">
            <v>0.55000000000000004</v>
          </cell>
          <cell r="DU22">
            <v>600</v>
          </cell>
          <cell r="DV22">
            <v>450</v>
          </cell>
          <cell r="DW22">
            <v>0.59950000000000014</v>
          </cell>
          <cell r="DX22" t="str">
            <v>2-stufig</v>
          </cell>
          <cell r="DY22">
            <v>1250</v>
          </cell>
          <cell r="DZ22">
            <v>12.121212121212119</v>
          </cell>
          <cell r="EA22">
            <v>9.0909090909090899</v>
          </cell>
          <cell r="EB22">
            <v>21.212121212121211</v>
          </cell>
          <cell r="EC22">
            <v>15.151515151515149</v>
          </cell>
          <cell r="ED22">
            <v>11.363636363636362</v>
          </cell>
          <cell r="EE22">
            <v>26.515151515151508</v>
          </cell>
          <cell r="EF22" t="str">
            <v>stufenlos</v>
          </cell>
          <cell r="EG22">
            <v>470</v>
          </cell>
          <cell r="EH22">
            <v>8.3402835696413646</v>
          </cell>
          <cell r="EI22">
            <v>6.2552126772310244</v>
          </cell>
          <cell r="EJ22">
            <v>14.59549624687239</v>
          </cell>
          <cell r="EK22">
            <v>3.9199332777314413</v>
          </cell>
          <cell r="EL22">
            <v>2.9399499582985813</v>
          </cell>
          <cell r="EM22">
            <v>6.8598832360300221</v>
          </cell>
          <cell r="EN22" t="str">
            <v>s</v>
          </cell>
          <cell r="EO22">
            <v>0.30000000000000004</v>
          </cell>
          <cell r="EP22">
            <v>0.7</v>
          </cell>
          <cell r="EQ22" t="str">
            <v>m</v>
          </cell>
          <cell r="ER22">
            <v>70</v>
          </cell>
          <cell r="ES22">
            <v>80</v>
          </cell>
          <cell r="ET22">
            <v>10</v>
          </cell>
          <cell r="EU22">
            <v>20</v>
          </cell>
          <cell r="EV22">
            <v>230</v>
          </cell>
          <cell r="EW22">
            <v>130</v>
          </cell>
          <cell r="EX22">
            <v>100</v>
          </cell>
          <cell r="EY22">
            <v>20</v>
          </cell>
          <cell r="EZ22">
            <v>380</v>
          </cell>
          <cell r="FA22">
            <v>250</v>
          </cell>
          <cell r="FB22">
            <v>100</v>
          </cell>
          <cell r="FC22">
            <v>110</v>
          </cell>
          <cell r="FD22">
            <v>44</v>
          </cell>
          <cell r="FE22">
            <v>1</v>
          </cell>
          <cell r="FF22">
            <v>7.5</v>
          </cell>
          <cell r="FG22">
            <v>58.5</v>
          </cell>
          <cell r="FH22">
            <v>2</v>
          </cell>
          <cell r="FI22">
            <v>8.5</v>
          </cell>
          <cell r="FJ22">
            <v>87.5</v>
          </cell>
          <cell r="FK22">
            <v>3</v>
          </cell>
          <cell r="FL22">
            <v>9</v>
          </cell>
          <cell r="FM22">
            <v>70</v>
          </cell>
          <cell r="FN22" t="str">
            <v>x</v>
          </cell>
          <cell r="FO22">
            <v>0.25</v>
          </cell>
          <cell r="FP22">
            <v>1.3</v>
          </cell>
          <cell r="FQ22">
            <v>0.8</v>
          </cell>
          <cell r="FR22">
            <v>0.9</v>
          </cell>
          <cell r="FS22">
            <v>0.15</v>
          </cell>
          <cell r="FT22">
            <v>0.6</v>
          </cell>
          <cell r="FU22">
            <v>60</v>
          </cell>
          <cell r="FV22">
            <v>210</v>
          </cell>
          <cell r="FW22">
            <v>14</v>
          </cell>
          <cell r="FX22">
            <v>9</v>
          </cell>
          <cell r="FY22">
            <v>6</v>
          </cell>
          <cell r="FZ22">
            <v>9</v>
          </cell>
          <cell r="GA22">
            <v>8</v>
          </cell>
          <cell r="GB22">
            <v>5</v>
          </cell>
          <cell r="GC22">
            <v>6</v>
          </cell>
          <cell r="GD22">
            <v>8</v>
          </cell>
          <cell r="GE22">
            <v>8</v>
          </cell>
          <cell r="GF22">
            <v>13</v>
          </cell>
          <cell r="GG22">
            <v>12</v>
          </cell>
          <cell r="GH22">
            <v>14</v>
          </cell>
          <cell r="GI22">
            <v>12</v>
          </cell>
          <cell r="GJ22">
            <v>10</v>
          </cell>
          <cell r="GK22">
            <v>11</v>
          </cell>
          <cell r="GL22">
            <v>12</v>
          </cell>
          <cell r="GM22">
            <v>12</v>
          </cell>
          <cell r="GN22">
            <v>785</v>
          </cell>
          <cell r="GO22">
            <v>21.23</v>
          </cell>
          <cell r="GP22">
            <v>16.7</v>
          </cell>
          <cell r="GQ22">
            <v>785</v>
          </cell>
          <cell r="GR22">
            <v>15.2</v>
          </cell>
          <cell r="GS22">
            <v>11.9</v>
          </cell>
          <cell r="GV22">
            <v>3600</v>
          </cell>
          <cell r="GW22">
            <v>1898.8800000000003</v>
          </cell>
          <cell r="GX22">
            <v>883.20000000000016</v>
          </cell>
        </row>
        <row r="23">
          <cell r="A23">
            <v>15</v>
          </cell>
          <cell r="B23" t="str">
            <v>Küche zu Kantine</v>
          </cell>
          <cell r="C23">
            <v>3</v>
          </cell>
          <cell r="D23">
            <v>12</v>
          </cell>
          <cell r="E23">
            <v>12</v>
          </cell>
          <cell r="F23">
            <v>144</v>
          </cell>
          <cell r="G23">
            <v>10</v>
          </cell>
          <cell r="H23">
            <v>10</v>
          </cell>
          <cell r="I23">
            <v>10</v>
          </cell>
          <cell r="J23">
            <v>250</v>
          </cell>
          <cell r="K23">
            <v>0.84</v>
          </cell>
          <cell r="L23">
            <v>0</v>
          </cell>
          <cell r="M23">
            <v>0</v>
          </cell>
          <cell r="N23">
            <v>0</v>
          </cell>
          <cell r="O23">
            <v>0</v>
          </cell>
          <cell r="P23">
            <v>0</v>
          </cell>
          <cell r="Q23">
            <v>0</v>
          </cell>
          <cell r="R23">
            <v>0</v>
          </cell>
          <cell r="S23">
            <v>0.4</v>
          </cell>
          <cell r="T23">
            <v>0.4</v>
          </cell>
          <cell r="U23">
            <v>0.8</v>
          </cell>
          <cell r="V23">
            <v>1</v>
          </cell>
          <cell r="W23">
            <v>1</v>
          </cell>
          <cell r="X23">
            <v>0.6</v>
          </cell>
          <cell r="Y23">
            <v>0.4</v>
          </cell>
          <cell r="Z23">
            <v>0.2</v>
          </cell>
          <cell r="AA23">
            <v>0.2</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0.4</v>
          </cell>
          <cell r="AR23">
            <v>0.4</v>
          </cell>
          <cell r="AS23">
            <v>0.8</v>
          </cell>
          <cell r="AT23">
            <v>1</v>
          </cell>
          <cell r="AU23">
            <v>1</v>
          </cell>
          <cell r="AV23">
            <v>0.6</v>
          </cell>
          <cell r="AW23">
            <v>0.4</v>
          </cell>
          <cell r="AX23">
            <v>0.2</v>
          </cell>
          <cell r="AY23">
            <v>0.2</v>
          </cell>
          <cell r="AZ23">
            <v>0</v>
          </cell>
          <cell r="BA23">
            <v>0</v>
          </cell>
          <cell r="BB23">
            <v>0</v>
          </cell>
          <cell r="BC23">
            <v>0</v>
          </cell>
          <cell r="BD23">
            <v>0</v>
          </cell>
          <cell r="BE23">
            <v>0</v>
          </cell>
          <cell r="BF23">
            <v>0</v>
          </cell>
          <cell r="BG23">
            <v>0</v>
          </cell>
          <cell r="BH23">
            <v>0.4</v>
          </cell>
          <cell r="BI23">
            <v>1</v>
          </cell>
          <cell r="BJ23">
            <v>1</v>
          </cell>
          <cell r="BK23">
            <v>1</v>
          </cell>
          <cell r="BL23">
            <v>1</v>
          </cell>
          <cell r="BM23">
            <v>0.8</v>
          </cell>
          <cell r="BN23">
            <v>0.4</v>
          </cell>
          <cell r="BO23">
            <v>0.4</v>
          </cell>
          <cell r="BP23">
            <v>0.8</v>
          </cell>
          <cell r="BQ23">
            <v>1</v>
          </cell>
          <cell r="BR23">
            <v>1</v>
          </cell>
          <cell r="BS23">
            <v>1</v>
          </cell>
          <cell r="BT23">
            <v>1</v>
          </cell>
          <cell r="BU23">
            <v>1</v>
          </cell>
          <cell r="BV23">
            <v>0.8</v>
          </cell>
          <cell r="BW23">
            <v>0</v>
          </cell>
          <cell r="BX23">
            <v>0.4</v>
          </cell>
          <cell r="BY23">
            <v>0.8</v>
          </cell>
          <cell r="BZ23">
            <v>0.8</v>
          </cell>
          <cell r="CA23">
            <v>1</v>
          </cell>
          <cell r="CB23">
            <v>1</v>
          </cell>
          <cell r="CC23">
            <v>1</v>
          </cell>
          <cell r="CD23">
            <v>1</v>
          </cell>
          <cell r="CE23">
            <v>1</v>
          </cell>
          <cell r="CF23">
            <v>1</v>
          </cell>
          <cell r="CG23">
            <v>0.8</v>
          </cell>
          <cell r="CH23">
            <v>0.4</v>
          </cell>
          <cell r="CI23">
            <v>0.2</v>
          </cell>
          <cell r="CJ23">
            <v>0.2</v>
          </cell>
          <cell r="CK23">
            <v>0.6</v>
          </cell>
          <cell r="CL23">
            <v>0.8</v>
          </cell>
          <cell r="CM23">
            <v>1</v>
          </cell>
          <cell r="CN23">
            <v>1</v>
          </cell>
          <cell r="CO23">
            <v>1</v>
          </cell>
          <cell r="CP23">
            <v>1</v>
          </cell>
          <cell r="CQ23">
            <v>1</v>
          </cell>
          <cell r="CR23">
            <v>1</v>
          </cell>
          <cell r="CS23">
            <v>0.8</v>
          </cell>
          <cell r="CT23">
            <v>0.6</v>
          </cell>
          <cell r="CU23">
            <v>0.8</v>
          </cell>
          <cell r="CV23">
            <v>1</v>
          </cell>
          <cell r="CW23">
            <v>1</v>
          </cell>
          <cell r="CX23">
            <v>1</v>
          </cell>
          <cell r="CY23">
            <v>1</v>
          </cell>
          <cell r="CZ23">
            <v>1</v>
          </cell>
          <cell r="DA23">
            <v>1</v>
          </cell>
          <cell r="DB23">
            <v>1</v>
          </cell>
          <cell r="DC23">
            <v>1</v>
          </cell>
          <cell r="DD23">
            <v>1</v>
          </cell>
          <cell r="DE23">
            <v>0.8</v>
          </cell>
          <cell r="DF23">
            <v>0.4</v>
          </cell>
          <cell r="DG23">
            <v>0</v>
          </cell>
          <cell r="DJ23">
            <v>65</v>
          </cell>
          <cell r="DK23">
            <v>70</v>
          </cell>
          <cell r="DM23" t="str">
            <v>x</v>
          </cell>
          <cell r="DN23">
            <v>0.67</v>
          </cell>
          <cell r="DO23">
            <v>2250</v>
          </cell>
          <cell r="DP23">
            <v>1090</v>
          </cell>
          <cell r="DQ23">
            <v>700</v>
          </cell>
          <cell r="DR23">
            <v>800</v>
          </cell>
          <cell r="DS23">
            <v>600</v>
          </cell>
          <cell r="DT23">
            <v>0.55000000000000004</v>
          </cell>
          <cell r="DU23">
            <v>600</v>
          </cell>
          <cell r="DV23">
            <v>450</v>
          </cell>
          <cell r="DW23">
            <v>0.59950000000000014</v>
          </cell>
          <cell r="DX23" t="str">
            <v>2-stufig</v>
          </cell>
          <cell r="DY23">
            <v>1090</v>
          </cell>
          <cell r="DZ23">
            <v>26.262626262626263</v>
          </cell>
          <cell r="EA23">
            <v>21.212121212121207</v>
          </cell>
          <cell r="EB23">
            <v>47.474747474747474</v>
          </cell>
          <cell r="EC23">
            <v>28.626262626262626</v>
          </cell>
          <cell r="ED23">
            <v>23.121212121212118</v>
          </cell>
          <cell r="EE23">
            <v>51.74747474747474</v>
          </cell>
          <cell r="EF23" t="str">
            <v>stufenlos</v>
          </cell>
          <cell r="EG23">
            <v>700</v>
          </cell>
          <cell r="EH23">
            <v>18.070614400889625</v>
          </cell>
          <cell r="EI23">
            <v>14.59549624687239</v>
          </cell>
          <cell r="EJ23">
            <v>32.666110647762011</v>
          </cell>
          <cell r="EK23">
            <v>12.649430080622736</v>
          </cell>
          <cell r="EL23">
            <v>10.216847372810673</v>
          </cell>
          <cell r="EM23">
            <v>22.866277453433408</v>
          </cell>
          <cell r="EN23" t="str">
            <v>s</v>
          </cell>
          <cell r="EO23">
            <v>0.30000000000000004</v>
          </cell>
          <cell r="EP23">
            <v>0.7</v>
          </cell>
          <cell r="EQ23" t="str">
            <v>m</v>
          </cell>
          <cell r="ER23">
            <v>70</v>
          </cell>
          <cell r="ES23">
            <v>80</v>
          </cell>
          <cell r="ET23">
            <v>10</v>
          </cell>
          <cell r="EU23">
            <v>20</v>
          </cell>
          <cell r="EV23">
            <v>230</v>
          </cell>
          <cell r="EW23">
            <v>130</v>
          </cell>
          <cell r="EX23">
            <v>100</v>
          </cell>
          <cell r="EY23">
            <v>20</v>
          </cell>
          <cell r="EZ23">
            <v>380</v>
          </cell>
          <cell r="FA23">
            <v>250</v>
          </cell>
          <cell r="FB23">
            <v>100</v>
          </cell>
          <cell r="FC23">
            <v>110</v>
          </cell>
          <cell r="FD23">
            <v>8</v>
          </cell>
          <cell r="FE23">
            <v>150</v>
          </cell>
          <cell r="FF23">
            <v>6.5</v>
          </cell>
          <cell r="FG23">
            <v>8</v>
          </cell>
          <cell r="FH23">
            <v>200</v>
          </cell>
          <cell r="FI23">
            <v>8</v>
          </cell>
          <cell r="FJ23">
            <v>8</v>
          </cell>
          <cell r="FK23">
            <v>250</v>
          </cell>
          <cell r="FL23">
            <v>9</v>
          </cell>
          <cell r="FM23">
            <v>80</v>
          </cell>
          <cell r="FN23" t="str">
            <v>x</v>
          </cell>
          <cell r="FO23">
            <v>0.25</v>
          </cell>
          <cell r="FP23">
            <v>1.3</v>
          </cell>
          <cell r="FQ23">
            <v>0.8</v>
          </cell>
          <cell r="FR23">
            <v>0.9</v>
          </cell>
          <cell r="FS23">
            <v>0.15</v>
          </cell>
          <cell r="FT23">
            <v>0.6</v>
          </cell>
          <cell r="FU23">
            <v>60</v>
          </cell>
          <cell r="FV23">
            <v>210</v>
          </cell>
          <cell r="FW23">
            <v>15</v>
          </cell>
          <cell r="FX23">
            <v>6</v>
          </cell>
          <cell r="FY23">
            <v>6</v>
          </cell>
          <cell r="FZ23">
            <v>6</v>
          </cell>
          <cell r="GA23">
            <v>6</v>
          </cell>
          <cell r="GB23">
            <v>6</v>
          </cell>
          <cell r="GC23">
            <v>6</v>
          </cell>
          <cell r="GD23">
            <v>6</v>
          </cell>
          <cell r="GE23">
            <v>6</v>
          </cell>
          <cell r="GF23">
            <v>12</v>
          </cell>
          <cell r="GG23">
            <v>12</v>
          </cell>
          <cell r="GH23">
            <v>12</v>
          </cell>
          <cell r="GI23">
            <v>12</v>
          </cell>
          <cell r="GJ23">
            <v>12</v>
          </cell>
          <cell r="GK23">
            <v>12</v>
          </cell>
          <cell r="GL23">
            <v>12</v>
          </cell>
          <cell r="GM23">
            <v>12</v>
          </cell>
          <cell r="GN23">
            <v>1347</v>
          </cell>
          <cell r="GO23">
            <v>60.14</v>
          </cell>
          <cell r="GP23">
            <v>81</v>
          </cell>
          <cell r="GQ23">
            <v>1347</v>
          </cell>
          <cell r="GR23">
            <v>43</v>
          </cell>
          <cell r="GS23">
            <v>57.9</v>
          </cell>
          <cell r="GV23">
            <v>2250</v>
          </cell>
          <cell r="GW23">
            <v>1461.6</v>
          </cell>
          <cell r="GX23">
            <v>1050.0000000000002</v>
          </cell>
        </row>
        <row r="24">
          <cell r="A24">
            <v>16</v>
          </cell>
          <cell r="B24" t="str">
            <v>Küche zu Restaurant</v>
          </cell>
          <cell r="C24">
            <v>3</v>
          </cell>
          <cell r="D24">
            <v>6</v>
          </cell>
          <cell r="E24">
            <v>6</v>
          </cell>
          <cell r="F24">
            <v>36</v>
          </cell>
          <cell r="G24">
            <v>10</v>
          </cell>
          <cell r="H24">
            <v>10</v>
          </cell>
          <cell r="I24">
            <v>10</v>
          </cell>
          <cell r="J24">
            <v>300</v>
          </cell>
          <cell r="K24">
            <v>0.74285714285714288</v>
          </cell>
          <cell r="L24">
            <v>0</v>
          </cell>
          <cell r="M24">
            <v>0</v>
          </cell>
          <cell r="N24">
            <v>0</v>
          </cell>
          <cell r="O24">
            <v>0</v>
          </cell>
          <cell r="P24">
            <v>0</v>
          </cell>
          <cell r="Q24">
            <v>0</v>
          </cell>
          <cell r="R24">
            <v>0</v>
          </cell>
          <cell r="S24">
            <v>0</v>
          </cell>
          <cell r="T24">
            <v>0.4</v>
          </cell>
          <cell r="U24">
            <v>0.4</v>
          </cell>
          <cell r="V24">
            <v>0.4</v>
          </cell>
          <cell r="W24">
            <v>1</v>
          </cell>
          <cell r="X24">
            <v>1</v>
          </cell>
          <cell r="Y24">
            <v>0.6</v>
          </cell>
          <cell r="Z24">
            <v>0.4</v>
          </cell>
          <cell r="AA24">
            <v>0</v>
          </cell>
          <cell r="AB24">
            <v>0</v>
          </cell>
          <cell r="AC24">
            <v>0</v>
          </cell>
          <cell r="AD24">
            <v>0.4</v>
          </cell>
          <cell r="AE24">
            <v>0.8</v>
          </cell>
          <cell r="AF24">
            <v>1</v>
          </cell>
          <cell r="AG24">
            <v>0.4</v>
          </cell>
          <cell r="AH24">
            <v>0.2</v>
          </cell>
          <cell r="AI24">
            <v>0</v>
          </cell>
          <cell r="AJ24">
            <v>0</v>
          </cell>
          <cell r="AK24">
            <v>0</v>
          </cell>
          <cell r="AL24">
            <v>0</v>
          </cell>
          <cell r="AM24">
            <v>0</v>
          </cell>
          <cell r="AN24">
            <v>0</v>
          </cell>
          <cell r="AO24">
            <v>0</v>
          </cell>
          <cell r="AP24">
            <v>0</v>
          </cell>
          <cell r="AQ24">
            <v>0</v>
          </cell>
          <cell r="AR24">
            <v>0.4</v>
          </cell>
          <cell r="AS24">
            <v>0.4</v>
          </cell>
          <cell r="AT24">
            <v>0.4</v>
          </cell>
          <cell r="AU24">
            <v>1</v>
          </cell>
          <cell r="AV24">
            <v>1</v>
          </cell>
          <cell r="AW24">
            <v>0.6</v>
          </cell>
          <cell r="AX24">
            <v>0.4</v>
          </cell>
          <cell r="AY24">
            <v>0</v>
          </cell>
          <cell r="AZ24">
            <v>0</v>
          </cell>
          <cell r="BA24">
            <v>0</v>
          </cell>
          <cell r="BB24">
            <v>0.4</v>
          </cell>
          <cell r="BC24">
            <v>0.8</v>
          </cell>
          <cell r="BD24">
            <v>1</v>
          </cell>
          <cell r="BE24">
            <v>0.4</v>
          </cell>
          <cell r="BF24">
            <v>0.2</v>
          </cell>
          <cell r="BG24">
            <v>0</v>
          </cell>
          <cell r="BH24">
            <v>0</v>
          </cell>
          <cell r="BI24">
            <v>0.6</v>
          </cell>
          <cell r="BJ24">
            <v>0.6</v>
          </cell>
          <cell r="BK24">
            <v>0.6</v>
          </cell>
          <cell r="BL24">
            <v>0.6</v>
          </cell>
          <cell r="BM24">
            <v>0.8</v>
          </cell>
          <cell r="BN24">
            <v>0.8</v>
          </cell>
          <cell r="BO24">
            <v>0.8</v>
          </cell>
          <cell r="BP24">
            <v>0.8</v>
          </cell>
          <cell r="BQ24">
            <v>0.8</v>
          </cell>
          <cell r="BR24">
            <v>0.8</v>
          </cell>
          <cell r="BS24">
            <v>0.8</v>
          </cell>
          <cell r="BT24">
            <v>0.8</v>
          </cell>
          <cell r="BU24">
            <v>0.8</v>
          </cell>
          <cell r="BV24">
            <v>0.8</v>
          </cell>
          <cell r="BW24">
            <v>0</v>
          </cell>
          <cell r="BX24">
            <v>0.8</v>
          </cell>
          <cell r="BY24">
            <v>0.8</v>
          </cell>
          <cell r="BZ24">
            <v>0.8</v>
          </cell>
          <cell r="CA24">
            <v>0.8</v>
          </cell>
          <cell r="CB24">
            <v>0.8</v>
          </cell>
          <cell r="CC24">
            <v>0.8</v>
          </cell>
          <cell r="CD24">
            <v>0.8</v>
          </cell>
          <cell r="CE24">
            <v>0.8</v>
          </cell>
          <cell r="CF24">
            <v>0.8</v>
          </cell>
          <cell r="CG24">
            <v>0.8</v>
          </cell>
          <cell r="CH24">
            <v>0.6</v>
          </cell>
          <cell r="CI24">
            <v>0.4</v>
          </cell>
          <cell r="CJ24">
            <v>0.4</v>
          </cell>
          <cell r="CK24">
            <v>0.4</v>
          </cell>
          <cell r="CL24">
            <v>0.4</v>
          </cell>
          <cell r="CM24">
            <v>0.6</v>
          </cell>
          <cell r="CN24">
            <v>0.8</v>
          </cell>
          <cell r="CO24">
            <v>0.8</v>
          </cell>
          <cell r="CP24">
            <v>0.8</v>
          </cell>
          <cell r="CQ24">
            <v>0.8</v>
          </cell>
          <cell r="CR24">
            <v>0.8</v>
          </cell>
          <cell r="CS24">
            <v>0.8</v>
          </cell>
          <cell r="CT24">
            <v>0.8</v>
          </cell>
          <cell r="CU24">
            <v>0.8</v>
          </cell>
          <cell r="CV24">
            <v>0.8</v>
          </cell>
          <cell r="CW24">
            <v>0.8</v>
          </cell>
          <cell r="CX24">
            <v>0.8</v>
          </cell>
          <cell r="CY24">
            <v>0.8</v>
          </cell>
          <cell r="CZ24">
            <v>0.8</v>
          </cell>
          <cell r="DA24">
            <v>0.8</v>
          </cell>
          <cell r="DB24">
            <v>0.8</v>
          </cell>
          <cell r="DC24">
            <v>0.8</v>
          </cell>
          <cell r="DD24">
            <v>0.8</v>
          </cell>
          <cell r="DE24">
            <v>0.8</v>
          </cell>
          <cell r="DF24">
            <v>0.8</v>
          </cell>
          <cell r="DG24">
            <v>0</v>
          </cell>
          <cell r="DJ24">
            <v>75</v>
          </cell>
          <cell r="DK24">
            <v>80</v>
          </cell>
          <cell r="DM24" t="str">
            <v>x</v>
          </cell>
          <cell r="DN24">
            <v>0.67</v>
          </cell>
          <cell r="DO24">
            <v>3600</v>
          </cell>
          <cell r="DP24">
            <v>1550</v>
          </cell>
          <cell r="DQ24">
            <v>1020</v>
          </cell>
          <cell r="DR24">
            <v>800</v>
          </cell>
          <cell r="DS24">
            <v>600</v>
          </cell>
          <cell r="DT24">
            <v>0.55000000000000004</v>
          </cell>
          <cell r="DU24">
            <v>600</v>
          </cell>
          <cell r="DV24">
            <v>450</v>
          </cell>
          <cell r="DW24">
            <v>0.59950000000000014</v>
          </cell>
          <cell r="DX24" t="str">
            <v>2-stufig</v>
          </cell>
          <cell r="DY24">
            <v>1550</v>
          </cell>
          <cell r="DZ24">
            <v>30.303030303030301</v>
          </cell>
          <cell r="EA24">
            <v>24.242424242424239</v>
          </cell>
          <cell r="EB24">
            <v>54.54545454545454</v>
          </cell>
          <cell r="EC24">
            <v>46.969696969696969</v>
          </cell>
          <cell r="ED24">
            <v>37.575757575757571</v>
          </cell>
          <cell r="EE24">
            <v>84.545454545454533</v>
          </cell>
          <cell r="EF24" t="str">
            <v>stufenlos</v>
          </cell>
          <cell r="EG24">
            <v>1020</v>
          </cell>
          <cell r="EH24">
            <v>20.850708924103415</v>
          </cell>
          <cell r="EI24">
            <v>16.680567139282729</v>
          </cell>
          <cell r="EJ24">
            <v>37.531276063386144</v>
          </cell>
          <cell r="EK24">
            <v>21.267723102585482</v>
          </cell>
          <cell r="EL24">
            <v>17.014178482068381</v>
          </cell>
          <cell r="EM24">
            <v>38.281901584653866</v>
          </cell>
          <cell r="EN24" t="str">
            <v>s</v>
          </cell>
          <cell r="EO24">
            <v>0.30000000000000004</v>
          </cell>
          <cell r="EP24">
            <v>0.7</v>
          </cell>
          <cell r="EQ24" t="str">
            <v>m</v>
          </cell>
          <cell r="ER24">
            <v>70</v>
          </cell>
          <cell r="ES24">
            <v>80</v>
          </cell>
          <cell r="ET24">
            <v>10</v>
          </cell>
          <cell r="EU24">
            <v>20</v>
          </cell>
          <cell r="EV24">
            <v>230</v>
          </cell>
          <cell r="EW24">
            <v>130</v>
          </cell>
          <cell r="EX24">
            <v>100</v>
          </cell>
          <cell r="EY24">
            <v>20</v>
          </cell>
          <cell r="EZ24">
            <v>380</v>
          </cell>
          <cell r="FA24">
            <v>250</v>
          </cell>
          <cell r="FB24">
            <v>100</v>
          </cell>
          <cell r="FC24">
            <v>110</v>
          </cell>
          <cell r="FD24">
            <v>8</v>
          </cell>
          <cell r="FE24">
            <v>150</v>
          </cell>
          <cell r="FF24">
            <v>6.5</v>
          </cell>
          <cell r="FG24">
            <v>8</v>
          </cell>
          <cell r="FH24">
            <v>200</v>
          </cell>
          <cell r="FI24">
            <v>8</v>
          </cell>
          <cell r="FJ24">
            <v>8</v>
          </cell>
          <cell r="FK24">
            <v>250</v>
          </cell>
          <cell r="FL24">
            <v>9</v>
          </cell>
          <cell r="FM24">
            <v>80</v>
          </cell>
          <cell r="FN24" t="str">
            <v>x</v>
          </cell>
          <cell r="FO24">
            <v>0.25</v>
          </cell>
          <cell r="FP24">
            <v>1.3</v>
          </cell>
          <cell r="FQ24">
            <v>0.8</v>
          </cell>
          <cell r="FR24">
            <v>0.9</v>
          </cell>
          <cell r="FS24">
            <v>0.15</v>
          </cell>
          <cell r="FT24">
            <v>0.6</v>
          </cell>
          <cell r="FU24">
            <v>60</v>
          </cell>
          <cell r="FV24">
            <v>210</v>
          </cell>
          <cell r="FW24">
            <v>16</v>
          </cell>
          <cell r="FX24">
            <v>6</v>
          </cell>
          <cell r="FY24">
            <v>6</v>
          </cell>
          <cell r="FZ24">
            <v>6</v>
          </cell>
          <cell r="GA24">
            <v>6</v>
          </cell>
          <cell r="GB24">
            <v>6</v>
          </cell>
          <cell r="GC24">
            <v>6</v>
          </cell>
          <cell r="GD24">
            <v>6</v>
          </cell>
          <cell r="GE24">
            <v>6</v>
          </cell>
          <cell r="GF24">
            <v>12</v>
          </cell>
          <cell r="GG24">
            <v>12</v>
          </cell>
          <cell r="GH24">
            <v>12</v>
          </cell>
          <cell r="GI24">
            <v>12</v>
          </cell>
          <cell r="GJ24">
            <v>12</v>
          </cell>
          <cell r="GK24">
            <v>12</v>
          </cell>
          <cell r="GL24">
            <v>12</v>
          </cell>
          <cell r="GM24">
            <v>12</v>
          </cell>
          <cell r="GN24">
            <v>1848</v>
          </cell>
          <cell r="GO24">
            <v>61.37</v>
          </cell>
          <cell r="GP24">
            <v>113.4</v>
          </cell>
          <cell r="GQ24">
            <v>1848</v>
          </cell>
          <cell r="GR24">
            <v>43.8</v>
          </cell>
          <cell r="GS24">
            <v>80.900000000000006</v>
          </cell>
          <cell r="GV24">
            <v>3600</v>
          </cell>
          <cell r="GW24">
            <v>2068.1142857142863</v>
          </cell>
          <cell r="GX24">
            <v>1560.0000000000005</v>
          </cell>
        </row>
        <row r="25">
          <cell r="A25">
            <v>17</v>
          </cell>
          <cell r="B25" t="str">
            <v>Werkstatt</v>
          </cell>
          <cell r="C25">
            <v>4</v>
          </cell>
          <cell r="D25">
            <v>20</v>
          </cell>
          <cell r="E25">
            <v>20</v>
          </cell>
          <cell r="F25">
            <v>400</v>
          </cell>
          <cell r="G25">
            <v>25</v>
          </cell>
          <cell r="H25">
            <v>20</v>
          </cell>
          <cell r="I25">
            <v>15</v>
          </cell>
          <cell r="J25">
            <v>250</v>
          </cell>
          <cell r="K25">
            <v>0.84</v>
          </cell>
          <cell r="L25">
            <v>0</v>
          </cell>
          <cell r="M25">
            <v>0</v>
          </cell>
          <cell r="N25">
            <v>0</v>
          </cell>
          <cell r="O25">
            <v>0</v>
          </cell>
          <cell r="P25">
            <v>0</v>
          </cell>
          <cell r="Q25">
            <v>0</v>
          </cell>
          <cell r="R25">
            <v>1</v>
          </cell>
          <cell r="S25">
            <v>1</v>
          </cell>
          <cell r="T25">
            <v>1</v>
          </cell>
          <cell r="U25">
            <v>1</v>
          </cell>
          <cell r="V25">
            <v>1</v>
          </cell>
          <cell r="W25">
            <v>0</v>
          </cell>
          <cell r="X25">
            <v>1</v>
          </cell>
          <cell r="Y25">
            <v>1</v>
          </cell>
          <cell r="Z25">
            <v>1</v>
          </cell>
          <cell r="AA25">
            <v>1</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0.6</v>
          </cell>
          <cell r="AQ25">
            <v>1</v>
          </cell>
          <cell r="AR25">
            <v>0.6</v>
          </cell>
          <cell r="AS25">
            <v>1</v>
          </cell>
          <cell r="AT25">
            <v>0.6</v>
          </cell>
          <cell r="AU25">
            <v>0</v>
          </cell>
          <cell r="AV25">
            <v>0.6</v>
          </cell>
          <cell r="AW25">
            <v>1</v>
          </cell>
          <cell r="AX25">
            <v>1</v>
          </cell>
          <cell r="AY25">
            <v>0.6</v>
          </cell>
          <cell r="AZ25">
            <v>0</v>
          </cell>
          <cell r="BA25">
            <v>0</v>
          </cell>
          <cell r="BB25">
            <v>0</v>
          </cell>
          <cell r="BC25">
            <v>0</v>
          </cell>
          <cell r="BD25">
            <v>0</v>
          </cell>
          <cell r="BE25">
            <v>0</v>
          </cell>
          <cell r="BF25">
            <v>0</v>
          </cell>
          <cell r="BG25">
            <v>0</v>
          </cell>
          <cell r="BH25">
            <v>0.4</v>
          </cell>
          <cell r="BI25">
            <v>1</v>
          </cell>
          <cell r="BJ25">
            <v>1</v>
          </cell>
          <cell r="BK25">
            <v>1</v>
          </cell>
          <cell r="BL25">
            <v>1</v>
          </cell>
          <cell r="BM25">
            <v>0.8</v>
          </cell>
          <cell r="BN25">
            <v>0.4</v>
          </cell>
          <cell r="BO25">
            <v>0.4</v>
          </cell>
          <cell r="BP25">
            <v>0.8</v>
          </cell>
          <cell r="BQ25">
            <v>1</v>
          </cell>
          <cell r="BR25">
            <v>1</v>
          </cell>
          <cell r="BS25">
            <v>1</v>
          </cell>
          <cell r="BT25">
            <v>1</v>
          </cell>
          <cell r="BU25">
            <v>1</v>
          </cell>
          <cell r="BV25">
            <v>0.8</v>
          </cell>
          <cell r="BW25">
            <v>0</v>
          </cell>
          <cell r="BX25">
            <v>0.4</v>
          </cell>
          <cell r="BY25">
            <v>0.8</v>
          </cell>
          <cell r="BZ25">
            <v>0.8</v>
          </cell>
          <cell r="CA25">
            <v>1</v>
          </cell>
          <cell r="CB25">
            <v>1</v>
          </cell>
          <cell r="CC25">
            <v>1</v>
          </cell>
          <cell r="CD25">
            <v>1</v>
          </cell>
          <cell r="CE25">
            <v>1</v>
          </cell>
          <cell r="CF25">
            <v>1</v>
          </cell>
          <cell r="CG25">
            <v>0.8</v>
          </cell>
          <cell r="CH25">
            <v>0.4</v>
          </cell>
          <cell r="CI25">
            <v>0.2</v>
          </cell>
          <cell r="CJ25">
            <v>0.2</v>
          </cell>
          <cell r="CK25">
            <v>0.6</v>
          </cell>
          <cell r="CL25">
            <v>0.8</v>
          </cell>
          <cell r="CM25">
            <v>1</v>
          </cell>
          <cell r="CN25">
            <v>1</v>
          </cell>
          <cell r="CO25">
            <v>1</v>
          </cell>
          <cell r="CP25">
            <v>1</v>
          </cell>
          <cell r="CQ25">
            <v>1</v>
          </cell>
          <cell r="CR25">
            <v>1</v>
          </cell>
          <cell r="CS25">
            <v>0.8</v>
          </cell>
          <cell r="CT25">
            <v>0.6</v>
          </cell>
          <cell r="CU25">
            <v>0.8</v>
          </cell>
          <cell r="CV25">
            <v>1</v>
          </cell>
          <cell r="CW25">
            <v>1</v>
          </cell>
          <cell r="CX25">
            <v>1</v>
          </cell>
          <cell r="CY25">
            <v>1</v>
          </cell>
          <cell r="CZ25">
            <v>1</v>
          </cell>
          <cell r="DA25">
            <v>1</v>
          </cell>
          <cell r="DB25">
            <v>1</v>
          </cell>
          <cell r="DC25">
            <v>1</v>
          </cell>
          <cell r="DD25">
            <v>1</v>
          </cell>
          <cell r="DE25">
            <v>0.8</v>
          </cell>
          <cell r="DF25">
            <v>0.4</v>
          </cell>
          <cell r="DG25">
            <v>0</v>
          </cell>
          <cell r="DJ25">
            <v>5</v>
          </cell>
          <cell r="DK25">
            <v>5</v>
          </cell>
          <cell r="DM25" t="str">
            <v>x</v>
          </cell>
          <cell r="DN25">
            <v>0.67</v>
          </cell>
          <cell r="DO25">
            <v>2250</v>
          </cell>
          <cell r="DP25">
            <v>1890</v>
          </cell>
          <cell r="DQ25">
            <v>1890</v>
          </cell>
          <cell r="DR25">
            <v>800</v>
          </cell>
          <cell r="DS25">
            <v>600</v>
          </cell>
          <cell r="DT25">
            <v>0.55000000000000004</v>
          </cell>
          <cell r="DU25">
            <v>600</v>
          </cell>
          <cell r="DV25">
            <v>450</v>
          </cell>
          <cell r="DW25">
            <v>0.59950000000000014</v>
          </cell>
          <cell r="DX25" t="str">
            <v>1-stufig</v>
          </cell>
          <cell r="DY25">
            <v>2250</v>
          </cell>
          <cell r="DZ25">
            <v>2.0202020202020199</v>
          </cell>
          <cell r="EA25">
            <v>1.5151515151515149</v>
          </cell>
          <cell r="EB25">
            <v>3.5353535353535346</v>
          </cell>
          <cell r="EC25">
            <v>4.545454545454545</v>
          </cell>
          <cell r="ED25">
            <v>3.4090909090909087</v>
          </cell>
          <cell r="EE25">
            <v>7.9545454545454533</v>
          </cell>
          <cell r="EF25" t="str">
            <v>2-stufig</v>
          </cell>
          <cell r="EG25">
            <v>1890</v>
          </cell>
          <cell r="EH25">
            <v>1.3900472616068944</v>
          </cell>
          <cell r="EI25">
            <v>1.0425354462051706</v>
          </cell>
          <cell r="EJ25">
            <v>2.432582707812065</v>
          </cell>
          <cell r="EK25">
            <v>2.6271893244370301</v>
          </cell>
          <cell r="EL25">
            <v>1.9703919933277723</v>
          </cell>
          <cell r="EM25">
            <v>4.5975813177648028</v>
          </cell>
          <cell r="EN25" t="str">
            <v>s</v>
          </cell>
          <cell r="EO25">
            <v>0.30000000000000004</v>
          </cell>
          <cell r="EP25">
            <v>0.7</v>
          </cell>
          <cell r="EQ25" t="str">
            <v>m</v>
          </cell>
          <cell r="ER25">
            <v>70</v>
          </cell>
          <cell r="ES25">
            <v>80</v>
          </cell>
          <cell r="ET25">
            <v>10</v>
          </cell>
          <cell r="EU25">
            <v>20</v>
          </cell>
          <cell r="EV25">
            <v>230</v>
          </cell>
          <cell r="EW25">
            <v>130</v>
          </cell>
          <cell r="EX25">
            <v>100</v>
          </cell>
          <cell r="EY25">
            <v>20</v>
          </cell>
          <cell r="EZ25">
            <v>380</v>
          </cell>
          <cell r="FA25">
            <v>250</v>
          </cell>
          <cell r="FB25">
            <v>100</v>
          </cell>
          <cell r="FC25">
            <v>110</v>
          </cell>
          <cell r="FD25">
            <v>3</v>
          </cell>
          <cell r="FE25">
            <v>10</v>
          </cell>
          <cell r="FF25">
            <v>7</v>
          </cell>
          <cell r="FG25">
            <v>4</v>
          </cell>
          <cell r="FH25">
            <v>20</v>
          </cell>
          <cell r="FI25">
            <v>8.5</v>
          </cell>
          <cell r="FJ25">
            <v>5.5</v>
          </cell>
          <cell r="FK25">
            <v>30</v>
          </cell>
          <cell r="FL25">
            <v>10</v>
          </cell>
          <cell r="FM25">
            <v>80</v>
          </cell>
          <cell r="FN25" t="str">
            <v>x</v>
          </cell>
          <cell r="FO25">
            <v>0.25</v>
          </cell>
          <cell r="FP25">
            <v>1.3</v>
          </cell>
          <cell r="FQ25">
            <v>0.8</v>
          </cell>
          <cell r="FR25">
            <v>0.9</v>
          </cell>
          <cell r="FS25">
            <v>0.15</v>
          </cell>
          <cell r="FT25">
            <v>0.6</v>
          </cell>
          <cell r="FU25">
            <v>60</v>
          </cell>
          <cell r="FV25">
            <v>210</v>
          </cell>
          <cell r="FW25">
            <v>17</v>
          </cell>
          <cell r="FX25">
            <v>6</v>
          </cell>
          <cell r="FY25">
            <v>6</v>
          </cell>
          <cell r="FZ25">
            <v>6</v>
          </cell>
          <cell r="GA25">
            <v>6</v>
          </cell>
          <cell r="GB25">
            <v>6</v>
          </cell>
          <cell r="GC25">
            <v>6</v>
          </cell>
          <cell r="GD25">
            <v>6</v>
          </cell>
          <cell r="GE25">
            <v>6</v>
          </cell>
          <cell r="GF25">
            <v>12</v>
          </cell>
          <cell r="GG25">
            <v>12</v>
          </cell>
          <cell r="GH25">
            <v>12</v>
          </cell>
          <cell r="GI25">
            <v>12</v>
          </cell>
          <cell r="GJ25">
            <v>12</v>
          </cell>
          <cell r="GK25">
            <v>12</v>
          </cell>
          <cell r="GL25">
            <v>12</v>
          </cell>
          <cell r="GM25">
            <v>12</v>
          </cell>
          <cell r="GP25">
            <v>0</v>
          </cell>
          <cell r="GQ25">
            <v>0</v>
          </cell>
          <cell r="GR25">
            <v>0</v>
          </cell>
          <cell r="GS25">
            <v>0</v>
          </cell>
          <cell r="GV25">
            <v>2250</v>
          </cell>
          <cell r="GW25">
            <v>1890</v>
          </cell>
          <cell r="GX25">
            <v>1890</v>
          </cell>
        </row>
        <row r="26">
          <cell r="A26">
            <v>18</v>
          </cell>
          <cell r="B26" t="str">
            <v>WC</v>
          </cell>
          <cell r="C26">
            <v>2.5</v>
          </cell>
          <cell r="D26">
            <v>3</v>
          </cell>
          <cell r="E26">
            <v>3</v>
          </cell>
          <cell r="F26">
            <v>9</v>
          </cell>
          <cell r="G26">
            <v>2</v>
          </cell>
          <cell r="H26">
            <v>2.5</v>
          </cell>
          <cell r="I26">
            <v>3</v>
          </cell>
          <cell r="J26">
            <v>250</v>
          </cell>
          <cell r="K26">
            <v>0.84</v>
          </cell>
          <cell r="L26">
            <v>0</v>
          </cell>
          <cell r="M26">
            <v>0</v>
          </cell>
          <cell r="N26">
            <v>0</v>
          </cell>
          <cell r="O26">
            <v>0</v>
          </cell>
          <cell r="P26">
            <v>0</v>
          </cell>
          <cell r="Q26">
            <v>0</v>
          </cell>
          <cell r="R26">
            <v>0</v>
          </cell>
          <cell r="S26">
            <v>0.2</v>
          </cell>
          <cell r="T26">
            <v>0.2</v>
          </cell>
          <cell r="U26">
            <v>1</v>
          </cell>
          <cell r="V26">
            <v>0.2</v>
          </cell>
          <cell r="W26">
            <v>0.2</v>
          </cell>
          <cell r="X26">
            <v>1</v>
          </cell>
          <cell r="Y26">
            <v>0.4</v>
          </cell>
          <cell r="Z26">
            <v>0.2</v>
          </cell>
          <cell r="AA26">
            <v>0.2</v>
          </cell>
          <cell r="AB26">
            <v>0.2</v>
          </cell>
          <cell r="AC26">
            <v>0.2</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0.4</v>
          </cell>
          <cell r="BI26">
            <v>1</v>
          </cell>
          <cell r="BJ26">
            <v>1</v>
          </cell>
          <cell r="BK26">
            <v>1</v>
          </cell>
          <cell r="BL26">
            <v>1</v>
          </cell>
          <cell r="BM26">
            <v>0.8</v>
          </cell>
          <cell r="BN26">
            <v>0.4</v>
          </cell>
          <cell r="BO26">
            <v>0.4</v>
          </cell>
          <cell r="BP26">
            <v>0.8</v>
          </cell>
          <cell r="BQ26">
            <v>1</v>
          </cell>
          <cell r="BR26">
            <v>1</v>
          </cell>
          <cell r="BS26">
            <v>1</v>
          </cell>
          <cell r="BT26">
            <v>1</v>
          </cell>
          <cell r="BU26">
            <v>1</v>
          </cell>
          <cell r="BV26">
            <v>0.8</v>
          </cell>
          <cell r="BW26">
            <v>0</v>
          </cell>
          <cell r="BX26">
            <v>0.4</v>
          </cell>
          <cell r="BY26">
            <v>0.8</v>
          </cell>
          <cell r="BZ26">
            <v>0.8</v>
          </cell>
          <cell r="CA26">
            <v>1</v>
          </cell>
          <cell r="CB26">
            <v>1</v>
          </cell>
          <cell r="CC26">
            <v>1</v>
          </cell>
          <cell r="CD26">
            <v>1</v>
          </cell>
          <cell r="CE26">
            <v>1</v>
          </cell>
          <cell r="CF26">
            <v>1</v>
          </cell>
          <cell r="CG26">
            <v>0.8</v>
          </cell>
          <cell r="CH26">
            <v>0.4</v>
          </cell>
          <cell r="CI26">
            <v>0.2</v>
          </cell>
          <cell r="CJ26">
            <v>0.2</v>
          </cell>
          <cell r="CK26">
            <v>0.6</v>
          </cell>
          <cell r="CL26">
            <v>0.8</v>
          </cell>
          <cell r="CM26">
            <v>1</v>
          </cell>
          <cell r="CN26">
            <v>1</v>
          </cell>
          <cell r="CO26">
            <v>1</v>
          </cell>
          <cell r="CP26">
            <v>1</v>
          </cell>
          <cell r="CQ26">
            <v>1</v>
          </cell>
          <cell r="CR26">
            <v>1</v>
          </cell>
          <cell r="CS26">
            <v>0.8</v>
          </cell>
          <cell r="CT26">
            <v>0.6</v>
          </cell>
          <cell r="CU26">
            <v>0.8</v>
          </cell>
          <cell r="CV26">
            <v>1</v>
          </cell>
          <cell r="CW26">
            <v>1</v>
          </cell>
          <cell r="CX26">
            <v>1</v>
          </cell>
          <cell r="CY26">
            <v>1</v>
          </cell>
          <cell r="CZ26">
            <v>1</v>
          </cell>
          <cell r="DA26">
            <v>1</v>
          </cell>
          <cell r="DB26">
            <v>1</v>
          </cell>
          <cell r="DC26">
            <v>1</v>
          </cell>
          <cell r="DD26">
            <v>1</v>
          </cell>
          <cell r="DE26">
            <v>0.8</v>
          </cell>
          <cell r="DF26">
            <v>0.4</v>
          </cell>
          <cell r="DG26">
            <v>0</v>
          </cell>
          <cell r="DJ26">
            <v>12</v>
          </cell>
          <cell r="DK26">
            <v>15</v>
          </cell>
          <cell r="DM26" t="str">
            <v>x</v>
          </cell>
          <cell r="DN26">
            <v>0.67</v>
          </cell>
          <cell r="DO26">
            <v>2750</v>
          </cell>
          <cell r="DP26">
            <v>1110</v>
          </cell>
          <cell r="DQ26">
            <v>610</v>
          </cell>
          <cell r="DR26">
            <v>600</v>
          </cell>
          <cell r="DS26">
            <v>450</v>
          </cell>
          <cell r="DT26">
            <v>0.55000000000000004</v>
          </cell>
          <cell r="DU26">
            <v>450</v>
          </cell>
          <cell r="DV26">
            <v>350</v>
          </cell>
          <cell r="DW26">
            <v>0.59950000000000014</v>
          </cell>
          <cell r="DX26" t="str">
            <v>2-stufig</v>
          </cell>
          <cell r="DY26">
            <v>1110</v>
          </cell>
          <cell r="DZ26">
            <v>3.6363636363636362</v>
          </cell>
          <cell r="EA26">
            <v>3.4090909090909087</v>
          </cell>
          <cell r="EB26">
            <v>7.045454545454545</v>
          </cell>
          <cell r="EC26">
            <v>4.0363636363636362</v>
          </cell>
          <cell r="ED26">
            <v>3.7840909090909087</v>
          </cell>
          <cell r="EE26">
            <v>7.8204545454545453</v>
          </cell>
          <cell r="EF26" t="str">
            <v>stufenlos</v>
          </cell>
          <cell r="EG26">
            <v>610</v>
          </cell>
          <cell r="EH26">
            <v>2.5020850708924098</v>
          </cell>
          <cell r="EI26">
            <v>2.432582707812065</v>
          </cell>
          <cell r="EJ26">
            <v>4.9346677787044744</v>
          </cell>
          <cell r="EK26">
            <v>1.52627189324437</v>
          </cell>
          <cell r="EL26">
            <v>1.4838754517653596</v>
          </cell>
          <cell r="EM26">
            <v>3.0101473450097296</v>
          </cell>
          <cell r="EN26" t="str">
            <v>s</v>
          </cell>
          <cell r="EO26">
            <v>0.30000000000000004</v>
          </cell>
          <cell r="EP26">
            <v>0.7</v>
          </cell>
          <cell r="EQ26" t="str">
            <v>m</v>
          </cell>
          <cell r="ER26">
            <v>70</v>
          </cell>
          <cell r="ES26">
            <v>80</v>
          </cell>
          <cell r="ET26">
            <v>10</v>
          </cell>
          <cell r="EU26">
            <v>20</v>
          </cell>
          <cell r="EV26">
            <v>230</v>
          </cell>
          <cell r="EW26">
            <v>130</v>
          </cell>
          <cell r="EX26">
            <v>100</v>
          </cell>
          <cell r="EY26">
            <v>20</v>
          </cell>
          <cell r="EZ26">
            <v>380</v>
          </cell>
          <cell r="FA26">
            <v>250</v>
          </cell>
          <cell r="FB26">
            <v>100</v>
          </cell>
          <cell r="FC26">
            <v>110</v>
          </cell>
          <cell r="FF26">
            <v>3.5</v>
          </cell>
          <cell r="FG26">
            <v>28</v>
          </cell>
          <cell r="FI26">
            <v>4</v>
          </cell>
          <cell r="FJ26">
            <v>23.5</v>
          </cell>
          <cell r="FL26">
            <v>4.5</v>
          </cell>
          <cell r="FM26">
            <v>70</v>
          </cell>
          <cell r="FN26" t="str">
            <v>x</v>
          </cell>
          <cell r="FO26">
            <v>0.25</v>
          </cell>
          <cell r="FP26">
            <v>1.3</v>
          </cell>
          <cell r="FQ26">
            <v>0.8</v>
          </cell>
          <cell r="FR26">
            <v>0.9</v>
          </cell>
          <cell r="FS26">
            <v>0.15</v>
          </cell>
          <cell r="FT26">
            <v>0.6</v>
          </cell>
          <cell r="FU26">
            <v>60</v>
          </cell>
          <cell r="FV26">
            <v>210</v>
          </cell>
          <cell r="FW26">
            <v>18</v>
          </cell>
          <cell r="FX26">
            <v>6</v>
          </cell>
          <cell r="FY26">
            <v>6</v>
          </cell>
          <cell r="FZ26">
            <v>6</v>
          </cell>
          <cell r="GA26">
            <v>6</v>
          </cell>
          <cell r="GB26">
            <v>6</v>
          </cell>
          <cell r="GC26">
            <v>6</v>
          </cell>
          <cell r="GD26">
            <v>6</v>
          </cell>
          <cell r="GE26">
            <v>6</v>
          </cell>
          <cell r="GF26">
            <v>12</v>
          </cell>
          <cell r="GG26">
            <v>12</v>
          </cell>
          <cell r="GH26">
            <v>12</v>
          </cell>
          <cell r="GI26">
            <v>12</v>
          </cell>
          <cell r="GJ26">
            <v>12</v>
          </cell>
          <cell r="GK26">
            <v>12</v>
          </cell>
          <cell r="GL26">
            <v>12</v>
          </cell>
          <cell r="GM26">
            <v>12</v>
          </cell>
          <cell r="GP26">
            <v>0</v>
          </cell>
          <cell r="GS26">
            <v>0</v>
          </cell>
          <cell r="GV26">
            <v>2750</v>
          </cell>
          <cell r="GW26">
            <v>1667.3999999999999</v>
          </cell>
          <cell r="GX26">
            <v>840</v>
          </cell>
        </row>
        <row r="27">
          <cell r="A27">
            <v>19</v>
          </cell>
          <cell r="B27" t="str">
            <v>Verkehrsfläche</v>
          </cell>
          <cell r="F27">
            <v>0</v>
          </cell>
          <cell r="G27">
            <v>0</v>
          </cell>
          <cell r="J27">
            <v>250</v>
          </cell>
          <cell r="K27">
            <v>1</v>
          </cell>
          <cell r="L27">
            <v>0</v>
          </cell>
          <cell r="M27">
            <v>0</v>
          </cell>
          <cell r="N27">
            <v>0</v>
          </cell>
          <cell r="O27">
            <v>0</v>
          </cell>
          <cell r="P27">
            <v>0</v>
          </cell>
          <cell r="Q27">
            <v>0</v>
          </cell>
          <cell r="R27">
            <v>0</v>
          </cell>
          <cell r="S27">
            <v>1</v>
          </cell>
          <cell r="T27">
            <v>0</v>
          </cell>
          <cell r="U27">
            <v>1</v>
          </cell>
          <cell r="V27">
            <v>0</v>
          </cell>
          <cell r="W27">
            <v>1</v>
          </cell>
          <cell r="X27">
            <v>0</v>
          </cell>
          <cell r="Y27">
            <v>1</v>
          </cell>
          <cell r="Z27">
            <v>0</v>
          </cell>
          <cell r="AA27">
            <v>1</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1</v>
          </cell>
          <cell r="BI27">
            <v>1</v>
          </cell>
          <cell r="BJ27">
            <v>1</v>
          </cell>
          <cell r="BK27">
            <v>1</v>
          </cell>
          <cell r="BL27">
            <v>1</v>
          </cell>
          <cell r="BM27">
            <v>1</v>
          </cell>
          <cell r="BN27">
            <v>1</v>
          </cell>
          <cell r="BO27">
            <v>1</v>
          </cell>
          <cell r="BP27">
            <v>1</v>
          </cell>
          <cell r="BQ27">
            <v>1</v>
          </cell>
          <cell r="BR27">
            <v>1</v>
          </cell>
          <cell r="BS27">
            <v>1</v>
          </cell>
          <cell r="BT27">
            <v>1</v>
          </cell>
          <cell r="BU27">
            <v>1</v>
          </cell>
          <cell r="BV27">
            <v>1</v>
          </cell>
          <cell r="BW27">
            <v>0</v>
          </cell>
          <cell r="BX27">
            <v>1</v>
          </cell>
          <cell r="BY27">
            <v>1</v>
          </cell>
          <cell r="BZ27">
            <v>1</v>
          </cell>
          <cell r="CA27">
            <v>1</v>
          </cell>
          <cell r="CB27">
            <v>1</v>
          </cell>
          <cell r="CC27">
            <v>1</v>
          </cell>
          <cell r="CD27">
            <v>1</v>
          </cell>
          <cell r="CE27">
            <v>1</v>
          </cell>
          <cell r="CF27">
            <v>1</v>
          </cell>
          <cell r="CG27">
            <v>1</v>
          </cell>
          <cell r="CH27">
            <v>1</v>
          </cell>
          <cell r="CI27">
            <v>1</v>
          </cell>
          <cell r="CJ27">
            <v>1</v>
          </cell>
          <cell r="CK27">
            <v>1</v>
          </cell>
          <cell r="CL27">
            <v>1</v>
          </cell>
          <cell r="CM27">
            <v>1</v>
          </cell>
          <cell r="CN27">
            <v>1</v>
          </cell>
          <cell r="CO27">
            <v>1</v>
          </cell>
          <cell r="CP27">
            <v>1</v>
          </cell>
          <cell r="CQ27">
            <v>1</v>
          </cell>
          <cell r="CR27">
            <v>1</v>
          </cell>
          <cell r="CS27">
            <v>1</v>
          </cell>
          <cell r="CT27">
            <v>1</v>
          </cell>
          <cell r="CU27">
            <v>1</v>
          </cell>
          <cell r="CV27">
            <v>1</v>
          </cell>
          <cell r="CW27">
            <v>1</v>
          </cell>
          <cell r="CX27">
            <v>1</v>
          </cell>
          <cell r="CY27">
            <v>1</v>
          </cell>
          <cell r="CZ27">
            <v>1</v>
          </cell>
          <cell r="DA27">
            <v>1</v>
          </cell>
          <cell r="DB27">
            <v>1</v>
          </cell>
          <cell r="DC27">
            <v>1</v>
          </cell>
          <cell r="DD27">
            <v>1</v>
          </cell>
          <cell r="DE27">
            <v>1</v>
          </cell>
          <cell r="DF27">
            <v>1</v>
          </cell>
          <cell r="DG27">
            <v>0</v>
          </cell>
          <cell r="DJ27">
            <v>2</v>
          </cell>
          <cell r="DK27">
            <v>2</v>
          </cell>
          <cell r="DM27" t="str">
            <v>x</v>
          </cell>
          <cell r="DN27">
            <v>0.67</v>
          </cell>
          <cell r="DO27">
            <v>1250</v>
          </cell>
          <cell r="DP27">
            <v>1250</v>
          </cell>
          <cell r="DQ27">
            <v>1250</v>
          </cell>
          <cell r="DR27">
            <v>600</v>
          </cell>
          <cell r="DS27">
            <v>450</v>
          </cell>
          <cell r="DT27">
            <v>0.55000000000000004</v>
          </cell>
          <cell r="DU27">
            <v>450</v>
          </cell>
          <cell r="DV27">
            <v>350</v>
          </cell>
          <cell r="DW27">
            <v>0.59950000000000014</v>
          </cell>
          <cell r="DX27" t="str">
            <v>1-stufig</v>
          </cell>
          <cell r="DY27">
            <v>1250</v>
          </cell>
          <cell r="DZ27">
            <v>0.60606060606060597</v>
          </cell>
          <cell r="EA27">
            <v>0.45454545454545453</v>
          </cell>
          <cell r="EB27">
            <v>1.0606060606060606</v>
          </cell>
          <cell r="EC27">
            <v>0.75757575757575746</v>
          </cell>
          <cell r="ED27">
            <v>0.56818181818181812</v>
          </cell>
          <cell r="EE27">
            <v>1.3257575757575757</v>
          </cell>
          <cell r="EF27" t="str">
            <v>1-stufig</v>
          </cell>
          <cell r="EG27">
            <v>1250</v>
          </cell>
          <cell r="EH27">
            <v>0.41701417848206829</v>
          </cell>
          <cell r="EI27">
            <v>0.32434436104160863</v>
          </cell>
          <cell r="EJ27">
            <v>0.74135853952367692</v>
          </cell>
          <cell r="EK27">
            <v>0.5212677231025854</v>
          </cell>
          <cell r="EL27">
            <v>0.40543045130201077</v>
          </cell>
          <cell r="EM27">
            <v>0.92669817440459612</v>
          </cell>
          <cell r="EN27" t="str">
            <v>s</v>
          </cell>
          <cell r="EO27">
            <v>0.30000000000000004</v>
          </cell>
          <cell r="EP27">
            <v>0.7</v>
          </cell>
          <cell r="EQ27" t="str">
            <v>m</v>
          </cell>
          <cell r="ER27">
            <v>70</v>
          </cell>
          <cell r="ES27">
            <v>80</v>
          </cell>
          <cell r="ET27">
            <v>10</v>
          </cell>
          <cell r="EU27">
            <v>20</v>
          </cell>
          <cell r="EV27">
            <v>230</v>
          </cell>
          <cell r="EW27">
            <v>130</v>
          </cell>
          <cell r="EX27">
            <v>100</v>
          </cell>
          <cell r="EY27">
            <v>20</v>
          </cell>
          <cell r="EZ27">
            <v>380</v>
          </cell>
          <cell r="FA27">
            <v>250</v>
          </cell>
          <cell r="FB27">
            <v>100</v>
          </cell>
          <cell r="FC27">
            <v>110</v>
          </cell>
          <cell r="FF27">
            <v>3</v>
          </cell>
          <cell r="FI27">
            <v>3.5</v>
          </cell>
          <cell r="FL27">
            <v>3.5</v>
          </cell>
          <cell r="FM27">
            <v>70</v>
          </cell>
          <cell r="FN27" t="str">
            <v>x</v>
          </cell>
          <cell r="FO27">
            <v>0.25</v>
          </cell>
          <cell r="FP27">
            <v>1.3</v>
          </cell>
          <cell r="FQ27">
            <v>0.8</v>
          </cell>
          <cell r="FR27">
            <v>0.9</v>
          </cell>
          <cell r="FS27">
            <v>0.15</v>
          </cell>
          <cell r="FT27">
            <v>0.6</v>
          </cell>
          <cell r="FU27">
            <v>60</v>
          </cell>
          <cell r="FV27">
            <v>210</v>
          </cell>
          <cell r="FW27">
            <v>19</v>
          </cell>
          <cell r="FX27">
            <v>6</v>
          </cell>
          <cell r="FY27">
            <v>6</v>
          </cell>
          <cell r="FZ27">
            <v>6</v>
          </cell>
          <cell r="GA27">
            <v>6</v>
          </cell>
          <cell r="GB27">
            <v>6</v>
          </cell>
          <cell r="GC27">
            <v>6</v>
          </cell>
          <cell r="GD27">
            <v>6</v>
          </cell>
          <cell r="GE27">
            <v>6</v>
          </cell>
          <cell r="GF27">
            <v>12</v>
          </cell>
          <cell r="GG27">
            <v>12</v>
          </cell>
          <cell r="GH27">
            <v>12</v>
          </cell>
          <cell r="GI27">
            <v>12</v>
          </cell>
          <cell r="GJ27">
            <v>12</v>
          </cell>
          <cell r="GK27">
            <v>12</v>
          </cell>
          <cell r="GL27">
            <v>12</v>
          </cell>
          <cell r="GM27">
            <v>12</v>
          </cell>
          <cell r="GP27">
            <v>0</v>
          </cell>
          <cell r="GS27">
            <v>0</v>
          </cell>
          <cell r="GV27">
            <v>1250</v>
          </cell>
          <cell r="GW27">
            <v>1250</v>
          </cell>
          <cell r="GX27">
            <v>1250</v>
          </cell>
        </row>
        <row r="28">
          <cell r="A28">
            <v>20</v>
          </cell>
          <cell r="B28" t="str">
            <v>Lager (Technik; Archiv)</v>
          </cell>
          <cell r="F28">
            <v>0</v>
          </cell>
          <cell r="G28">
            <v>0</v>
          </cell>
          <cell r="J28">
            <v>364</v>
          </cell>
          <cell r="K28">
            <v>1</v>
          </cell>
          <cell r="L28">
            <v>0</v>
          </cell>
          <cell r="M28">
            <v>0</v>
          </cell>
          <cell r="N28">
            <v>0</v>
          </cell>
          <cell r="O28">
            <v>0</v>
          </cell>
          <cell r="P28">
            <v>0</v>
          </cell>
          <cell r="Q28">
            <v>0</v>
          </cell>
          <cell r="R28">
            <v>0</v>
          </cell>
          <cell r="S28">
            <v>0</v>
          </cell>
          <cell r="T28">
            <v>1</v>
          </cell>
          <cell r="U28">
            <v>0</v>
          </cell>
          <cell r="V28">
            <v>0</v>
          </cell>
          <cell r="W28">
            <v>1</v>
          </cell>
          <cell r="X28">
            <v>0</v>
          </cell>
          <cell r="Y28">
            <v>0</v>
          </cell>
          <cell r="Z28">
            <v>1</v>
          </cell>
          <cell r="AA28">
            <v>0</v>
          </cell>
          <cell r="AB28">
            <v>0</v>
          </cell>
          <cell r="AC28">
            <v>1</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1</v>
          </cell>
          <cell r="BI28">
            <v>1</v>
          </cell>
          <cell r="BJ28">
            <v>1</v>
          </cell>
          <cell r="BK28">
            <v>1</v>
          </cell>
          <cell r="BL28">
            <v>1</v>
          </cell>
          <cell r="BM28">
            <v>1</v>
          </cell>
          <cell r="BN28">
            <v>1</v>
          </cell>
          <cell r="BO28">
            <v>1</v>
          </cell>
          <cell r="BP28">
            <v>1</v>
          </cell>
          <cell r="BQ28">
            <v>1</v>
          </cell>
          <cell r="BR28">
            <v>1</v>
          </cell>
          <cell r="BS28">
            <v>1</v>
          </cell>
          <cell r="BT28">
            <v>1</v>
          </cell>
          <cell r="BU28">
            <v>1</v>
          </cell>
          <cell r="BV28">
            <v>1</v>
          </cell>
          <cell r="BW28">
            <v>1</v>
          </cell>
          <cell r="BX28">
            <v>1</v>
          </cell>
          <cell r="BY28">
            <v>1</v>
          </cell>
          <cell r="BZ28">
            <v>1</v>
          </cell>
          <cell r="CA28">
            <v>1</v>
          </cell>
          <cell r="CB28">
            <v>1</v>
          </cell>
          <cell r="CC28">
            <v>1</v>
          </cell>
          <cell r="CD28">
            <v>1</v>
          </cell>
          <cell r="CE28">
            <v>1</v>
          </cell>
          <cell r="CF28">
            <v>1</v>
          </cell>
          <cell r="CG28">
            <v>1</v>
          </cell>
          <cell r="CH28">
            <v>1</v>
          </cell>
          <cell r="CI28">
            <v>1</v>
          </cell>
          <cell r="CJ28">
            <v>1</v>
          </cell>
          <cell r="CK28">
            <v>1</v>
          </cell>
          <cell r="CL28">
            <v>1</v>
          </cell>
          <cell r="CM28">
            <v>1</v>
          </cell>
          <cell r="CN28">
            <v>1</v>
          </cell>
          <cell r="CO28">
            <v>1</v>
          </cell>
          <cell r="CP28">
            <v>1</v>
          </cell>
          <cell r="CQ28">
            <v>1</v>
          </cell>
          <cell r="CR28">
            <v>1</v>
          </cell>
          <cell r="CS28">
            <v>1</v>
          </cell>
          <cell r="CT28">
            <v>1</v>
          </cell>
          <cell r="CU28">
            <v>1</v>
          </cell>
          <cell r="CV28">
            <v>1</v>
          </cell>
          <cell r="CW28">
            <v>1</v>
          </cell>
          <cell r="CX28">
            <v>1</v>
          </cell>
          <cell r="CY28">
            <v>1</v>
          </cell>
          <cell r="CZ28">
            <v>1</v>
          </cell>
          <cell r="DA28">
            <v>1</v>
          </cell>
          <cell r="DB28">
            <v>1</v>
          </cell>
          <cell r="DC28">
            <v>1</v>
          </cell>
          <cell r="DD28">
            <v>1</v>
          </cell>
          <cell r="DE28">
            <v>1</v>
          </cell>
          <cell r="DF28">
            <v>1</v>
          </cell>
          <cell r="DG28">
            <v>1</v>
          </cell>
          <cell r="DJ28">
            <v>3</v>
          </cell>
          <cell r="DK28">
            <v>3</v>
          </cell>
          <cell r="DM28" t="str">
            <v>x</v>
          </cell>
          <cell r="DN28">
            <v>0.67</v>
          </cell>
          <cell r="DO28">
            <v>1460</v>
          </cell>
          <cell r="DP28">
            <v>1460</v>
          </cell>
          <cell r="DQ28">
            <v>1460</v>
          </cell>
          <cell r="DR28">
            <v>600</v>
          </cell>
          <cell r="DS28">
            <v>450</v>
          </cell>
          <cell r="DT28">
            <v>0.55000000000000004</v>
          </cell>
          <cell r="DU28">
            <v>450</v>
          </cell>
          <cell r="DV28">
            <v>350</v>
          </cell>
          <cell r="DW28">
            <v>0.59950000000000014</v>
          </cell>
          <cell r="DX28" t="str">
            <v>1-stufig</v>
          </cell>
          <cell r="DY28">
            <v>1460</v>
          </cell>
          <cell r="DZ28">
            <v>0.90909090909090906</v>
          </cell>
          <cell r="EA28">
            <v>0.68181818181818177</v>
          </cell>
          <cell r="EB28">
            <v>1.5909090909090908</v>
          </cell>
          <cell r="EC28">
            <v>1.3272727272727272</v>
          </cell>
          <cell r="ED28">
            <v>0.99545454545454537</v>
          </cell>
          <cell r="EE28">
            <v>2.3227272727272723</v>
          </cell>
          <cell r="EF28" t="str">
            <v>1-stufig</v>
          </cell>
          <cell r="EG28">
            <v>1460</v>
          </cell>
          <cell r="EH28">
            <v>0.62552126772310246</v>
          </cell>
          <cell r="EI28">
            <v>0.48651654156241303</v>
          </cell>
          <cell r="EJ28">
            <v>1.1120378092855154</v>
          </cell>
          <cell r="EK28">
            <v>0.91326105087572951</v>
          </cell>
          <cell r="EL28">
            <v>0.71031415068112302</v>
          </cell>
          <cell r="EM28">
            <v>1.6235752015568525</v>
          </cell>
          <cell r="EN28" t="str">
            <v>s</v>
          </cell>
          <cell r="EO28">
            <v>0.30000000000000004</v>
          </cell>
          <cell r="EP28">
            <v>0.7</v>
          </cell>
          <cell r="EQ28" t="str">
            <v>m</v>
          </cell>
          <cell r="ER28">
            <v>70</v>
          </cell>
          <cell r="ES28">
            <v>80</v>
          </cell>
          <cell r="ET28">
            <v>10</v>
          </cell>
          <cell r="EU28">
            <v>20</v>
          </cell>
          <cell r="EV28">
            <v>230</v>
          </cell>
          <cell r="EW28">
            <v>130</v>
          </cell>
          <cell r="EX28">
            <v>100</v>
          </cell>
          <cell r="EY28">
            <v>20</v>
          </cell>
          <cell r="EZ28">
            <v>380</v>
          </cell>
          <cell r="FA28">
            <v>250</v>
          </cell>
          <cell r="FB28">
            <v>100</v>
          </cell>
          <cell r="FC28">
            <v>110</v>
          </cell>
          <cell r="FF28">
            <v>3.5</v>
          </cell>
          <cell r="FI28">
            <v>4</v>
          </cell>
          <cell r="FL28">
            <v>4.5</v>
          </cell>
          <cell r="FM28">
            <v>70</v>
          </cell>
          <cell r="FO28">
            <v>0.25</v>
          </cell>
          <cell r="FP28">
            <v>1.3</v>
          </cell>
          <cell r="FQ28">
            <v>0.8</v>
          </cell>
          <cell r="FR28">
            <v>0.9</v>
          </cell>
          <cell r="FS28">
            <v>0.15</v>
          </cell>
          <cell r="FT28">
            <v>0.6</v>
          </cell>
          <cell r="FU28">
            <v>60</v>
          </cell>
          <cell r="FV28">
            <v>210</v>
          </cell>
          <cell r="FW28">
            <v>20</v>
          </cell>
          <cell r="FX28">
            <v>6</v>
          </cell>
          <cell r="FY28">
            <v>6</v>
          </cell>
          <cell r="FZ28">
            <v>6</v>
          </cell>
          <cell r="GA28">
            <v>6</v>
          </cell>
          <cell r="GB28">
            <v>6</v>
          </cell>
          <cell r="GC28">
            <v>6</v>
          </cell>
          <cell r="GD28">
            <v>6</v>
          </cell>
          <cell r="GE28">
            <v>6</v>
          </cell>
          <cell r="GF28">
            <v>12</v>
          </cell>
          <cell r="GG28">
            <v>12</v>
          </cell>
          <cell r="GH28">
            <v>12</v>
          </cell>
          <cell r="GI28">
            <v>12</v>
          </cell>
          <cell r="GJ28">
            <v>12</v>
          </cell>
          <cell r="GK28">
            <v>12</v>
          </cell>
          <cell r="GL28">
            <v>12</v>
          </cell>
          <cell r="GM28">
            <v>12</v>
          </cell>
          <cell r="GP28">
            <v>0</v>
          </cell>
          <cell r="GS28">
            <v>0</v>
          </cell>
          <cell r="GV28">
            <v>1456</v>
          </cell>
          <cell r="GW28">
            <v>1456</v>
          </cell>
          <cell r="GX28">
            <v>1456</v>
          </cell>
        </row>
        <row r="29">
          <cell r="A29">
            <v>21</v>
          </cell>
          <cell r="B29" t="str">
            <v>Parkhaus (Büro)</v>
          </cell>
          <cell r="F29">
            <v>0</v>
          </cell>
          <cell r="G29">
            <v>40</v>
          </cell>
          <cell r="H29">
            <v>35</v>
          </cell>
          <cell r="I29">
            <v>30</v>
          </cell>
          <cell r="J29">
            <v>250</v>
          </cell>
          <cell r="K29">
            <v>0.84</v>
          </cell>
          <cell r="L29">
            <v>0</v>
          </cell>
          <cell r="M29">
            <v>0</v>
          </cell>
          <cell r="N29">
            <v>0</v>
          </cell>
          <cell r="O29">
            <v>0</v>
          </cell>
          <cell r="P29">
            <v>0</v>
          </cell>
          <cell r="Q29">
            <v>0</v>
          </cell>
          <cell r="R29">
            <v>0</v>
          </cell>
          <cell r="S29">
            <v>0.4</v>
          </cell>
          <cell r="T29">
            <v>0.8</v>
          </cell>
          <cell r="U29">
            <v>0.2</v>
          </cell>
          <cell r="V29">
            <v>0</v>
          </cell>
          <cell r="W29">
            <v>0.2</v>
          </cell>
          <cell r="X29">
            <v>1</v>
          </cell>
          <cell r="Y29">
            <v>0.2</v>
          </cell>
          <cell r="Z29">
            <v>0</v>
          </cell>
          <cell r="AA29">
            <v>0.2</v>
          </cell>
          <cell r="AB29">
            <v>0.8</v>
          </cell>
          <cell r="AC29">
            <v>0.2</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0.4</v>
          </cell>
          <cell r="BI29">
            <v>1</v>
          </cell>
          <cell r="BJ29">
            <v>1</v>
          </cell>
          <cell r="BK29">
            <v>1</v>
          </cell>
          <cell r="BL29">
            <v>1</v>
          </cell>
          <cell r="BM29">
            <v>0.8</v>
          </cell>
          <cell r="BN29">
            <v>0.4</v>
          </cell>
          <cell r="BO29">
            <v>0.4</v>
          </cell>
          <cell r="BP29">
            <v>0.8</v>
          </cell>
          <cell r="BQ29">
            <v>1</v>
          </cell>
          <cell r="BR29">
            <v>1</v>
          </cell>
          <cell r="BS29">
            <v>1</v>
          </cell>
          <cell r="BT29">
            <v>1</v>
          </cell>
          <cell r="BU29">
            <v>1</v>
          </cell>
          <cell r="BV29">
            <v>0.8</v>
          </cell>
          <cell r="BW29">
            <v>0</v>
          </cell>
          <cell r="BX29">
            <v>0.4</v>
          </cell>
          <cell r="BY29">
            <v>0.8</v>
          </cell>
          <cell r="BZ29">
            <v>0.8</v>
          </cell>
          <cell r="CA29">
            <v>1</v>
          </cell>
          <cell r="CB29">
            <v>1</v>
          </cell>
          <cell r="CC29">
            <v>1</v>
          </cell>
          <cell r="CD29">
            <v>1</v>
          </cell>
          <cell r="CE29">
            <v>1</v>
          </cell>
          <cell r="CF29">
            <v>1</v>
          </cell>
          <cell r="CG29">
            <v>0.8</v>
          </cell>
          <cell r="CH29">
            <v>0.4</v>
          </cell>
          <cell r="CI29">
            <v>0.2</v>
          </cell>
          <cell r="CJ29">
            <v>0.2</v>
          </cell>
          <cell r="CK29">
            <v>0.6</v>
          </cell>
          <cell r="CL29">
            <v>0.8</v>
          </cell>
          <cell r="CM29">
            <v>1</v>
          </cell>
          <cell r="CN29">
            <v>1</v>
          </cell>
          <cell r="CO29">
            <v>1</v>
          </cell>
          <cell r="CP29">
            <v>1</v>
          </cell>
          <cell r="CQ29">
            <v>1</v>
          </cell>
          <cell r="CR29">
            <v>1</v>
          </cell>
          <cell r="CS29">
            <v>0.8</v>
          </cell>
          <cell r="CT29">
            <v>0.6</v>
          </cell>
          <cell r="CU29">
            <v>0.8</v>
          </cell>
          <cell r="CV29">
            <v>1</v>
          </cell>
          <cell r="CW29">
            <v>1</v>
          </cell>
          <cell r="CX29">
            <v>1</v>
          </cell>
          <cell r="CY29">
            <v>1</v>
          </cell>
          <cell r="CZ29">
            <v>1</v>
          </cell>
          <cell r="DA29">
            <v>1</v>
          </cell>
          <cell r="DB29">
            <v>1</v>
          </cell>
          <cell r="DC29">
            <v>1</v>
          </cell>
          <cell r="DD29">
            <v>1</v>
          </cell>
          <cell r="DE29">
            <v>0.8</v>
          </cell>
          <cell r="DF29">
            <v>0.4</v>
          </cell>
          <cell r="DG29">
            <v>0</v>
          </cell>
          <cell r="DJ29">
            <v>2</v>
          </cell>
          <cell r="DK29">
            <v>2</v>
          </cell>
          <cell r="DM29" t="str">
            <v>x</v>
          </cell>
          <cell r="DN29">
            <v>0.67</v>
          </cell>
          <cell r="DO29">
            <v>2250</v>
          </cell>
          <cell r="DP29">
            <v>1090</v>
          </cell>
          <cell r="DQ29">
            <v>580</v>
          </cell>
          <cell r="DR29">
            <v>400</v>
          </cell>
          <cell r="DS29">
            <v>300</v>
          </cell>
          <cell r="DT29">
            <v>0.55000000000000004</v>
          </cell>
          <cell r="DU29">
            <v>300</v>
          </cell>
          <cell r="DV29">
            <v>250</v>
          </cell>
          <cell r="DW29">
            <v>0.59950000000000014</v>
          </cell>
          <cell r="DX29" t="str">
            <v>1-stufig</v>
          </cell>
          <cell r="DY29">
            <v>2250</v>
          </cell>
          <cell r="DZ29">
            <v>0.40404040404040403</v>
          </cell>
          <cell r="EA29">
            <v>0.30303030303030298</v>
          </cell>
          <cell r="EB29">
            <v>0.70707070707070696</v>
          </cell>
          <cell r="EC29">
            <v>0.90909090909090917</v>
          </cell>
          <cell r="ED29">
            <v>0.68181818181818177</v>
          </cell>
          <cell r="EE29">
            <v>1.5909090909090908</v>
          </cell>
          <cell r="EF29" t="str">
            <v>1-stufig</v>
          </cell>
          <cell r="EG29">
            <v>2250</v>
          </cell>
          <cell r="EH29">
            <v>0.27800945232137886</v>
          </cell>
          <cell r="EI29">
            <v>0.23167454360114906</v>
          </cell>
          <cell r="EJ29">
            <v>0.50968399592252789</v>
          </cell>
          <cell r="EK29">
            <v>0.62552126772310246</v>
          </cell>
          <cell r="EL29">
            <v>0.5212677231025854</v>
          </cell>
          <cell r="EM29">
            <v>1.1467889908256879</v>
          </cell>
          <cell r="EN29" t="str">
            <v>s</v>
          </cell>
          <cell r="EO29">
            <v>0.30000000000000004</v>
          </cell>
          <cell r="EP29">
            <v>0.7</v>
          </cell>
          <cell r="EQ29" t="str">
            <v>m</v>
          </cell>
          <cell r="ER29">
            <v>70</v>
          </cell>
          <cell r="ES29">
            <v>80</v>
          </cell>
          <cell r="ET29">
            <v>10</v>
          </cell>
          <cell r="EU29">
            <v>20</v>
          </cell>
          <cell r="EV29">
            <v>230</v>
          </cell>
          <cell r="EW29">
            <v>130</v>
          </cell>
          <cell r="EX29">
            <v>100</v>
          </cell>
          <cell r="EY29">
            <v>20</v>
          </cell>
          <cell r="EZ29">
            <v>380</v>
          </cell>
          <cell r="FA29">
            <v>250</v>
          </cell>
          <cell r="FB29">
            <v>100</v>
          </cell>
          <cell r="FC29">
            <v>110</v>
          </cell>
          <cell r="FF29">
            <v>2.5</v>
          </cell>
          <cell r="FI29">
            <v>3</v>
          </cell>
          <cell r="FL29">
            <v>3.5</v>
          </cell>
          <cell r="FM29">
            <v>70</v>
          </cell>
          <cell r="FO29">
            <v>0.25</v>
          </cell>
          <cell r="FP29">
            <v>1.3</v>
          </cell>
          <cell r="FQ29">
            <v>0.8</v>
          </cell>
          <cell r="FR29">
            <v>0.9</v>
          </cell>
          <cell r="FS29">
            <v>0.15</v>
          </cell>
          <cell r="FT29">
            <v>0.6</v>
          </cell>
          <cell r="FU29">
            <v>60</v>
          </cell>
          <cell r="FV29">
            <v>210</v>
          </cell>
          <cell r="FW29">
            <v>21</v>
          </cell>
          <cell r="FX29">
            <v>6</v>
          </cell>
          <cell r="FY29">
            <v>6</v>
          </cell>
          <cell r="FZ29">
            <v>6</v>
          </cell>
          <cell r="GA29">
            <v>6</v>
          </cell>
          <cell r="GB29">
            <v>6</v>
          </cell>
          <cell r="GC29">
            <v>6</v>
          </cell>
          <cell r="GD29">
            <v>6</v>
          </cell>
          <cell r="GE29">
            <v>6</v>
          </cell>
          <cell r="GF29">
            <v>12</v>
          </cell>
          <cell r="GG29">
            <v>12</v>
          </cell>
          <cell r="GH29">
            <v>12</v>
          </cell>
          <cell r="GI29">
            <v>12</v>
          </cell>
          <cell r="GJ29">
            <v>12</v>
          </cell>
          <cell r="GK29">
            <v>12</v>
          </cell>
          <cell r="GL29">
            <v>12</v>
          </cell>
          <cell r="GM29">
            <v>12</v>
          </cell>
          <cell r="GP29">
            <v>0</v>
          </cell>
          <cell r="GS29">
            <v>0</v>
          </cell>
          <cell r="GV29">
            <v>2250</v>
          </cell>
          <cell r="GW29">
            <v>1461.6</v>
          </cell>
          <cell r="GX29">
            <v>840.00000000000011</v>
          </cell>
        </row>
        <row r="30">
          <cell r="A30">
            <v>22</v>
          </cell>
          <cell r="B30" t="str">
            <v>Parkhaus (öffentlich)</v>
          </cell>
          <cell r="F30">
            <v>0</v>
          </cell>
          <cell r="G30">
            <v>45</v>
          </cell>
          <cell r="H30">
            <v>40</v>
          </cell>
          <cell r="I30">
            <v>35</v>
          </cell>
          <cell r="J30">
            <v>364</v>
          </cell>
          <cell r="K30">
            <v>0.75769230769230778</v>
          </cell>
          <cell r="L30">
            <v>0</v>
          </cell>
          <cell r="M30">
            <v>0</v>
          </cell>
          <cell r="N30">
            <v>0</v>
          </cell>
          <cell r="O30">
            <v>0</v>
          </cell>
          <cell r="P30">
            <v>0</v>
          </cell>
          <cell r="Q30">
            <v>0</v>
          </cell>
          <cell r="R30">
            <v>0</v>
          </cell>
          <cell r="S30">
            <v>0</v>
          </cell>
          <cell r="T30">
            <v>0.6</v>
          </cell>
          <cell r="U30">
            <v>0.2</v>
          </cell>
          <cell r="V30">
            <v>0.4</v>
          </cell>
          <cell r="W30">
            <v>0.8</v>
          </cell>
          <cell r="X30">
            <v>0.2</v>
          </cell>
          <cell r="Y30">
            <v>0.2</v>
          </cell>
          <cell r="Z30">
            <v>0</v>
          </cell>
          <cell r="AA30">
            <v>0.2</v>
          </cell>
          <cell r="AB30">
            <v>0.4</v>
          </cell>
          <cell r="AC30">
            <v>0.8</v>
          </cell>
          <cell r="AD30">
            <v>0.4</v>
          </cell>
          <cell r="AE30">
            <v>0.2</v>
          </cell>
          <cell r="AF30">
            <v>0</v>
          </cell>
          <cell r="AG30">
            <v>0</v>
          </cell>
          <cell r="AH30">
            <v>0.2</v>
          </cell>
          <cell r="AI30">
            <v>0.4</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0.4</v>
          </cell>
          <cell r="BI30">
            <v>0.8</v>
          </cell>
          <cell r="BJ30">
            <v>0.8</v>
          </cell>
          <cell r="BK30">
            <v>0.8</v>
          </cell>
          <cell r="BL30">
            <v>0.8</v>
          </cell>
          <cell r="BM30">
            <v>0.8</v>
          </cell>
          <cell r="BN30">
            <v>0.6</v>
          </cell>
          <cell r="BO30">
            <v>0.6</v>
          </cell>
          <cell r="BP30">
            <v>0.8</v>
          </cell>
          <cell r="BQ30">
            <v>0.8</v>
          </cell>
          <cell r="BR30">
            <v>0.8</v>
          </cell>
          <cell r="BS30">
            <v>0.8</v>
          </cell>
          <cell r="BT30">
            <v>0.8</v>
          </cell>
          <cell r="BU30">
            <v>0.8</v>
          </cell>
          <cell r="BV30">
            <v>0.8</v>
          </cell>
          <cell r="BW30">
            <v>0.2</v>
          </cell>
          <cell r="BX30">
            <v>0.8</v>
          </cell>
          <cell r="BY30">
            <v>0.6</v>
          </cell>
          <cell r="BZ30">
            <v>0.6</v>
          </cell>
          <cell r="CA30">
            <v>0.8</v>
          </cell>
          <cell r="CB30">
            <v>0.8</v>
          </cell>
          <cell r="CC30">
            <v>0.8</v>
          </cell>
          <cell r="CD30">
            <v>0.8</v>
          </cell>
          <cell r="CE30">
            <v>0.8</v>
          </cell>
          <cell r="CF30">
            <v>0.8</v>
          </cell>
          <cell r="CG30">
            <v>0.8</v>
          </cell>
          <cell r="CH30">
            <v>0.6</v>
          </cell>
          <cell r="CI30">
            <v>0.6</v>
          </cell>
          <cell r="CJ30">
            <v>0.6</v>
          </cell>
          <cell r="CK30">
            <v>0.6</v>
          </cell>
          <cell r="CL30">
            <v>0.8</v>
          </cell>
          <cell r="CM30">
            <v>0.8</v>
          </cell>
          <cell r="CN30">
            <v>0.8</v>
          </cell>
          <cell r="CO30">
            <v>0.8</v>
          </cell>
          <cell r="CP30">
            <v>0.8</v>
          </cell>
          <cell r="CQ30">
            <v>0.8</v>
          </cell>
          <cell r="CR30">
            <v>0.8</v>
          </cell>
          <cell r="CS30">
            <v>0.8</v>
          </cell>
          <cell r="CT30">
            <v>0.8</v>
          </cell>
          <cell r="CU30">
            <v>0.8</v>
          </cell>
          <cell r="CV30">
            <v>0.8</v>
          </cell>
          <cell r="CW30">
            <v>0.8</v>
          </cell>
          <cell r="CX30">
            <v>0.8</v>
          </cell>
          <cell r="CY30">
            <v>0.8</v>
          </cell>
          <cell r="CZ30">
            <v>0.8</v>
          </cell>
          <cell r="DA30">
            <v>0.8</v>
          </cell>
          <cell r="DB30">
            <v>0.8</v>
          </cell>
          <cell r="DC30">
            <v>1</v>
          </cell>
          <cell r="DD30">
            <v>1</v>
          </cell>
          <cell r="DE30">
            <v>1</v>
          </cell>
          <cell r="DF30">
            <v>1</v>
          </cell>
          <cell r="DG30">
            <v>0.4</v>
          </cell>
          <cell r="DJ30">
            <v>5</v>
          </cell>
          <cell r="DK30">
            <v>5</v>
          </cell>
          <cell r="DM30" t="str">
            <v>x</v>
          </cell>
          <cell r="DN30">
            <v>0.67</v>
          </cell>
          <cell r="DO30">
            <v>4730</v>
          </cell>
          <cell r="DP30">
            <v>1670</v>
          </cell>
          <cell r="DQ30">
            <v>670</v>
          </cell>
          <cell r="DR30">
            <v>400</v>
          </cell>
          <cell r="DS30">
            <v>300</v>
          </cell>
          <cell r="DT30">
            <v>0.55000000000000004</v>
          </cell>
          <cell r="DU30">
            <v>300</v>
          </cell>
          <cell r="DV30">
            <v>250</v>
          </cell>
          <cell r="DW30">
            <v>0.59950000000000014</v>
          </cell>
          <cell r="DX30" t="str">
            <v>1-stufig</v>
          </cell>
          <cell r="DY30">
            <v>4730</v>
          </cell>
          <cell r="DZ30">
            <v>1.0101010101010099</v>
          </cell>
          <cell r="EA30">
            <v>0.75757575757575746</v>
          </cell>
          <cell r="EB30">
            <v>1.7676767676767673</v>
          </cell>
          <cell r="EC30">
            <v>4.7777777777777777</v>
          </cell>
          <cell r="ED30">
            <v>3.5833333333333326</v>
          </cell>
          <cell r="EE30">
            <v>8.3611111111111107</v>
          </cell>
          <cell r="EF30" t="str">
            <v>2-stufig</v>
          </cell>
          <cell r="EG30">
            <v>1670</v>
          </cell>
          <cell r="EH30">
            <v>0.6950236308034472</v>
          </cell>
          <cell r="EI30">
            <v>0.57918635900287263</v>
          </cell>
          <cell r="EJ30">
            <v>1.2742099898063199</v>
          </cell>
          <cell r="EK30">
            <v>1.1606894634417568</v>
          </cell>
          <cell r="EL30">
            <v>0.96724121953479736</v>
          </cell>
          <cell r="EM30">
            <v>2.1279306829765541</v>
          </cell>
          <cell r="EN30" t="str">
            <v>s</v>
          </cell>
          <cell r="EO30">
            <v>0.30000000000000004</v>
          </cell>
          <cell r="EP30">
            <v>0.7</v>
          </cell>
          <cell r="EQ30" t="str">
            <v>m</v>
          </cell>
          <cell r="ER30">
            <v>70</v>
          </cell>
          <cell r="ES30">
            <v>80</v>
          </cell>
          <cell r="ET30">
            <v>10</v>
          </cell>
          <cell r="EU30">
            <v>20</v>
          </cell>
          <cell r="EV30">
            <v>230</v>
          </cell>
          <cell r="EW30">
            <v>130</v>
          </cell>
          <cell r="EX30">
            <v>100</v>
          </cell>
          <cell r="EY30">
            <v>20</v>
          </cell>
          <cell r="EZ30">
            <v>380</v>
          </cell>
          <cell r="FA30">
            <v>250</v>
          </cell>
          <cell r="FB30">
            <v>100</v>
          </cell>
          <cell r="FC30">
            <v>110</v>
          </cell>
          <cell r="FF30">
            <v>1.5</v>
          </cell>
          <cell r="FI30">
            <v>2</v>
          </cell>
          <cell r="FL30">
            <v>2.5</v>
          </cell>
          <cell r="FM30">
            <v>70</v>
          </cell>
          <cell r="FO30">
            <v>0.25</v>
          </cell>
          <cell r="FP30">
            <v>1.3</v>
          </cell>
          <cell r="FQ30">
            <v>0.8</v>
          </cell>
          <cell r="FR30">
            <v>0.9</v>
          </cell>
          <cell r="FS30">
            <v>0.15</v>
          </cell>
          <cell r="FT30">
            <v>0.6</v>
          </cell>
          <cell r="FU30">
            <v>60</v>
          </cell>
          <cell r="FV30">
            <v>210</v>
          </cell>
          <cell r="FW30">
            <v>22</v>
          </cell>
          <cell r="FX30">
            <v>6</v>
          </cell>
          <cell r="FY30">
            <v>6</v>
          </cell>
          <cell r="FZ30">
            <v>6</v>
          </cell>
          <cell r="GA30">
            <v>6</v>
          </cell>
          <cell r="GB30">
            <v>6</v>
          </cell>
          <cell r="GC30">
            <v>6</v>
          </cell>
          <cell r="GD30">
            <v>6</v>
          </cell>
          <cell r="GE30">
            <v>6</v>
          </cell>
          <cell r="GF30">
            <v>12</v>
          </cell>
          <cell r="GG30">
            <v>12</v>
          </cell>
          <cell r="GH30">
            <v>12</v>
          </cell>
          <cell r="GI30">
            <v>12</v>
          </cell>
          <cell r="GJ30">
            <v>12</v>
          </cell>
          <cell r="GK30">
            <v>12</v>
          </cell>
          <cell r="GL30">
            <v>12</v>
          </cell>
          <cell r="GM30">
            <v>12</v>
          </cell>
          <cell r="GP30">
            <v>0</v>
          </cell>
          <cell r="GS30">
            <v>0</v>
          </cell>
          <cell r="GV30">
            <v>4732</v>
          </cell>
          <cell r="GW30">
            <v>2553.9080000000008</v>
          </cell>
          <cell r="GX30">
            <v>1379.0000000000007</v>
          </cell>
        </row>
        <row r="31">
          <cell r="A31">
            <v>23</v>
          </cell>
          <cell r="B31" t="str">
            <v>Serverraum ULK</v>
          </cell>
          <cell r="C31">
            <v>3</v>
          </cell>
          <cell r="D31">
            <v>6</v>
          </cell>
          <cell r="E31">
            <v>6</v>
          </cell>
          <cell r="F31">
            <v>36</v>
          </cell>
          <cell r="G31">
            <v>40</v>
          </cell>
          <cell r="H31">
            <v>30</v>
          </cell>
          <cell r="I31">
            <v>20</v>
          </cell>
          <cell r="J31">
            <v>364</v>
          </cell>
          <cell r="K31">
            <v>1</v>
          </cell>
          <cell r="L31">
            <v>1</v>
          </cell>
          <cell r="M31">
            <v>1</v>
          </cell>
          <cell r="N31">
            <v>1</v>
          </cell>
          <cell r="O31">
            <v>1</v>
          </cell>
          <cell r="P31">
            <v>1</v>
          </cell>
          <cell r="Q31">
            <v>1</v>
          </cell>
          <cell r="R31">
            <v>1</v>
          </cell>
          <cell r="S31">
            <v>1</v>
          </cell>
          <cell r="T31">
            <v>1</v>
          </cell>
          <cell r="U31">
            <v>1</v>
          </cell>
          <cell r="V31">
            <v>1</v>
          </cell>
          <cell r="W31">
            <v>1</v>
          </cell>
          <cell r="X31">
            <v>1</v>
          </cell>
          <cell r="Y31">
            <v>1</v>
          </cell>
          <cell r="Z31">
            <v>1</v>
          </cell>
          <cell r="AA31">
            <v>1</v>
          </cell>
          <cell r="AB31">
            <v>1</v>
          </cell>
          <cell r="AC31">
            <v>1</v>
          </cell>
          <cell r="AD31">
            <v>1</v>
          </cell>
          <cell r="AE31">
            <v>1</v>
          </cell>
          <cell r="AF31">
            <v>1</v>
          </cell>
          <cell r="AG31">
            <v>1</v>
          </cell>
          <cell r="AH31">
            <v>1</v>
          </cell>
          <cell r="AI31">
            <v>1</v>
          </cell>
          <cell r="AJ31">
            <v>1</v>
          </cell>
          <cell r="AK31">
            <v>1</v>
          </cell>
          <cell r="AL31">
            <v>1</v>
          </cell>
          <cell r="AM31">
            <v>1</v>
          </cell>
          <cell r="AN31">
            <v>1</v>
          </cell>
          <cell r="AO31">
            <v>1</v>
          </cell>
          <cell r="AP31">
            <v>1</v>
          </cell>
          <cell r="AQ31">
            <v>1</v>
          </cell>
          <cell r="AR31">
            <v>1</v>
          </cell>
          <cell r="AS31">
            <v>1</v>
          </cell>
          <cell r="AT31">
            <v>1</v>
          </cell>
          <cell r="AU31">
            <v>1</v>
          </cell>
          <cell r="AV31">
            <v>1</v>
          </cell>
          <cell r="AW31">
            <v>1</v>
          </cell>
          <cell r="AX31">
            <v>1</v>
          </cell>
          <cell r="AY31">
            <v>1</v>
          </cell>
          <cell r="AZ31">
            <v>1</v>
          </cell>
          <cell r="BA31">
            <v>1</v>
          </cell>
          <cell r="BB31">
            <v>1</v>
          </cell>
          <cell r="BC31">
            <v>1</v>
          </cell>
          <cell r="BD31">
            <v>1</v>
          </cell>
          <cell r="BE31">
            <v>1</v>
          </cell>
          <cell r="BF31">
            <v>1</v>
          </cell>
          <cell r="BG31">
            <v>1</v>
          </cell>
          <cell r="BH31">
            <v>1</v>
          </cell>
          <cell r="BI31">
            <v>1</v>
          </cell>
          <cell r="BJ31">
            <v>1</v>
          </cell>
          <cell r="BK31">
            <v>1</v>
          </cell>
          <cell r="BL31">
            <v>1</v>
          </cell>
          <cell r="BM31">
            <v>1</v>
          </cell>
          <cell r="BN31">
            <v>1</v>
          </cell>
          <cell r="BO31">
            <v>1</v>
          </cell>
          <cell r="BP31">
            <v>1</v>
          </cell>
          <cell r="BQ31">
            <v>1</v>
          </cell>
          <cell r="BR31">
            <v>1</v>
          </cell>
          <cell r="BS31">
            <v>1</v>
          </cell>
          <cell r="BT31">
            <v>1</v>
          </cell>
          <cell r="BU31">
            <v>1</v>
          </cell>
          <cell r="BV31">
            <v>1</v>
          </cell>
          <cell r="BW31">
            <v>1</v>
          </cell>
          <cell r="BX31">
            <v>1</v>
          </cell>
          <cell r="BY31">
            <v>1</v>
          </cell>
          <cell r="BZ31">
            <v>1</v>
          </cell>
          <cell r="CA31">
            <v>1</v>
          </cell>
          <cell r="CB31">
            <v>1</v>
          </cell>
          <cell r="CC31">
            <v>1</v>
          </cell>
          <cell r="CD31">
            <v>1</v>
          </cell>
          <cell r="CE31">
            <v>1</v>
          </cell>
          <cell r="CF31">
            <v>1</v>
          </cell>
          <cell r="CG31">
            <v>1</v>
          </cell>
          <cell r="CH31">
            <v>1</v>
          </cell>
          <cell r="CI31">
            <v>1</v>
          </cell>
          <cell r="CJ31">
            <v>1</v>
          </cell>
          <cell r="CK31">
            <v>1</v>
          </cell>
          <cell r="CL31">
            <v>1</v>
          </cell>
          <cell r="CM31">
            <v>1</v>
          </cell>
          <cell r="CN31">
            <v>1</v>
          </cell>
          <cell r="CO31">
            <v>1</v>
          </cell>
          <cell r="CP31">
            <v>1</v>
          </cell>
          <cell r="CQ31">
            <v>1</v>
          </cell>
          <cell r="CR31">
            <v>1</v>
          </cell>
          <cell r="CS31">
            <v>1</v>
          </cell>
          <cell r="CT31">
            <v>1</v>
          </cell>
          <cell r="CU31">
            <v>1</v>
          </cell>
          <cell r="CV31">
            <v>1</v>
          </cell>
          <cell r="CW31">
            <v>1</v>
          </cell>
          <cell r="CX31">
            <v>1</v>
          </cell>
          <cell r="CY31">
            <v>1</v>
          </cell>
          <cell r="CZ31">
            <v>1</v>
          </cell>
          <cell r="DA31">
            <v>1</v>
          </cell>
          <cell r="DB31">
            <v>1</v>
          </cell>
          <cell r="DC31">
            <v>1</v>
          </cell>
          <cell r="DD31">
            <v>1</v>
          </cell>
          <cell r="DE31">
            <v>1</v>
          </cell>
          <cell r="DF31">
            <v>1</v>
          </cell>
          <cell r="DG31">
            <v>1</v>
          </cell>
          <cell r="DJ31">
            <v>80</v>
          </cell>
          <cell r="DM31" t="str">
            <v>x</v>
          </cell>
          <cell r="DN31">
            <v>0.67</v>
          </cell>
          <cell r="DO31">
            <v>8740</v>
          </cell>
          <cell r="DP31">
            <v>8740</v>
          </cell>
          <cell r="DQ31">
            <v>8740</v>
          </cell>
          <cell r="DR31">
            <v>400</v>
          </cell>
          <cell r="DT31">
            <v>0.55000000000000004</v>
          </cell>
          <cell r="DU31">
            <v>300</v>
          </cell>
          <cell r="DW31">
            <v>0.59950000000000014</v>
          </cell>
          <cell r="DX31" t="str">
            <v>2-stufig</v>
          </cell>
          <cell r="DY31">
            <v>8740</v>
          </cell>
          <cell r="DZ31">
            <v>16.161616161616159</v>
          </cell>
          <cell r="EA31">
            <v>0</v>
          </cell>
          <cell r="EB31">
            <v>16.161616161616159</v>
          </cell>
          <cell r="EC31">
            <v>141.25252525252523</v>
          </cell>
          <cell r="ED31">
            <v>0</v>
          </cell>
          <cell r="EE31">
            <v>141.25252525252523</v>
          </cell>
          <cell r="EF31" t="str">
            <v>stufenlos</v>
          </cell>
          <cell r="EG31">
            <v>8740</v>
          </cell>
          <cell r="EH31">
            <v>11.120378092855155</v>
          </cell>
          <cell r="EI31">
            <v>0</v>
          </cell>
          <cell r="EJ31">
            <v>11.120378092855155</v>
          </cell>
          <cell r="EK31">
            <v>97.192104531554051</v>
          </cell>
          <cell r="EL31">
            <v>0</v>
          </cell>
          <cell r="EM31">
            <v>97.192104531554051</v>
          </cell>
          <cell r="EN31" t="str">
            <v>s</v>
          </cell>
          <cell r="EO31">
            <v>0.30000000000000004</v>
          </cell>
          <cell r="EP31">
            <v>0.7</v>
          </cell>
          <cell r="EQ31" t="str">
            <v>m</v>
          </cell>
          <cell r="ER31">
            <v>70</v>
          </cell>
          <cell r="ES31">
            <v>80</v>
          </cell>
          <cell r="ET31">
            <v>10</v>
          </cell>
          <cell r="EU31">
            <v>20</v>
          </cell>
          <cell r="EV31">
            <v>230</v>
          </cell>
          <cell r="EW31">
            <v>130</v>
          </cell>
          <cell r="EX31">
            <v>100</v>
          </cell>
          <cell r="EY31">
            <v>20</v>
          </cell>
          <cell r="EZ31">
            <v>380</v>
          </cell>
          <cell r="FA31">
            <v>250</v>
          </cell>
          <cell r="FB31">
            <v>100</v>
          </cell>
          <cell r="FC31">
            <v>110</v>
          </cell>
          <cell r="FD31">
            <v>2</v>
          </cell>
          <cell r="FE31">
            <v>200</v>
          </cell>
          <cell r="FF31">
            <v>9</v>
          </cell>
          <cell r="FG31">
            <v>2.5</v>
          </cell>
          <cell r="FH31">
            <v>300</v>
          </cell>
          <cell r="FI31">
            <v>11</v>
          </cell>
          <cell r="FJ31">
            <v>3.5</v>
          </cell>
          <cell r="FK31">
            <v>400</v>
          </cell>
          <cell r="FL31">
            <v>12.5</v>
          </cell>
          <cell r="FM31">
            <v>70</v>
          </cell>
          <cell r="FO31">
            <v>0.25</v>
          </cell>
          <cell r="FP31">
            <v>1.3</v>
          </cell>
          <cell r="FQ31">
            <v>0.8</v>
          </cell>
          <cell r="FR31">
            <v>0.9</v>
          </cell>
          <cell r="FS31">
            <v>0.15</v>
          </cell>
          <cell r="FT31">
            <v>0.6</v>
          </cell>
          <cell r="FU31">
            <v>60</v>
          </cell>
          <cell r="FV31">
            <v>210</v>
          </cell>
          <cell r="FW31">
            <v>23</v>
          </cell>
          <cell r="FX31">
            <v>1</v>
          </cell>
          <cell r="FY31">
            <v>1</v>
          </cell>
          <cell r="FZ31">
            <v>1</v>
          </cell>
          <cell r="GA31">
            <v>1</v>
          </cell>
          <cell r="GB31">
            <v>1</v>
          </cell>
          <cell r="GC31">
            <v>1</v>
          </cell>
          <cell r="GD31">
            <v>1</v>
          </cell>
          <cell r="GE31">
            <v>1</v>
          </cell>
          <cell r="GF31">
            <v>1</v>
          </cell>
          <cell r="GG31">
            <v>1</v>
          </cell>
          <cell r="GH31">
            <v>1</v>
          </cell>
          <cell r="GI31">
            <v>1</v>
          </cell>
          <cell r="GJ31">
            <v>1</v>
          </cell>
          <cell r="GK31">
            <v>1</v>
          </cell>
          <cell r="GL31">
            <v>1</v>
          </cell>
          <cell r="GM31">
            <v>1</v>
          </cell>
          <cell r="GN31">
            <v>8105</v>
          </cell>
          <cell r="GO31">
            <v>127.9</v>
          </cell>
          <cell r="GP31">
            <v>1036.5999999999999</v>
          </cell>
          <cell r="GQ31">
            <v>8105</v>
          </cell>
          <cell r="GR31">
            <v>91.4</v>
          </cell>
          <cell r="GS31">
            <v>740.8</v>
          </cell>
          <cell r="GV31">
            <v>8736</v>
          </cell>
          <cell r="GW31">
            <v>8736</v>
          </cell>
          <cell r="GX31">
            <v>8736</v>
          </cell>
        </row>
        <row r="32">
          <cell r="B32">
            <v>0</v>
          </cell>
          <cell r="FW32">
            <v>24</v>
          </cell>
          <cell r="FX32">
            <v>6</v>
          </cell>
          <cell r="FY32">
            <v>6</v>
          </cell>
          <cell r="FZ32">
            <v>6</v>
          </cell>
          <cell r="GA32">
            <v>6</v>
          </cell>
          <cell r="GB32">
            <v>6</v>
          </cell>
          <cell r="GC32">
            <v>6</v>
          </cell>
          <cell r="GD32">
            <v>6</v>
          </cell>
          <cell r="GE32">
            <v>6</v>
          </cell>
          <cell r="GF32">
            <v>12</v>
          </cell>
          <cell r="GG32">
            <v>12</v>
          </cell>
          <cell r="GH32">
            <v>12</v>
          </cell>
          <cell r="GI32">
            <v>12</v>
          </cell>
          <cell r="GJ32">
            <v>12</v>
          </cell>
          <cell r="GK32">
            <v>12</v>
          </cell>
          <cell r="GL32">
            <v>12</v>
          </cell>
          <cell r="GM32">
            <v>12</v>
          </cell>
        </row>
        <row r="33">
          <cell r="B33">
            <v>0</v>
          </cell>
          <cell r="FW33">
            <v>25</v>
          </cell>
          <cell r="FX33">
            <v>6</v>
          </cell>
          <cell r="FY33">
            <v>6</v>
          </cell>
          <cell r="FZ33">
            <v>6</v>
          </cell>
          <cell r="GA33">
            <v>6</v>
          </cell>
          <cell r="GB33">
            <v>6</v>
          </cell>
          <cell r="GC33">
            <v>6</v>
          </cell>
          <cell r="GD33">
            <v>6</v>
          </cell>
          <cell r="GE33">
            <v>6</v>
          </cell>
          <cell r="GF33">
            <v>12</v>
          </cell>
          <cell r="GG33">
            <v>12</v>
          </cell>
          <cell r="GH33">
            <v>12</v>
          </cell>
          <cell r="GI33">
            <v>12</v>
          </cell>
          <cell r="GJ33">
            <v>12</v>
          </cell>
          <cell r="GK33">
            <v>12</v>
          </cell>
          <cell r="GL33">
            <v>12</v>
          </cell>
          <cell r="GM33">
            <v>12</v>
          </cell>
        </row>
        <row r="34">
          <cell r="B34">
            <v>0</v>
          </cell>
          <cell r="FW34">
            <v>26</v>
          </cell>
          <cell r="FX34">
            <v>6</v>
          </cell>
          <cell r="FY34">
            <v>6</v>
          </cell>
          <cell r="FZ34">
            <v>6</v>
          </cell>
          <cell r="GA34">
            <v>6</v>
          </cell>
          <cell r="GB34">
            <v>6</v>
          </cell>
          <cell r="GC34">
            <v>6</v>
          </cell>
          <cell r="GD34">
            <v>6</v>
          </cell>
          <cell r="GE34">
            <v>6</v>
          </cell>
          <cell r="GF34">
            <v>12</v>
          </cell>
          <cell r="GG34">
            <v>12</v>
          </cell>
          <cell r="GH34">
            <v>12</v>
          </cell>
          <cell r="GI34">
            <v>12</v>
          </cell>
          <cell r="GJ34">
            <v>12</v>
          </cell>
          <cell r="GK34">
            <v>12</v>
          </cell>
          <cell r="GL34">
            <v>12</v>
          </cell>
          <cell r="GM34">
            <v>12</v>
          </cell>
        </row>
        <row r="35">
          <cell r="B35">
            <v>0</v>
          </cell>
          <cell r="FW35">
            <v>27</v>
          </cell>
          <cell r="FX35">
            <v>6</v>
          </cell>
          <cell r="FY35">
            <v>6</v>
          </cell>
          <cell r="FZ35">
            <v>6</v>
          </cell>
          <cell r="GA35">
            <v>6</v>
          </cell>
          <cell r="GB35">
            <v>6</v>
          </cell>
          <cell r="GC35">
            <v>6</v>
          </cell>
          <cell r="GD35">
            <v>6</v>
          </cell>
          <cell r="GE35">
            <v>6</v>
          </cell>
          <cell r="GF35">
            <v>12</v>
          </cell>
          <cell r="GG35">
            <v>12</v>
          </cell>
          <cell r="GH35">
            <v>12</v>
          </cell>
          <cell r="GI35">
            <v>12</v>
          </cell>
          <cell r="GJ35">
            <v>12</v>
          </cell>
          <cell r="GK35">
            <v>12</v>
          </cell>
          <cell r="GL35">
            <v>12</v>
          </cell>
          <cell r="GM35">
            <v>12</v>
          </cell>
        </row>
        <row r="36">
          <cell r="B36">
            <v>0</v>
          </cell>
          <cell r="FW36">
            <v>28</v>
          </cell>
          <cell r="FX36">
            <v>6</v>
          </cell>
          <cell r="FY36">
            <v>6</v>
          </cell>
          <cell r="FZ36">
            <v>6</v>
          </cell>
          <cell r="GA36">
            <v>6</v>
          </cell>
          <cell r="GB36">
            <v>6</v>
          </cell>
          <cell r="GC36">
            <v>6</v>
          </cell>
          <cell r="GD36">
            <v>6</v>
          </cell>
          <cell r="GE36">
            <v>6</v>
          </cell>
          <cell r="GF36">
            <v>12</v>
          </cell>
          <cell r="GG36">
            <v>12</v>
          </cell>
          <cell r="GH36">
            <v>12</v>
          </cell>
          <cell r="GI36">
            <v>12</v>
          </cell>
          <cell r="GJ36">
            <v>12</v>
          </cell>
          <cell r="GK36">
            <v>12</v>
          </cell>
          <cell r="GL36">
            <v>12</v>
          </cell>
          <cell r="GM36">
            <v>12</v>
          </cell>
        </row>
        <row r="37">
          <cell r="B37">
            <v>0</v>
          </cell>
          <cell r="FW37">
            <v>29</v>
          </cell>
          <cell r="FX37">
            <v>6</v>
          </cell>
          <cell r="FY37">
            <v>6</v>
          </cell>
          <cell r="FZ37">
            <v>6</v>
          </cell>
          <cell r="GA37">
            <v>6</v>
          </cell>
          <cell r="GB37">
            <v>6</v>
          </cell>
          <cell r="GC37">
            <v>6</v>
          </cell>
          <cell r="GD37">
            <v>6</v>
          </cell>
          <cell r="GE37">
            <v>6</v>
          </cell>
          <cell r="GF37">
            <v>12</v>
          </cell>
          <cell r="GG37">
            <v>12</v>
          </cell>
          <cell r="GH37">
            <v>12</v>
          </cell>
          <cell r="GI37">
            <v>12</v>
          </cell>
          <cell r="GJ37">
            <v>12</v>
          </cell>
          <cell r="GK37">
            <v>12</v>
          </cell>
          <cell r="GL37">
            <v>12</v>
          </cell>
          <cell r="GM37">
            <v>12</v>
          </cell>
        </row>
        <row r="38">
          <cell r="B38">
            <v>0</v>
          </cell>
          <cell r="FW38">
            <v>30</v>
          </cell>
          <cell r="FX38">
            <v>6</v>
          </cell>
          <cell r="FY38">
            <v>6</v>
          </cell>
          <cell r="FZ38">
            <v>6</v>
          </cell>
          <cell r="GA38">
            <v>6</v>
          </cell>
          <cell r="GB38">
            <v>6</v>
          </cell>
          <cell r="GC38">
            <v>6</v>
          </cell>
          <cell r="GD38">
            <v>6</v>
          </cell>
          <cell r="GE38">
            <v>6</v>
          </cell>
          <cell r="GF38">
            <v>12</v>
          </cell>
          <cell r="GG38">
            <v>12</v>
          </cell>
          <cell r="GH38">
            <v>12</v>
          </cell>
          <cell r="GI38">
            <v>12</v>
          </cell>
          <cell r="GJ38">
            <v>12</v>
          </cell>
          <cell r="GK38">
            <v>12</v>
          </cell>
          <cell r="GL38">
            <v>12</v>
          </cell>
          <cell r="GM38">
            <v>12</v>
          </cell>
        </row>
        <row r="39">
          <cell r="B39">
            <v>0</v>
          </cell>
          <cell r="FW39">
            <v>31</v>
          </cell>
          <cell r="FX39">
            <v>6</v>
          </cell>
          <cell r="FY39">
            <v>6</v>
          </cell>
          <cell r="FZ39">
            <v>6</v>
          </cell>
          <cell r="GA39">
            <v>6</v>
          </cell>
          <cell r="GB39">
            <v>6</v>
          </cell>
          <cell r="GC39">
            <v>6</v>
          </cell>
          <cell r="GD39">
            <v>6</v>
          </cell>
          <cell r="GE39">
            <v>6</v>
          </cell>
          <cell r="GF39">
            <v>12</v>
          </cell>
          <cell r="GG39">
            <v>12</v>
          </cell>
          <cell r="GH39">
            <v>12</v>
          </cell>
          <cell r="GI39">
            <v>12</v>
          </cell>
          <cell r="GJ39">
            <v>12</v>
          </cell>
          <cell r="GK39">
            <v>12</v>
          </cell>
          <cell r="GL39">
            <v>12</v>
          </cell>
          <cell r="GM39">
            <v>12</v>
          </cell>
        </row>
        <row r="40">
          <cell r="B40">
            <v>0</v>
          </cell>
          <cell r="FW40">
            <v>27</v>
          </cell>
          <cell r="FX40">
            <v>6</v>
          </cell>
          <cell r="FY40">
            <v>6</v>
          </cell>
          <cell r="FZ40">
            <v>6</v>
          </cell>
          <cell r="GA40">
            <v>6</v>
          </cell>
          <cell r="GB40">
            <v>6</v>
          </cell>
          <cell r="GC40">
            <v>6</v>
          </cell>
          <cell r="GD40">
            <v>6</v>
          </cell>
          <cell r="GE40">
            <v>6</v>
          </cell>
          <cell r="GF40">
            <v>12</v>
          </cell>
          <cell r="GG40">
            <v>12</v>
          </cell>
          <cell r="GH40">
            <v>12</v>
          </cell>
          <cell r="GI40">
            <v>12</v>
          </cell>
          <cell r="GJ40">
            <v>12</v>
          </cell>
          <cell r="GK40">
            <v>12</v>
          </cell>
          <cell r="GL40">
            <v>12</v>
          </cell>
          <cell r="GM40">
            <v>12</v>
          </cell>
        </row>
        <row r="41">
          <cell r="B41">
            <v>0</v>
          </cell>
          <cell r="FW41">
            <v>28</v>
          </cell>
          <cell r="FX41">
            <v>6</v>
          </cell>
          <cell r="FY41">
            <v>6</v>
          </cell>
          <cell r="FZ41">
            <v>6</v>
          </cell>
          <cell r="GA41">
            <v>6</v>
          </cell>
          <cell r="GB41">
            <v>6</v>
          </cell>
          <cell r="GC41">
            <v>6</v>
          </cell>
          <cell r="GD41">
            <v>6</v>
          </cell>
          <cell r="GE41">
            <v>6</v>
          </cell>
          <cell r="GF41">
            <v>12</v>
          </cell>
          <cell r="GG41">
            <v>12</v>
          </cell>
          <cell r="GH41">
            <v>12</v>
          </cell>
          <cell r="GI41">
            <v>12</v>
          </cell>
          <cell r="GJ41">
            <v>12</v>
          </cell>
          <cell r="GK41">
            <v>12</v>
          </cell>
          <cell r="GL41">
            <v>12</v>
          </cell>
          <cell r="GM41">
            <v>12</v>
          </cell>
        </row>
        <row r="42">
          <cell r="B42">
            <v>0</v>
          </cell>
          <cell r="FW42">
            <v>29</v>
          </cell>
          <cell r="FX42">
            <v>6</v>
          </cell>
          <cell r="FY42">
            <v>6</v>
          </cell>
          <cell r="FZ42">
            <v>6</v>
          </cell>
          <cell r="GA42">
            <v>6</v>
          </cell>
          <cell r="GB42">
            <v>6</v>
          </cell>
          <cell r="GC42">
            <v>6</v>
          </cell>
          <cell r="GD42">
            <v>6</v>
          </cell>
          <cell r="GE42">
            <v>6</v>
          </cell>
          <cell r="GF42">
            <v>12</v>
          </cell>
          <cell r="GG42">
            <v>12</v>
          </cell>
          <cell r="GH42">
            <v>12</v>
          </cell>
          <cell r="GI42">
            <v>12</v>
          </cell>
          <cell r="GJ42">
            <v>12</v>
          </cell>
          <cell r="GK42">
            <v>12</v>
          </cell>
          <cell r="GL42">
            <v>12</v>
          </cell>
          <cell r="GM42">
            <v>12</v>
          </cell>
        </row>
        <row r="43">
          <cell r="B43">
            <v>0</v>
          </cell>
          <cell r="FW43">
            <v>30</v>
          </cell>
          <cell r="FX43">
            <v>6</v>
          </cell>
          <cell r="FY43">
            <v>6</v>
          </cell>
          <cell r="FZ43">
            <v>6</v>
          </cell>
          <cell r="GA43">
            <v>6</v>
          </cell>
          <cell r="GB43">
            <v>6</v>
          </cell>
          <cell r="GC43">
            <v>6</v>
          </cell>
          <cell r="GD43">
            <v>6</v>
          </cell>
          <cell r="GE43">
            <v>6</v>
          </cell>
          <cell r="GF43">
            <v>12</v>
          </cell>
          <cell r="GG43">
            <v>12</v>
          </cell>
          <cell r="GH43">
            <v>12</v>
          </cell>
          <cell r="GI43">
            <v>12</v>
          </cell>
          <cell r="GJ43">
            <v>12</v>
          </cell>
          <cell r="GK43">
            <v>12</v>
          </cell>
          <cell r="GL43">
            <v>12</v>
          </cell>
          <cell r="GM43">
            <v>12</v>
          </cell>
        </row>
        <row r="44">
          <cell r="B44">
            <v>0</v>
          </cell>
          <cell r="FW44">
            <v>31</v>
          </cell>
          <cell r="FX44">
            <v>6</v>
          </cell>
          <cell r="FY44">
            <v>6</v>
          </cell>
          <cell r="FZ44">
            <v>6</v>
          </cell>
          <cell r="GA44">
            <v>6</v>
          </cell>
          <cell r="GB44">
            <v>6</v>
          </cell>
          <cell r="GC44">
            <v>6</v>
          </cell>
          <cell r="GD44">
            <v>6</v>
          </cell>
          <cell r="GE44">
            <v>6</v>
          </cell>
          <cell r="GF44">
            <v>12</v>
          </cell>
          <cell r="GG44">
            <v>12</v>
          </cell>
          <cell r="GH44">
            <v>12</v>
          </cell>
          <cell r="GI44">
            <v>12</v>
          </cell>
          <cell r="GJ44">
            <v>12</v>
          </cell>
          <cell r="GK44">
            <v>12</v>
          </cell>
          <cell r="GL44">
            <v>12</v>
          </cell>
          <cell r="GM44">
            <v>12</v>
          </cell>
        </row>
        <row r="45">
          <cell r="B45">
            <v>0</v>
          </cell>
          <cell r="FW45">
            <v>27</v>
          </cell>
          <cell r="FX45">
            <v>6</v>
          </cell>
          <cell r="FY45">
            <v>6</v>
          </cell>
          <cell r="FZ45">
            <v>6</v>
          </cell>
          <cell r="GA45">
            <v>6</v>
          </cell>
          <cell r="GB45">
            <v>6</v>
          </cell>
          <cell r="GC45">
            <v>6</v>
          </cell>
          <cell r="GD45">
            <v>6</v>
          </cell>
          <cell r="GE45">
            <v>6</v>
          </cell>
          <cell r="GF45">
            <v>12</v>
          </cell>
          <cell r="GG45">
            <v>12</v>
          </cell>
          <cell r="GH45">
            <v>12</v>
          </cell>
          <cell r="GI45">
            <v>12</v>
          </cell>
          <cell r="GJ45">
            <v>12</v>
          </cell>
          <cell r="GK45">
            <v>12</v>
          </cell>
          <cell r="GL45">
            <v>12</v>
          </cell>
          <cell r="GM45">
            <v>12</v>
          </cell>
        </row>
        <row r="46">
          <cell r="B46">
            <v>0</v>
          </cell>
          <cell r="FW46">
            <v>28</v>
          </cell>
          <cell r="FX46">
            <v>6</v>
          </cell>
          <cell r="FY46">
            <v>6</v>
          </cell>
          <cell r="FZ46">
            <v>6</v>
          </cell>
          <cell r="GA46">
            <v>6</v>
          </cell>
          <cell r="GB46">
            <v>6</v>
          </cell>
          <cell r="GC46">
            <v>6</v>
          </cell>
          <cell r="GD46">
            <v>6</v>
          </cell>
          <cell r="GE46">
            <v>6</v>
          </cell>
          <cell r="GF46">
            <v>12</v>
          </cell>
          <cell r="GG46">
            <v>12</v>
          </cell>
          <cell r="GH46">
            <v>12</v>
          </cell>
          <cell r="GI46">
            <v>12</v>
          </cell>
          <cell r="GJ46">
            <v>12</v>
          </cell>
          <cell r="GK46">
            <v>12</v>
          </cell>
          <cell r="GL46">
            <v>12</v>
          </cell>
          <cell r="GM46">
            <v>12</v>
          </cell>
        </row>
        <row r="47">
          <cell r="B47">
            <v>0</v>
          </cell>
          <cell r="FW47">
            <v>29</v>
          </cell>
          <cell r="FX47">
            <v>6</v>
          </cell>
          <cell r="FY47">
            <v>6</v>
          </cell>
          <cell r="FZ47">
            <v>6</v>
          </cell>
          <cell r="GA47">
            <v>6</v>
          </cell>
          <cell r="GB47">
            <v>6</v>
          </cell>
          <cell r="GC47">
            <v>6</v>
          </cell>
          <cell r="GD47">
            <v>6</v>
          </cell>
          <cell r="GE47">
            <v>6</v>
          </cell>
          <cell r="GF47">
            <v>12</v>
          </cell>
          <cell r="GG47">
            <v>12</v>
          </cell>
          <cell r="GH47">
            <v>12</v>
          </cell>
          <cell r="GI47">
            <v>12</v>
          </cell>
          <cell r="GJ47">
            <v>12</v>
          </cell>
          <cell r="GK47">
            <v>12</v>
          </cell>
          <cell r="GL47">
            <v>12</v>
          </cell>
          <cell r="GM47">
            <v>12</v>
          </cell>
        </row>
        <row r="48">
          <cell r="B48">
            <v>0</v>
          </cell>
          <cell r="FW48">
            <v>30</v>
          </cell>
          <cell r="FX48">
            <v>6</v>
          </cell>
          <cell r="FY48">
            <v>6</v>
          </cell>
          <cell r="FZ48">
            <v>6</v>
          </cell>
          <cell r="GA48">
            <v>6</v>
          </cell>
          <cell r="GB48">
            <v>6</v>
          </cell>
          <cell r="GC48">
            <v>6</v>
          </cell>
          <cell r="GD48">
            <v>6</v>
          </cell>
          <cell r="GE48">
            <v>6</v>
          </cell>
          <cell r="GF48">
            <v>12</v>
          </cell>
          <cell r="GG48">
            <v>12</v>
          </cell>
          <cell r="GH48">
            <v>12</v>
          </cell>
          <cell r="GI48">
            <v>12</v>
          </cell>
          <cell r="GJ48">
            <v>12</v>
          </cell>
          <cell r="GK48">
            <v>12</v>
          </cell>
          <cell r="GL48">
            <v>12</v>
          </cell>
          <cell r="GM48">
            <v>12</v>
          </cell>
        </row>
        <row r="49">
          <cell r="B49">
            <v>0</v>
          </cell>
          <cell r="FW49">
            <v>31</v>
          </cell>
          <cell r="FX49">
            <v>6</v>
          </cell>
          <cell r="FY49">
            <v>6</v>
          </cell>
          <cell r="FZ49">
            <v>6</v>
          </cell>
          <cell r="GA49">
            <v>6</v>
          </cell>
          <cell r="GB49">
            <v>6</v>
          </cell>
          <cell r="GC49">
            <v>6</v>
          </cell>
          <cell r="GD49">
            <v>6</v>
          </cell>
          <cell r="GE49">
            <v>6</v>
          </cell>
          <cell r="GF49">
            <v>12</v>
          </cell>
          <cell r="GG49">
            <v>12</v>
          </cell>
          <cell r="GH49">
            <v>12</v>
          </cell>
          <cell r="GI49">
            <v>12</v>
          </cell>
          <cell r="GJ49">
            <v>12</v>
          </cell>
          <cell r="GK49">
            <v>12</v>
          </cell>
          <cell r="GL49">
            <v>12</v>
          </cell>
          <cell r="GM49">
            <v>12</v>
          </cell>
        </row>
        <row r="50">
          <cell r="B50">
            <v>0</v>
          </cell>
          <cell r="FW50">
            <v>32</v>
          </cell>
          <cell r="FX50">
            <v>6</v>
          </cell>
          <cell r="FY50">
            <v>6</v>
          </cell>
          <cell r="FZ50">
            <v>6</v>
          </cell>
          <cell r="GA50">
            <v>6</v>
          </cell>
          <cell r="GB50">
            <v>6</v>
          </cell>
          <cell r="GC50">
            <v>6</v>
          </cell>
          <cell r="GD50">
            <v>6</v>
          </cell>
          <cell r="GE50">
            <v>6</v>
          </cell>
          <cell r="GF50">
            <v>12</v>
          </cell>
          <cell r="GG50">
            <v>12</v>
          </cell>
          <cell r="GH50">
            <v>12</v>
          </cell>
          <cell r="GI50">
            <v>12</v>
          </cell>
          <cell r="GJ50">
            <v>12</v>
          </cell>
          <cell r="GK50">
            <v>12</v>
          </cell>
          <cell r="GL50">
            <v>12</v>
          </cell>
          <cell r="GM50">
            <v>12</v>
          </cell>
        </row>
        <row r="51">
          <cell r="B51">
            <v>0</v>
          </cell>
          <cell r="FW51">
            <v>33</v>
          </cell>
          <cell r="FX51">
            <v>6</v>
          </cell>
          <cell r="FY51">
            <v>6</v>
          </cell>
          <cell r="FZ51">
            <v>6</v>
          </cell>
          <cell r="GA51">
            <v>6</v>
          </cell>
          <cell r="GB51">
            <v>6</v>
          </cell>
          <cell r="GC51">
            <v>6</v>
          </cell>
          <cell r="GD51">
            <v>6</v>
          </cell>
          <cell r="GE51">
            <v>6</v>
          </cell>
          <cell r="GF51">
            <v>12</v>
          </cell>
          <cell r="GG51">
            <v>12</v>
          </cell>
          <cell r="GH51">
            <v>12</v>
          </cell>
          <cell r="GI51">
            <v>12</v>
          </cell>
          <cell r="GJ51">
            <v>12</v>
          </cell>
          <cell r="GK51">
            <v>12</v>
          </cell>
          <cell r="GL51">
            <v>12</v>
          </cell>
          <cell r="GM51">
            <v>12</v>
          </cell>
        </row>
      </sheetData>
      <sheetData sheetId="16"/>
      <sheetData sheetId="17"/>
      <sheetData sheetId="18"/>
      <sheetData sheetId="19">
        <row r="4">
          <cell r="B4">
            <v>-2.2499999999999999E-2</v>
          </cell>
          <cell r="AA4">
            <v>0</v>
          </cell>
          <cell r="AZ4">
            <v>0</v>
          </cell>
          <cell r="BY4">
            <v>0</v>
          </cell>
          <cell r="CX4">
            <v>0</v>
          </cell>
          <cell r="DW4">
            <v>0.20666666666666667</v>
          </cell>
          <cell r="FV4">
            <v>155.49222222222224</v>
          </cell>
        </row>
      </sheetData>
      <sheetData sheetId="20">
        <row r="1">
          <cell r="A1" t="str">
            <v>Design Day (Klimadaten gemäss DOE 2.1); Aussentemp. (gemäss SIA 382/2)</v>
          </cell>
        </row>
        <row r="2">
          <cell r="D2" t="str">
            <v>Personenbelegung</v>
          </cell>
        </row>
        <row r="3">
          <cell r="A3" t="str">
            <v>Index</v>
          </cell>
          <cell r="C3" t="str">
            <v>J0</v>
          </cell>
          <cell r="D3" t="str">
            <v>J1</v>
          </cell>
          <cell r="E3" t="str">
            <v>J2</v>
          </cell>
          <cell r="F3" t="str">
            <v>J3</v>
          </cell>
          <cell r="G3" t="str">
            <v>J4</v>
          </cell>
          <cell r="H3" t="str">
            <v>J5</v>
          </cell>
          <cell r="I3" t="str">
            <v>J6</v>
          </cell>
          <cell r="J3" t="str">
            <v>J7</v>
          </cell>
          <cell r="K3" t="str">
            <v>J8</v>
          </cell>
          <cell r="L3" t="str">
            <v>J9</v>
          </cell>
          <cell r="M3" t="str">
            <v>K1</v>
          </cell>
          <cell r="N3" t="str">
            <v>K2</v>
          </cell>
          <cell r="O3" t="str">
            <v>K3</v>
          </cell>
          <cell r="P3" t="str">
            <v>K4</v>
          </cell>
          <cell r="Q3" t="str">
            <v>K5</v>
          </cell>
          <cell r="R3" t="str">
            <v>K6</v>
          </cell>
          <cell r="S3" t="str">
            <v>K7</v>
          </cell>
          <cell r="T3" t="str">
            <v>K8</v>
          </cell>
          <cell r="U3" t="str">
            <v>K9</v>
          </cell>
          <cell r="V3" t="str">
            <v>L1</v>
          </cell>
          <cell r="W3" t="str">
            <v>L2</v>
          </cell>
          <cell r="X3" t="str">
            <v>L3</v>
          </cell>
          <cell r="Y3" t="str">
            <v>L4</v>
          </cell>
          <cell r="Z3" t="str">
            <v>L5</v>
          </cell>
          <cell r="AA3" t="str">
            <v>L6</v>
          </cell>
        </row>
        <row r="4">
          <cell r="A4" t="str">
            <v>1_0</v>
          </cell>
          <cell r="B4" t="str">
            <v>Aussentemperatur [°C]</v>
          </cell>
          <cell r="C4" t="str">
            <v>Kloten</v>
          </cell>
          <cell r="D4">
            <v>16.3432</v>
          </cell>
          <cell r="E4">
            <v>15.071999999999999</v>
          </cell>
          <cell r="F4">
            <v>14.2728</v>
          </cell>
          <cell r="G4">
            <v>14</v>
          </cell>
          <cell r="H4">
            <v>14.2728</v>
          </cell>
          <cell r="I4">
            <v>15.071999999999999</v>
          </cell>
          <cell r="J4">
            <v>16.3432</v>
          </cell>
          <cell r="K4">
            <v>18</v>
          </cell>
          <cell r="L4">
            <v>19.929600000000001</v>
          </cell>
          <cell r="M4">
            <v>22</v>
          </cell>
          <cell r="N4">
            <v>24.070399999999999</v>
          </cell>
          <cell r="O4">
            <v>26</v>
          </cell>
          <cell r="P4">
            <v>27.6568</v>
          </cell>
          <cell r="Q4">
            <v>28.928000000000001</v>
          </cell>
          <cell r="R4">
            <v>29.7272</v>
          </cell>
          <cell r="S4">
            <v>30</v>
          </cell>
          <cell r="T4">
            <v>29.7272</v>
          </cell>
          <cell r="U4">
            <v>28.928000000000001</v>
          </cell>
          <cell r="V4">
            <v>27.6568</v>
          </cell>
          <cell r="W4">
            <v>26</v>
          </cell>
          <cell r="X4">
            <v>24.070399999999999</v>
          </cell>
          <cell r="Y4">
            <v>22</v>
          </cell>
          <cell r="Z4">
            <v>19.929600000000001</v>
          </cell>
          <cell r="AA4">
            <v>18</v>
          </cell>
        </row>
        <row r="5">
          <cell r="A5" t="str">
            <v>1_1</v>
          </cell>
          <cell r="B5" t="str">
            <v>Globalstrahlung Nord [W/m²]</v>
          </cell>
          <cell r="C5" t="str">
            <v>Kloten</v>
          </cell>
          <cell r="D5">
            <v>0</v>
          </cell>
          <cell r="E5">
            <v>0</v>
          </cell>
          <cell r="F5">
            <v>0</v>
          </cell>
          <cell r="G5">
            <v>0</v>
          </cell>
          <cell r="H5">
            <v>0.01</v>
          </cell>
          <cell r="I5">
            <v>68.8</v>
          </cell>
          <cell r="J5">
            <v>184.56</v>
          </cell>
          <cell r="K5">
            <v>139.33000000000001</v>
          </cell>
          <cell r="L5">
            <v>112.36</v>
          </cell>
          <cell r="M5">
            <v>121.68</v>
          </cell>
          <cell r="N5">
            <v>128.29</v>
          </cell>
          <cell r="O5">
            <v>131.94</v>
          </cell>
          <cell r="P5">
            <v>133</v>
          </cell>
          <cell r="Q5">
            <v>132.13999999999999</v>
          </cell>
          <cell r="R5">
            <v>128.75</v>
          </cell>
          <cell r="S5">
            <v>122.42</v>
          </cell>
          <cell r="T5">
            <v>113.33</v>
          </cell>
          <cell r="U5">
            <v>131.43</v>
          </cell>
          <cell r="V5">
            <v>182.83</v>
          </cell>
          <cell r="W5">
            <v>88.73</v>
          </cell>
          <cell r="X5">
            <v>0</v>
          </cell>
          <cell r="Y5">
            <v>0</v>
          </cell>
          <cell r="Z5">
            <v>0</v>
          </cell>
          <cell r="AA5">
            <v>0</v>
          </cell>
        </row>
        <row r="6">
          <cell r="A6" t="str">
            <v>1_2</v>
          </cell>
          <cell r="B6" t="str">
            <v>Globalstrahlung Ost [W/m²]</v>
          </cell>
          <cell r="C6" t="str">
            <v>Kloten</v>
          </cell>
          <cell r="D6">
            <v>0</v>
          </cell>
          <cell r="E6">
            <v>0</v>
          </cell>
          <cell r="F6">
            <v>0</v>
          </cell>
          <cell r="G6">
            <v>0</v>
          </cell>
          <cell r="H6">
            <v>0.02</v>
          </cell>
          <cell r="I6">
            <v>131.63</v>
          </cell>
          <cell r="J6">
            <v>546.92999999999995</v>
          </cell>
          <cell r="K6">
            <v>731.3</v>
          </cell>
          <cell r="L6">
            <v>753.6</v>
          </cell>
          <cell r="M6">
            <v>680.77</v>
          </cell>
          <cell r="N6">
            <v>540.48</v>
          </cell>
          <cell r="O6">
            <v>355.52</v>
          </cell>
          <cell r="P6">
            <v>152.1</v>
          </cell>
          <cell r="Q6">
            <v>134.19999999999999</v>
          </cell>
          <cell r="R6">
            <v>128.56</v>
          </cell>
          <cell r="S6">
            <v>120.81</v>
          </cell>
          <cell r="T6">
            <v>107.67</v>
          </cell>
          <cell r="U6">
            <v>87.68</v>
          </cell>
          <cell r="V6">
            <v>58.35</v>
          </cell>
          <cell r="W6">
            <v>18.239999999999998</v>
          </cell>
          <cell r="X6">
            <v>0</v>
          </cell>
          <cell r="Y6">
            <v>0</v>
          </cell>
          <cell r="Z6">
            <v>0</v>
          </cell>
          <cell r="AA6">
            <v>0</v>
          </cell>
        </row>
        <row r="7">
          <cell r="A7" t="str">
            <v>1_3</v>
          </cell>
          <cell r="B7" t="str">
            <v>Globalstrahlung Süd [W/m²]</v>
          </cell>
          <cell r="C7" t="str">
            <v>Kloten</v>
          </cell>
          <cell r="D7">
            <v>0</v>
          </cell>
          <cell r="E7">
            <v>0</v>
          </cell>
          <cell r="F7">
            <v>0</v>
          </cell>
          <cell r="G7">
            <v>0</v>
          </cell>
          <cell r="H7">
            <v>0</v>
          </cell>
          <cell r="I7">
            <v>13.94</v>
          </cell>
          <cell r="J7">
            <v>57.61</v>
          </cell>
          <cell r="K7">
            <v>93.8</v>
          </cell>
          <cell r="L7">
            <v>193.62</v>
          </cell>
          <cell r="M7">
            <v>327.75</v>
          </cell>
          <cell r="N7">
            <v>436.63</v>
          </cell>
          <cell r="O7">
            <v>507.55</v>
          </cell>
          <cell r="P7">
            <v>533.28</v>
          </cell>
          <cell r="Q7">
            <v>511.91</v>
          </cell>
          <cell r="R7">
            <v>444.99</v>
          </cell>
          <cell r="S7">
            <v>339.2</v>
          </cell>
          <cell r="T7">
            <v>206.7</v>
          </cell>
          <cell r="U7">
            <v>96.87</v>
          </cell>
          <cell r="V7">
            <v>60.55</v>
          </cell>
          <cell r="W7">
            <v>18.25</v>
          </cell>
          <cell r="X7">
            <v>0</v>
          </cell>
          <cell r="Y7">
            <v>0</v>
          </cell>
          <cell r="Z7">
            <v>0</v>
          </cell>
          <cell r="AA7">
            <v>0</v>
          </cell>
        </row>
        <row r="8">
          <cell r="A8" t="str">
            <v>1_4</v>
          </cell>
          <cell r="B8" t="str">
            <v>Globalstrahlung West [W/m²]</v>
          </cell>
          <cell r="C8" t="str">
            <v>Kloten</v>
          </cell>
          <cell r="D8">
            <v>0</v>
          </cell>
          <cell r="E8">
            <v>0</v>
          </cell>
          <cell r="F8">
            <v>0</v>
          </cell>
          <cell r="G8">
            <v>0</v>
          </cell>
          <cell r="H8">
            <v>0</v>
          </cell>
          <cell r="I8">
            <v>13.94</v>
          </cell>
          <cell r="J8">
            <v>55.8</v>
          </cell>
          <cell r="K8">
            <v>85.39</v>
          </cell>
          <cell r="L8">
            <v>106.12</v>
          </cell>
          <cell r="M8">
            <v>119.84</v>
          </cell>
          <cell r="N8">
            <v>128.04</v>
          </cell>
          <cell r="O8">
            <v>133.57</v>
          </cell>
          <cell r="P8">
            <v>142.04</v>
          </cell>
          <cell r="Q8">
            <v>337.01</v>
          </cell>
          <cell r="R8">
            <v>524.75</v>
          </cell>
          <cell r="S8">
            <v>670.21</v>
          </cell>
          <cell r="T8">
            <v>750.3</v>
          </cell>
          <cell r="U8">
            <v>739.54</v>
          </cell>
          <cell r="V8">
            <v>566.64</v>
          </cell>
          <cell r="W8">
            <v>176.57</v>
          </cell>
          <cell r="X8">
            <v>0</v>
          </cell>
          <cell r="Y8">
            <v>0</v>
          </cell>
          <cell r="Z8">
            <v>0</v>
          </cell>
          <cell r="AA8">
            <v>0</v>
          </cell>
        </row>
        <row r="9">
          <cell r="A9" t="str">
            <v>1_5</v>
          </cell>
          <cell r="B9" t="str">
            <v>Globalstrahlung Nord-Ost Ecksituation [W/m²]</v>
          </cell>
          <cell r="C9" t="str">
            <v>Kloten</v>
          </cell>
          <cell r="D9">
            <v>0</v>
          </cell>
          <cell r="E9">
            <v>0</v>
          </cell>
          <cell r="F9">
            <v>0</v>
          </cell>
          <cell r="G9">
            <v>0</v>
          </cell>
          <cell r="H9">
            <v>1.4999999999999999E-2</v>
          </cell>
          <cell r="I9">
            <v>100.215</v>
          </cell>
          <cell r="J9">
            <v>365.745</v>
          </cell>
          <cell r="K9">
            <v>435.315</v>
          </cell>
          <cell r="L9">
            <v>432.98</v>
          </cell>
          <cell r="M9">
            <v>401.22500000000002</v>
          </cell>
          <cell r="N9">
            <v>334.38499999999999</v>
          </cell>
          <cell r="O9">
            <v>243.73</v>
          </cell>
          <cell r="P9">
            <v>142.55000000000001</v>
          </cell>
          <cell r="Q9">
            <v>133.16999999999999</v>
          </cell>
          <cell r="R9">
            <v>128.655</v>
          </cell>
          <cell r="S9">
            <v>121.61499999999999</v>
          </cell>
          <cell r="T9">
            <v>110.5</v>
          </cell>
          <cell r="U9">
            <v>109.55500000000001</v>
          </cell>
          <cell r="V9">
            <v>120.59</v>
          </cell>
          <cell r="W9">
            <v>53.484999999999999</v>
          </cell>
          <cell r="X9">
            <v>0</v>
          </cell>
          <cell r="Y9">
            <v>0</v>
          </cell>
          <cell r="Z9">
            <v>0</v>
          </cell>
          <cell r="AA9">
            <v>0</v>
          </cell>
        </row>
        <row r="10">
          <cell r="A10" t="str">
            <v>1_6</v>
          </cell>
          <cell r="B10" t="str">
            <v>Globalstrahlung Süd-Ost Ecksituation [W/m²]</v>
          </cell>
          <cell r="C10" t="str">
            <v>Kloten</v>
          </cell>
          <cell r="D10">
            <v>0</v>
          </cell>
          <cell r="E10">
            <v>0</v>
          </cell>
          <cell r="F10">
            <v>0</v>
          </cell>
          <cell r="G10">
            <v>0</v>
          </cell>
          <cell r="H10">
            <v>0.01</v>
          </cell>
          <cell r="I10">
            <v>72.784999999999997</v>
          </cell>
          <cell r="J10">
            <v>302.27</v>
          </cell>
          <cell r="K10">
            <v>412.55</v>
          </cell>
          <cell r="L10">
            <v>473.61</v>
          </cell>
          <cell r="M10">
            <v>504.26</v>
          </cell>
          <cell r="N10">
            <v>488.55500000000001</v>
          </cell>
          <cell r="O10">
            <v>431.53500000000003</v>
          </cell>
          <cell r="P10">
            <v>342.69</v>
          </cell>
          <cell r="Q10">
            <v>323.05500000000001</v>
          </cell>
          <cell r="R10">
            <v>286.77499999999998</v>
          </cell>
          <cell r="S10">
            <v>230.005</v>
          </cell>
          <cell r="T10">
            <v>157.185</v>
          </cell>
          <cell r="U10">
            <v>92.275000000000006</v>
          </cell>
          <cell r="V10">
            <v>59.45</v>
          </cell>
          <cell r="W10">
            <v>18.245000000000001</v>
          </cell>
          <cell r="X10">
            <v>0</v>
          </cell>
          <cell r="Y10">
            <v>0</v>
          </cell>
          <cell r="Z10">
            <v>0</v>
          </cell>
          <cell r="AA10">
            <v>0</v>
          </cell>
        </row>
        <row r="11">
          <cell r="A11" t="str">
            <v>1_7</v>
          </cell>
          <cell r="B11" t="str">
            <v>Globalstrahlung Süd-West Ecksituation [W/m²]</v>
          </cell>
          <cell r="C11" t="str">
            <v>Kloten</v>
          </cell>
          <cell r="D11">
            <v>0</v>
          </cell>
          <cell r="E11">
            <v>0</v>
          </cell>
          <cell r="F11">
            <v>0</v>
          </cell>
          <cell r="G11">
            <v>0</v>
          </cell>
          <cell r="H11">
            <v>0</v>
          </cell>
          <cell r="I11">
            <v>13.94</v>
          </cell>
          <cell r="J11">
            <v>56.704999999999998</v>
          </cell>
          <cell r="K11">
            <v>89.594999999999999</v>
          </cell>
          <cell r="L11">
            <v>149.87</v>
          </cell>
          <cell r="M11">
            <v>223.79499999999999</v>
          </cell>
          <cell r="N11">
            <v>282.33499999999998</v>
          </cell>
          <cell r="O11">
            <v>320.56</v>
          </cell>
          <cell r="P11">
            <v>337.66</v>
          </cell>
          <cell r="Q11">
            <v>424.46</v>
          </cell>
          <cell r="R11">
            <v>484.87</v>
          </cell>
          <cell r="S11">
            <v>504.70499999999998</v>
          </cell>
          <cell r="T11">
            <v>478.5</v>
          </cell>
          <cell r="U11">
            <v>418.20499999999998</v>
          </cell>
          <cell r="V11">
            <v>313.59500000000003</v>
          </cell>
          <cell r="W11">
            <v>97.41</v>
          </cell>
          <cell r="X11">
            <v>0</v>
          </cell>
          <cell r="Y11">
            <v>0</v>
          </cell>
          <cell r="Z11">
            <v>0</v>
          </cell>
          <cell r="AA11">
            <v>0</v>
          </cell>
        </row>
        <row r="12">
          <cell r="A12" t="str">
            <v>1_8</v>
          </cell>
          <cell r="B12" t="str">
            <v>Globalstrahlung Nord-West Ecksituation [W/m²]</v>
          </cell>
          <cell r="C12" t="str">
            <v>Kloten</v>
          </cell>
          <cell r="D12">
            <v>0</v>
          </cell>
          <cell r="E12">
            <v>0</v>
          </cell>
          <cell r="F12">
            <v>0</v>
          </cell>
          <cell r="G12">
            <v>0</v>
          </cell>
          <cell r="H12">
            <v>5.0000000000000001E-3</v>
          </cell>
          <cell r="I12">
            <v>41.37</v>
          </cell>
          <cell r="J12">
            <v>120.18</v>
          </cell>
          <cell r="K12">
            <v>112.36</v>
          </cell>
          <cell r="L12">
            <v>109.24</v>
          </cell>
          <cell r="M12">
            <v>120.76</v>
          </cell>
          <cell r="N12">
            <v>128.16499999999999</v>
          </cell>
          <cell r="O12">
            <v>132.755</v>
          </cell>
          <cell r="P12">
            <v>137.52000000000001</v>
          </cell>
          <cell r="Q12">
            <v>234.57499999999999</v>
          </cell>
          <cell r="R12">
            <v>326.75</v>
          </cell>
          <cell r="S12">
            <v>396.315</v>
          </cell>
          <cell r="T12">
            <v>431.815</v>
          </cell>
          <cell r="U12">
            <v>435.48500000000001</v>
          </cell>
          <cell r="V12">
            <v>374.73500000000001</v>
          </cell>
          <cell r="W12">
            <v>132.65</v>
          </cell>
          <cell r="X12">
            <v>0</v>
          </cell>
          <cell r="Y12">
            <v>0</v>
          </cell>
          <cell r="Z12">
            <v>0</v>
          </cell>
          <cell r="AA12">
            <v>0</v>
          </cell>
        </row>
        <row r="13">
          <cell r="A13" t="str">
            <v>2_0</v>
          </cell>
          <cell r="B13" t="str">
            <v>Aussentemperatur [°C]</v>
          </cell>
          <cell r="C13" t="str">
            <v>Basel</v>
          </cell>
          <cell r="D13">
            <v>14.636100000000001</v>
          </cell>
          <cell r="E13">
            <v>13.206</v>
          </cell>
          <cell r="F13">
            <v>12.306900000000001</v>
          </cell>
          <cell r="G13">
            <v>12</v>
          </cell>
          <cell r="H13">
            <v>12.306900000000001</v>
          </cell>
          <cell r="I13">
            <v>13.206</v>
          </cell>
          <cell r="J13">
            <v>14.636100000000001</v>
          </cell>
          <cell r="K13">
            <v>16.5</v>
          </cell>
          <cell r="L13">
            <v>18.6708</v>
          </cell>
          <cell r="M13">
            <v>21</v>
          </cell>
          <cell r="N13">
            <v>23.3292</v>
          </cell>
          <cell r="O13">
            <v>25.5</v>
          </cell>
          <cell r="P13">
            <v>27.363900000000001</v>
          </cell>
          <cell r="Q13">
            <v>28.794</v>
          </cell>
          <cell r="R13">
            <v>29.693100000000001</v>
          </cell>
          <cell r="S13">
            <v>30</v>
          </cell>
          <cell r="T13">
            <v>29.693100000000001</v>
          </cell>
          <cell r="U13">
            <v>28.794</v>
          </cell>
          <cell r="V13">
            <v>27.363900000000001</v>
          </cell>
          <cell r="W13">
            <v>25.5</v>
          </cell>
          <cell r="X13">
            <v>23.3292</v>
          </cell>
          <cell r="Y13">
            <v>21</v>
          </cell>
          <cell r="Z13">
            <v>18.6708</v>
          </cell>
          <cell r="AA13">
            <v>16.5</v>
          </cell>
        </row>
        <row r="14">
          <cell r="A14" t="str">
            <v>2_1</v>
          </cell>
          <cell r="B14" t="str">
            <v>Globalstrahlung Nord [W/m²]</v>
          </cell>
          <cell r="C14" t="str">
            <v>Basel</v>
          </cell>
          <cell r="D14">
            <v>0</v>
          </cell>
          <cell r="E14">
            <v>0</v>
          </cell>
          <cell r="F14">
            <v>0</v>
          </cell>
          <cell r="G14">
            <v>0</v>
          </cell>
          <cell r="H14">
            <v>0</v>
          </cell>
          <cell r="I14">
            <v>57.24</v>
          </cell>
          <cell r="J14">
            <v>183.53</v>
          </cell>
          <cell r="K14">
            <v>144.35</v>
          </cell>
          <cell r="L14">
            <v>111.66</v>
          </cell>
          <cell r="M14">
            <v>121.13</v>
          </cell>
          <cell r="N14">
            <v>127.93</v>
          </cell>
          <cell r="O14">
            <v>131.78</v>
          </cell>
          <cell r="P14">
            <v>132.97999999999999</v>
          </cell>
          <cell r="Q14">
            <v>132.24</v>
          </cell>
          <cell r="R14">
            <v>129.04</v>
          </cell>
          <cell r="S14">
            <v>122.89</v>
          </cell>
          <cell r="T14">
            <v>113.97</v>
          </cell>
          <cell r="U14">
            <v>125.41</v>
          </cell>
          <cell r="V14">
            <v>182.58</v>
          </cell>
          <cell r="W14">
            <v>102.26</v>
          </cell>
          <cell r="X14">
            <v>0.42</v>
          </cell>
          <cell r="Y14">
            <v>0</v>
          </cell>
          <cell r="Z14">
            <v>0</v>
          </cell>
          <cell r="AA14">
            <v>0</v>
          </cell>
        </row>
        <row r="15">
          <cell r="A15" t="str">
            <v>2_2</v>
          </cell>
          <cell r="B15" t="str">
            <v>Globalstrahlung Ost [W/m²]</v>
          </cell>
          <cell r="C15" t="str">
            <v>Basel</v>
          </cell>
          <cell r="D15">
            <v>0</v>
          </cell>
          <cell r="E15">
            <v>0</v>
          </cell>
          <cell r="F15">
            <v>0</v>
          </cell>
          <cell r="G15">
            <v>0</v>
          </cell>
          <cell r="H15">
            <v>0</v>
          </cell>
          <cell r="I15">
            <v>107.43</v>
          </cell>
          <cell r="J15">
            <v>527.85</v>
          </cell>
          <cell r="K15">
            <v>724.56</v>
          </cell>
          <cell r="L15">
            <v>755.4</v>
          </cell>
          <cell r="M15">
            <v>687.71</v>
          </cell>
          <cell r="N15">
            <v>551.13</v>
          </cell>
          <cell r="O15">
            <v>368.25</v>
          </cell>
          <cell r="P15">
            <v>165.37</v>
          </cell>
          <cell r="Q15">
            <v>134.65</v>
          </cell>
          <cell r="R15">
            <v>128.88999999999999</v>
          </cell>
          <cell r="S15">
            <v>121.45</v>
          </cell>
          <cell r="T15">
            <v>108.7</v>
          </cell>
          <cell r="U15">
            <v>89.23</v>
          </cell>
          <cell r="V15">
            <v>60.63</v>
          </cell>
          <cell r="W15">
            <v>21.32</v>
          </cell>
          <cell r="X15">
            <v>0.08</v>
          </cell>
          <cell r="Y15">
            <v>0</v>
          </cell>
          <cell r="Z15">
            <v>0</v>
          </cell>
          <cell r="AA15">
            <v>0</v>
          </cell>
        </row>
        <row r="16">
          <cell r="A16" t="str">
            <v>2_3</v>
          </cell>
          <cell r="B16" t="str">
            <v>Globalstrahlung Süd [W/m²]</v>
          </cell>
          <cell r="C16" t="str">
            <v>Basel</v>
          </cell>
          <cell r="D16">
            <v>0</v>
          </cell>
          <cell r="E16">
            <v>0</v>
          </cell>
          <cell r="F16">
            <v>0</v>
          </cell>
          <cell r="G16">
            <v>0</v>
          </cell>
          <cell r="H16">
            <v>0</v>
          </cell>
          <cell r="I16">
            <v>11.6</v>
          </cell>
          <cell r="J16">
            <v>55.06</v>
          </cell>
          <cell r="K16">
            <v>91.63</v>
          </cell>
          <cell r="L16">
            <v>184.78</v>
          </cell>
          <cell r="M16">
            <v>320.04000000000002</v>
          </cell>
          <cell r="N16">
            <v>431.07</v>
          </cell>
          <cell r="O16">
            <v>504.77</v>
          </cell>
          <cell r="P16">
            <v>533.54</v>
          </cell>
          <cell r="Q16">
            <v>515.20000000000005</v>
          </cell>
          <cell r="R16">
            <v>451.04</v>
          </cell>
          <cell r="S16">
            <v>347.39</v>
          </cell>
          <cell r="T16">
            <v>216.05</v>
          </cell>
          <cell r="U16">
            <v>98.9</v>
          </cell>
          <cell r="V16">
            <v>63.16</v>
          </cell>
          <cell r="W16">
            <v>21.34</v>
          </cell>
          <cell r="X16">
            <v>0.08</v>
          </cell>
          <cell r="Y16">
            <v>0</v>
          </cell>
          <cell r="Z16">
            <v>0</v>
          </cell>
          <cell r="AA16">
            <v>0</v>
          </cell>
        </row>
        <row r="17">
          <cell r="A17" t="str">
            <v>2_4</v>
          </cell>
          <cell r="B17" t="str">
            <v>Globalstrahlung West [W/m²]</v>
          </cell>
          <cell r="C17" t="str">
            <v>Basel</v>
          </cell>
          <cell r="D17">
            <v>0</v>
          </cell>
          <cell r="E17">
            <v>0</v>
          </cell>
          <cell r="F17">
            <v>0</v>
          </cell>
          <cell r="G17">
            <v>0</v>
          </cell>
          <cell r="H17">
            <v>0</v>
          </cell>
          <cell r="I17">
            <v>11.6</v>
          </cell>
          <cell r="J17">
            <v>53.51</v>
          </cell>
          <cell r="K17">
            <v>83.77</v>
          </cell>
          <cell r="L17">
            <v>105.01</v>
          </cell>
          <cell r="M17">
            <v>119.11</v>
          </cell>
          <cell r="N17">
            <v>127.63</v>
          </cell>
          <cell r="O17">
            <v>133.13</v>
          </cell>
          <cell r="P17">
            <v>141.36000000000001</v>
          </cell>
          <cell r="Q17">
            <v>324.04000000000002</v>
          </cell>
          <cell r="R17">
            <v>513.55999999999995</v>
          </cell>
          <cell r="S17">
            <v>662.49</v>
          </cell>
          <cell r="T17">
            <v>747.51</v>
          </cell>
          <cell r="U17">
            <v>743.69</v>
          </cell>
          <cell r="V17">
            <v>584.34</v>
          </cell>
          <cell r="W17">
            <v>209.17</v>
          </cell>
          <cell r="X17">
            <v>0.68</v>
          </cell>
          <cell r="Y17">
            <v>0</v>
          </cell>
          <cell r="Z17">
            <v>0</v>
          </cell>
          <cell r="AA17">
            <v>0</v>
          </cell>
        </row>
        <row r="18">
          <cell r="A18" t="str">
            <v>2_5</v>
          </cell>
          <cell r="B18" t="str">
            <v>Globalstrahlung Nord-Ost Ecksituation [W/m²]</v>
          </cell>
          <cell r="C18" t="str">
            <v>Basel</v>
          </cell>
          <cell r="D18">
            <v>0</v>
          </cell>
          <cell r="E18">
            <v>0</v>
          </cell>
          <cell r="F18">
            <v>0</v>
          </cell>
          <cell r="G18">
            <v>0</v>
          </cell>
          <cell r="H18">
            <v>0</v>
          </cell>
          <cell r="I18">
            <v>82.334999999999994</v>
          </cell>
          <cell r="J18">
            <v>355.69</v>
          </cell>
          <cell r="K18">
            <v>434.45499999999998</v>
          </cell>
          <cell r="L18">
            <v>433.53</v>
          </cell>
          <cell r="M18">
            <v>404.42</v>
          </cell>
          <cell r="N18">
            <v>339.53</v>
          </cell>
          <cell r="O18">
            <v>250.01499999999999</v>
          </cell>
          <cell r="P18">
            <v>149.17500000000001</v>
          </cell>
          <cell r="Q18">
            <v>133.44499999999999</v>
          </cell>
          <cell r="R18">
            <v>128.965</v>
          </cell>
          <cell r="S18">
            <v>122.17</v>
          </cell>
          <cell r="T18">
            <v>111.33499999999999</v>
          </cell>
          <cell r="U18">
            <v>107.32</v>
          </cell>
          <cell r="V18">
            <v>121.605</v>
          </cell>
          <cell r="W18">
            <v>61.79</v>
          </cell>
          <cell r="X18">
            <v>0.25</v>
          </cell>
          <cell r="Y18">
            <v>0</v>
          </cell>
          <cell r="Z18">
            <v>0</v>
          </cell>
          <cell r="AA18">
            <v>0</v>
          </cell>
        </row>
        <row r="19">
          <cell r="A19" t="str">
            <v>2_6</v>
          </cell>
          <cell r="B19" t="str">
            <v>Globalstrahlung Süd-Ost Ecksituation [W/m²]</v>
          </cell>
          <cell r="C19" t="str">
            <v>Basel</v>
          </cell>
          <cell r="D19">
            <v>0</v>
          </cell>
          <cell r="E19">
            <v>0</v>
          </cell>
          <cell r="F19">
            <v>0</v>
          </cell>
          <cell r="G19">
            <v>0</v>
          </cell>
          <cell r="H19">
            <v>0</v>
          </cell>
          <cell r="I19">
            <v>59.515000000000001</v>
          </cell>
          <cell r="J19">
            <v>291.45499999999998</v>
          </cell>
          <cell r="K19">
            <v>408.09500000000003</v>
          </cell>
          <cell r="L19">
            <v>470.09</v>
          </cell>
          <cell r="M19">
            <v>503.875</v>
          </cell>
          <cell r="N19">
            <v>491.1</v>
          </cell>
          <cell r="O19">
            <v>436.51</v>
          </cell>
          <cell r="P19">
            <v>349.45499999999998</v>
          </cell>
          <cell r="Q19">
            <v>324.92500000000001</v>
          </cell>
          <cell r="R19">
            <v>289.96499999999997</v>
          </cell>
          <cell r="S19">
            <v>234.42</v>
          </cell>
          <cell r="T19">
            <v>162.375</v>
          </cell>
          <cell r="U19">
            <v>94.064999999999998</v>
          </cell>
          <cell r="V19">
            <v>61.895000000000003</v>
          </cell>
          <cell r="W19">
            <v>21.33</v>
          </cell>
          <cell r="X19">
            <v>0.08</v>
          </cell>
          <cell r="Y19">
            <v>0</v>
          </cell>
          <cell r="Z19">
            <v>0</v>
          </cell>
          <cell r="AA19">
            <v>0</v>
          </cell>
        </row>
        <row r="20">
          <cell r="A20" t="str">
            <v>2_7</v>
          </cell>
          <cell r="B20" t="str">
            <v>Globalstrahlung Süd-West Ecksituation [W/m²]</v>
          </cell>
          <cell r="C20" t="str">
            <v>Basel</v>
          </cell>
          <cell r="D20">
            <v>0</v>
          </cell>
          <cell r="E20">
            <v>0</v>
          </cell>
          <cell r="F20">
            <v>0</v>
          </cell>
          <cell r="G20">
            <v>0</v>
          </cell>
          <cell r="H20">
            <v>0</v>
          </cell>
          <cell r="I20">
            <v>11.6</v>
          </cell>
          <cell r="J20">
            <v>54.284999999999997</v>
          </cell>
          <cell r="K20">
            <v>87.7</v>
          </cell>
          <cell r="L20">
            <v>144.89500000000001</v>
          </cell>
          <cell r="M20">
            <v>219.57499999999999</v>
          </cell>
          <cell r="N20">
            <v>279.35000000000002</v>
          </cell>
          <cell r="O20">
            <v>318.95</v>
          </cell>
          <cell r="P20">
            <v>337.45</v>
          </cell>
          <cell r="Q20">
            <v>419.62</v>
          </cell>
          <cell r="R20">
            <v>482.3</v>
          </cell>
          <cell r="S20">
            <v>504.94</v>
          </cell>
          <cell r="T20">
            <v>481.78</v>
          </cell>
          <cell r="U20">
            <v>421.29500000000002</v>
          </cell>
          <cell r="V20">
            <v>323.75</v>
          </cell>
          <cell r="W20">
            <v>115.255</v>
          </cell>
          <cell r="X20">
            <v>0.38</v>
          </cell>
          <cell r="Y20">
            <v>0</v>
          </cell>
          <cell r="Z20">
            <v>0</v>
          </cell>
          <cell r="AA20">
            <v>0</v>
          </cell>
        </row>
        <row r="21">
          <cell r="A21" t="str">
            <v>2_8</v>
          </cell>
          <cell r="B21" t="str">
            <v>Globalstrahlung Nord-West Ecksituation [W/m²]</v>
          </cell>
          <cell r="C21" t="str">
            <v>Basel</v>
          </cell>
          <cell r="D21">
            <v>0</v>
          </cell>
          <cell r="E21">
            <v>0</v>
          </cell>
          <cell r="F21">
            <v>0</v>
          </cell>
          <cell r="G21">
            <v>0</v>
          </cell>
          <cell r="H21">
            <v>0</v>
          </cell>
          <cell r="I21">
            <v>34.42</v>
          </cell>
          <cell r="J21">
            <v>118.52</v>
          </cell>
          <cell r="K21">
            <v>114.06</v>
          </cell>
          <cell r="L21">
            <v>108.33499999999999</v>
          </cell>
          <cell r="M21">
            <v>120.12</v>
          </cell>
          <cell r="N21">
            <v>127.78</v>
          </cell>
          <cell r="O21">
            <v>132.45500000000001</v>
          </cell>
          <cell r="P21">
            <v>137.16999999999999</v>
          </cell>
          <cell r="Q21">
            <v>228.14</v>
          </cell>
          <cell r="R21">
            <v>321.3</v>
          </cell>
          <cell r="S21">
            <v>392.69</v>
          </cell>
          <cell r="T21">
            <v>430.74</v>
          </cell>
          <cell r="U21">
            <v>434.55</v>
          </cell>
          <cell r="V21">
            <v>383.46</v>
          </cell>
          <cell r="W21">
            <v>155.715</v>
          </cell>
          <cell r="X21">
            <v>0.55000000000000004</v>
          </cell>
          <cell r="Y21">
            <v>0</v>
          </cell>
          <cell r="Z21">
            <v>0</v>
          </cell>
          <cell r="AA21">
            <v>0</v>
          </cell>
        </row>
        <row r="22">
          <cell r="A22" t="str">
            <v>3_0</v>
          </cell>
          <cell r="B22" t="str">
            <v>Aussentemperatur [°C]</v>
          </cell>
          <cell r="C22" t="str">
            <v>Bern</v>
          </cell>
          <cell r="D22">
            <v>17.196750000000002</v>
          </cell>
          <cell r="E22">
            <v>16.004999999999999</v>
          </cell>
          <cell r="F22">
            <v>15.255749999999999</v>
          </cell>
          <cell r="G22">
            <v>15</v>
          </cell>
          <cell r="H22">
            <v>15.255749999999999</v>
          </cell>
          <cell r="I22">
            <v>16.004999999999999</v>
          </cell>
          <cell r="J22">
            <v>17.196750000000002</v>
          </cell>
          <cell r="K22">
            <v>18.75</v>
          </cell>
          <cell r="L22">
            <v>20.559000000000001</v>
          </cell>
          <cell r="M22">
            <v>22.5</v>
          </cell>
          <cell r="N22">
            <v>24.440999999999999</v>
          </cell>
          <cell r="O22">
            <v>26.25</v>
          </cell>
          <cell r="P22">
            <v>27.803249999999998</v>
          </cell>
          <cell r="Q22">
            <v>28.995000000000001</v>
          </cell>
          <cell r="R22">
            <v>29.744250000000001</v>
          </cell>
          <cell r="S22">
            <v>30</v>
          </cell>
          <cell r="T22">
            <v>29.744250000000001</v>
          </cell>
          <cell r="U22">
            <v>28.995000000000001</v>
          </cell>
          <cell r="V22">
            <v>27.803249999999998</v>
          </cell>
          <cell r="W22">
            <v>26.25</v>
          </cell>
          <cell r="X22">
            <v>24.440999999999999</v>
          </cell>
          <cell r="Y22">
            <v>22.5</v>
          </cell>
          <cell r="Z22">
            <v>20.559000000000001</v>
          </cell>
          <cell r="AA22">
            <v>18.75</v>
          </cell>
        </row>
        <row r="23">
          <cell r="A23" t="str">
            <v>3_1</v>
          </cell>
          <cell r="B23" t="str">
            <v>Globalstrahlung Nord [W/m²]</v>
          </cell>
          <cell r="C23" t="str">
            <v>Bern</v>
          </cell>
          <cell r="D23">
            <v>0</v>
          </cell>
          <cell r="E23">
            <v>0</v>
          </cell>
          <cell r="F23">
            <v>0</v>
          </cell>
          <cell r="G23">
            <v>0</v>
          </cell>
          <cell r="H23">
            <v>0</v>
          </cell>
          <cell r="I23">
            <v>50.44</v>
          </cell>
          <cell r="J23">
            <v>182.58</v>
          </cell>
          <cell r="K23">
            <v>148.15</v>
          </cell>
          <cell r="L23">
            <v>112.02</v>
          </cell>
          <cell r="M23">
            <v>121.56</v>
          </cell>
          <cell r="N23">
            <v>128.31</v>
          </cell>
          <cell r="O23">
            <v>132.04</v>
          </cell>
          <cell r="P23">
            <v>133.21</v>
          </cell>
          <cell r="Q23">
            <v>132.52000000000001</v>
          </cell>
          <cell r="R23">
            <v>129.46</v>
          </cell>
          <cell r="S23">
            <v>123.42</v>
          </cell>
          <cell r="T23">
            <v>114.49</v>
          </cell>
          <cell r="U23">
            <v>128.71</v>
          </cell>
          <cell r="V23">
            <v>182.94</v>
          </cell>
          <cell r="W23">
            <v>96.25</v>
          </cell>
          <cell r="X23">
            <v>0.25</v>
          </cell>
          <cell r="Y23">
            <v>0</v>
          </cell>
          <cell r="Z23">
            <v>0</v>
          </cell>
          <cell r="AA23">
            <v>0</v>
          </cell>
        </row>
        <row r="24">
          <cell r="A24" t="str">
            <v>3_2</v>
          </cell>
          <cell r="B24" t="str">
            <v>Globalstrahlung Ost [W/m²]</v>
          </cell>
          <cell r="C24" t="str">
            <v>Bern</v>
          </cell>
          <cell r="D24">
            <v>0</v>
          </cell>
          <cell r="E24">
            <v>0</v>
          </cell>
          <cell r="F24">
            <v>0</v>
          </cell>
          <cell r="G24">
            <v>0</v>
          </cell>
          <cell r="H24">
            <v>0</v>
          </cell>
          <cell r="I24">
            <v>95.08</v>
          </cell>
          <cell r="J24">
            <v>519.39</v>
          </cell>
          <cell r="K24">
            <v>722.83</v>
          </cell>
          <cell r="L24">
            <v>756.1</v>
          </cell>
          <cell r="M24">
            <v>689.31</v>
          </cell>
          <cell r="N24">
            <v>553.07000000000005</v>
          </cell>
          <cell r="O24">
            <v>370.16</v>
          </cell>
          <cell r="P24">
            <v>167</v>
          </cell>
          <cell r="Q24">
            <v>134.96</v>
          </cell>
          <cell r="R24">
            <v>129.24</v>
          </cell>
          <cell r="S24">
            <v>121.82</v>
          </cell>
          <cell r="T24">
            <v>108.99</v>
          </cell>
          <cell r="U24">
            <v>89.31</v>
          </cell>
          <cell r="V24">
            <v>60.26</v>
          </cell>
          <cell r="W24">
            <v>20.12</v>
          </cell>
          <cell r="X24">
            <v>0.05</v>
          </cell>
          <cell r="Y24">
            <v>0</v>
          </cell>
          <cell r="Z24">
            <v>0</v>
          </cell>
          <cell r="AA24">
            <v>0</v>
          </cell>
        </row>
        <row r="25">
          <cell r="A25" t="str">
            <v>3_3</v>
          </cell>
          <cell r="B25" t="str">
            <v>Globalstrahlung Süd [W/m²]</v>
          </cell>
          <cell r="C25" t="str">
            <v>Bern</v>
          </cell>
          <cell r="D25">
            <v>0</v>
          </cell>
          <cell r="E25">
            <v>0</v>
          </cell>
          <cell r="F25">
            <v>0</v>
          </cell>
          <cell r="G25">
            <v>0</v>
          </cell>
          <cell r="H25">
            <v>0</v>
          </cell>
          <cell r="I25">
            <v>10.36</v>
          </cell>
          <cell r="J25">
            <v>53.97</v>
          </cell>
          <cell r="K25">
            <v>91</v>
          </cell>
          <cell r="L25">
            <v>178.44</v>
          </cell>
          <cell r="M25">
            <v>312.14999999999998</v>
          </cell>
          <cell r="N25">
            <v>422</v>
          </cell>
          <cell r="O25">
            <v>494.99</v>
          </cell>
          <cell r="P25">
            <v>523.73</v>
          </cell>
          <cell r="Q25">
            <v>505.93</v>
          </cell>
          <cell r="R25">
            <v>442.89</v>
          </cell>
          <cell r="S25">
            <v>340.79</v>
          </cell>
          <cell r="T25">
            <v>211.17</v>
          </cell>
          <cell r="U25">
            <v>98.76</v>
          </cell>
          <cell r="V25">
            <v>62.72</v>
          </cell>
          <cell r="W25">
            <v>20.14</v>
          </cell>
          <cell r="X25">
            <v>0.05</v>
          </cell>
          <cell r="Y25">
            <v>0</v>
          </cell>
          <cell r="Z25">
            <v>0</v>
          </cell>
          <cell r="AA25">
            <v>0</v>
          </cell>
        </row>
        <row r="26">
          <cell r="A26" t="str">
            <v>3_4</v>
          </cell>
          <cell r="B26" t="str">
            <v>Globalstrahlung West [W/m²]</v>
          </cell>
          <cell r="C26" t="str">
            <v>Bern</v>
          </cell>
          <cell r="D26">
            <v>0</v>
          </cell>
          <cell r="E26">
            <v>0</v>
          </cell>
          <cell r="F26">
            <v>0</v>
          </cell>
          <cell r="G26">
            <v>0</v>
          </cell>
          <cell r="H26">
            <v>0</v>
          </cell>
          <cell r="I26">
            <v>10.36</v>
          </cell>
          <cell r="J26">
            <v>52.51</v>
          </cell>
          <cell r="K26">
            <v>83.43</v>
          </cell>
          <cell r="L26">
            <v>105.03</v>
          </cell>
          <cell r="M26">
            <v>119.33</v>
          </cell>
          <cell r="N26">
            <v>127.91</v>
          </cell>
          <cell r="O26">
            <v>133.37</v>
          </cell>
          <cell r="P26">
            <v>141.53</v>
          </cell>
          <cell r="Q26">
            <v>323.23</v>
          </cell>
          <cell r="R26">
            <v>513.20000000000005</v>
          </cell>
          <cell r="S26">
            <v>662.6</v>
          </cell>
          <cell r="T26">
            <v>747.88</v>
          </cell>
          <cell r="U26">
            <v>743.72</v>
          </cell>
          <cell r="V26">
            <v>581.46</v>
          </cell>
          <cell r="W26">
            <v>196.78</v>
          </cell>
          <cell r="X26">
            <v>0.4</v>
          </cell>
          <cell r="Y26">
            <v>0</v>
          </cell>
          <cell r="Z26">
            <v>0</v>
          </cell>
          <cell r="AA26">
            <v>0</v>
          </cell>
        </row>
        <row r="27">
          <cell r="A27" t="str">
            <v>3_5</v>
          </cell>
          <cell r="B27" t="str">
            <v>Globalstrahlung Nord-Ost Ecksituation [W/m²]</v>
          </cell>
          <cell r="C27" t="str">
            <v>Bern</v>
          </cell>
          <cell r="D27">
            <v>0</v>
          </cell>
          <cell r="E27">
            <v>0</v>
          </cell>
          <cell r="F27">
            <v>0</v>
          </cell>
          <cell r="G27">
            <v>0</v>
          </cell>
          <cell r="H27">
            <v>0</v>
          </cell>
          <cell r="I27">
            <v>72.760000000000005</v>
          </cell>
          <cell r="J27">
            <v>350.98500000000001</v>
          </cell>
          <cell r="K27">
            <v>435.49</v>
          </cell>
          <cell r="L27">
            <v>434.06</v>
          </cell>
          <cell r="M27">
            <v>405.435</v>
          </cell>
          <cell r="N27">
            <v>340.69</v>
          </cell>
          <cell r="O27">
            <v>251.1</v>
          </cell>
          <cell r="P27">
            <v>150.10499999999999</v>
          </cell>
          <cell r="Q27">
            <v>133.74</v>
          </cell>
          <cell r="R27">
            <v>129.35</v>
          </cell>
          <cell r="S27">
            <v>122.62</v>
          </cell>
          <cell r="T27">
            <v>111.74</v>
          </cell>
          <cell r="U27">
            <v>109.01</v>
          </cell>
          <cell r="V27">
            <v>121.6</v>
          </cell>
          <cell r="W27">
            <v>58.185000000000002</v>
          </cell>
          <cell r="X27">
            <v>0.15</v>
          </cell>
          <cell r="Y27">
            <v>0</v>
          </cell>
          <cell r="Z27">
            <v>0</v>
          </cell>
          <cell r="AA27">
            <v>0</v>
          </cell>
        </row>
        <row r="28">
          <cell r="A28" t="str">
            <v>3_6</v>
          </cell>
          <cell r="B28" t="str">
            <v>Globalstrahlung Süd-Ost Ecksituation [W/m²]</v>
          </cell>
          <cell r="C28" t="str">
            <v>Bern</v>
          </cell>
          <cell r="D28">
            <v>0</v>
          </cell>
          <cell r="E28">
            <v>0</v>
          </cell>
          <cell r="F28">
            <v>0</v>
          </cell>
          <cell r="G28">
            <v>0</v>
          </cell>
          <cell r="H28">
            <v>0</v>
          </cell>
          <cell r="I28">
            <v>52.72</v>
          </cell>
          <cell r="J28">
            <v>286.68</v>
          </cell>
          <cell r="K28">
            <v>406.91500000000002</v>
          </cell>
          <cell r="L28">
            <v>467.27</v>
          </cell>
          <cell r="M28">
            <v>500.73</v>
          </cell>
          <cell r="N28">
            <v>487.53500000000003</v>
          </cell>
          <cell r="O28">
            <v>432.57499999999999</v>
          </cell>
          <cell r="P28">
            <v>345.36500000000001</v>
          </cell>
          <cell r="Q28">
            <v>320.44499999999999</v>
          </cell>
          <cell r="R28">
            <v>286.065</v>
          </cell>
          <cell r="S28">
            <v>231.30500000000001</v>
          </cell>
          <cell r="T28">
            <v>160.08000000000001</v>
          </cell>
          <cell r="U28">
            <v>94.034999999999997</v>
          </cell>
          <cell r="V28">
            <v>61.49</v>
          </cell>
          <cell r="W28">
            <v>20.13</v>
          </cell>
          <cell r="X28">
            <v>0.05</v>
          </cell>
          <cell r="Y28">
            <v>0</v>
          </cell>
          <cell r="Z28">
            <v>0</v>
          </cell>
          <cell r="AA28">
            <v>0</v>
          </cell>
        </row>
        <row r="29">
          <cell r="A29" t="str">
            <v>3_7</v>
          </cell>
          <cell r="B29" t="str">
            <v>Globalstrahlung Süd-West Ecksituation [W/m²]</v>
          </cell>
          <cell r="C29" t="str">
            <v>Bern</v>
          </cell>
          <cell r="D29">
            <v>0</v>
          </cell>
          <cell r="E29">
            <v>0</v>
          </cell>
          <cell r="F29">
            <v>0</v>
          </cell>
          <cell r="G29">
            <v>0</v>
          </cell>
          <cell r="H29">
            <v>0</v>
          </cell>
          <cell r="I29">
            <v>10.36</v>
          </cell>
          <cell r="J29">
            <v>53.24</v>
          </cell>
          <cell r="K29">
            <v>87.215000000000003</v>
          </cell>
          <cell r="L29">
            <v>141.73500000000001</v>
          </cell>
          <cell r="M29">
            <v>215.74</v>
          </cell>
          <cell r="N29">
            <v>274.95499999999998</v>
          </cell>
          <cell r="O29">
            <v>314.18</v>
          </cell>
          <cell r="P29">
            <v>332.63</v>
          </cell>
          <cell r="Q29">
            <v>414.58</v>
          </cell>
          <cell r="R29">
            <v>478.04500000000002</v>
          </cell>
          <cell r="S29">
            <v>501.69499999999999</v>
          </cell>
          <cell r="T29">
            <v>479.52499999999998</v>
          </cell>
          <cell r="U29">
            <v>421.24</v>
          </cell>
          <cell r="V29">
            <v>322.08999999999997</v>
          </cell>
          <cell r="W29">
            <v>108.46</v>
          </cell>
          <cell r="X29">
            <v>0.22500000000000001</v>
          </cell>
          <cell r="Y29">
            <v>0</v>
          </cell>
          <cell r="Z29">
            <v>0</v>
          </cell>
          <cell r="AA29">
            <v>0</v>
          </cell>
        </row>
        <row r="30">
          <cell r="A30" t="str">
            <v>3_8</v>
          </cell>
          <cell r="B30" t="str">
            <v>Globalstrahlung Nord-West Ecksituation [W/m²]</v>
          </cell>
          <cell r="C30" t="str">
            <v>Bern</v>
          </cell>
          <cell r="D30">
            <v>0</v>
          </cell>
          <cell r="E30">
            <v>0</v>
          </cell>
          <cell r="F30">
            <v>0</v>
          </cell>
          <cell r="G30">
            <v>0</v>
          </cell>
          <cell r="H30">
            <v>0</v>
          </cell>
          <cell r="I30">
            <v>30.4</v>
          </cell>
          <cell r="J30">
            <v>117.545</v>
          </cell>
          <cell r="K30">
            <v>115.79</v>
          </cell>
          <cell r="L30">
            <v>108.52500000000001</v>
          </cell>
          <cell r="M30">
            <v>120.44499999999999</v>
          </cell>
          <cell r="N30">
            <v>128.11000000000001</v>
          </cell>
          <cell r="O30">
            <v>132.70500000000001</v>
          </cell>
          <cell r="P30">
            <v>137.37</v>
          </cell>
          <cell r="Q30">
            <v>227.875</v>
          </cell>
          <cell r="R30">
            <v>321.33</v>
          </cell>
          <cell r="S30">
            <v>393.01</v>
          </cell>
          <cell r="T30">
            <v>431.185</v>
          </cell>
          <cell r="U30">
            <v>436.21499999999997</v>
          </cell>
          <cell r="V30">
            <v>382.2</v>
          </cell>
          <cell r="W30">
            <v>146.51499999999999</v>
          </cell>
          <cell r="X30">
            <v>0.32500000000000001</v>
          </cell>
          <cell r="Y30">
            <v>0</v>
          </cell>
          <cell r="Z30">
            <v>0</v>
          </cell>
          <cell r="AA30">
            <v>0</v>
          </cell>
        </row>
        <row r="31">
          <cell r="A31" t="str">
            <v>4_0</v>
          </cell>
          <cell r="B31" t="str">
            <v>Aussentemperatur [°C]</v>
          </cell>
          <cell r="C31" t="str">
            <v>Chur</v>
          </cell>
          <cell r="D31">
            <v>17.196750000000002</v>
          </cell>
          <cell r="E31">
            <v>16.004999999999999</v>
          </cell>
          <cell r="F31">
            <v>15.255749999999999</v>
          </cell>
          <cell r="G31">
            <v>15</v>
          </cell>
          <cell r="H31">
            <v>15.255749999999999</v>
          </cell>
          <cell r="I31">
            <v>16.004999999999999</v>
          </cell>
          <cell r="J31">
            <v>17.196750000000002</v>
          </cell>
          <cell r="K31">
            <v>18.75</v>
          </cell>
          <cell r="L31">
            <v>20.559000000000001</v>
          </cell>
          <cell r="M31">
            <v>22.5</v>
          </cell>
          <cell r="N31">
            <v>24.440999999999999</v>
          </cell>
          <cell r="O31">
            <v>26.25</v>
          </cell>
          <cell r="P31">
            <v>27.803249999999998</v>
          </cell>
          <cell r="Q31">
            <v>28.995000000000001</v>
          </cell>
          <cell r="R31">
            <v>29.744250000000001</v>
          </cell>
          <cell r="S31">
            <v>30</v>
          </cell>
          <cell r="T31">
            <v>29.744250000000001</v>
          </cell>
          <cell r="U31">
            <v>28.995000000000001</v>
          </cell>
          <cell r="V31">
            <v>27.803249999999998</v>
          </cell>
          <cell r="W31">
            <v>26.25</v>
          </cell>
          <cell r="X31">
            <v>24.440999999999999</v>
          </cell>
          <cell r="Y31">
            <v>22.5</v>
          </cell>
          <cell r="Z31">
            <v>20.559000000000001</v>
          </cell>
          <cell r="AA31">
            <v>18.75</v>
          </cell>
        </row>
        <row r="32">
          <cell r="A32" t="str">
            <v>4_1</v>
          </cell>
          <cell r="B32" t="str">
            <v>Globalstrahlung Nord [W/m²]</v>
          </cell>
          <cell r="C32" t="str">
            <v>Chur</v>
          </cell>
          <cell r="D32">
            <v>0</v>
          </cell>
          <cell r="E32">
            <v>0</v>
          </cell>
          <cell r="F32">
            <v>0</v>
          </cell>
          <cell r="G32">
            <v>0</v>
          </cell>
          <cell r="H32">
            <v>0.03</v>
          </cell>
          <cell r="I32">
            <v>75.13</v>
          </cell>
          <cell r="J32">
            <v>184.95</v>
          </cell>
          <cell r="K32">
            <v>137.41</v>
          </cell>
          <cell r="S32">
            <v>122.38</v>
          </cell>
          <cell r="AA32">
            <v>0</v>
          </cell>
        </row>
        <row r="33">
          <cell r="A33" t="str">
            <v>4_2</v>
          </cell>
          <cell r="B33" t="str">
            <v>Globalstrahlung Ost [W/m²]</v>
          </cell>
          <cell r="C33" t="str">
            <v>Chur</v>
          </cell>
          <cell r="D33">
            <v>0</v>
          </cell>
          <cell r="E33">
            <v>0</v>
          </cell>
          <cell r="F33">
            <v>0</v>
          </cell>
          <cell r="G33">
            <v>0</v>
          </cell>
          <cell r="H33">
            <v>0.05</v>
          </cell>
          <cell r="I33">
            <v>147.38</v>
          </cell>
          <cell r="J33">
            <v>560.62</v>
          </cell>
          <cell r="K33">
            <v>737</v>
          </cell>
          <cell r="L33">
            <v>751.94</v>
          </cell>
          <cell r="M33">
            <v>674.17</v>
          </cell>
          <cell r="N33">
            <v>530.08000000000004</v>
          </cell>
          <cell r="O33">
            <v>342.84</v>
          </cell>
          <cell r="P33">
            <v>142.55000000000001</v>
          </cell>
          <cell r="Q33">
            <v>134.02000000000001</v>
          </cell>
          <cell r="R33">
            <v>128.51</v>
          </cell>
          <cell r="S33">
            <v>120.41</v>
          </cell>
          <cell r="T33">
            <v>106.73</v>
          </cell>
          <cell r="U33">
            <v>85.92</v>
          </cell>
          <cell r="V33">
            <v>56.06</v>
          </cell>
          <cell r="W33">
            <v>13.55</v>
          </cell>
          <cell r="X33">
            <v>0</v>
          </cell>
          <cell r="Y33">
            <v>0</v>
          </cell>
          <cell r="Z33">
            <v>0</v>
          </cell>
          <cell r="AA33">
            <v>0</v>
          </cell>
        </row>
        <row r="34">
          <cell r="A34" t="str">
            <v>4_3</v>
          </cell>
          <cell r="B34" t="str">
            <v>Globalstrahlung Süd [W/m²]</v>
          </cell>
          <cell r="C34" t="str">
            <v>Chur</v>
          </cell>
          <cell r="D34">
            <v>0</v>
          </cell>
          <cell r="E34">
            <v>0</v>
          </cell>
          <cell r="F34">
            <v>0</v>
          </cell>
          <cell r="G34">
            <v>0</v>
          </cell>
          <cell r="H34">
            <v>0.01</v>
          </cell>
          <cell r="I34">
            <v>15.44</v>
          </cell>
          <cell r="J34">
            <v>59.51</v>
          </cell>
          <cell r="K34">
            <v>95.66</v>
          </cell>
          <cell r="L34">
            <v>197.35</v>
          </cell>
          <cell r="M34">
            <v>328.71</v>
          </cell>
          <cell r="N34">
            <v>434.04</v>
          </cell>
          <cell r="O34">
            <v>501.2</v>
          </cell>
          <cell r="P34">
            <v>523.53</v>
          </cell>
          <cell r="Q34">
            <v>499.34</v>
          </cell>
          <cell r="R34">
            <v>430.48</v>
          </cell>
          <cell r="S34">
            <v>323.83</v>
          </cell>
          <cell r="T34">
            <v>191.77</v>
          </cell>
          <cell r="U34">
            <v>94.31</v>
          </cell>
          <cell r="V34">
            <v>57.9</v>
          </cell>
          <cell r="W34">
            <v>13.56</v>
          </cell>
          <cell r="X34">
            <v>0</v>
          </cell>
          <cell r="Y34">
            <v>0</v>
          </cell>
          <cell r="Z34">
            <v>0</v>
          </cell>
          <cell r="AA34">
            <v>0</v>
          </cell>
        </row>
        <row r="35">
          <cell r="A35" t="str">
            <v>4_4</v>
          </cell>
          <cell r="B35" t="str">
            <v>Globalstrahlung West [W/m²]</v>
          </cell>
          <cell r="C35" t="str">
            <v>Chur</v>
          </cell>
          <cell r="D35">
            <v>0</v>
          </cell>
          <cell r="E35">
            <v>0</v>
          </cell>
          <cell r="F35">
            <v>0</v>
          </cell>
          <cell r="G35">
            <v>0</v>
          </cell>
          <cell r="H35">
            <v>0.01</v>
          </cell>
          <cell r="I35">
            <v>15.43</v>
          </cell>
          <cell r="J35">
            <v>57.49</v>
          </cell>
          <cell r="K35">
            <v>86.93</v>
          </cell>
          <cell r="L35">
            <v>107.4</v>
          </cell>
          <cell r="M35">
            <v>120.84</v>
          </cell>
          <cell r="N35">
            <v>128.74</v>
          </cell>
          <cell r="O35">
            <v>134.29</v>
          </cell>
          <cell r="P35">
            <v>146.9</v>
          </cell>
          <cell r="Q35">
            <v>350.84</v>
          </cell>
          <cell r="R35">
            <v>536.88</v>
          </cell>
          <cell r="S35">
            <v>678.72</v>
          </cell>
          <cell r="T35">
            <v>753.34</v>
          </cell>
          <cell r="U35">
            <v>733.16</v>
          </cell>
          <cell r="V35">
            <v>549.02</v>
          </cell>
          <cell r="W35">
            <v>127.95</v>
          </cell>
          <cell r="X35">
            <v>0</v>
          </cell>
          <cell r="Y35">
            <v>0</v>
          </cell>
          <cell r="Z35">
            <v>0</v>
          </cell>
          <cell r="AA35">
            <v>0</v>
          </cell>
        </row>
        <row r="36">
          <cell r="A36" t="str">
            <v>4_5</v>
          </cell>
          <cell r="B36" t="str">
            <v>Globalstrahlung Nord-Ost Ecksituation [W/m²]</v>
          </cell>
          <cell r="C36" t="str">
            <v>Chur</v>
          </cell>
          <cell r="D36">
            <v>0</v>
          </cell>
          <cell r="E36">
            <v>0</v>
          </cell>
          <cell r="F36">
            <v>0</v>
          </cell>
          <cell r="G36">
            <v>0</v>
          </cell>
          <cell r="H36">
            <v>0.04</v>
          </cell>
          <cell r="I36">
            <v>111.255</v>
          </cell>
          <cell r="J36">
            <v>372.78500000000003</v>
          </cell>
          <cell r="K36">
            <v>437.20499999999998</v>
          </cell>
          <cell r="L36">
            <v>432.72500000000002</v>
          </cell>
          <cell r="M36">
            <v>398.43</v>
          </cell>
          <cell r="N36">
            <v>329.55</v>
          </cell>
          <cell r="O36">
            <v>237.595</v>
          </cell>
          <cell r="P36">
            <v>137.88999999999999</v>
          </cell>
          <cell r="Q36">
            <v>133.14500000000001</v>
          </cell>
          <cell r="R36">
            <v>128.66999999999999</v>
          </cell>
          <cell r="S36">
            <v>121.395</v>
          </cell>
          <cell r="T36">
            <v>109.905</v>
          </cell>
          <cell r="U36">
            <v>113.30500000000001</v>
          </cell>
          <cell r="V36">
            <v>120.315</v>
          </cell>
          <cell r="W36">
            <v>39.945</v>
          </cell>
          <cell r="X36">
            <v>0</v>
          </cell>
          <cell r="Y36">
            <v>0</v>
          </cell>
          <cell r="Z36">
            <v>0</v>
          </cell>
          <cell r="AA36">
            <v>0</v>
          </cell>
        </row>
        <row r="37">
          <cell r="A37" t="str">
            <v>4_6</v>
          </cell>
          <cell r="B37" t="str">
            <v>Globalstrahlung Süd-Ost Ecksituation [W/m²]</v>
          </cell>
          <cell r="C37" t="str">
            <v>Chur</v>
          </cell>
          <cell r="D37">
            <v>0</v>
          </cell>
          <cell r="E37">
            <v>0</v>
          </cell>
          <cell r="F37">
            <v>0</v>
          </cell>
          <cell r="G37">
            <v>0</v>
          </cell>
          <cell r="H37">
            <v>0.03</v>
          </cell>
          <cell r="I37">
            <v>81.41</v>
          </cell>
          <cell r="J37">
            <v>310.065</v>
          </cell>
          <cell r="K37">
            <v>416.33</v>
          </cell>
          <cell r="L37">
            <v>474.64499999999998</v>
          </cell>
          <cell r="M37">
            <v>501.44</v>
          </cell>
          <cell r="N37">
            <v>482.06</v>
          </cell>
          <cell r="O37">
            <v>422.02</v>
          </cell>
          <cell r="P37">
            <v>333.04</v>
          </cell>
          <cell r="Q37">
            <v>316.68</v>
          </cell>
          <cell r="R37">
            <v>279.495</v>
          </cell>
          <cell r="S37">
            <v>222.12</v>
          </cell>
          <cell r="T37">
            <v>149.25</v>
          </cell>
          <cell r="U37">
            <v>90.114999999999995</v>
          </cell>
          <cell r="V37">
            <v>56.98</v>
          </cell>
          <cell r="W37">
            <v>13.555</v>
          </cell>
          <cell r="X37">
            <v>0</v>
          </cell>
          <cell r="Y37">
            <v>0</v>
          </cell>
          <cell r="Z37">
            <v>0</v>
          </cell>
          <cell r="AA37">
            <v>0</v>
          </cell>
        </row>
        <row r="38">
          <cell r="A38" t="str">
            <v>4_7</v>
          </cell>
          <cell r="B38" t="str">
            <v>Globalstrahlung Süd-West Ecksituation [W/m²]</v>
          </cell>
          <cell r="C38" t="str">
            <v>Chur</v>
          </cell>
          <cell r="D38">
            <v>0</v>
          </cell>
          <cell r="E38">
            <v>0</v>
          </cell>
          <cell r="F38">
            <v>0</v>
          </cell>
          <cell r="G38">
            <v>0</v>
          </cell>
          <cell r="H38">
            <v>0.01</v>
          </cell>
          <cell r="I38">
            <v>15.435</v>
          </cell>
          <cell r="J38">
            <v>58.5</v>
          </cell>
          <cell r="K38">
            <v>91.295000000000002</v>
          </cell>
          <cell r="L38">
            <v>152.375</v>
          </cell>
          <cell r="M38">
            <v>224.77500000000001</v>
          </cell>
          <cell r="N38">
            <v>281.39</v>
          </cell>
          <cell r="O38">
            <v>317.745</v>
          </cell>
          <cell r="P38">
            <v>335.21499999999997</v>
          </cell>
          <cell r="Q38">
            <v>425.09</v>
          </cell>
          <cell r="R38">
            <v>483.68</v>
          </cell>
          <cell r="S38">
            <v>501.27499999999998</v>
          </cell>
          <cell r="T38">
            <v>472.55500000000001</v>
          </cell>
          <cell r="U38">
            <v>413.73500000000001</v>
          </cell>
          <cell r="V38">
            <v>303.45999999999998</v>
          </cell>
          <cell r="W38">
            <v>70.754999999999995</v>
          </cell>
          <cell r="X38">
            <v>0</v>
          </cell>
          <cell r="Y38">
            <v>0</v>
          </cell>
          <cell r="Z38">
            <v>0</v>
          </cell>
          <cell r="AA38">
            <v>0</v>
          </cell>
        </row>
        <row r="39">
          <cell r="A39" t="str">
            <v>4_8</v>
          </cell>
          <cell r="B39" t="str">
            <v>Globalstrahlung Nord-West Ecksituation [W/m²]</v>
          </cell>
          <cell r="C39" t="str">
            <v>Chur</v>
          </cell>
          <cell r="D39">
            <v>0</v>
          </cell>
          <cell r="E39">
            <v>0</v>
          </cell>
          <cell r="F39">
            <v>0</v>
          </cell>
          <cell r="G39">
            <v>0</v>
          </cell>
          <cell r="H39">
            <v>0.02</v>
          </cell>
          <cell r="I39">
            <v>45.28</v>
          </cell>
          <cell r="J39">
            <v>121.22</v>
          </cell>
          <cell r="K39">
            <v>112.17</v>
          </cell>
          <cell r="L39">
            <v>110.455</v>
          </cell>
          <cell r="M39">
            <v>121.765</v>
          </cell>
          <cell r="N39">
            <v>128.88</v>
          </cell>
          <cell r="O39">
            <v>133.32</v>
          </cell>
          <cell r="P39">
            <v>140.065</v>
          </cell>
          <cell r="Q39">
            <v>241.55500000000001</v>
          </cell>
          <cell r="R39">
            <v>332.85500000000002</v>
          </cell>
          <cell r="S39">
            <v>400.55</v>
          </cell>
          <cell r="T39">
            <v>433.21</v>
          </cell>
          <cell r="U39">
            <v>436.92500000000001</v>
          </cell>
          <cell r="V39">
            <v>366.79500000000002</v>
          </cell>
          <cell r="W39">
            <v>97.144999999999996</v>
          </cell>
          <cell r="X39">
            <v>0</v>
          </cell>
          <cell r="Y39">
            <v>0</v>
          </cell>
          <cell r="Z39">
            <v>0</v>
          </cell>
          <cell r="AA39">
            <v>0</v>
          </cell>
        </row>
        <row r="40">
          <cell r="A40" t="str">
            <v>5_0</v>
          </cell>
          <cell r="B40" t="str">
            <v>Aussentemperatur [°C]</v>
          </cell>
          <cell r="C40" t="str">
            <v>Genf</v>
          </cell>
          <cell r="D40">
            <v>16.3432</v>
          </cell>
          <cell r="E40">
            <v>15.071999999999999</v>
          </cell>
          <cell r="F40">
            <v>14.2728</v>
          </cell>
          <cell r="G40">
            <v>14</v>
          </cell>
          <cell r="H40">
            <v>14.2728</v>
          </cell>
          <cell r="I40">
            <v>15.071999999999999</v>
          </cell>
          <cell r="J40">
            <v>16.3432</v>
          </cell>
          <cell r="K40">
            <v>18</v>
          </cell>
          <cell r="L40">
            <v>19.929600000000001</v>
          </cell>
          <cell r="M40">
            <v>22</v>
          </cell>
          <cell r="N40">
            <v>24.070399999999999</v>
          </cell>
          <cell r="O40">
            <v>26</v>
          </cell>
          <cell r="P40">
            <v>27.6568</v>
          </cell>
          <cell r="Q40">
            <v>28.928000000000001</v>
          </cell>
          <cell r="R40">
            <v>29.7272</v>
          </cell>
          <cell r="S40">
            <v>30</v>
          </cell>
          <cell r="T40">
            <v>29.7272</v>
          </cell>
          <cell r="U40">
            <v>28.928000000000001</v>
          </cell>
          <cell r="V40">
            <v>27.6568</v>
          </cell>
          <cell r="W40">
            <v>26</v>
          </cell>
          <cell r="X40">
            <v>24.070399999999999</v>
          </cell>
          <cell r="Y40">
            <v>22</v>
          </cell>
          <cell r="Z40">
            <v>19.929600000000001</v>
          </cell>
          <cell r="AA40">
            <v>18</v>
          </cell>
        </row>
        <row r="41">
          <cell r="A41" t="str">
            <v>5_1</v>
          </cell>
          <cell r="B41" t="str">
            <v>Globalstrahlung Nord [W/m²]</v>
          </cell>
          <cell r="C41" t="str">
            <v>Genf</v>
          </cell>
          <cell r="D41">
            <v>0</v>
          </cell>
          <cell r="E41">
            <v>0</v>
          </cell>
          <cell r="F41">
            <v>0</v>
          </cell>
          <cell r="G41">
            <v>0</v>
          </cell>
          <cell r="H41">
            <v>0</v>
          </cell>
          <cell r="I41">
            <v>36.65</v>
          </cell>
          <cell r="J41">
            <v>179.03</v>
          </cell>
          <cell r="K41">
            <v>155.47999999999999</v>
          </cell>
          <cell r="L41">
            <v>111.39</v>
          </cell>
          <cell r="M41">
            <v>121.17</v>
          </cell>
          <cell r="N41">
            <v>128.12</v>
          </cell>
          <cell r="O41">
            <v>132.01</v>
          </cell>
          <cell r="P41">
            <v>133.31</v>
          </cell>
          <cell r="Q41">
            <v>132.78</v>
          </cell>
          <cell r="R41">
            <v>130</v>
          </cell>
          <cell r="S41">
            <v>124.25</v>
          </cell>
          <cell r="T41">
            <v>115.53</v>
          </cell>
          <cell r="U41">
            <v>123.83</v>
          </cell>
          <cell r="V41">
            <v>182.57</v>
          </cell>
          <cell r="W41">
            <v>107.97</v>
          </cell>
          <cell r="X41">
            <v>0.55000000000000004</v>
          </cell>
          <cell r="Y41">
            <v>0</v>
          </cell>
          <cell r="Z41">
            <v>0</v>
          </cell>
          <cell r="AA41">
            <v>0</v>
          </cell>
        </row>
        <row r="42">
          <cell r="A42" t="str">
            <v>5_2</v>
          </cell>
          <cell r="B42" t="str">
            <v>Globalstrahlung Ost [W/m²]</v>
          </cell>
          <cell r="C42" t="str">
            <v>Genf</v>
          </cell>
          <cell r="D42">
            <v>0</v>
          </cell>
          <cell r="E42">
            <v>0</v>
          </cell>
          <cell r="F42">
            <v>0</v>
          </cell>
          <cell r="G42">
            <v>0</v>
          </cell>
          <cell r="H42">
            <v>0</v>
          </cell>
          <cell r="I42">
            <v>68.12</v>
          </cell>
          <cell r="J42">
            <v>489.81</v>
          </cell>
          <cell r="K42">
            <v>712.78</v>
          </cell>
          <cell r="L42">
            <v>757.91</v>
          </cell>
          <cell r="M42">
            <v>697.76</v>
          </cell>
          <cell r="N42">
            <v>566.13</v>
          </cell>
          <cell r="O42">
            <v>385.78</v>
          </cell>
          <cell r="P42">
            <v>183.21</v>
          </cell>
          <cell r="Q42">
            <v>135.66</v>
          </cell>
          <cell r="R42">
            <v>129.79</v>
          </cell>
          <cell r="S42">
            <v>122.74</v>
          </cell>
          <cell r="T42">
            <v>110.31</v>
          </cell>
          <cell r="U42">
            <v>91.1</v>
          </cell>
          <cell r="V42">
            <v>62.66</v>
          </cell>
          <cell r="W42">
            <v>23</v>
          </cell>
          <cell r="X42">
            <v>0.11</v>
          </cell>
          <cell r="Y42">
            <v>0</v>
          </cell>
          <cell r="Z42">
            <v>0</v>
          </cell>
          <cell r="AA42">
            <v>0</v>
          </cell>
        </row>
        <row r="43">
          <cell r="A43" t="str">
            <v>5_3</v>
          </cell>
          <cell r="B43" t="str">
            <v>Globalstrahlung Süd [W/m²]</v>
          </cell>
          <cell r="C43" t="str">
            <v>Genf</v>
          </cell>
          <cell r="D43">
            <v>0</v>
          </cell>
          <cell r="E43">
            <v>0</v>
          </cell>
          <cell r="F43">
            <v>0</v>
          </cell>
          <cell r="G43">
            <v>0</v>
          </cell>
          <cell r="H43">
            <v>0</v>
          </cell>
          <cell r="I43">
            <v>7.61</v>
          </cell>
          <cell r="J43">
            <v>50.27</v>
          </cell>
          <cell r="K43">
            <v>88.08</v>
          </cell>
          <cell r="L43">
            <v>164.75</v>
          </cell>
          <cell r="M43">
            <v>298.64999999999998</v>
          </cell>
          <cell r="N43">
            <v>410.15</v>
          </cell>
          <cell r="O43">
            <v>485.79</v>
          </cell>
          <cell r="P43">
            <v>517.89</v>
          </cell>
          <cell r="Q43">
            <v>503.82</v>
          </cell>
          <cell r="R43">
            <v>444.59</v>
          </cell>
          <cell r="S43">
            <v>345.9</v>
          </cell>
          <cell r="T43">
            <v>218.72</v>
          </cell>
          <cell r="U43">
            <v>100.96</v>
          </cell>
          <cell r="V43">
            <v>65.459999999999994</v>
          </cell>
          <cell r="W43">
            <v>23.05</v>
          </cell>
          <cell r="X43">
            <v>0.11</v>
          </cell>
          <cell r="Y43">
            <v>0</v>
          </cell>
          <cell r="Z43">
            <v>0</v>
          </cell>
          <cell r="AA43">
            <v>0</v>
          </cell>
        </row>
        <row r="44">
          <cell r="A44" t="str">
            <v>5_4</v>
          </cell>
          <cell r="B44" t="str">
            <v>Globalstrahlung West [W/m²]</v>
          </cell>
          <cell r="C44" t="str">
            <v>Genf</v>
          </cell>
          <cell r="D44">
            <v>0</v>
          </cell>
          <cell r="E44">
            <v>0</v>
          </cell>
          <cell r="F44">
            <v>0</v>
          </cell>
          <cell r="G44">
            <v>0</v>
          </cell>
          <cell r="H44">
            <v>0</v>
          </cell>
          <cell r="I44">
            <v>7.61</v>
          </cell>
          <cell r="J44">
            <v>49.12</v>
          </cell>
          <cell r="K44">
            <v>81.25</v>
          </cell>
          <cell r="L44">
            <v>103.7</v>
          </cell>
          <cell r="M44">
            <v>118.58</v>
          </cell>
          <cell r="N44">
            <v>127.59</v>
          </cell>
          <cell r="O44">
            <v>133.03</v>
          </cell>
          <cell r="P44">
            <v>140.86000000000001</v>
          </cell>
          <cell r="Q44">
            <v>307.76</v>
          </cell>
          <cell r="R44">
            <v>499.88</v>
          </cell>
          <cell r="S44">
            <v>653.44000000000005</v>
          </cell>
          <cell r="T44">
            <v>744.42</v>
          </cell>
          <cell r="U44">
            <v>747.92</v>
          </cell>
          <cell r="V44">
            <v>599.36</v>
          </cell>
          <cell r="W44">
            <v>227.67</v>
          </cell>
          <cell r="X44">
            <v>0.91</v>
          </cell>
          <cell r="Y44">
            <v>0</v>
          </cell>
          <cell r="Z44">
            <v>0</v>
          </cell>
          <cell r="AA44">
            <v>0</v>
          </cell>
        </row>
        <row r="45">
          <cell r="A45" t="str">
            <v>5_5</v>
          </cell>
          <cell r="B45" t="str">
            <v>Globalstrahlung Nord-Ost Ecksituation [W/m²]</v>
          </cell>
          <cell r="C45" t="str">
            <v>Genf</v>
          </cell>
          <cell r="D45">
            <v>0</v>
          </cell>
          <cell r="E45">
            <v>0</v>
          </cell>
          <cell r="F45">
            <v>0</v>
          </cell>
          <cell r="G45">
            <v>0</v>
          </cell>
          <cell r="H45">
            <v>0</v>
          </cell>
          <cell r="I45">
            <v>52.384999999999998</v>
          </cell>
          <cell r="J45">
            <v>334.42</v>
          </cell>
          <cell r="K45">
            <v>434.13</v>
          </cell>
          <cell r="L45">
            <v>434.65</v>
          </cell>
          <cell r="M45">
            <v>409.46499999999997</v>
          </cell>
          <cell r="N45">
            <v>347.125</v>
          </cell>
          <cell r="O45">
            <v>258.89499999999998</v>
          </cell>
          <cell r="P45">
            <v>158.26</v>
          </cell>
          <cell r="Q45">
            <v>134.22</v>
          </cell>
          <cell r="R45">
            <v>129.89500000000001</v>
          </cell>
          <cell r="S45">
            <v>123.495</v>
          </cell>
          <cell r="T45">
            <v>112.92</v>
          </cell>
          <cell r="U45">
            <v>107.465</v>
          </cell>
          <cell r="V45">
            <v>122.61499999999999</v>
          </cell>
          <cell r="W45">
            <v>65.484999999999999</v>
          </cell>
          <cell r="X45">
            <v>0.33</v>
          </cell>
          <cell r="Y45">
            <v>0</v>
          </cell>
          <cell r="Z45">
            <v>0</v>
          </cell>
          <cell r="AA45">
            <v>0</v>
          </cell>
        </row>
        <row r="46">
          <cell r="A46" t="str">
            <v>5_6</v>
          </cell>
          <cell r="B46" t="str">
            <v>Globalstrahlung Süd-Ost Ecksituation [W/m²]</v>
          </cell>
          <cell r="C46" t="str">
            <v>Genf</v>
          </cell>
          <cell r="D46">
            <v>0</v>
          </cell>
          <cell r="E46">
            <v>0</v>
          </cell>
          <cell r="F46">
            <v>0</v>
          </cell>
          <cell r="G46">
            <v>0</v>
          </cell>
          <cell r="H46">
            <v>0</v>
          </cell>
          <cell r="I46">
            <v>37.865000000000002</v>
          </cell>
          <cell r="J46">
            <v>270.04000000000002</v>
          </cell>
          <cell r="K46">
            <v>400.43</v>
          </cell>
          <cell r="L46">
            <v>461.33</v>
          </cell>
          <cell r="M46">
            <v>498.20499999999998</v>
          </cell>
          <cell r="N46">
            <v>488.14</v>
          </cell>
          <cell r="O46">
            <v>435.78500000000003</v>
          </cell>
          <cell r="P46">
            <v>350.55</v>
          </cell>
          <cell r="Q46">
            <v>319.74</v>
          </cell>
          <cell r="R46">
            <v>287.19</v>
          </cell>
          <cell r="S46">
            <v>234.32</v>
          </cell>
          <cell r="T46">
            <v>164.51499999999999</v>
          </cell>
          <cell r="U46">
            <v>96.03</v>
          </cell>
          <cell r="V46">
            <v>64.06</v>
          </cell>
          <cell r="W46">
            <v>23.024999999999999</v>
          </cell>
          <cell r="X46">
            <v>0.11</v>
          </cell>
          <cell r="Y46">
            <v>0</v>
          </cell>
          <cell r="Z46">
            <v>0</v>
          </cell>
          <cell r="AA46">
            <v>0</v>
          </cell>
        </row>
        <row r="47">
          <cell r="A47" t="str">
            <v>5_7</v>
          </cell>
          <cell r="B47" t="str">
            <v>Globalstrahlung Süd-West Ecksituation [W/m²]</v>
          </cell>
          <cell r="C47" t="str">
            <v>Genf</v>
          </cell>
          <cell r="D47">
            <v>0</v>
          </cell>
          <cell r="E47">
            <v>0</v>
          </cell>
          <cell r="F47">
            <v>0</v>
          </cell>
          <cell r="G47">
            <v>0</v>
          </cell>
          <cell r="H47">
            <v>0</v>
          </cell>
          <cell r="I47">
            <v>7.61</v>
          </cell>
          <cell r="J47">
            <v>49.695</v>
          </cell>
          <cell r="K47">
            <v>84.665000000000006</v>
          </cell>
          <cell r="L47">
            <v>134.22499999999999</v>
          </cell>
          <cell r="M47">
            <v>208.61500000000001</v>
          </cell>
          <cell r="N47">
            <v>268.87</v>
          </cell>
          <cell r="O47">
            <v>309.41000000000003</v>
          </cell>
          <cell r="P47">
            <v>329.375</v>
          </cell>
          <cell r="Q47">
            <v>405.79</v>
          </cell>
          <cell r="R47">
            <v>472.23500000000001</v>
          </cell>
          <cell r="S47">
            <v>499.67</v>
          </cell>
          <cell r="T47">
            <v>481.57</v>
          </cell>
          <cell r="U47">
            <v>424.44</v>
          </cell>
          <cell r="V47">
            <v>332.41</v>
          </cell>
          <cell r="W47">
            <v>125.36</v>
          </cell>
          <cell r="X47">
            <v>0.51</v>
          </cell>
          <cell r="Y47">
            <v>0</v>
          </cell>
          <cell r="Z47">
            <v>0</v>
          </cell>
          <cell r="AA47">
            <v>0</v>
          </cell>
        </row>
        <row r="48">
          <cell r="A48" t="str">
            <v>5_8</v>
          </cell>
          <cell r="B48" t="str">
            <v>Globalstrahlung Nord-West Ecksituation [W/m²]</v>
          </cell>
          <cell r="C48" t="str">
            <v>Genf</v>
          </cell>
          <cell r="D48">
            <v>0</v>
          </cell>
          <cell r="E48">
            <v>0</v>
          </cell>
          <cell r="F48">
            <v>0</v>
          </cell>
          <cell r="G48">
            <v>0</v>
          </cell>
          <cell r="H48">
            <v>0</v>
          </cell>
          <cell r="I48">
            <v>22.13</v>
          </cell>
          <cell r="J48">
            <v>114.075</v>
          </cell>
          <cell r="K48">
            <v>118.36499999999999</v>
          </cell>
          <cell r="L48">
            <v>107.545</v>
          </cell>
          <cell r="M48">
            <v>119.875</v>
          </cell>
          <cell r="N48">
            <v>127.855</v>
          </cell>
          <cell r="O48">
            <v>132.52000000000001</v>
          </cell>
          <cell r="P48">
            <v>137.08500000000001</v>
          </cell>
          <cell r="Q48">
            <v>220.27</v>
          </cell>
          <cell r="R48">
            <v>314.94</v>
          </cell>
          <cell r="S48">
            <v>388.84500000000003</v>
          </cell>
          <cell r="T48">
            <v>429.97500000000002</v>
          </cell>
          <cell r="U48">
            <v>435.875</v>
          </cell>
          <cell r="V48">
            <v>390.96499999999997</v>
          </cell>
          <cell r="W48">
            <v>167.82</v>
          </cell>
          <cell r="X48">
            <v>0.73</v>
          </cell>
          <cell r="Y48">
            <v>0</v>
          </cell>
          <cell r="Z48">
            <v>0</v>
          </cell>
          <cell r="AA48">
            <v>0</v>
          </cell>
        </row>
        <row r="49">
          <cell r="A49" t="str">
            <v>6_0</v>
          </cell>
          <cell r="B49" t="str">
            <v>Aussentemperatur [°C]</v>
          </cell>
          <cell r="C49" t="str">
            <v>Lugano</v>
          </cell>
          <cell r="D49">
            <v>16.3432</v>
          </cell>
          <cell r="E49">
            <v>15.071999999999999</v>
          </cell>
          <cell r="F49">
            <v>14.2728</v>
          </cell>
          <cell r="G49">
            <v>14</v>
          </cell>
          <cell r="H49">
            <v>14.2728</v>
          </cell>
          <cell r="I49">
            <v>15.071999999999999</v>
          </cell>
          <cell r="J49">
            <v>16.3432</v>
          </cell>
          <cell r="K49">
            <v>18</v>
          </cell>
          <cell r="L49">
            <v>19.929600000000001</v>
          </cell>
          <cell r="M49">
            <v>22</v>
          </cell>
          <cell r="N49">
            <v>24.070399999999999</v>
          </cell>
          <cell r="O49">
            <v>26</v>
          </cell>
          <cell r="P49">
            <v>27.6568</v>
          </cell>
          <cell r="Q49">
            <v>28.928000000000001</v>
          </cell>
          <cell r="R49">
            <v>29.7272</v>
          </cell>
          <cell r="S49">
            <v>30</v>
          </cell>
          <cell r="T49">
            <v>29.7272</v>
          </cell>
          <cell r="U49">
            <v>28.928000000000001</v>
          </cell>
          <cell r="V49">
            <v>27.6568</v>
          </cell>
          <cell r="W49">
            <v>26</v>
          </cell>
          <cell r="X49">
            <v>24.070399999999999</v>
          </cell>
          <cell r="Y49">
            <v>22</v>
          </cell>
          <cell r="Z49">
            <v>19.929600000000001</v>
          </cell>
          <cell r="AA49">
            <v>18</v>
          </cell>
        </row>
        <row r="50">
          <cell r="A50" t="str">
            <v>6_1</v>
          </cell>
          <cell r="B50" t="str">
            <v>Globalstrahlung Nord [W/m²]</v>
          </cell>
          <cell r="C50" t="str">
            <v>Lugano</v>
          </cell>
          <cell r="D50">
            <v>0</v>
          </cell>
          <cell r="E50">
            <v>0</v>
          </cell>
          <cell r="F50">
            <v>0</v>
          </cell>
          <cell r="G50">
            <v>0</v>
          </cell>
          <cell r="H50">
            <v>0</v>
          </cell>
          <cell r="I50">
            <v>60.51</v>
          </cell>
          <cell r="J50">
            <v>184.19</v>
          </cell>
          <cell r="K50">
            <v>143.78</v>
          </cell>
          <cell r="L50">
            <v>113.28</v>
          </cell>
          <cell r="M50">
            <v>122.63</v>
          </cell>
          <cell r="N50">
            <v>129.06</v>
          </cell>
          <cell r="O50">
            <v>132.44</v>
          </cell>
          <cell r="P50">
            <v>133.38</v>
          </cell>
          <cell r="Q50">
            <v>132.55000000000001</v>
          </cell>
          <cell r="R50">
            <v>129.34</v>
          </cell>
          <cell r="S50">
            <v>123.09</v>
          </cell>
          <cell r="T50">
            <v>113.9</v>
          </cell>
          <cell r="U50">
            <v>139.13</v>
          </cell>
          <cell r="V50">
            <v>184.96</v>
          </cell>
          <cell r="W50">
            <v>71.73</v>
          </cell>
          <cell r="X50">
            <v>0.01</v>
          </cell>
          <cell r="Y50">
            <v>0</v>
          </cell>
          <cell r="Z50">
            <v>0</v>
          </cell>
          <cell r="AA50">
            <v>0</v>
          </cell>
        </row>
        <row r="51">
          <cell r="A51" t="str">
            <v>6_2</v>
          </cell>
          <cell r="B51" t="str">
            <v>Globalstrahlung Ost [W/m²]</v>
          </cell>
          <cell r="C51" t="str">
            <v>Lugano</v>
          </cell>
          <cell r="D51">
            <v>0</v>
          </cell>
          <cell r="E51">
            <v>0</v>
          </cell>
          <cell r="F51">
            <v>0</v>
          </cell>
          <cell r="G51">
            <v>0</v>
          </cell>
          <cell r="H51">
            <v>0</v>
          </cell>
          <cell r="I51">
            <v>116.79</v>
          </cell>
          <cell r="J51">
            <v>542.44000000000005</v>
          </cell>
          <cell r="K51">
            <v>731.71</v>
          </cell>
          <cell r="L51">
            <v>754.02</v>
          </cell>
          <cell r="M51">
            <v>680.33</v>
          </cell>
          <cell r="N51">
            <v>538.96</v>
          </cell>
          <cell r="O51">
            <v>353.02</v>
          </cell>
          <cell r="P51">
            <v>148.91999999999999</v>
          </cell>
          <cell r="Q51">
            <v>134.52000000000001</v>
          </cell>
          <cell r="R51">
            <v>128.99</v>
          </cell>
          <cell r="S51">
            <v>121.13</v>
          </cell>
          <cell r="T51">
            <v>107.66</v>
          </cell>
          <cell r="U51">
            <v>87.07</v>
          </cell>
          <cell r="V51">
            <v>57.37</v>
          </cell>
          <cell r="W51">
            <v>14.8</v>
          </cell>
          <cell r="X51">
            <v>0</v>
          </cell>
          <cell r="Y51">
            <v>0</v>
          </cell>
          <cell r="Z51">
            <v>0</v>
          </cell>
          <cell r="AA51">
            <v>0</v>
          </cell>
        </row>
        <row r="52">
          <cell r="A52" t="str">
            <v>6_3</v>
          </cell>
          <cell r="B52" t="str">
            <v>Globalstrahlung Süd [W/m²]</v>
          </cell>
          <cell r="C52" t="str">
            <v>Lugano</v>
          </cell>
          <cell r="D52">
            <v>0</v>
          </cell>
          <cell r="E52">
            <v>0</v>
          </cell>
          <cell r="F52">
            <v>0</v>
          </cell>
          <cell r="G52">
            <v>0</v>
          </cell>
          <cell r="H52">
            <v>0</v>
          </cell>
          <cell r="I52">
            <v>12.48</v>
          </cell>
          <cell r="J52">
            <v>57</v>
          </cell>
          <cell r="K52">
            <v>93.73</v>
          </cell>
          <cell r="L52">
            <v>186.74</v>
          </cell>
          <cell r="M52">
            <v>317.83</v>
          </cell>
          <cell r="N52">
            <v>423.83</v>
          </cell>
          <cell r="O52">
            <v>492.42</v>
          </cell>
          <cell r="P52">
            <v>516.83000000000004</v>
          </cell>
          <cell r="Q52">
            <v>495.11</v>
          </cell>
          <cell r="R52">
            <v>428.96</v>
          </cell>
          <cell r="S52">
            <v>324.86</v>
          </cell>
          <cell r="T52">
            <v>194.78</v>
          </cell>
          <cell r="U52">
            <v>95.7</v>
          </cell>
          <cell r="V52">
            <v>59.38</v>
          </cell>
          <cell r="W52">
            <v>14.8</v>
          </cell>
          <cell r="X52">
            <v>0</v>
          </cell>
          <cell r="Y52">
            <v>0</v>
          </cell>
          <cell r="Z52">
            <v>0</v>
          </cell>
          <cell r="AA52">
            <v>0</v>
          </cell>
        </row>
        <row r="53">
          <cell r="A53" t="str">
            <v>6_4</v>
          </cell>
          <cell r="B53" t="str">
            <v>Globalstrahlung West [W/m²]</v>
          </cell>
          <cell r="C53" t="str">
            <v>Lugano</v>
          </cell>
          <cell r="D53">
            <v>0</v>
          </cell>
          <cell r="E53">
            <v>0</v>
          </cell>
          <cell r="F53">
            <v>0</v>
          </cell>
          <cell r="G53">
            <v>0</v>
          </cell>
          <cell r="H53">
            <v>0</v>
          </cell>
          <cell r="I53">
            <v>12.48</v>
          </cell>
          <cell r="J53">
            <v>55.25</v>
          </cell>
          <cell r="K53">
            <v>85.6</v>
          </cell>
          <cell r="L53">
            <v>106.67</v>
          </cell>
          <cell r="M53">
            <v>120.51</v>
          </cell>
          <cell r="N53">
            <v>128.66999999999999</v>
          </cell>
          <cell r="O53">
            <v>134.13</v>
          </cell>
          <cell r="P53">
            <v>142.6</v>
          </cell>
          <cell r="Q53">
            <v>341.37</v>
          </cell>
          <cell r="R53">
            <v>529.05999999999995</v>
          </cell>
          <cell r="S53">
            <v>673.71</v>
          </cell>
          <cell r="T53">
            <v>752</v>
          </cell>
          <cell r="U53">
            <v>737.38</v>
          </cell>
          <cell r="V53">
            <v>559.64</v>
          </cell>
          <cell r="W53">
            <v>140.94999999999999</v>
          </cell>
          <cell r="X53">
            <v>0.02</v>
          </cell>
          <cell r="Y53">
            <v>0</v>
          </cell>
          <cell r="Z53">
            <v>0</v>
          </cell>
          <cell r="AA53">
            <v>0</v>
          </cell>
        </row>
        <row r="54">
          <cell r="A54" t="str">
            <v>6_5</v>
          </cell>
          <cell r="B54" t="str">
            <v>Globalstrahlung Nord-Ost Ecksituation [W/m²]</v>
          </cell>
          <cell r="C54" t="str">
            <v>Lugano</v>
          </cell>
          <cell r="D54">
            <v>0</v>
          </cell>
          <cell r="E54">
            <v>0</v>
          </cell>
          <cell r="F54">
            <v>0</v>
          </cell>
          <cell r="G54">
            <v>0</v>
          </cell>
          <cell r="H54">
            <v>0</v>
          </cell>
          <cell r="I54">
            <v>88.65</v>
          </cell>
          <cell r="J54">
            <v>363.315</v>
          </cell>
          <cell r="K54">
            <v>437.745</v>
          </cell>
          <cell r="L54">
            <v>433.65</v>
          </cell>
          <cell r="M54">
            <v>401.48</v>
          </cell>
          <cell r="N54">
            <v>334.01</v>
          </cell>
          <cell r="O54">
            <v>242.73</v>
          </cell>
          <cell r="P54">
            <v>141.15</v>
          </cell>
          <cell r="Q54">
            <v>133.535</v>
          </cell>
          <cell r="R54">
            <v>129.16499999999999</v>
          </cell>
          <cell r="S54">
            <v>122.11</v>
          </cell>
          <cell r="T54">
            <v>110.78</v>
          </cell>
          <cell r="U54">
            <v>113.1</v>
          </cell>
          <cell r="V54">
            <v>121.16500000000001</v>
          </cell>
          <cell r="W54">
            <v>43.265000000000001</v>
          </cell>
          <cell r="X54">
            <v>5.0000000000000001E-3</v>
          </cell>
          <cell r="Y54">
            <v>0</v>
          </cell>
          <cell r="Z54">
            <v>0</v>
          </cell>
          <cell r="AA54">
            <v>0</v>
          </cell>
        </row>
        <row r="55">
          <cell r="A55" t="str">
            <v>6_6</v>
          </cell>
          <cell r="B55" t="str">
            <v>Globalstrahlung Süd-Ost Ecksituation [W/m²]</v>
          </cell>
          <cell r="C55" t="str">
            <v>Lugano</v>
          </cell>
          <cell r="D55">
            <v>0</v>
          </cell>
          <cell r="E55">
            <v>0</v>
          </cell>
          <cell r="F55">
            <v>0</v>
          </cell>
          <cell r="G55">
            <v>0</v>
          </cell>
          <cell r="H55">
            <v>0</v>
          </cell>
          <cell r="I55">
            <v>64.635000000000005</v>
          </cell>
          <cell r="J55">
            <v>299.72000000000003</v>
          </cell>
          <cell r="K55">
            <v>412.72</v>
          </cell>
          <cell r="L55">
            <v>470.38</v>
          </cell>
          <cell r="M55">
            <v>499.08</v>
          </cell>
          <cell r="N55">
            <v>481.39499999999998</v>
          </cell>
          <cell r="O55">
            <v>422.72</v>
          </cell>
          <cell r="P55">
            <v>332.875</v>
          </cell>
          <cell r="Q55">
            <v>314.815</v>
          </cell>
          <cell r="R55">
            <v>278.97500000000002</v>
          </cell>
          <cell r="S55">
            <v>222.995</v>
          </cell>
          <cell r="T55">
            <v>151.22</v>
          </cell>
          <cell r="U55">
            <v>91.385000000000005</v>
          </cell>
          <cell r="V55">
            <v>58.375</v>
          </cell>
          <cell r="W55">
            <v>14.8</v>
          </cell>
          <cell r="X55">
            <v>0</v>
          </cell>
          <cell r="Y55">
            <v>0</v>
          </cell>
          <cell r="Z55">
            <v>0</v>
          </cell>
          <cell r="AA55">
            <v>0</v>
          </cell>
        </row>
        <row r="56">
          <cell r="A56" t="str">
            <v>6_7</v>
          </cell>
          <cell r="B56" t="str">
            <v>Globalstrahlung Süd-West Ecksituation [W/m²]</v>
          </cell>
          <cell r="C56" t="str">
            <v>Lugano</v>
          </cell>
          <cell r="D56">
            <v>0</v>
          </cell>
          <cell r="E56">
            <v>0</v>
          </cell>
          <cell r="F56">
            <v>0</v>
          </cell>
          <cell r="G56">
            <v>0</v>
          </cell>
          <cell r="H56">
            <v>0</v>
          </cell>
          <cell r="I56">
            <v>12.48</v>
          </cell>
          <cell r="J56">
            <v>56.125</v>
          </cell>
          <cell r="K56">
            <v>89.665000000000006</v>
          </cell>
          <cell r="L56">
            <v>146.70500000000001</v>
          </cell>
          <cell r="M56">
            <v>219.17</v>
          </cell>
          <cell r="N56">
            <v>276.25</v>
          </cell>
          <cell r="O56">
            <v>313.27499999999998</v>
          </cell>
          <cell r="P56">
            <v>329.71499999999997</v>
          </cell>
          <cell r="Q56">
            <v>418.24</v>
          </cell>
          <cell r="R56">
            <v>479.01</v>
          </cell>
          <cell r="S56">
            <v>499.28500000000003</v>
          </cell>
          <cell r="T56">
            <v>473.39</v>
          </cell>
          <cell r="U56">
            <v>416.54</v>
          </cell>
          <cell r="V56">
            <v>309.51</v>
          </cell>
          <cell r="W56">
            <v>77.875</v>
          </cell>
          <cell r="X56">
            <v>0.01</v>
          </cell>
          <cell r="Y56">
            <v>0</v>
          </cell>
          <cell r="Z56">
            <v>0</v>
          </cell>
          <cell r="AA56">
            <v>0</v>
          </cell>
        </row>
        <row r="57">
          <cell r="A57" t="str">
            <v>6_8</v>
          </cell>
          <cell r="B57" t="str">
            <v>Globalstrahlung Nord-West Ecksituation [W/m²]</v>
          </cell>
          <cell r="C57" t="str">
            <v>Lugano</v>
          </cell>
          <cell r="D57">
            <v>0</v>
          </cell>
          <cell r="E57">
            <v>0</v>
          </cell>
          <cell r="F57">
            <v>0</v>
          </cell>
          <cell r="G57">
            <v>0</v>
          </cell>
          <cell r="H57">
            <v>0</v>
          </cell>
          <cell r="I57">
            <v>36.494999999999997</v>
          </cell>
          <cell r="J57">
            <v>119.72</v>
          </cell>
          <cell r="K57">
            <v>114.69</v>
          </cell>
          <cell r="L57">
            <v>109.97499999999999</v>
          </cell>
          <cell r="M57">
            <v>121.57</v>
          </cell>
          <cell r="N57">
            <v>128.86500000000001</v>
          </cell>
          <cell r="O57">
            <v>133.285</v>
          </cell>
          <cell r="P57">
            <v>137.99</v>
          </cell>
          <cell r="Q57">
            <v>236.96</v>
          </cell>
          <cell r="R57">
            <v>329.2</v>
          </cell>
          <cell r="S57">
            <v>398.4</v>
          </cell>
          <cell r="T57">
            <v>432.95</v>
          </cell>
          <cell r="U57">
            <v>438.255</v>
          </cell>
          <cell r="V57">
            <v>372.3</v>
          </cell>
          <cell r="W57">
            <v>106.34</v>
          </cell>
          <cell r="X57">
            <v>1.4999999999999999E-2</v>
          </cell>
          <cell r="Y57">
            <v>0</v>
          </cell>
          <cell r="Z57">
            <v>0</v>
          </cell>
          <cell r="AA57">
            <v>0</v>
          </cell>
        </row>
        <row r="58">
          <cell r="A58" t="str">
            <v>7_0</v>
          </cell>
          <cell r="B58" t="str">
            <v>Aussentemperatur [°C]</v>
          </cell>
          <cell r="C58" t="str">
            <v>Sion</v>
          </cell>
          <cell r="D58">
            <v>16.3432</v>
          </cell>
          <cell r="E58">
            <v>15.071999999999999</v>
          </cell>
          <cell r="F58">
            <v>14.2728</v>
          </cell>
          <cell r="G58">
            <v>14</v>
          </cell>
          <cell r="H58">
            <v>14.2728</v>
          </cell>
          <cell r="I58">
            <v>15.071999999999999</v>
          </cell>
          <cell r="J58">
            <v>16.3432</v>
          </cell>
          <cell r="K58">
            <v>18</v>
          </cell>
          <cell r="L58">
            <v>19.929600000000001</v>
          </cell>
          <cell r="M58">
            <v>22</v>
          </cell>
          <cell r="N58">
            <v>24.070399999999999</v>
          </cell>
          <cell r="O58">
            <v>26</v>
          </cell>
          <cell r="P58">
            <v>27.6568</v>
          </cell>
          <cell r="Q58">
            <v>28.928000000000001</v>
          </cell>
          <cell r="R58">
            <v>29.7272</v>
          </cell>
          <cell r="S58">
            <v>30</v>
          </cell>
          <cell r="T58">
            <v>29.7272</v>
          </cell>
          <cell r="U58">
            <v>28.928000000000001</v>
          </cell>
          <cell r="V58">
            <v>27.6568</v>
          </cell>
          <cell r="W58">
            <v>26</v>
          </cell>
          <cell r="X58">
            <v>24.070399999999999</v>
          </cell>
          <cell r="Y58">
            <v>22</v>
          </cell>
          <cell r="Z58">
            <v>19.929600000000001</v>
          </cell>
          <cell r="AA58">
            <v>18</v>
          </cell>
        </row>
        <row r="59">
          <cell r="A59" t="str">
            <v>7_1</v>
          </cell>
          <cell r="B59" t="str">
            <v>Globalstrahlung Nord [W/m²]</v>
          </cell>
          <cell r="C59" t="str">
            <v>Sion</v>
          </cell>
          <cell r="D59">
            <v>0</v>
          </cell>
          <cell r="E59">
            <v>0</v>
          </cell>
          <cell r="F59">
            <v>0</v>
          </cell>
          <cell r="G59">
            <v>0</v>
          </cell>
          <cell r="H59">
            <v>0</v>
          </cell>
          <cell r="I59">
            <v>46.93</v>
          </cell>
          <cell r="J59">
            <v>181.97</v>
          </cell>
          <cell r="K59">
            <v>150.21</v>
          </cell>
          <cell r="L59">
            <v>112.22</v>
          </cell>
          <cell r="M59">
            <v>121.81</v>
          </cell>
          <cell r="N59">
            <v>128.53</v>
          </cell>
          <cell r="O59">
            <v>132.19</v>
          </cell>
          <cell r="P59">
            <v>133.33000000000001</v>
          </cell>
          <cell r="Q59">
            <v>132.66999999999999</v>
          </cell>
          <cell r="R59">
            <v>129.69</v>
          </cell>
          <cell r="S59">
            <v>123.71</v>
          </cell>
          <cell r="T59">
            <v>114.78</v>
          </cell>
          <cell r="U59">
            <v>130.59</v>
          </cell>
          <cell r="V59">
            <v>183.13</v>
          </cell>
          <cell r="W59">
            <v>92.81</v>
          </cell>
          <cell r="X59">
            <v>0.18</v>
          </cell>
          <cell r="Y59">
            <v>0</v>
          </cell>
          <cell r="Z59">
            <v>0</v>
          </cell>
          <cell r="AA59">
            <v>0</v>
          </cell>
        </row>
        <row r="60">
          <cell r="A60" t="str">
            <v>7_2</v>
          </cell>
          <cell r="B60" t="str">
            <v>Globalstrahlung Ost [W/m²]</v>
          </cell>
          <cell r="C60" t="str">
            <v>Sion</v>
          </cell>
          <cell r="D60">
            <v>0</v>
          </cell>
          <cell r="E60">
            <v>0</v>
          </cell>
          <cell r="F60">
            <v>0</v>
          </cell>
          <cell r="G60">
            <v>0</v>
          </cell>
          <cell r="H60">
            <v>0</v>
          </cell>
          <cell r="I60">
            <v>88.67</v>
          </cell>
          <cell r="J60">
            <v>514.66</v>
          </cell>
          <cell r="K60">
            <v>721.87</v>
          </cell>
          <cell r="L60">
            <v>756.46</v>
          </cell>
          <cell r="M60">
            <v>690.14</v>
          </cell>
          <cell r="N60">
            <v>554.07000000000005</v>
          </cell>
          <cell r="O60">
            <v>371.14</v>
          </cell>
          <cell r="P60">
            <v>167.83</v>
          </cell>
          <cell r="Q60">
            <v>135.12</v>
          </cell>
          <cell r="R60">
            <v>129.43</v>
          </cell>
          <cell r="S60">
            <v>122.02</v>
          </cell>
          <cell r="T60">
            <v>109.14</v>
          </cell>
          <cell r="U60">
            <v>89.34</v>
          </cell>
          <cell r="V60">
            <v>60.04</v>
          </cell>
          <cell r="W60">
            <v>19.43</v>
          </cell>
          <cell r="X60">
            <v>0.03</v>
          </cell>
          <cell r="Y60">
            <v>0</v>
          </cell>
          <cell r="Z60">
            <v>0</v>
          </cell>
          <cell r="AA60">
            <v>0</v>
          </cell>
        </row>
        <row r="61">
          <cell r="A61" t="str">
            <v>7_3</v>
          </cell>
          <cell r="B61" t="str">
            <v>Globalstrahlung Süd [W/m²]</v>
          </cell>
          <cell r="C61" t="str">
            <v>Sion</v>
          </cell>
          <cell r="D61">
            <v>0</v>
          </cell>
          <cell r="E61">
            <v>0</v>
          </cell>
          <cell r="F61">
            <v>0</v>
          </cell>
          <cell r="G61">
            <v>0</v>
          </cell>
          <cell r="H61">
            <v>0</v>
          </cell>
          <cell r="I61">
            <v>9.7100000000000009</v>
          </cell>
          <cell r="J61">
            <v>53.36</v>
          </cell>
          <cell r="K61">
            <v>90.66</v>
          </cell>
          <cell r="L61">
            <v>174.96</v>
          </cell>
          <cell r="M61">
            <v>307.77999999999997</v>
          </cell>
          <cell r="N61">
            <v>416.94</v>
          </cell>
          <cell r="O61">
            <v>489.5</v>
          </cell>
          <cell r="P61">
            <v>518.17999999999995</v>
          </cell>
          <cell r="Q61">
            <v>500.66</v>
          </cell>
          <cell r="R61">
            <v>438.26</v>
          </cell>
          <cell r="S61">
            <v>337.02</v>
          </cell>
          <cell r="T61">
            <v>208.37</v>
          </cell>
          <cell r="U61">
            <v>98.66</v>
          </cell>
          <cell r="V61">
            <v>62.46</v>
          </cell>
          <cell r="W61">
            <v>19.45</v>
          </cell>
          <cell r="X61">
            <v>0.03</v>
          </cell>
          <cell r="Y61">
            <v>0</v>
          </cell>
          <cell r="Z61">
            <v>0</v>
          </cell>
          <cell r="AA61">
            <v>0</v>
          </cell>
        </row>
        <row r="62">
          <cell r="A62" t="str">
            <v>7_4</v>
          </cell>
          <cell r="B62" t="str">
            <v>Globalstrahlung West [W/m²]</v>
          </cell>
          <cell r="C62" t="str">
            <v>Sion</v>
          </cell>
          <cell r="D62">
            <v>0</v>
          </cell>
          <cell r="E62">
            <v>0</v>
          </cell>
          <cell r="F62">
            <v>0</v>
          </cell>
          <cell r="G62">
            <v>0</v>
          </cell>
          <cell r="H62">
            <v>0</v>
          </cell>
          <cell r="I62">
            <v>9.7100000000000009</v>
          </cell>
          <cell r="J62">
            <v>51.95</v>
          </cell>
          <cell r="K62">
            <v>83.24</v>
          </cell>
          <cell r="L62">
            <v>105.05</v>
          </cell>
          <cell r="M62">
            <v>119.44</v>
          </cell>
          <cell r="N62">
            <v>128.07</v>
          </cell>
          <cell r="O62">
            <v>133.5</v>
          </cell>
          <cell r="P62">
            <v>141.61000000000001</v>
          </cell>
          <cell r="Q62">
            <v>322.83</v>
          </cell>
          <cell r="R62">
            <v>513.04999999999995</v>
          </cell>
          <cell r="S62">
            <v>662.69</v>
          </cell>
          <cell r="T62">
            <v>748.09</v>
          </cell>
          <cell r="U62">
            <v>743.71</v>
          </cell>
          <cell r="V62">
            <v>579.73</v>
          </cell>
          <cell r="W62">
            <v>189.65</v>
          </cell>
          <cell r="X62">
            <v>0.28999999999999998</v>
          </cell>
          <cell r="Y62">
            <v>0</v>
          </cell>
          <cell r="Z62">
            <v>0</v>
          </cell>
          <cell r="AA62">
            <v>0</v>
          </cell>
        </row>
        <row r="63">
          <cell r="A63" t="str">
            <v>7_5</v>
          </cell>
          <cell r="B63" t="str">
            <v>Globalstrahlung Nord-Ost Ecksituation [W/m²]</v>
          </cell>
          <cell r="C63" t="str">
            <v>Sion</v>
          </cell>
          <cell r="D63">
            <v>0</v>
          </cell>
          <cell r="E63">
            <v>0</v>
          </cell>
          <cell r="F63">
            <v>0</v>
          </cell>
          <cell r="G63">
            <v>0</v>
          </cell>
          <cell r="H63">
            <v>0</v>
          </cell>
          <cell r="I63">
            <v>67.8</v>
          </cell>
          <cell r="J63">
            <v>348.315</v>
          </cell>
          <cell r="K63">
            <v>436.04</v>
          </cell>
          <cell r="L63">
            <v>434.34</v>
          </cell>
          <cell r="M63">
            <v>405.97500000000002</v>
          </cell>
          <cell r="N63">
            <v>341.3</v>
          </cell>
          <cell r="O63">
            <v>251.66499999999999</v>
          </cell>
          <cell r="P63">
            <v>150.58000000000001</v>
          </cell>
          <cell r="Q63">
            <v>133.89500000000001</v>
          </cell>
          <cell r="R63">
            <v>129.56</v>
          </cell>
          <cell r="S63">
            <v>122.86499999999999</v>
          </cell>
          <cell r="T63">
            <v>111.96</v>
          </cell>
          <cell r="U63">
            <v>109.965</v>
          </cell>
          <cell r="V63">
            <v>121.58499999999999</v>
          </cell>
          <cell r="W63">
            <v>56.12</v>
          </cell>
          <cell r="X63">
            <v>0.105</v>
          </cell>
          <cell r="Y63">
            <v>0</v>
          </cell>
          <cell r="Z63">
            <v>0</v>
          </cell>
          <cell r="AA63">
            <v>0</v>
          </cell>
        </row>
        <row r="64">
          <cell r="A64" t="str">
            <v>7_6</v>
          </cell>
          <cell r="B64" t="str">
            <v>Globalstrahlung Süd-Ost Ecksituation [W/m²]</v>
          </cell>
          <cell r="C64" t="str">
            <v>Sion</v>
          </cell>
          <cell r="D64">
            <v>0</v>
          </cell>
          <cell r="E64">
            <v>0</v>
          </cell>
          <cell r="F64">
            <v>0</v>
          </cell>
          <cell r="G64">
            <v>0</v>
          </cell>
          <cell r="H64">
            <v>0</v>
          </cell>
          <cell r="I64">
            <v>49.19</v>
          </cell>
          <cell r="J64">
            <v>284.01</v>
          </cell>
          <cell r="K64">
            <v>406.26499999999999</v>
          </cell>
          <cell r="L64">
            <v>465.71</v>
          </cell>
          <cell r="M64">
            <v>498.96</v>
          </cell>
          <cell r="N64">
            <v>485.505</v>
          </cell>
          <cell r="O64">
            <v>430.32</v>
          </cell>
          <cell r="P64">
            <v>343.005</v>
          </cell>
          <cell r="Q64">
            <v>317.89</v>
          </cell>
          <cell r="R64">
            <v>283.84500000000003</v>
          </cell>
          <cell r="S64">
            <v>229.52</v>
          </cell>
          <cell r="T64">
            <v>158.755</v>
          </cell>
          <cell r="U64">
            <v>94</v>
          </cell>
          <cell r="V64">
            <v>61.25</v>
          </cell>
          <cell r="W64">
            <v>19.440000000000001</v>
          </cell>
          <cell r="X64">
            <v>0.03</v>
          </cell>
          <cell r="Y64">
            <v>0</v>
          </cell>
          <cell r="Z64">
            <v>0</v>
          </cell>
          <cell r="AA64">
            <v>0</v>
          </cell>
        </row>
        <row r="65">
          <cell r="A65" t="str">
            <v>7_7</v>
          </cell>
          <cell r="B65" t="str">
            <v>Globalstrahlung Süd-West Ecksituation [W/m²]</v>
          </cell>
          <cell r="C65" t="str">
            <v>Sion</v>
          </cell>
          <cell r="D65">
            <v>0</v>
          </cell>
          <cell r="E65">
            <v>0</v>
          </cell>
          <cell r="F65">
            <v>0</v>
          </cell>
          <cell r="G65">
            <v>0</v>
          </cell>
          <cell r="H65">
            <v>0</v>
          </cell>
          <cell r="I65">
            <v>9.7100000000000009</v>
          </cell>
          <cell r="J65">
            <v>52.655000000000001</v>
          </cell>
          <cell r="K65">
            <v>86.95</v>
          </cell>
          <cell r="L65">
            <v>140.005</v>
          </cell>
          <cell r="M65">
            <v>213.61</v>
          </cell>
          <cell r="N65">
            <v>272.505</v>
          </cell>
          <cell r="O65">
            <v>311.5</v>
          </cell>
          <cell r="P65">
            <v>329.89499999999998</v>
          </cell>
          <cell r="Q65">
            <v>411.745</v>
          </cell>
          <cell r="R65">
            <v>475.65499999999997</v>
          </cell>
          <cell r="S65">
            <v>499.85500000000002</v>
          </cell>
          <cell r="T65">
            <v>478.23</v>
          </cell>
          <cell r="U65">
            <v>421.185</v>
          </cell>
          <cell r="V65">
            <v>321.09500000000003</v>
          </cell>
          <cell r="W65">
            <v>104.55</v>
          </cell>
          <cell r="X65">
            <v>0.16</v>
          </cell>
          <cell r="Y65">
            <v>0</v>
          </cell>
          <cell r="Z65">
            <v>0</v>
          </cell>
          <cell r="AA65">
            <v>0</v>
          </cell>
        </row>
        <row r="66">
          <cell r="A66" t="str">
            <v>7_8</v>
          </cell>
          <cell r="B66" t="str">
            <v>Globalstrahlung Nord-West Ecksituation [W/m²]</v>
          </cell>
          <cell r="C66" t="str">
            <v>Sion</v>
          </cell>
          <cell r="D66">
            <v>0</v>
          </cell>
          <cell r="E66">
            <v>0</v>
          </cell>
          <cell r="F66">
            <v>0</v>
          </cell>
          <cell r="G66">
            <v>0</v>
          </cell>
          <cell r="H66">
            <v>0</v>
          </cell>
          <cell r="I66">
            <v>28.32</v>
          </cell>
          <cell r="J66">
            <v>116.96</v>
          </cell>
          <cell r="K66">
            <v>116.72499999999999</v>
          </cell>
          <cell r="L66">
            <v>108.63500000000001</v>
          </cell>
          <cell r="M66">
            <v>120.625</v>
          </cell>
          <cell r="N66">
            <v>128.30000000000001</v>
          </cell>
          <cell r="O66">
            <v>132.845</v>
          </cell>
          <cell r="P66">
            <v>137.47</v>
          </cell>
          <cell r="Q66">
            <v>227.75</v>
          </cell>
          <cell r="R66">
            <v>321.37</v>
          </cell>
          <cell r="S66">
            <v>393.2</v>
          </cell>
          <cell r="T66">
            <v>431.435</v>
          </cell>
          <cell r="U66">
            <v>437.15</v>
          </cell>
          <cell r="V66">
            <v>381.43</v>
          </cell>
          <cell r="W66">
            <v>141.22999999999999</v>
          </cell>
          <cell r="X66">
            <v>0.23499999999999999</v>
          </cell>
          <cell r="Y66">
            <v>0</v>
          </cell>
          <cell r="Z66">
            <v>0</v>
          </cell>
          <cell r="AA66">
            <v>0</v>
          </cell>
        </row>
        <row r="67">
          <cell r="A67" t="str">
            <v>8_0</v>
          </cell>
          <cell r="B67" t="str">
            <v>Aussentemperatur [°C]</v>
          </cell>
          <cell r="C67" t="str">
            <v>St-Gallen</v>
          </cell>
          <cell r="D67">
            <v>16.0503</v>
          </cell>
          <cell r="E67">
            <v>14.937999999999999</v>
          </cell>
          <cell r="F67">
            <v>14.2387</v>
          </cell>
          <cell r="G67">
            <v>14</v>
          </cell>
          <cell r="H67">
            <v>14.2387</v>
          </cell>
          <cell r="I67">
            <v>14.937999999999999</v>
          </cell>
          <cell r="J67">
            <v>16.0503</v>
          </cell>
          <cell r="K67">
            <v>17.5</v>
          </cell>
          <cell r="L67">
            <v>19.188400000000001</v>
          </cell>
          <cell r="M67">
            <v>21</v>
          </cell>
          <cell r="N67">
            <v>22.811599999999999</v>
          </cell>
          <cell r="O67">
            <v>24.5</v>
          </cell>
          <cell r="P67">
            <v>25.9497</v>
          </cell>
          <cell r="Q67">
            <v>27.062000000000001</v>
          </cell>
          <cell r="R67">
            <v>27.761299999999999</v>
          </cell>
          <cell r="S67">
            <v>28</v>
          </cell>
          <cell r="T67">
            <v>27.761299999999999</v>
          </cell>
          <cell r="U67">
            <v>27.062000000000001</v>
          </cell>
          <cell r="V67">
            <v>25.9497</v>
          </cell>
          <cell r="W67">
            <v>24.5</v>
          </cell>
          <cell r="X67">
            <v>22.811599999999999</v>
          </cell>
          <cell r="Y67">
            <v>21</v>
          </cell>
          <cell r="Z67">
            <v>19.188400000000001</v>
          </cell>
          <cell r="AA67">
            <v>17.5</v>
          </cell>
        </row>
        <row r="68">
          <cell r="A68" t="str">
            <v>8_1</v>
          </cell>
          <cell r="B68" t="str">
            <v>Globalstrahlung Nord [W/m²]</v>
          </cell>
          <cell r="C68" t="str">
            <v>St-Gallen</v>
          </cell>
          <cell r="D68">
            <v>0</v>
          </cell>
          <cell r="E68">
            <v>0</v>
          </cell>
          <cell r="F68">
            <v>0</v>
          </cell>
          <cell r="G68">
            <v>0</v>
          </cell>
          <cell r="H68">
            <v>0.08</v>
          </cell>
          <cell r="I68">
            <v>81.709999999999994</v>
          </cell>
          <cell r="J68">
            <v>184.96</v>
          </cell>
          <cell r="K68">
            <v>134.36000000000001</v>
          </cell>
          <cell r="L68">
            <v>113.02</v>
          </cell>
          <cell r="M68">
            <v>122.19</v>
          </cell>
          <cell r="N68">
            <v>128.61000000000001</v>
          </cell>
          <cell r="O68">
            <v>132.08000000000001</v>
          </cell>
          <cell r="P68">
            <v>133.01</v>
          </cell>
          <cell r="Q68">
            <v>132.02000000000001</v>
          </cell>
          <cell r="R68">
            <v>128.46</v>
          </cell>
          <cell r="S68">
            <v>121.95</v>
          </cell>
          <cell r="T68">
            <v>112.71</v>
          </cell>
          <cell r="U68">
            <v>136.84</v>
          </cell>
          <cell r="V68">
            <v>184.83</v>
          </cell>
          <cell r="W68">
            <v>75.37</v>
          </cell>
          <cell r="X68">
            <v>0.04</v>
          </cell>
          <cell r="Y68">
            <v>0</v>
          </cell>
          <cell r="Z68">
            <v>0</v>
          </cell>
          <cell r="AA68">
            <v>0</v>
          </cell>
        </row>
        <row r="69">
          <cell r="A69" t="str">
            <v>8_2</v>
          </cell>
          <cell r="B69" t="str">
            <v>Globalstrahlung Ost [W/m²]</v>
          </cell>
          <cell r="C69" t="str">
            <v>St-Gallen</v>
          </cell>
          <cell r="D69">
            <v>0</v>
          </cell>
          <cell r="E69">
            <v>0</v>
          </cell>
          <cell r="F69">
            <v>0</v>
          </cell>
          <cell r="G69">
            <v>0</v>
          </cell>
          <cell r="H69">
            <v>0.12</v>
          </cell>
          <cell r="I69">
            <v>160.41</v>
          </cell>
          <cell r="J69">
            <v>564.16</v>
          </cell>
          <cell r="K69">
            <v>737.13</v>
          </cell>
          <cell r="L69">
            <v>751.54</v>
          </cell>
          <cell r="M69">
            <v>673.91</v>
          </cell>
          <cell r="N69">
            <v>530.20000000000005</v>
          </cell>
          <cell r="O69">
            <v>343.37</v>
          </cell>
          <cell r="P69">
            <v>142.38999999999999</v>
          </cell>
          <cell r="Q69">
            <v>133.79</v>
          </cell>
          <cell r="R69">
            <v>128.22999999999999</v>
          </cell>
          <cell r="S69">
            <v>120.19</v>
          </cell>
          <cell r="T69">
            <v>106.66</v>
          </cell>
          <cell r="U69">
            <v>86.18</v>
          </cell>
          <cell r="V69">
            <v>56.9</v>
          </cell>
          <cell r="W69">
            <v>15.34</v>
          </cell>
          <cell r="X69">
            <v>0.01</v>
          </cell>
          <cell r="Y69">
            <v>0</v>
          </cell>
          <cell r="Z69">
            <v>0</v>
          </cell>
          <cell r="AA69">
            <v>0</v>
          </cell>
        </row>
        <row r="70">
          <cell r="A70" t="str">
            <v>8_3</v>
          </cell>
          <cell r="B70" t="str">
            <v>Globalstrahlung Süd [W/m²]</v>
          </cell>
          <cell r="C70" t="str">
            <v>St-Gallen</v>
          </cell>
          <cell r="D70">
            <v>0</v>
          </cell>
          <cell r="E70">
            <v>0</v>
          </cell>
          <cell r="F70">
            <v>0</v>
          </cell>
          <cell r="G70">
            <v>0</v>
          </cell>
          <cell r="H70">
            <v>0.01</v>
          </cell>
          <cell r="I70">
            <v>16.71</v>
          </cell>
          <cell r="J70">
            <v>60.02</v>
          </cell>
          <cell r="K70">
            <v>95.84</v>
          </cell>
          <cell r="L70">
            <v>202.02</v>
          </cell>
          <cell r="M70">
            <v>335.04</v>
          </cell>
          <cell r="N70">
            <v>441.84</v>
          </cell>
          <cell r="O70">
            <v>510.1</v>
          </cell>
          <cell r="P70">
            <v>532.95000000000005</v>
          </cell>
          <cell r="Q70">
            <v>508.72</v>
          </cell>
          <cell r="R70">
            <v>439.19</v>
          </cell>
          <cell r="S70">
            <v>331.41</v>
          </cell>
          <cell r="T70">
            <v>197.88</v>
          </cell>
          <cell r="U70">
            <v>94.86</v>
          </cell>
          <cell r="V70">
            <v>58.85</v>
          </cell>
          <cell r="W70">
            <v>15.34</v>
          </cell>
          <cell r="X70">
            <v>0.01</v>
          </cell>
          <cell r="Y70">
            <v>0</v>
          </cell>
          <cell r="Z70">
            <v>0</v>
          </cell>
          <cell r="AA70">
            <v>0</v>
          </cell>
        </row>
        <row r="71">
          <cell r="A71" t="str">
            <v>8_4</v>
          </cell>
          <cell r="B71" t="str">
            <v>Globalstrahlung West [W/m²]</v>
          </cell>
          <cell r="C71" t="str">
            <v>St-Gallen</v>
          </cell>
          <cell r="D71">
            <v>0</v>
          </cell>
          <cell r="E71">
            <v>0</v>
          </cell>
          <cell r="F71">
            <v>0</v>
          </cell>
          <cell r="G71">
            <v>0</v>
          </cell>
          <cell r="H71">
            <v>0.01</v>
          </cell>
          <cell r="I71">
            <v>16.71</v>
          </cell>
          <cell r="J71">
            <v>57.94</v>
          </cell>
          <cell r="K71">
            <v>86.91</v>
          </cell>
          <cell r="L71">
            <v>107.15</v>
          </cell>
          <cell r="M71">
            <v>120.5</v>
          </cell>
          <cell r="N71">
            <v>128.4</v>
          </cell>
          <cell r="O71">
            <v>134</v>
          </cell>
          <cell r="P71">
            <v>145.58000000000001</v>
          </cell>
          <cell r="Q71">
            <v>349.24</v>
          </cell>
          <cell r="R71">
            <v>535.19000000000005</v>
          </cell>
          <cell r="S71">
            <v>677.26</v>
          </cell>
          <cell r="T71">
            <v>752.59</v>
          </cell>
          <cell r="U71">
            <v>734.38</v>
          </cell>
          <cell r="V71">
            <v>555.87</v>
          </cell>
          <cell r="W71">
            <v>146.13</v>
          </cell>
          <cell r="X71">
            <v>0.06</v>
          </cell>
          <cell r="Y71">
            <v>0</v>
          </cell>
          <cell r="Z71">
            <v>0</v>
          </cell>
          <cell r="AA71">
            <v>0</v>
          </cell>
        </row>
        <row r="72">
          <cell r="A72" t="str">
            <v>8_5</v>
          </cell>
          <cell r="B72" t="str">
            <v>Globalstrahlung Nord-Ost Ecksituation [W/m²]</v>
          </cell>
          <cell r="C72" t="str">
            <v>St-Gallen</v>
          </cell>
          <cell r="D72">
            <v>0</v>
          </cell>
          <cell r="E72">
            <v>0</v>
          </cell>
          <cell r="F72">
            <v>0</v>
          </cell>
          <cell r="G72">
            <v>0</v>
          </cell>
          <cell r="H72">
            <v>0.1</v>
          </cell>
          <cell r="I72">
            <v>121.06</v>
          </cell>
          <cell r="J72">
            <v>374.56</v>
          </cell>
          <cell r="K72">
            <v>435.745</v>
          </cell>
          <cell r="L72">
            <v>432.28</v>
          </cell>
          <cell r="M72">
            <v>398.05</v>
          </cell>
          <cell r="N72">
            <v>329.40499999999997</v>
          </cell>
          <cell r="O72">
            <v>237.72499999999999</v>
          </cell>
          <cell r="P72">
            <v>137.69999999999999</v>
          </cell>
          <cell r="Q72">
            <v>132.905</v>
          </cell>
          <cell r="R72">
            <v>128.345</v>
          </cell>
          <cell r="S72">
            <v>121.07</v>
          </cell>
          <cell r="T72">
            <v>109.685</v>
          </cell>
          <cell r="U72">
            <v>111.51</v>
          </cell>
          <cell r="V72">
            <v>120.86499999999999</v>
          </cell>
          <cell r="W72">
            <v>45.354999999999997</v>
          </cell>
          <cell r="X72">
            <v>2.5000000000000001E-2</v>
          </cell>
          <cell r="Y72">
            <v>0</v>
          </cell>
          <cell r="Z72">
            <v>0</v>
          </cell>
          <cell r="AA72">
            <v>0</v>
          </cell>
        </row>
        <row r="73">
          <cell r="A73" t="str">
            <v>8_6</v>
          </cell>
          <cell r="B73" t="str">
            <v>Globalstrahlung Süd-Ost Ecksituation [W/m²]</v>
          </cell>
          <cell r="C73" t="str">
            <v>St-Gallen</v>
          </cell>
          <cell r="D73">
            <v>0</v>
          </cell>
          <cell r="E73">
            <v>0</v>
          </cell>
          <cell r="F73">
            <v>0</v>
          </cell>
          <cell r="G73">
            <v>0</v>
          </cell>
          <cell r="H73">
            <v>6.5000000000000002E-2</v>
          </cell>
          <cell r="I73">
            <v>88.56</v>
          </cell>
          <cell r="J73">
            <v>312.08999999999997</v>
          </cell>
          <cell r="K73">
            <v>416.48500000000001</v>
          </cell>
          <cell r="L73">
            <v>476.78</v>
          </cell>
          <cell r="M73">
            <v>504.47500000000002</v>
          </cell>
          <cell r="N73">
            <v>486.02</v>
          </cell>
          <cell r="O73">
            <v>426.73500000000001</v>
          </cell>
          <cell r="P73">
            <v>337.67</v>
          </cell>
          <cell r="Q73">
            <v>321.255</v>
          </cell>
          <cell r="R73">
            <v>283.70999999999998</v>
          </cell>
          <cell r="S73">
            <v>225.8</v>
          </cell>
          <cell r="T73">
            <v>152.27000000000001</v>
          </cell>
          <cell r="U73">
            <v>90.52</v>
          </cell>
          <cell r="V73">
            <v>57.875</v>
          </cell>
          <cell r="W73">
            <v>15.34</v>
          </cell>
          <cell r="X73">
            <v>0.01</v>
          </cell>
          <cell r="Y73">
            <v>0</v>
          </cell>
          <cell r="Z73">
            <v>0</v>
          </cell>
          <cell r="AA73">
            <v>0</v>
          </cell>
        </row>
        <row r="74">
          <cell r="A74" t="str">
            <v>8_7</v>
          </cell>
          <cell r="B74" t="str">
            <v>Globalstrahlung Süd-West Ecksituation [W/m²]</v>
          </cell>
          <cell r="C74" t="str">
            <v>St-Gallen</v>
          </cell>
          <cell r="D74">
            <v>0</v>
          </cell>
          <cell r="E74">
            <v>0</v>
          </cell>
          <cell r="F74">
            <v>0</v>
          </cell>
          <cell r="G74">
            <v>0</v>
          </cell>
          <cell r="H74">
            <v>0.01</v>
          </cell>
          <cell r="I74">
            <v>16.71</v>
          </cell>
          <cell r="J74">
            <v>58.98</v>
          </cell>
          <cell r="K74">
            <v>91.375</v>
          </cell>
          <cell r="L74">
            <v>154.58500000000001</v>
          </cell>
          <cell r="M74">
            <v>227.77</v>
          </cell>
          <cell r="N74">
            <v>285.12</v>
          </cell>
          <cell r="O74">
            <v>322.05</v>
          </cell>
          <cell r="P74">
            <v>339.26499999999999</v>
          </cell>
          <cell r="Q74">
            <v>428.98</v>
          </cell>
          <cell r="R74">
            <v>487.19</v>
          </cell>
          <cell r="S74">
            <v>504.33499999999998</v>
          </cell>
          <cell r="T74">
            <v>475.23500000000001</v>
          </cell>
          <cell r="U74">
            <v>414.62</v>
          </cell>
          <cell r="V74">
            <v>307.36</v>
          </cell>
          <cell r="W74">
            <v>80.734999999999999</v>
          </cell>
          <cell r="X74">
            <v>3.5000000000000003E-2</v>
          </cell>
          <cell r="Y74">
            <v>0</v>
          </cell>
          <cell r="Z74">
            <v>0</v>
          </cell>
          <cell r="AA74">
            <v>0</v>
          </cell>
        </row>
        <row r="75">
          <cell r="A75" t="str">
            <v>8_8</v>
          </cell>
          <cell r="B75" t="str">
            <v>Globalstrahlung Nord-West Ecksituation [W/m²]</v>
          </cell>
          <cell r="C75" t="str">
            <v>St-Gallen</v>
          </cell>
          <cell r="D75">
            <v>0</v>
          </cell>
          <cell r="E75">
            <v>0</v>
          </cell>
          <cell r="F75">
            <v>0</v>
          </cell>
          <cell r="G75">
            <v>0</v>
          </cell>
          <cell r="H75">
            <v>4.4999999999999998E-2</v>
          </cell>
          <cell r="I75">
            <v>49.21</v>
          </cell>
          <cell r="J75">
            <v>121.45</v>
          </cell>
          <cell r="K75">
            <v>110.63500000000001</v>
          </cell>
          <cell r="L75">
            <v>110.08499999999999</v>
          </cell>
          <cell r="M75">
            <v>121.345</v>
          </cell>
          <cell r="N75">
            <v>128.505</v>
          </cell>
          <cell r="O75">
            <v>133.04</v>
          </cell>
          <cell r="P75">
            <v>139.29499999999999</v>
          </cell>
          <cell r="Q75">
            <v>240.63</v>
          </cell>
          <cell r="R75">
            <v>331.82499999999999</v>
          </cell>
          <cell r="S75">
            <v>399.60500000000002</v>
          </cell>
          <cell r="T75">
            <v>432.65</v>
          </cell>
          <cell r="U75">
            <v>435.61</v>
          </cell>
          <cell r="V75">
            <v>370.35</v>
          </cell>
          <cell r="W75">
            <v>110.75</v>
          </cell>
          <cell r="X75">
            <v>0.05</v>
          </cell>
          <cell r="Y75">
            <v>0</v>
          </cell>
          <cell r="Z75">
            <v>0</v>
          </cell>
          <cell r="AA75">
            <v>0</v>
          </cell>
        </row>
        <row r="77">
          <cell r="A77" t="str">
            <v>Mittlere Solarstrahlung pro Tag (Klimadaten gemäss DOE 2.1); Auslegungstemp. (gemäss SIA 382/2, 384)</v>
          </cell>
        </row>
        <row r="78">
          <cell r="C78" t="str">
            <v>Kloten</v>
          </cell>
          <cell r="D78" t="str">
            <v>Basel</v>
          </cell>
          <cell r="E78" t="str">
            <v>Bern</v>
          </cell>
          <cell r="F78" t="str">
            <v>Chur</v>
          </cell>
          <cell r="G78" t="str">
            <v>Genf</v>
          </cell>
          <cell r="H78" t="str">
            <v>Lugano</v>
          </cell>
          <cell r="I78" t="str">
            <v>Sion</v>
          </cell>
          <cell r="J78" t="str">
            <v>St-Gallen</v>
          </cell>
        </row>
        <row r="79">
          <cell r="A79" t="str">
            <v>Index</v>
          </cell>
          <cell r="B79">
            <v>0</v>
          </cell>
          <cell r="C79">
            <v>1</v>
          </cell>
          <cell r="D79">
            <v>2</v>
          </cell>
          <cell r="E79">
            <v>3</v>
          </cell>
          <cell r="F79">
            <v>4</v>
          </cell>
          <cell r="G79">
            <v>5</v>
          </cell>
          <cell r="H79">
            <v>6</v>
          </cell>
          <cell r="I79">
            <v>7</v>
          </cell>
          <cell r="J79">
            <v>8</v>
          </cell>
        </row>
        <row r="80">
          <cell r="A80">
            <v>1</v>
          </cell>
          <cell r="B80" t="str">
            <v>Globalstrahlung Nord [Wh/m²d]</v>
          </cell>
          <cell r="C80">
            <v>815.8498410958905</v>
          </cell>
          <cell r="D80">
            <v>813.01898082191883</v>
          </cell>
          <cell r="E80">
            <v>820.94597260274122</v>
          </cell>
          <cell r="F80">
            <v>817.12975342465734</v>
          </cell>
          <cell r="G80">
            <v>850.57196712328721</v>
          </cell>
          <cell r="H80">
            <v>814.51414794520588</v>
          </cell>
          <cell r="I80">
            <v>874.95064109589293</v>
          </cell>
          <cell r="J80">
            <v>800.11224109588898</v>
          </cell>
        </row>
        <row r="81">
          <cell r="A81">
            <v>2</v>
          </cell>
          <cell r="B81" t="str">
            <v>Globalstrahlung Ost [Wh/m²d]</v>
          </cell>
          <cell r="C81">
            <v>1766.4458082191761</v>
          </cell>
          <cell r="D81">
            <v>1746.5022465753436</v>
          </cell>
          <cell r="E81">
            <v>1853.1336986301371</v>
          </cell>
          <cell r="F81">
            <v>1861.5641917808268</v>
          </cell>
          <cell r="G81">
            <v>1894.2100821917759</v>
          </cell>
          <cell r="H81">
            <v>1804.3330410958979</v>
          </cell>
          <cell r="I81">
            <v>2088.8675890410968</v>
          </cell>
          <cell r="J81">
            <v>1836.0784931506882</v>
          </cell>
        </row>
        <row r="82">
          <cell r="A82">
            <v>3</v>
          </cell>
          <cell r="B82" t="str">
            <v>Globalstrahlung Süd [Wh/m²d]</v>
          </cell>
          <cell r="C82">
            <v>2400.7969315068494</v>
          </cell>
          <cell r="D82">
            <v>2426.3883287671324</v>
          </cell>
          <cell r="E82">
            <v>2501.6321643835554</v>
          </cell>
          <cell r="F82">
            <v>2845.2807671232858</v>
          </cell>
          <cell r="G82">
            <v>2603.4699178082187</v>
          </cell>
          <cell r="H82">
            <v>2669.3411506849297</v>
          </cell>
          <cell r="I82">
            <v>3013.9623561643753</v>
          </cell>
          <cell r="J82">
            <v>2545.1698904109649</v>
          </cell>
        </row>
        <row r="83">
          <cell r="A83">
            <v>4</v>
          </cell>
          <cell r="B83" t="str">
            <v>Globalstrahlung West [Wh/m²d]</v>
          </cell>
          <cell r="C83">
            <v>1914.0474246575357</v>
          </cell>
          <cell r="D83">
            <v>1885.2110958904027</v>
          </cell>
          <cell r="E83">
            <v>1806.4930136986309</v>
          </cell>
          <cell r="F83">
            <v>1871.3254246575423</v>
          </cell>
          <cell r="G83">
            <v>1978.3458082191803</v>
          </cell>
          <cell r="H83">
            <v>1873.4339178082187</v>
          </cell>
          <cell r="I83">
            <v>2085.0112328767141</v>
          </cell>
          <cell r="J83">
            <v>1884.5432876712302</v>
          </cell>
        </row>
        <row r="84">
          <cell r="A84">
            <v>5</v>
          </cell>
          <cell r="B84" t="str">
            <v>Globalstrahlung Nord-Ost Ecksituation [Wh/m²d]</v>
          </cell>
          <cell r="C84">
            <v>1291.1478246575334</v>
          </cell>
          <cell r="D84">
            <v>1279.7606136986312</v>
          </cell>
          <cell r="E84">
            <v>1337.0398356164392</v>
          </cell>
          <cell r="F84">
            <v>1339.346972602742</v>
          </cell>
          <cell r="G84">
            <v>1372.3910246575315</v>
          </cell>
          <cell r="H84">
            <v>1309.4235945205519</v>
          </cell>
          <cell r="I84">
            <v>1481.9091150684949</v>
          </cell>
          <cell r="J84">
            <v>1318.0953671232887</v>
          </cell>
        </row>
        <row r="85">
          <cell r="A85">
            <v>6</v>
          </cell>
          <cell r="B85" t="str">
            <v>Globalstrahlung Süd-Ost Ecksituation [Wh/m²d]</v>
          </cell>
          <cell r="C85">
            <v>2083.6213698630127</v>
          </cell>
          <cell r="D85">
            <v>2086.445287671238</v>
          </cell>
          <cell r="E85">
            <v>2177.382931506846</v>
          </cell>
          <cell r="F85">
            <v>2353.4224794520565</v>
          </cell>
          <cell r="G85">
            <v>2248.8399999999974</v>
          </cell>
          <cell r="H85">
            <v>2236.8370958904138</v>
          </cell>
          <cell r="I85">
            <v>2551.4149726027363</v>
          </cell>
          <cell r="J85">
            <v>2190.6241917808265</v>
          </cell>
        </row>
        <row r="86">
          <cell r="A86">
            <v>7</v>
          </cell>
          <cell r="B86" t="str">
            <v>Globalstrahlung Süd-West Ecksituation [Wh/m²d]</v>
          </cell>
          <cell r="C86">
            <v>2157.4221780821927</v>
          </cell>
          <cell r="D86">
            <v>2155.7997123287678</v>
          </cell>
          <cell r="E86">
            <v>2154.0625890410929</v>
          </cell>
          <cell r="F86">
            <v>2358.3030958904142</v>
          </cell>
          <cell r="G86">
            <v>2290.9078630136996</v>
          </cell>
          <cell r="H86">
            <v>2271.3875342465744</v>
          </cell>
          <cell r="I86">
            <v>2549.4867945205447</v>
          </cell>
          <cell r="J86">
            <v>2214.8565890410973</v>
          </cell>
        </row>
        <row r="87">
          <cell r="A87">
            <v>8</v>
          </cell>
          <cell r="B87" t="str">
            <v>Globalstrahlung Nord-West Ecksituation [Wh/m²d]</v>
          </cell>
          <cell r="C87">
            <v>1364.948632876713</v>
          </cell>
          <cell r="D87">
            <v>1349.1150383561608</v>
          </cell>
          <cell r="E87">
            <v>1313.719493150686</v>
          </cell>
          <cell r="F87">
            <v>1344.2275890410997</v>
          </cell>
          <cell r="G87">
            <v>1414.4588876712337</v>
          </cell>
          <cell r="H87">
            <v>1343.9740328767123</v>
          </cell>
          <cell r="I87">
            <v>1479.9809369863035</v>
          </cell>
          <cell r="J87">
            <v>1342.3277643835595</v>
          </cell>
        </row>
        <row r="88">
          <cell r="A88">
            <v>9</v>
          </cell>
          <cell r="B88" t="str">
            <v>Auslegungstemperatur Sommer [°C]</v>
          </cell>
          <cell r="C88">
            <v>30</v>
          </cell>
          <cell r="D88">
            <v>30</v>
          </cell>
          <cell r="E88">
            <v>30</v>
          </cell>
          <cell r="F88">
            <v>30</v>
          </cell>
          <cell r="G88">
            <v>30</v>
          </cell>
          <cell r="H88">
            <v>30</v>
          </cell>
          <cell r="I88">
            <v>30</v>
          </cell>
          <cell r="J88">
            <v>28</v>
          </cell>
        </row>
        <row r="89">
          <cell r="A89">
            <v>10</v>
          </cell>
          <cell r="B89" t="str">
            <v>Auslegungstemperatur Winter [°C]</v>
          </cell>
          <cell r="C89">
            <v>-8</v>
          </cell>
          <cell r="D89">
            <v>-8</v>
          </cell>
          <cell r="E89">
            <v>-8</v>
          </cell>
          <cell r="F89">
            <v>-10</v>
          </cell>
          <cell r="G89">
            <v>-8</v>
          </cell>
          <cell r="H89">
            <v>-8</v>
          </cell>
          <cell r="I89">
            <v>-8</v>
          </cell>
          <cell r="J89">
            <v>-10</v>
          </cell>
        </row>
        <row r="90">
          <cell r="A90">
            <v>11</v>
          </cell>
          <cell r="B90" t="str">
            <v>Auslegungsenthalpie Aussenluft [kJ/kg]</v>
          </cell>
          <cell r="C90">
            <v>60</v>
          </cell>
          <cell r="D90">
            <v>62</v>
          </cell>
          <cell r="E90">
            <v>60</v>
          </cell>
          <cell r="F90">
            <v>58</v>
          </cell>
          <cell r="G90">
            <v>59</v>
          </cell>
          <cell r="H90">
            <v>68</v>
          </cell>
          <cell r="I90">
            <v>61</v>
          </cell>
          <cell r="J90">
            <v>59</v>
          </cell>
        </row>
        <row r="91">
          <cell r="A91">
            <v>12</v>
          </cell>
          <cell r="B91" t="str">
            <v>Vollaststunden Tag Aussenluftkühlung auf 50 kJ/kg</v>
          </cell>
          <cell r="C91">
            <v>140</v>
          </cell>
          <cell r="D91">
            <v>200</v>
          </cell>
          <cell r="E91">
            <v>125</v>
          </cell>
          <cell r="F91">
            <v>90</v>
          </cell>
          <cell r="G91">
            <v>190</v>
          </cell>
          <cell r="H91">
            <v>290</v>
          </cell>
          <cell r="I91">
            <v>140</v>
          </cell>
          <cell r="J91">
            <v>110</v>
          </cell>
        </row>
        <row r="92">
          <cell r="A92">
            <v>13</v>
          </cell>
          <cell r="B92" t="str">
            <v>Vollaststunden Nacht Aussenluftkühlung auf 50 kJ/kg</v>
          </cell>
          <cell r="C92">
            <v>50</v>
          </cell>
          <cell r="D92">
            <v>90</v>
          </cell>
          <cell r="E92">
            <v>60</v>
          </cell>
          <cell r="F92">
            <v>40</v>
          </cell>
          <cell r="G92">
            <v>90</v>
          </cell>
          <cell r="H92">
            <v>140</v>
          </cell>
          <cell r="I92">
            <v>40</v>
          </cell>
          <cell r="J92">
            <v>50</v>
          </cell>
        </row>
        <row r="93">
          <cell r="A93">
            <v>14</v>
          </cell>
        </row>
      </sheetData>
      <sheetData sheetId="21"/>
      <sheetData sheetId="22">
        <row r="2">
          <cell r="A2" t="str">
            <v>cbxLocation</v>
          </cell>
          <cell r="B2" t="str">
            <v>cbxNutzung</v>
          </cell>
          <cell r="C2" t="str">
            <v>cbxAnlageNR</v>
          </cell>
          <cell r="D2" t="str">
            <v>cbxSteuerung</v>
          </cell>
          <cell r="E2" t="str">
            <v>cbxWirkGrad</v>
          </cell>
          <cell r="H2" t="str">
            <v>cbxDVerZUL</v>
          </cell>
          <cell r="J2" t="str">
            <v>cbxDVerABL</v>
          </cell>
        </row>
        <row r="3">
          <cell r="A3" t="str">
            <v>Kloten</v>
          </cell>
          <cell r="B3" t="str">
            <v>Einzel/Gruppenbüro</v>
          </cell>
          <cell r="C3" t="str">
            <v>L01</v>
          </cell>
          <cell r="D3" t="str">
            <v>1-stufig</v>
          </cell>
          <cell r="E3" t="str">
            <v>50%</v>
          </cell>
          <cell r="F3" t="str">
            <v>&lt;1000m³/h</v>
          </cell>
          <cell r="G3" t="str">
            <v>50%</v>
          </cell>
          <cell r="H3">
            <v>1200</v>
          </cell>
          <cell r="I3" t="str">
            <v>Kat I</v>
          </cell>
          <cell r="J3">
            <v>900</v>
          </cell>
          <cell r="K3" t="str">
            <v>Kat I</v>
          </cell>
          <cell r="L3" t="str">
            <v>Raum1</v>
          </cell>
          <cell r="O3">
            <v>380</v>
          </cell>
          <cell r="P3" t="str">
            <v>30 cm Betondecke</v>
          </cell>
          <cell r="W3">
            <v>1.3</v>
          </cell>
          <cell r="X3" t="str">
            <v>Glas 1.0</v>
          </cell>
          <cell r="Y3">
            <v>0.15</v>
          </cell>
          <cell r="Z3" t="str">
            <v>Rafflamellen</v>
          </cell>
          <cell r="AB3">
            <v>3</v>
          </cell>
          <cell r="AC3" t="str">
            <v>Quellluft</v>
          </cell>
          <cell r="AE3">
            <v>25</v>
          </cell>
          <cell r="AF3" t="str">
            <v>TABS (Bauweise mittel)</v>
          </cell>
          <cell r="AH3" t="str">
            <v>Beton</v>
          </cell>
          <cell r="AJ3" t="str">
            <v>1.80</v>
          </cell>
          <cell r="AK3">
            <v>2400</v>
          </cell>
          <cell r="AL3" t="str">
            <v>0.30</v>
          </cell>
          <cell r="AP3">
            <v>2.5</v>
          </cell>
          <cell r="AQ3" t="str">
            <v>KM 6/12°C</v>
          </cell>
          <cell r="AR3" t="str">
            <v>Einzel/Gruppenbüro</v>
          </cell>
          <cell r="AU3">
            <v>0.5</v>
          </cell>
          <cell r="AV3" t="str">
            <v>KVS</v>
          </cell>
        </row>
        <row r="4">
          <cell r="A4" t="str">
            <v>Basel</v>
          </cell>
          <cell r="B4" t="str">
            <v>Grossraumbüro</v>
          </cell>
          <cell r="C4" t="str">
            <v>L02</v>
          </cell>
          <cell r="D4" t="str">
            <v>2-stufig</v>
          </cell>
          <cell r="E4" t="str">
            <v>55%</v>
          </cell>
          <cell r="F4" t="str">
            <v>&lt;3000m³/h</v>
          </cell>
          <cell r="G4" t="str">
            <v>67%</v>
          </cell>
          <cell r="H4">
            <v>800</v>
          </cell>
          <cell r="I4" t="str">
            <v>Kat II</v>
          </cell>
          <cell r="J4">
            <v>600</v>
          </cell>
          <cell r="K4" t="str">
            <v>Kat II</v>
          </cell>
          <cell r="L4" t="str">
            <v>Raum2</v>
          </cell>
          <cell r="O4">
            <v>320</v>
          </cell>
          <cell r="P4" t="str">
            <v>30 cm Betondecke mit 20% Akustikabdeckung</v>
          </cell>
          <cell r="W4">
            <v>1.6</v>
          </cell>
          <cell r="X4" t="str">
            <v>Glas 1.3</v>
          </cell>
          <cell r="Y4">
            <v>0.25</v>
          </cell>
          <cell r="Z4" t="str">
            <v>Stoffmarkise</v>
          </cell>
          <cell r="AB4">
            <v>5</v>
          </cell>
          <cell r="AC4" t="str">
            <v>Mischluft</v>
          </cell>
          <cell r="AE4">
            <v>33</v>
          </cell>
          <cell r="AF4" t="str">
            <v>TABS (Bauweise schwer)</v>
          </cell>
          <cell r="AH4" t="str">
            <v>SwissModul</v>
          </cell>
          <cell r="AJ4">
            <v>0.45</v>
          </cell>
          <cell r="AK4">
            <v>1000</v>
          </cell>
          <cell r="AL4">
            <v>0.25</v>
          </cell>
          <cell r="AP4">
            <v>3</v>
          </cell>
          <cell r="AQ4" t="str">
            <v>KM 9/15°C</v>
          </cell>
          <cell r="AR4" t="str">
            <v>Grossraumbüro</v>
          </cell>
          <cell r="AU4">
            <v>0.6</v>
          </cell>
          <cell r="AV4" t="str">
            <v>Plattentauscher</v>
          </cell>
        </row>
        <row r="5">
          <cell r="A5" t="str">
            <v>Bern</v>
          </cell>
          <cell r="B5" t="str">
            <v>Sitzungszimmer</v>
          </cell>
          <cell r="C5" t="str">
            <v>L03</v>
          </cell>
          <cell r="E5" t="str">
            <v>60%</v>
          </cell>
          <cell r="F5" t="str">
            <v>&lt;6000m³/h</v>
          </cell>
          <cell r="G5" t="str">
            <v>75%</v>
          </cell>
          <cell r="H5">
            <v>600</v>
          </cell>
          <cell r="I5" t="str">
            <v>Kat III</v>
          </cell>
          <cell r="J5">
            <v>450</v>
          </cell>
          <cell r="K5" t="str">
            <v>Kat III</v>
          </cell>
          <cell r="L5" t="str">
            <v>Raum3</v>
          </cell>
          <cell r="O5">
            <v>230</v>
          </cell>
          <cell r="P5" t="str">
            <v>30 cm Betondecke mit 50% Akustikabdeckung</v>
          </cell>
          <cell r="W5">
            <v>1.8</v>
          </cell>
          <cell r="X5" t="str">
            <v>Glas 1.5</v>
          </cell>
          <cell r="Y5">
            <v>0.25</v>
          </cell>
          <cell r="Z5" t="str">
            <v>innenliegend hoch refflektierend</v>
          </cell>
          <cell r="AB5">
            <v>8</v>
          </cell>
          <cell r="AC5" t="str">
            <v>Mischluft</v>
          </cell>
          <cell r="AE5">
            <v>50</v>
          </cell>
          <cell r="AF5" t="str">
            <v>Akustiktherm plus</v>
          </cell>
          <cell r="AH5" t="str">
            <v>Isolierbackstein</v>
          </cell>
          <cell r="AJ5" t="str">
            <v>0.47</v>
          </cell>
          <cell r="AK5" t="str">
            <v>1200</v>
          </cell>
          <cell r="AL5">
            <v>0.26</v>
          </cell>
          <cell r="AP5">
            <v>3.5</v>
          </cell>
          <cell r="AQ5" t="str">
            <v>KM 12/18°C</v>
          </cell>
          <cell r="AR5" t="str">
            <v>Sitzungszimmer</v>
          </cell>
          <cell r="AU5">
            <v>0.75</v>
          </cell>
          <cell r="AV5" t="str">
            <v>Rot WRG</v>
          </cell>
        </row>
        <row r="6">
          <cell r="A6" t="str">
            <v>Chur</v>
          </cell>
          <cell r="B6" t="str">
            <v>Schalterhalle</v>
          </cell>
          <cell r="C6" t="str">
            <v>L04</v>
          </cell>
          <cell r="E6" t="str">
            <v>65%</v>
          </cell>
          <cell r="F6" t="str">
            <v>&lt;10000m³/h</v>
          </cell>
          <cell r="H6">
            <v>400</v>
          </cell>
          <cell r="I6" t="str">
            <v>Kat IV</v>
          </cell>
          <cell r="J6">
            <v>300</v>
          </cell>
          <cell r="K6" t="str">
            <v>Kat IV</v>
          </cell>
          <cell r="L6" t="str">
            <v>Raum4</v>
          </cell>
          <cell r="O6">
            <v>70</v>
          </cell>
          <cell r="P6" t="str">
            <v>Abgehänge Decke</v>
          </cell>
          <cell r="AE6">
            <v>80</v>
          </cell>
          <cell r="AF6" t="str">
            <v>Kühldecke</v>
          </cell>
          <cell r="AH6" t="str">
            <v>Gipskarton</v>
          </cell>
          <cell r="AJ6">
            <v>0.21</v>
          </cell>
          <cell r="AK6">
            <v>900</v>
          </cell>
          <cell r="AL6">
            <v>0.22</v>
          </cell>
          <cell r="AP6">
            <v>6</v>
          </cell>
          <cell r="AQ6" t="str">
            <v>Hybridkühler für TABS</v>
          </cell>
          <cell r="AR6" t="str">
            <v>Schalterhalle</v>
          </cell>
          <cell r="AU6">
            <v>1</v>
          </cell>
          <cell r="AV6" t="str">
            <v>Umluftkühler</v>
          </cell>
        </row>
        <row r="7">
          <cell r="A7" t="str">
            <v>Genf</v>
          </cell>
          <cell r="B7" t="str">
            <v>Verkauf</v>
          </cell>
          <cell r="C7" t="str">
            <v>L05</v>
          </cell>
          <cell r="E7" t="str">
            <v>70%</v>
          </cell>
          <cell r="F7" t="str">
            <v>&gt;10000m³/h</v>
          </cell>
          <cell r="L7" t="str">
            <v>Raum5</v>
          </cell>
          <cell r="O7">
            <v>250</v>
          </cell>
          <cell r="P7" t="str">
            <v>Boden massiv</v>
          </cell>
          <cell r="AH7" t="str">
            <v>Holz Spanplatte</v>
          </cell>
          <cell r="AJ7">
            <v>0.15</v>
          </cell>
          <cell r="AK7">
            <v>700</v>
          </cell>
          <cell r="AL7">
            <v>0.75</v>
          </cell>
          <cell r="AP7">
            <v>8</v>
          </cell>
          <cell r="AQ7" t="str">
            <v>Erdsonden für TABS</v>
          </cell>
          <cell r="AR7" t="str">
            <v>Verkauf</v>
          </cell>
        </row>
        <row r="8">
          <cell r="A8" t="str">
            <v>Lugano</v>
          </cell>
          <cell r="B8" t="str">
            <v>Verkauf mit Kühlprodukten</v>
          </cell>
          <cell r="C8" t="str">
            <v>L06</v>
          </cell>
          <cell r="O8">
            <v>130</v>
          </cell>
          <cell r="P8" t="str">
            <v>Boden Teppich, UB</v>
          </cell>
          <cell r="AH8" t="str">
            <v>Innenputz</v>
          </cell>
          <cell r="AJ8" t="str">
            <v>0.70</v>
          </cell>
          <cell r="AK8">
            <v>1400</v>
          </cell>
          <cell r="AL8">
            <v>0.26</v>
          </cell>
          <cell r="AP8">
            <v>10</v>
          </cell>
          <cell r="AQ8" t="str">
            <v>Grundwasser</v>
          </cell>
          <cell r="AR8" t="str">
            <v>Verkauf mit Kühlprodukten</v>
          </cell>
        </row>
        <row r="9">
          <cell r="A9" t="str">
            <v>Sion</v>
          </cell>
          <cell r="B9" t="str">
            <v>Warenhaus</v>
          </cell>
          <cell r="C9" t="str">
            <v>L07</v>
          </cell>
          <cell r="O9">
            <v>80</v>
          </cell>
          <cell r="P9" t="str">
            <v>Doppelboden</v>
          </cell>
          <cell r="AH9" t="str">
            <v>Überzug</v>
          </cell>
          <cell r="AJ9" t="str">
            <v>1.50</v>
          </cell>
          <cell r="AK9">
            <v>2200</v>
          </cell>
          <cell r="AL9">
            <v>0.30555555555555558</v>
          </cell>
          <cell r="AR9" t="str">
            <v>Warenhaus</v>
          </cell>
        </row>
        <row r="10">
          <cell r="A10" t="str">
            <v>St-Gallen</v>
          </cell>
          <cell r="B10" t="str">
            <v>Schulzimmer</v>
          </cell>
          <cell r="C10" t="str">
            <v>L08</v>
          </cell>
          <cell r="O10">
            <v>110</v>
          </cell>
          <cell r="P10" t="str">
            <v>Innenwand massiv</v>
          </cell>
          <cell r="AH10" t="str">
            <v>Teppich</v>
          </cell>
          <cell r="AJ10">
            <v>0.08</v>
          </cell>
          <cell r="AK10">
            <v>300</v>
          </cell>
          <cell r="AL10" t="str">
            <v>0.36</v>
          </cell>
          <cell r="AR10" t="str">
            <v>Schulzimmer</v>
          </cell>
        </row>
        <row r="11">
          <cell r="B11" t="str">
            <v>Übungsraum</v>
          </cell>
          <cell r="C11" t="str">
            <v>L09</v>
          </cell>
          <cell r="O11">
            <v>20</v>
          </cell>
          <cell r="P11" t="str">
            <v>Innenwand Gipskarton</v>
          </cell>
          <cell r="AH11" t="str">
            <v>Dämmung</v>
          </cell>
          <cell r="AJ11" t="str">
            <v>0.036</v>
          </cell>
          <cell r="AK11" t="str">
            <v>30</v>
          </cell>
          <cell r="AL11" t="str">
            <v>0.17</v>
          </cell>
          <cell r="AR11" t="str">
            <v>Übungsraum</v>
          </cell>
        </row>
        <row r="12">
          <cell r="B12" t="str">
            <v>Hörsaal</v>
          </cell>
          <cell r="C12" t="str">
            <v>L10</v>
          </cell>
          <cell r="O12">
            <v>100</v>
          </cell>
          <cell r="P12" t="str">
            <v>Aussenwand massiv</v>
          </cell>
          <cell r="AH12" t="str">
            <v>Lufthohlraum</v>
          </cell>
          <cell r="AJ12" t="str">
            <v>0.40</v>
          </cell>
          <cell r="AK12">
            <v>1</v>
          </cell>
          <cell r="AL12" t="str">
            <v>0.28</v>
          </cell>
          <cell r="AR12" t="str">
            <v>Hörsaal</v>
          </cell>
        </row>
        <row r="13">
          <cell r="B13" t="str">
            <v>Bettenzimmer</v>
          </cell>
          <cell r="C13" t="str">
            <v>L11</v>
          </cell>
          <cell r="O13">
            <v>10</v>
          </cell>
          <cell r="P13" t="str">
            <v>Aussenwand Gipskarton</v>
          </cell>
          <cell r="AH13" t="str">
            <v>Stahl</v>
          </cell>
          <cell r="AJ13" t="str">
            <v>60.0</v>
          </cell>
          <cell r="AK13">
            <v>7850</v>
          </cell>
          <cell r="AL13" t="str">
            <v>0.19</v>
          </cell>
          <cell r="AR13" t="str">
            <v>Bettenzimmer</v>
          </cell>
        </row>
        <row r="14">
          <cell r="B14" t="str">
            <v>Hotelzimmer</v>
          </cell>
          <cell r="C14" t="str">
            <v>L12</v>
          </cell>
          <cell r="O14">
            <v>0</v>
          </cell>
          <cell r="P14">
            <v>0</v>
          </cell>
          <cell r="AH14" t="str">
            <v>Aussenputz</v>
          </cell>
          <cell r="AJ14" t="str">
            <v>0.87</v>
          </cell>
          <cell r="AK14" t="str">
            <v>1800</v>
          </cell>
          <cell r="AL14">
            <v>0.3</v>
          </cell>
          <cell r="AR14" t="str">
            <v>Hotelzimmer</v>
          </cell>
        </row>
        <row r="15">
          <cell r="B15" t="str">
            <v>Kantine</v>
          </cell>
          <cell r="C15" t="str">
            <v>L13</v>
          </cell>
          <cell r="O15">
            <v>0</v>
          </cell>
          <cell r="P15">
            <v>0</v>
          </cell>
          <cell r="AH15" t="str">
            <v>Holz, Fichte</v>
          </cell>
          <cell r="AJ15" t="str">
            <v>0.14</v>
          </cell>
          <cell r="AK15" t="str">
            <v>475</v>
          </cell>
          <cell r="AL15">
            <v>0.62</v>
          </cell>
          <cell r="AR15" t="str">
            <v>Kantine</v>
          </cell>
        </row>
        <row r="16">
          <cell r="B16" t="str">
            <v>Restaurant</v>
          </cell>
          <cell r="C16" t="str">
            <v>L14</v>
          </cell>
          <cell r="O16">
            <v>0</v>
          </cell>
          <cell r="P16">
            <v>0</v>
          </cell>
          <cell r="AR16" t="str">
            <v>Restaurant</v>
          </cell>
        </row>
        <row r="17">
          <cell r="B17" t="str">
            <v>Küche zu Kantine</v>
          </cell>
          <cell r="C17" t="str">
            <v>L15</v>
          </cell>
          <cell r="O17">
            <v>0</v>
          </cell>
          <cell r="P17">
            <v>0</v>
          </cell>
          <cell r="AR17" t="str">
            <v>Küche zu Kantine</v>
          </cell>
        </row>
        <row r="18">
          <cell r="B18" t="str">
            <v>Küche zu Restaurant</v>
          </cell>
          <cell r="C18" t="str">
            <v>L16</v>
          </cell>
          <cell r="AR18" t="str">
            <v>Küche zu Restaurant</v>
          </cell>
        </row>
        <row r="19">
          <cell r="B19" t="str">
            <v>Werkstatt</v>
          </cell>
          <cell r="C19" t="str">
            <v>L17</v>
          </cell>
          <cell r="AR19" t="str">
            <v>Werkstatt</v>
          </cell>
        </row>
        <row r="20">
          <cell r="B20" t="str">
            <v>WC</v>
          </cell>
          <cell r="C20" t="str">
            <v>L18</v>
          </cell>
          <cell r="AR20" t="str">
            <v>WC</v>
          </cell>
        </row>
        <row r="21">
          <cell r="B21" t="str">
            <v>Verkehrsfläche</v>
          </cell>
          <cell r="C21" t="str">
            <v>L19</v>
          </cell>
          <cell r="AR21" t="str">
            <v>Verkehrsfläche</v>
          </cell>
        </row>
        <row r="22">
          <cell r="B22" t="str">
            <v>Lager (Technik; Archiv)</v>
          </cell>
          <cell r="C22" t="str">
            <v>L20</v>
          </cell>
          <cell r="AR22" t="str">
            <v>Lager (Technik; Archiv)</v>
          </cell>
        </row>
        <row r="23">
          <cell r="B23" t="str">
            <v>Parkhaus (Büro)</v>
          </cell>
          <cell r="C23" t="str">
            <v>L21</v>
          </cell>
          <cell r="AR23" t="str">
            <v>Parkhaus (Büro)</v>
          </cell>
        </row>
        <row r="24">
          <cell r="B24" t="str">
            <v>Parkhaus (öffentlich)</v>
          </cell>
          <cell r="C24" t="str">
            <v>L22</v>
          </cell>
          <cell r="AR24" t="str">
            <v>Parkhaus (öffentlich)</v>
          </cell>
        </row>
        <row r="25">
          <cell r="B25" t="str">
            <v>Serverraum ULK</v>
          </cell>
          <cell r="C25" t="str">
            <v>L23</v>
          </cell>
          <cell r="AR25" t="str">
            <v>Serverraum ULK</v>
          </cell>
        </row>
        <row r="26">
          <cell r="B26"/>
          <cell r="C26" t="str">
            <v>L24</v>
          </cell>
          <cell r="AR26">
            <v>0</v>
          </cell>
        </row>
        <row r="27">
          <cell r="B27"/>
          <cell r="C27" t="str">
            <v>L25</v>
          </cell>
          <cell r="AR27">
            <v>0</v>
          </cell>
        </row>
        <row r="28">
          <cell r="B28"/>
          <cell r="C28" t="str">
            <v>L26</v>
          </cell>
          <cell r="AR28">
            <v>0</v>
          </cell>
        </row>
        <row r="29">
          <cell r="B29"/>
          <cell r="C29" t="str">
            <v>L27</v>
          </cell>
          <cell r="AR29">
            <v>0</v>
          </cell>
        </row>
        <row r="30">
          <cell r="B30"/>
          <cell r="C30" t="str">
            <v>L28</v>
          </cell>
          <cell r="AR30">
            <v>0</v>
          </cell>
        </row>
        <row r="31">
          <cell r="B31"/>
          <cell r="C31" t="str">
            <v>L29</v>
          </cell>
          <cell r="AR31">
            <v>0</v>
          </cell>
        </row>
        <row r="32">
          <cell r="B32"/>
          <cell r="C32" t="str">
            <v>L30</v>
          </cell>
          <cell r="AR32">
            <v>0</v>
          </cell>
        </row>
        <row r="33">
          <cell r="B33"/>
          <cell r="AR33">
            <v>0</v>
          </cell>
        </row>
        <row r="34">
          <cell r="B34"/>
          <cell r="AR34">
            <v>0</v>
          </cell>
        </row>
        <row r="35">
          <cell r="B35"/>
          <cell r="AR35">
            <v>0</v>
          </cell>
        </row>
        <row r="36">
          <cell r="AR36">
            <v>0</v>
          </cell>
        </row>
        <row r="37">
          <cell r="AR37">
            <v>0</v>
          </cell>
        </row>
        <row r="38">
          <cell r="AR38">
            <v>0</v>
          </cell>
        </row>
        <row r="39">
          <cell r="AR39">
            <v>0</v>
          </cell>
        </row>
        <row r="40">
          <cell r="AR40">
            <v>0</v>
          </cell>
        </row>
        <row r="41">
          <cell r="AR41">
            <v>0</v>
          </cell>
        </row>
        <row r="42">
          <cell r="AR42">
            <v>0</v>
          </cell>
        </row>
        <row r="43">
          <cell r="AR43">
            <v>0</v>
          </cell>
        </row>
        <row r="44">
          <cell r="AR44">
            <v>0</v>
          </cell>
        </row>
        <row r="45">
          <cell r="AR45">
            <v>0</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tech"/>
      <sheetName val="Projekt"/>
    </sheetNames>
    <sheetDataSet>
      <sheetData sheetId="0" refreshError="1"/>
      <sheetData sheetId="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emerkungen"/>
      <sheetName val="Parameter"/>
      <sheetName val="01_Vorlage"/>
      <sheetName val="Kühllastauswertung gain"/>
      <sheetName val="Kühllastauswertung load"/>
      <sheetName val="Unverzögerte Lasten"/>
      <sheetName val="Kühllast Loads"/>
      <sheetName val="Vergleich Kühllast Loads-System"/>
      <sheetName val="Vergleich gain -load gesamt"/>
      <sheetName val="Diagramm1"/>
      <sheetName val="Pivottabellen"/>
      <sheetName val="Matrix Kühllast"/>
      <sheetName val="Matrix Energie"/>
      <sheetName val="Energieberechnung"/>
      <sheetName val="Varianten"/>
      <sheetName val="Klimadaten"/>
      <sheetName val="Standard"/>
    </sheetNames>
    <sheetDataSet>
      <sheetData sheetId="0"/>
      <sheetData sheetId="1"/>
      <sheetData sheetId="2"/>
      <sheetData sheetId="3"/>
      <sheetData sheetId="4"/>
      <sheetData sheetId="5" refreshError="1"/>
      <sheetData sheetId="6" refreshError="1"/>
      <sheetData sheetId="7" refreshError="1"/>
      <sheetData sheetId="8" refreshError="1"/>
      <sheetData sheetId="9" refreshError="1"/>
      <sheetData sheetId="10"/>
      <sheetData sheetId="11"/>
      <sheetData sheetId="12"/>
      <sheetData sheetId="13"/>
      <sheetData sheetId="14"/>
      <sheetData sheetId="15"/>
      <sheetData sheetId="16"/>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emerkungen"/>
      <sheetName val="Parameter"/>
      <sheetName val="01_Vorlage"/>
      <sheetName val="Kühllastauswertung gain"/>
      <sheetName val="Kühllastauswertung load"/>
      <sheetName val="Unverzögerte Lasten"/>
      <sheetName val="Kühllast Loads"/>
      <sheetName val="Vergleich Kühllast Loads-System"/>
      <sheetName val="Vergleich gain -load gesamt"/>
      <sheetName val="Diagramm1"/>
      <sheetName val="Pivottabellen"/>
      <sheetName val="Matrix Kühllast"/>
      <sheetName val="Matrix Energie"/>
      <sheetName val="Energieberechnung"/>
      <sheetName val="Varianten"/>
      <sheetName val="Klimadaten"/>
      <sheetName val="Standard"/>
    </sheetNames>
    <sheetDataSet>
      <sheetData sheetId="0"/>
      <sheetData sheetId="1"/>
      <sheetData sheetId="2"/>
      <sheetData sheetId="3"/>
      <sheetData sheetId="4"/>
      <sheetData sheetId="5" refreshError="1"/>
      <sheetData sheetId="6" refreshError="1"/>
      <sheetData sheetId="7" refreshError="1"/>
      <sheetData sheetId="8" refreshError="1"/>
      <sheetData sheetId="9" refreshError="1"/>
      <sheetData sheetId="10"/>
      <sheetData sheetId="11"/>
      <sheetData sheetId="12"/>
      <sheetData sheetId="13"/>
      <sheetData sheetId="14"/>
      <sheetData sheetId="15"/>
      <sheetData sheetId="16"/>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Zusa"/>
      <sheetName val="Räume"/>
      <sheetName val="Nutzungen"/>
      <sheetName val="Lüftung"/>
      <sheetName val="Kälte"/>
      <sheetName val="Heizung"/>
      <sheetName val="Stundenmodell"/>
      <sheetName val="Resultate"/>
      <sheetName val="Klima"/>
      <sheetName val="Designday"/>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sdaten"/>
      <sheetName val="Hüllzahl"/>
      <sheetName val="Profile"/>
      <sheetName val="Datenblatt"/>
      <sheetName val="Resultate Standard"/>
      <sheetName val="Resultate Ziel"/>
      <sheetName val="Resultate Bestand"/>
      <sheetName val="Export"/>
    </sheetNames>
    <sheetDataSet>
      <sheetData sheetId="0" refreshError="1"/>
      <sheetData sheetId="1" refreshError="1"/>
      <sheetData sheetId="2" refreshError="1"/>
      <sheetData sheetId="3">
        <row r="1">
          <cell r="C1">
            <v>1</v>
          </cell>
        </row>
      </sheetData>
      <sheetData sheetId="4" refreshError="1"/>
      <sheetData sheetId="5" refreshError="1"/>
      <sheetData sheetId="6" refreshError="1"/>
      <sheetData sheetId="7"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ngabe Grundlagen"/>
      <sheetName val="Eingabe neuer Nutzungen"/>
      <sheetName val="Eingabe neuer Bauweisen"/>
      <sheetName val="Eingabe weiterer Informationen"/>
      <sheetName val="Ausgabe detaillierte Resultate"/>
      <sheetName val="Versionen"/>
      <sheetName val="Hilfstabelle Mobilität"/>
      <sheetName val="Hilfstabelle Bauweise"/>
      <sheetName val="Hilfstabelle Energieerzeugung"/>
      <sheetName val="MB2032"/>
      <sheetName val="Kommentare"/>
      <sheetName val="KBOB-Energie"/>
      <sheetName val="Referenz-Mobilität"/>
      <sheetName val="Referenz-Energie"/>
      <sheetName val="Referenz-Bauweise"/>
      <sheetName val="Auswahlliste"/>
      <sheetName val="alt!pdf-&gt;MB2032"/>
      <sheetName val="alt!MB2032-&gt;Gliederu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34">
          <cell r="H34">
            <v>0.92800000000000005</v>
          </cell>
        </row>
      </sheetData>
      <sheetData sheetId="14"/>
      <sheetData sheetId="15"/>
      <sheetData sheetId="16"/>
      <sheetData sheetId="17"/>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ngabeblatt"/>
      <sheetName val="Eingabeblatt, prov"/>
      <sheetName val="Ausgabeblatt"/>
      <sheetName val="380_1_Berechnung"/>
      <sheetName val="Betrieb"/>
      <sheetName val="Erstellung"/>
      <sheetName val="Graue Energie"/>
      <sheetName val="Alle Ergebnisse grafisch"/>
      <sheetName val="Gesamtbeurteilung SMoritz"/>
      <sheetName val="V_1_Elementflaechen"/>
      <sheetName val="VoreinstellungenAHB"/>
      <sheetName val="2_Projektkennwerte"/>
      <sheetName val="V_2_Kennwerte"/>
      <sheetName val="Resultate"/>
      <sheetName val="1_Elementflaechen"/>
      <sheetName val="1b_Geschossflaechen"/>
      <sheetName val="3_Erfahrungskennwerte"/>
      <sheetName val="4_Flaechenschem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39">
          <cell r="X39">
            <v>0</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5D49377-5C81-4BA5-8314-992BF1A66F56}" name="Tabelle1" displayName="Tabelle1" ref="A3:G7" totalsRowShown="0" headerRowDxfId="8">
  <autoFilter ref="A3:G7" xr:uid="{C5D49377-5C81-4BA5-8314-992BF1A66F56}"/>
  <tableColumns count="7">
    <tableColumn id="1" xr3:uid="{EA4627C8-F9E2-43E2-873A-46A01821308B}" name="room "/>
    <tableColumn id="2" xr3:uid="{3989B0A7-5554-4298-9247-7C3BBD3DD7D5}" name="use"/>
    <tableColumn id="3" xr3:uid="{E24BA5CC-F7D8-4214-9ED9-FC5BF8A23777}" name="area"/>
    <tableColumn id="4" xr3:uid="{511426A8-B03A-410D-AA74-9102E1456078}" name="Persones"/>
    <tableColumn id="7" xr3:uid="{42ED3A10-82DC-4919-8B8F-9E9C681D3128}" name="Heat Load persones"/>
    <tableColumn id="5" xr3:uid="{B7C2CB61-1E6F-45E3-BEFD-81E652E3EF65}" name="Lightning"/>
    <tableColumn id="6" xr3:uid="{D7D2D45D-AD8A-45DC-A174-76BCB40E4F02}" name="Devices"/>
  </tableColumns>
  <tableStyleInfo name="TableStyleMedium2" showFirstColumn="0" showLastColumn="0" showRowStripes="1" showColumnStripes="0"/>
</table>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1.bin"/><Relationship Id="rId6" Type="http://schemas.openxmlformats.org/officeDocument/2006/relationships/comments" Target="../comments2.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D17B6-1C6E-420C-88A3-4726B6FB30FF}">
  <dimension ref="A1:H1471"/>
  <sheetViews>
    <sheetView tabSelected="1" topLeftCell="A5" workbookViewId="0">
      <selection activeCell="I11" sqref="I11"/>
    </sheetView>
  </sheetViews>
  <sheetFormatPr baseColWidth="10" defaultRowHeight="13.2"/>
  <cols>
    <col min="2" max="2" width="12.21875" customWidth="1"/>
    <col min="5" max="5" width="20.88671875" bestFit="1" customWidth="1"/>
    <col min="6" max="6" width="18.44140625" customWidth="1"/>
  </cols>
  <sheetData>
    <row r="1" spans="1:8" ht="22.8">
      <c r="A1" s="1798" t="str" cm="1">
        <f t="array" aca="1" ref="A1" ca="1">RIGHT(CELL("dateiname",A1),LEN(CELL("dateiname",A1))-FIND("]",CELL("dateiname",A1)))</f>
        <v>Internal heat load</v>
      </c>
      <c r="B1" s="1798"/>
    </row>
    <row r="3" spans="1:8">
      <c r="A3" s="1799" t="s">
        <v>1674</v>
      </c>
      <c r="B3" s="1799" t="s">
        <v>1677</v>
      </c>
      <c r="C3" s="1799" t="s">
        <v>1675</v>
      </c>
      <c r="D3" s="1799" t="s">
        <v>1676</v>
      </c>
      <c r="E3" s="1799" t="s">
        <v>1681</v>
      </c>
      <c r="F3" s="1799" t="s">
        <v>1678</v>
      </c>
      <c r="G3" s="1799" t="s">
        <v>1679</v>
      </c>
    </row>
    <row r="4" spans="1:8" ht="15.6">
      <c r="A4" s="1799"/>
      <c r="B4" s="1799"/>
      <c r="C4" s="1801" t="s">
        <v>1682</v>
      </c>
      <c r="D4" s="1801" t="s">
        <v>1683</v>
      </c>
      <c r="E4" s="1801" t="s">
        <v>1684</v>
      </c>
      <c r="F4" s="1801" t="s">
        <v>1684</v>
      </c>
      <c r="G4" s="1801" t="s">
        <v>1684</v>
      </c>
    </row>
    <row r="5" spans="1:8" ht="15.6" customHeight="1">
      <c r="A5" s="1799" t="s">
        <v>1680</v>
      </c>
      <c r="B5" t="s">
        <v>859</v>
      </c>
      <c r="C5" s="40">
        <v>100</v>
      </c>
      <c r="D5" s="40">
        <v>5</v>
      </c>
      <c r="E5" s="40">
        <f>Tabelle1[[#This Row],[Persones]]*70</f>
        <v>350</v>
      </c>
      <c r="F5" s="40">
        <f>12*Tabelle1[[#This Row],[area]]</f>
        <v>1200</v>
      </c>
      <c r="G5" s="40">
        <f>VLOOKUP(Tabelle1[[#This Row],[use]],Eingabedaten!C10:BB54,42,FALSE)*C5</f>
        <v>1000</v>
      </c>
    </row>
    <row r="7" spans="1:8">
      <c r="E7" s="1804">
        <v>350</v>
      </c>
      <c r="F7" s="1804">
        <v>1200</v>
      </c>
      <c r="G7" s="1804">
        <v>1000</v>
      </c>
    </row>
    <row r="8" spans="1:8">
      <c r="A8" s="1800" t="s">
        <v>1685</v>
      </c>
      <c r="B8" s="1800" t="s">
        <v>1676</v>
      </c>
      <c r="C8" s="1800" t="s">
        <v>1687</v>
      </c>
      <c r="D8" s="1800" t="s">
        <v>1679</v>
      </c>
      <c r="E8" s="1800" t="s">
        <v>1688</v>
      </c>
    </row>
    <row r="9" spans="1:8">
      <c r="A9" s="1800" t="s">
        <v>1686</v>
      </c>
      <c r="B9" s="1800" t="s">
        <v>1684</v>
      </c>
      <c r="C9" s="1800" t="s">
        <v>1684</v>
      </c>
      <c r="D9" s="1800" t="s">
        <v>1684</v>
      </c>
      <c r="E9" s="1800" t="s">
        <v>1684</v>
      </c>
    </row>
    <row r="10" spans="1:8">
      <c r="A10" s="1802">
        <v>1</v>
      </c>
      <c r="B10" s="1803">
        <v>350</v>
      </c>
      <c r="C10" s="1803">
        <v>0</v>
      </c>
      <c r="D10" s="1805">
        <v>600</v>
      </c>
      <c r="E10" s="40">
        <f>SUM(B10:D10)</f>
        <v>950</v>
      </c>
    </row>
    <row r="11" spans="1:8">
      <c r="A11" s="1802">
        <v>1.0416666666666701</v>
      </c>
      <c r="B11" s="1803">
        <v>350</v>
      </c>
      <c r="C11" s="1803">
        <v>0</v>
      </c>
      <c r="D11" s="1805">
        <v>600</v>
      </c>
      <c r="E11" s="40">
        <f t="shared" ref="E11:E33" si="0">SUM(B11:D11)</f>
        <v>950</v>
      </c>
      <c r="H11" s="1799"/>
    </row>
    <row r="12" spans="1:8">
      <c r="A12" s="1802">
        <v>1.0833333333333399</v>
      </c>
      <c r="B12" s="1803">
        <v>350</v>
      </c>
      <c r="C12" s="1803">
        <v>0</v>
      </c>
      <c r="D12" s="1805">
        <v>600</v>
      </c>
      <c r="E12" s="40">
        <f t="shared" si="0"/>
        <v>950</v>
      </c>
    </row>
    <row r="13" spans="1:8">
      <c r="A13" s="1802">
        <v>1.12500000000001</v>
      </c>
      <c r="B13" s="1803">
        <v>350</v>
      </c>
      <c r="C13" s="1803">
        <v>0</v>
      </c>
      <c r="D13" s="1805">
        <v>600</v>
      </c>
      <c r="E13" s="40">
        <f t="shared" si="0"/>
        <v>950</v>
      </c>
    </row>
    <row r="14" spans="1:8">
      <c r="A14" s="1802">
        <v>1.1666666666666801</v>
      </c>
      <c r="B14" s="1803">
        <v>350</v>
      </c>
      <c r="C14" s="1803">
        <v>0</v>
      </c>
      <c r="D14" s="1805">
        <v>600</v>
      </c>
      <c r="E14" s="40">
        <f t="shared" si="0"/>
        <v>950</v>
      </c>
    </row>
    <row r="15" spans="1:8">
      <c r="A15" s="1802">
        <v>1.2083333333333499</v>
      </c>
      <c r="B15" s="1803">
        <v>350</v>
      </c>
      <c r="C15" s="1803">
        <v>0</v>
      </c>
      <c r="D15" s="1805">
        <v>600</v>
      </c>
      <c r="E15" s="40">
        <f t="shared" si="0"/>
        <v>950</v>
      </c>
    </row>
    <row r="16" spans="1:8">
      <c r="A16" s="1802">
        <v>1.25000000000002</v>
      </c>
      <c r="B16" s="1803">
        <v>350</v>
      </c>
      <c r="C16" s="1803">
        <v>1200</v>
      </c>
      <c r="D16" s="1805">
        <v>600</v>
      </c>
      <c r="E16" s="40">
        <f t="shared" si="0"/>
        <v>2150</v>
      </c>
    </row>
    <row r="17" spans="1:5">
      <c r="A17" s="1802">
        <v>1.2916666666666901</v>
      </c>
      <c r="B17" s="1803">
        <v>350</v>
      </c>
      <c r="C17" s="1803">
        <v>1200</v>
      </c>
      <c r="D17" s="1805">
        <v>600</v>
      </c>
      <c r="E17" s="40">
        <f t="shared" si="0"/>
        <v>2150</v>
      </c>
    </row>
    <row r="18" spans="1:5">
      <c r="A18" s="1802">
        <v>1.3333333333333599</v>
      </c>
      <c r="B18" s="1803">
        <v>0</v>
      </c>
      <c r="C18" s="1803">
        <v>1200</v>
      </c>
      <c r="D18" s="1805">
        <v>1000</v>
      </c>
      <c r="E18" s="40">
        <f t="shared" si="0"/>
        <v>2200</v>
      </c>
    </row>
    <row r="19" spans="1:5">
      <c r="A19" s="1802">
        <v>1.37500000000003</v>
      </c>
      <c r="B19" s="1803">
        <v>0</v>
      </c>
      <c r="C19" s="1803">
        <v>0</v>
      </c>
      <c r="D19" s="1805">
        <v>1000</v>
      </c>
      <c r="E19" s="40">
        <f t="shared" si="0"/>
        <v>1000</v>
      </c>
    </row>
    <row r="20" spans="1:5">
      <c r="A20" s="1802">
        <v>1.4166666666667</v>
      </c>
      <c r="B20" s="1803">
        <v>0</v>
      </c>
      <c r="C20" s="1803">
        <v>0</v>
      </c>
      <c r="D20" s="1805">
        <v>1000</v>
      </c>
      <c r="E20" s="40">
        <f t="shared" si="0"/>
        <v>1000</v>
      </c>
    </row>
    <row r="21" spans="1:5">
      <c r="A21" s="1802">
        <v>1.4583333333333699</v>
      </c>
      <c r="B21" s="1803">
        <v>0</v>
      </c>
      <c r="C21" s="1803">
        <v>0</v>
      </c>
      <c r="D21" s="1805">
        <v>1000</v>
      </c>
      <c r="E21" s="40">
        <f t="shared" si="0"/>
        <v>1000</v>
      </c>
    </row>
    <row r="22" spans="1:5">
      <c r="A22" s="1802">
        <v>1.50000000000004</v>
      </c>
      <c r="B22" s="1803">
        <v>350</v>
      </c>
      <c r="C22" s="1803">
        <v>0</v>
      </c>
      <c r="D22" s="1805">
        <v>1000</v>
      </c>
      <c r="E22" s="40">
        <f t="shared" si="0"/>
        <v>1350</v>
      </c>
    </row>
    <row r="23" spans="1:5">
      <c r="A23" s="1802">
        <v>1.54166666666671</v>
      </c>
      <c r="B23" s="1803">
        <v>350</v>
      </c>
      <c r="C23" s="1803">
        <v>0</v>
      </c>
      <c r="D23" s="1805">
        <v>1000</v>
      </c>
      <c r="E23" s="40">
        <f t="shared" si="0"/>
        <v>1350</v>
      </c>
    </row>
    <row r="24" spans="1:5">
      <c r="A24" s="1802">
        <v>1.5833333333333801</v>
      </c>
      <c r="B24" s="1803">
        <v>0</v>
      </c>
      <c r="C24" s="1803">
        <v>0</v>
      </c>
      <c r="D24" s="1805">
        <v>1000</v>
      </c>
      <c r="E24" s="40">
        <f t="shared" si="0"/>
        <v>1000</v>
      </c>
    </row>
    <row r="25" spans="1:5">
      <c r="A25" s="1802">
        <v>1.62500000000005</v>
      </c>
      <c r="B25" s="1803">
        <v>0</v>
      </c>
      <c r="C25" s="1803">
        <v>0</v>
      </c>
      <c r="D25" s="1805">
        <v>1000</v>
      </c>
      <c r="E25" s="40">
        <f t="shared" si="0"/>
        <v>1000</v>
      </c>
    </row>
    <row r="26" spans="1:5">
      <c r="A26" s="1802">
        <v>1.66666666666672</v>
      </c>
      <c r="B26" s="1803">
        <v>0</v>
      </c>
      <c r="C26" s="1803">
        <v>0</v>
      </c>
      <c r="D26" s="1805">
        <v>1000</v>
      </c>
      <c r="E26" s="40">
        <f t="shared" si="0"/>
        <v>1000</v>
      </c>
    </row>
    <row r="27" spans="1:5">
      <c r="A27" s="1802">
        <v>1.7083333333333901</v>
      </c>
      <c r="B27" s="1803">
        <v>0</v>
      </c>
      <c r="C27" s="1803">
        <v>0</v>
      </c>
      <c r="D27" s="1805">
        <v>1000</v>
      </c>
      <c r="E27" s="40">
        <f t="shared" si="0"/>
        <v>1000</v>
      </c>
    </row>
    <row r="28" spans="1:5">
      <c r="A28" s="1802">
        <v>1.75000000000006</v>
      </c>
      <c r="B28" s="1803">
        <v>350</v>
      </c>
      <c r="C28" s="1803">
        <v>1200</v>
      </c>
      <c r="D28" s="1805">
        <v>1000</v>
      </c>
      <c r="E28" s="40">
        <f t="shared" si="0"/>
        <v>2550</v>
      </c>
    </row>
    <row r="29" spans="1:5">
      <c r="A29" s="1802">
        <v>1.79166666666673</v>
      </c>
      <c r="B29" s="1803">
        <v>350</v>
      </c>
      <c r="C29" s="1803">
        <v>1200</v>
      </c>
      <c r="D29" s="1805">
        <v>1000</v>
      </c>
      <c r="E29" s="40">
        <f t="shared" si="0"/>
        <v>2550</v>
      </c>
    </row>
    <row r="30" spans="1:5">
      <c r="A30" s="1802">
        <v>1.8333333333334001</v>
      </c>
      <c r="B30" s="1803">
        <v>350</v>
      </c>
      <c r="C30" s="1803">
        <v>1200</v>
      </c>
      <c r="D30" s="1805">
        <v>1000</v>
      </c>
      <c r="E30" s="40">
        <f t="shared" si="0"/>
        <v>2550</v>
      </c>
    </row>
    <row r="31" spans="1:5">
      <c r="A31" s="1802">
        <v>1.8750000000000699</v>
      </c>
      <c r="B31" s="1803">
        <v>350</v>
      </c>
      <c r="C31" s="1803">
        <v>1200</v>
      </c>
      <c r="D31" s="1805">
        <v>1000</v>
      </c>
      <c r="E31" s="40">
        <f t="shared" si="0"/>
        <v>2550</v>
      </c>
    </row>
    <row r="32" spans="1:5">
      <c r="A32" s="1802">
        <v>1.91666666666674</v>
      </c>
      <c r="B32" s="1803">
        <v>350</v>
      </c>
      <c r="C32" s="1803">
        <v>0</v>
      </c>
      <c r="D32" s="1805">
        <v>600</v>
      </c>
      <c r="E32" s="40">
        <f t="shared" si="0"/>
        <v>950</v>
      </c>
    </row>
    <row r="33" spans="1:5">
      <c r="A33" s="1802">
        <v>1.9583333333334101</v>
      </c>
      <c r="B33" s="1803">
        <v>350</v>
      </c>
      <c r="C33" s="1803">
        <v>0</v>
      </c>
      <c r="D33" s="1805">
        <v>600</v>
      </c>
      <c r="E33" s="40">
        <f t="shared" si="0"/>
        <v>950</v>
      </c>
    </row>
    <row r="34" spans="1:5">
      <c r="A34" s="40"/>
    </row>
    <row r="35" spans="1:5">
      <c r="A35" s="40"/>
    </row>
    <row r="36" spans="1:5">
      <c r="A36" s="40"/>
    </row>
    <row r="37" spans="1:5">
      <c r="A37" s="40"/>
    </row>
    <row r="38" spans="1:5">
      <c r="A38" s="40"/>
    </row>
    <row r="39" spans="1:5">
      <c r="A39" s="40"/>
    </row>
    <row r="40" spans="1:5">
      <c r="A40" s="40"/>
    </row>
    <row r="41" spans="1:5">
      <c r="A41" s="40"/>
    </row>
    <row r="42" spans="1:5">
      <c r="A42" s="40"/>
    </row>
    <row r="43" spans="1:5">
      <c r="A43" s="40"/>
    </row>
    <row r="44" spans="1:5">
      <c r="A44" s="40"/>
    </row>
    <row r="45" spans="1:5">
      <c r="A45" s="40"/>
    </row>
    <row r="46" spans="1:5">
      <c r="A46" s="40"/>
    </row>
    <row r="47" spans="1:5">
      <c r="A47" s="40"/>
    </row>
    <row r="48" spans="1:5">
      <c r="A48" s="40"/>
    </row>
    <row r="49" spans="1:1">
      <c r="A49" s="40"/>
    </row>
    <row r="50" spans="1:1">
      <c r="A50" s="40"/>
    </row>
    <row r="51" spans="1:1">
      <c r="A51" s="40"/>
    </row>
    <row r="52" spans="1:1">
      <c r="A52" s="40"/>
    </row>
    <row r="53" spans="1:1">
      <c r="A53" s="40"/>
    </row>
    <row r="54" spans="1:1">
      <c r="A54" s="40"/>
    </row>
    <row r="55" spans="1:1">
      <c r="A55" s="40"/>
    </row>
    <row r="56" spans="1:1">
      <c r="A56" s="40"/>
    </row>
    <row r="57" spans="1:1">
      <c r="A57" s="40"/>
    </row>
    <row r="58" spans="1:1">
      <c r="A58" s="40"/>
    </row>
    <row r="59" spans="1:1">
      <c r="A59" s="40"/>
    </row>
    <row r="60" spans="1:1">
      <c r="A60" s="40"/>
    </row>
    <row r="61" spans="1:1">
      <c r="A61" s="40"/>
    </row>
    <row r="62" spans="1:1">
      <c r="A62" s="40"/>
    </row>
    <row r="63" spans="1:1">
      <c r="A63" s="40"/>
    </row>
    <row r="64" spans="1:1">
      <c r="A64" s="40"/>
    </row>
    <row r="65" spans="1:1">
      <c r="A65" s="40"/>
    </row>
    <row r="66" spans="1:1">
      <c r="A66" s="40"/>
    </row>
    <row r="67" spans="1:1">
      <c r="A67" s="40"/>
    </row>
    <row r="68" spans="1:1">
      <c r="A68" s="40"/>
    </row>
    <row r="69" spans="1:1">
      <c r="A69" s="40"/>
    </row>
    <row r="70" spans="1:1">
      <c r="A70" s="40"/>
    </row>
    <row r="71" spans="1:1">
      <c r="A71" s="40"/>
    </row>
    <row r="72" spans="1:1">
      <c r="A72" s="40"/>
    </row>
    <row r="73" spans="1:1">
      <c r="A73" s="40"/>
    </row>
    <row r="74" spans="1:1">
      <c r="A74" s="40"/>
    </row>
    <row r="75" spans="1:1">
      <c r="A75" s="40"/>
    </row>
    <row r="76" spans="1:1">
      <c r="A76" s="40"/>
    </row>
    <row r="77" spans="1:1">
      <c r="A77" s="40"/>
    </row>
    <row r="78" spans="1:1">
      <c r="A78" s="40"/>
    </row>
    <row r="79" spans="1:1">
      <c r="A79" s="40"/>
    </row>
    <row r="80" spans="1:1">
      <c r="A80" s="40"/>
    </row>
    <row r="81" spans="1:1">
      <c r="A81" s="40"/>
    </row>
    <row r="82" spans="1:1">
      <c r="A82" s="40"/>
    </row>
    <row r="83" spans="1:1">
      <c r="A83" s="40"/>
    </row>
    <row r="84" spans="1:1">
      <c r="A84" s="40"/>
    </row>
    <row r="85" spans="1:1">
      <c r="A85" s="40"/>
    </row>
    <row r="86" spans="1:1">
      <c r="A86" s="40"/>
    </row>
    <row r="87" spans="1:1">
      <c r="A87" s="40"/>
    </row>
    <row r="88" spans="1:1">
      <c r="A88" s="40"/>
    </row>
    <row r="89" spans="1:1">
      <c r="A89" s="40"/>
    </row>
    <row r="90" spans="1:1">
      <c r="A90" s="40"/>
    </row>
    <row r="91" spans="1:1">
      <c r="A91" s="40"/>
    </row>
    <row r="92" spans="1:1">
      <c r="A92" s="40"/>
    </row>
    <row r="93" spans="1:1">
      <c r="A93" s="40"/>
    </row>
    <row r="94" spans="1:1">
      <c r="A94" s="40"/>
    </row>
    <row r="95" spans="1:1">
      <c r="A95" s="40"/>
    </row>
    <row r="96" spans="1:1">
      <c r="A96" s="40"/>
    </row>
    <row r="97" spans="1:1">
      <c r="A97" s="40"/>
    </row>
    <row r="98" spans="1:1">
      <c r="A98" s="40"/>
    </row>
    <row r="99" spans="1:1">
      <c r="A99" s="40"/>
    </row>
    <row r="100" spans="1:1">
      <c r="A100" s="40"/>
    </row>
    <row r="101" spans="1:1">
      <c r="A101" s="40"/>
    </row>
    <row r="102" spans="1:1">
      <c r="A102" s="40"/>
    </row>
    <row r="103" spans="1:1">
      <c r="A103" s="40"/>
    </row>
    <row r="104" spans="1:1">
      <c r="A104" s="40"/>
    </row>
    <row r="105" spans="1:1">
      <c r="A105" s="40"/>
    </row>
    <row r="106" spans="1:1">
      <c r="A106" s="40"/>
    </row>
    <row r="107" spans="1:1">
      <c r="A107" s="40"/>
    </row>
    <row r="108" spans="1:1">
      <c r="A108" s="40"/>
    </row>
    <row r="109" spans="1:1">
      <c r="A109" s="40"/>
    </row>
    <row r="110" spans="1:1">
      <c r="A110" s="40"/>
    </row>
    <row r="111" spans="1:1">
      <c r="A111" s="40"/>
    </row>
    <row r="112" spans="1:1">
      <c r="A112" s="40"/>
    </row>
    <row r="113" spans="1:1">
      <c r="A113" s="40"/>
    </row>
    <row r="114" spans="1:1">
      <c r="A114" s="40"/>
    </row>
    <row r="115" spans="1:1">
      <c r="A115" s="40"/>
    </row>
    <row r="116" spans="1:1">
      <c r="A116" s="40"/>
    </row>
    <row r="117" spans="1:1">
      <c r="A117" s="40"/>
    </row>
    <row r="118" spans="1:1">
      <c r="A118" s="40"/>
    </row>
    <row r="119" spans="1:1">
      <c r="A119" s="40"/>
    </row>
    <row r="120" spans="1:1">
      <c r="A120" s="40"/>
    </row>
    <row r="121" spans="1:1">
      <c r="A121" s="40"/>
    </row>
    <row r="122" spans="1:1">
      <c r="A122" s="40"/>
    </row>
    <row r="123" spans="1:1">
      <c r="A123" s="40"/>
    </row>
    <row r="124" spans="1:1">
      <c r="A124" s="40"/>
    </row>
    <row r="125" spans="1:1">
      <c r="A125" s="40"/>
    </row>
    <row r="126" spans="1:1">
      <c r="A126" s="40"/>
    </row>
    <row r="127" spans="1:1">
      <c r="A127" s="40"/>
    </row>
    <row r="128" spans="1:1">
      <c r="A128" s="40"/>
    </row>
    <row r="129" spans="1:1">
      <c r="A129" s="40"/>
    </row>
    <row r="130" spans="1:1">
      <c r="A130" s="40"/>
    </row>
    <row r="131" spans="1:1">
      <c r="A131" s="40"/>
    </row>
    <row r="132" spans="1:1">
      <c r="A132" s="40"/>
    </row>
    <row r="133" spans="1:1">
      <c r="A133" s="40"/>
    </row>
    <row r="134" spans="1:1">
      <c r="A134" s="40"/>
    </row>
    <row r="135" spans="1:1">
      <c r="A135" s="40"/>
    </row>
    <row r="136" spans="1:1">
      <c r="A136" s="40"/>
    </row>
    <row r="137" spans="1:1">
      <c r="A137" s="40"/>
    </row>
    <row r="138" spans="1:1">
      <c r="A138" s="40"/>
    </row>
    <row r="139" spans="1:1">
      <c r="A139" s="40"/>
    </row>
    <row r="140" spans="1:1">
      <c r="A140" s="40"/>
    </row>
    <row r="141" spans="1:1">
      <c r="A141" s="40"/>
    </row>
    <row r="142" spans="1:1">
      <c r="A142" s="40"/>
    </row>
    <row r="143" spans="1:1">
      <c r="A143" s="40"/>
    </row>
    <row r="144" spans="1:1">
      <c r="A144" s="40"/>
    </row>
    <row r="145" spans="1:1">
      <c r="A145" s="40"/>
    </row>
    <row r="146" spans="1:1">
      <c r="A146" s="40"/>
    </row>
    <row r="147" spans="1:1">
      <c r="A147" s="40"/>
    </row>
    <row r="148" spans="1:1">
      <c r="A148" s="40"/>
    </row>
    <row r="149" spans="1:1">
      <c r="A149" s="40"/>
    </row>
    <row r="150" spans="1:1">
      <c r="A150" s="40"/>
    </row>
    <row r="151" spans="1:1">
      <c r="A151" s="40"/>
    </row>
    <row r="152" spans="1:1">
      <c r="A152" s="40"/>
    </row>
    <row r="153" spans="1:1">
      <c r="A153" s="40"/>
    </row>
    <row r="154" spans="1:1">
      <c r="A154" s="40"/>
    </row>
    <row r="155" spans="1:1">
      <c r="A155" s="40"/>
    </row>
    <row r="156" spans="1:1">
      <c r="A156" s="40"/>
    </row>
    <row r="157" spans="1:1">
      <c r="A157" s="40"/>
    </row>
    <row r="158" spans="1:1">
      <c r="A158" s="40"/>
    </row>
    <row r="159" spans="1:1">
      <c r="A159" s="40"/>
    </row>
    <row r="160" spans="1:1">
      <c r="A160" s="40"/>
    </row>
    <row r="161" spans="1:1">
      <c r="A161" s="40"/>
    </row>
    <row r="162" spans="1:1">
      <c r="A162" s="40"/>
    </row>
    <row r="163" spans="1:1">
      <c r="A163" s="40"/>
    </row>
    <row r="164" spans="1:1">
      <c r="A164" s="40"/>
    </row>
    <row r="165" spans="1:1">
      <c r="A165" s="40"/>
    </row>
    <row r="166" spans="1:1">
      <c r="A166" s="40"/>
    </row>
    <row r="167" spans="1:1">
      <c r="A167" s="40"/>
    </row>
    <row r="168" spans="1:1">
      <c r="A168" s="40"/>
    </row>
    <row r="169" spans="1:1">
      <c r="A169" s="40"/>
    </row>
    <row r="170" spans="1:1">
      <c r="A170" s="40"/>
    </row>
    <row r="171" spans="1:1">
      <c r="A171" s="40"/>
    </row>
    <row r="172" spans="1:1">
      <c r="A172" s="40"/>
    </row>
    <row r="173" spans="1:1">
      <c r="A173" s="40"/>
    </row>
    <row r="174" spans="1:1">
      <c r="A174" s="40"/>
    </row>
    <row r="175" spans="1:1">
      <c r="A175" s="40"/>
    </row>
    <row r="176" spans="1:1">
      <c r="A176" s="40"/>
    </row>
    <row r="177" spans="1:1">
      <c r="A177" s="40"/>
    </row>
    <row r="178" spans="1:1">
      <c r="A178" s="40"/>
    </row>
    <row r="179" spans="1:1">
      <c r="A179" s="40"/>
    </row>
    <row r="180" spans="1:1">
      <c r="A180" s="40"/>
    </row>
    <row r="181" spans="1:1">
      <c r="A181" s="40"/>
    </row>
    <row r="182" spans="1:1">
      <c r="A182" s="40"/>
    </row>
    <row r="183" spans="1:1">
      <c r="A183" s="40"/>
    </row>
    <row r="184" spans="1:1">
      <c r="A184" s="40"/>
    </row>
    <row r="185" spans="1:1">
      <c r="A185" s="40"/>
    </row>
    <row r="186" spans="1:1">
      <c r="A186" s="40"/>
    </row>
    <row r="187" spans="1:1">
      <c r="A187" s="40"/>
    </row>
    <row r="188" spans="1:1">
      <c r="A188" s="40"/>
    </row>
    <row r="189" spans="1:1">
      <c r="A189" s="40"/>
    </row>
    <row r="190" spans="1:1">
      <c r="A190" s="40"/>
    </row>
    <row r="191" spans="1:1">
      <c r="A191" s="40"/>
    </row>
    <row r="192" spans="1:1">
      <c r="A192" s="40"/>
    </row>
    <row r="193" spans="1:1">
      <c r="A193" s="40"/>
    </row>
    <row r="194" spans="1:1">
      <c r="A194" s="40"/>
    </row>
    <row r="195" spans="1:1">
      <c r="A195" s="40"/>
    </row>
    <row r="196" spans="1:1">
      <c r="A196" s="40"/>
    </row>
    <row r="197" spans="1:1">
      <c r="A197" s="40"/>
    </row>
    <row r="198" spans="1:1">
      <c r="A198" s="40"/>
    </row>
    <row r="199" spans="1:1">
      <c r="A199" s="40"/>
    </row>
    <row r="200" spans="1:1">
      <c r="A200" s="40"/>
    </row>
    <row r="201" spans="1:1">
      <c r="A201" s="40"/>
    </row>
    <row r="202" spans="1:1">
      <c r="A202" s="40"/>
    </row>
    <row r="203" spans="1:1">
      <c r="A203" s="40"/>
    </row>
    <row r="204" spans="1:1">
      <c r="A204" s="40"/>
    </row>
    <row r="205" spans="1:1">
      <c r="A205" s="40"/>
    </row>
    <row r="206" spans="1:1">
      <c r="A206" s="40"/>
    </row>
    <row r="207" spans="1:1">
      <c r="A207" s="40"/>
    </row>
    <row r="208" spans="1:1">
      <c r="A208" s="40"/>
    </row>
    <row r="209" spans="1:1">
      <c r="A209" s="40"/>
    </row>
    <row r="210" spans="1:1">
      <c r="A210" s="40"/>
    </row>
    <row r="211" spans="1:1">
      <c r="A211" s="40"/>
    </row>
    <row r="212" spans="1:1">
      <c r="A212" s="40"/>
    </row>
    <row r="213" spans="1:1">
      <c r="A213" s="40"/>
    </row>
    <row r="214" spans="1:1">
      <c r="A214" s="40"/>
    </row>
    <row r="215" spans="1:1">
      <c r="A215" s="40"/>
    </row>
    <row r="216" spans="1:1">
      <c r="A216" s="40"/>
    </row>
    <row r="217" spans="1:1">
      <c r="A217" s="40"/>
    </row>
    <row r="218" spans="1:1">
      <c r="A218" s="40"/>
    </row>
    <row r="219" spans="1:1">
      <c r="A219" s="40"/>
    </row>
    <row r="220" spans="1:1">
      <c r="A220" s="40"/>
    </row>
    <row r="221" spans="1:1">
      <c r="A221" s="40"/>
    </row>
    <row r="222" spans="1:1">
      <c r="A222" s="40"/>
    </row>
    <row r="223" spans="1:1">
      <c r="A223" s="40"/>
    </row>
    <row r="224" spans="1:1">
      <c r="A224" s="40"/>
    </row>
    <row r="225" spans="1:1">
      <c r="A225" s="40"/>
    </row>
    <row r="226" spans="1:1">
      <c r="A226" s="40"/>
    </row>
    <row r="227" spans="1:1">
      <c r="A227" s="40"/>
    </row>
    <row r="228" spans="1:1">
      <c r="A228" s="40"/>
    </row>
    <row r="229" spans="1:1">
      <c r="A229" s="40"/>
    </row>
    <row r="230" spans="1:1">
      <c r="A230" s="40"/>
    </row>
    <row r="231" spans="1:1">
      <c r="A231" s="40"/>
    </row>
    <row r="232" spans="1:1">
      <c r="A232" s="40"/>
    </row>
    <row r="233" spans="1:1">
      <c r="A233" s="40"/>
    </row>
    <row r="234" spans="1:1">
      <c r="A234" s="40"/>
    </row>
    <row r="235" spans="1:1">
      <c r="A235" s="40"/>
    </row>
    <row r="236" spans="1:1">
      <c r="A236" s="40"/>
    </row>
    <row r="237" spans="1:1">
      <c r="A237" s="40"/>
    </row>
    <row r="238" spans="1:1">
      <c r="A238" s="40"/>
    </row>
    <row r="239" spans="1:1">
      <c r="A239" s="40"/>
    </row>
    <row r="240" spans="1:1">
      <c r="A240" s="40"/>
    </row>
    <row r="241" spans="1:1">
      <c r="A241" s="40"/>
    </row>
    <row r="242" spans="1:1">
      <c r="A242" s="40"/>
    </row>
    <row r="243" spans="1:1">
      <c r="A243" s="40"/>
    </row>
    <row r="244" spans="1:1">
      <c r="A244" s="40"/>
    </row>
    <row r="245" spans="1:1">
      <c r="A245" s="40"/>
    </row>
    <row r="246" spans="1:1">
      <c r="A246" s="40"/>
    </row>
    <row r="247" spans="1:1">
      <c r="A247" s="40"/>
    </row>
    <row r="248" spans="1:1">
      <c r="A248" s="40"/>
    </row>
    <row r="249" spans="1:1">
      <c r="A249" s="40"/>
    </row>
    <row r="250" spans="1:1">
      <c r="A250" s="40"/>
    </row>
    <row r="251" spans="1:1">
      <c r="A251" s="40"/>
    </row>
    <row r="252" spans="1:1">
      <c r="A252" s="40"/>
    </row>
    <row r="253" spans="1:1">
      <c r="A253" s="40"/>
    </row>
    <row r="254" spans="1:1">
      <c r="A254" s="40"/>
    </row>
    <row r="255" spans="1:1">
      <c r="A255" s="40"/>
    </row>
    <row r="256" spans="1:1">
      <c r="A256" s="40"/>
    </row>
    <row r="257" spans="1:1">
      <c r="A257" s="40"/>
    </row>
    <row r="258" spans="1:1">
      <c r="A258" s="40"/>
    </row>
    <row r="259" spans="1:1">
      <c r="A259" s="40"/>
    </row>
    <row r="260" spans="1:1">
      <c r="A260" s="40"/>
    </row>
    <row r="261" spans="1:1">
      <c r="A261" s="40"/>
    </row>
    <row r="262" spans="1:1">
      <c r="A262" s="40"/>
    </row>
    <row r="263" spans="1:1">
      <c r="A263" s="40"/>
    </row>
    <row r="264" spans="1:1">
      <c r="A264" s="40"/>
    </row>
    <row r="265" spans="1:1">
      <c r="A265" s="40"/>
    </row>
    <row r="266" spans="1:1">
      <c r="A266" s="40"/>
    </row>
    <row r="267" spans="1:1">
      <c r="A267" s="40"/>
    </row>
    <row r="268" spans="1:1">
      <c r="A268" s="40"/>
    </row>
    <row r="269" spans="1:1">
      <c r="A269" s="40"/>
    </row>
    <row r="270" spans="1:1">
      <c r="A270" s="40"/>
    </row>
    <row r="271" spans="1:1">
      <c r="A271" s="40"/>
    </row>
    <row r="272" spans="1:1">
      <c r="A272" s="40"/>
    </row>
    <row r="273" spans="1:1">
      <c r="A273" s="40"/>
    </row>
    <row r="274" spans="1:1">
      <c r="A274" s="40"/>
    </row>
    <row r="275" spans="1:1">
      <c r="A275" s="40"/>
    </row>
    <row r="276" spans="1:1">
      <c r="A276" s="40"/>
    </row>
    <row r="277" spans="1:1">
      <c r="A277" s="40"/>
    </row>
    <row r="278" spans="1:1">
      <c r="A278" s="40"/>
    </row>
    <row r="279" spans="1:1">
      <c r="A279" s="40"/>
    </row>
    <row r="280" spans="1:1">
      <c r="A280" s="40"/>
    </row>
    <row r="281" spans="1:1">
      <c r="A281" s="40"/>
    </row>
    <row r="282" spans="1:1">
      <c r="A282" s="40"/>
    </row>
    <row r="283" spans="1:1">
      <c r="A283" s="40"/>
    </row>
    <row r="284" spans="1:1">
      <c r="A284" s="40"/>
    </row>
    <row r="285" spans="1:1">
      <c r="A285" s="40"/>
    </row>
    <row r="286" spans="1:1">
      <c r="A286" s="40"/>
    </row>
    <row r="287" spans="1:1">
      <c r="A287" s="40"/>
    </row>
    <row r="288" spans="1:1">
      <c r="A288" s="40"/>
    </row>
    <row r="289" spans="1:1">
      <c r="A289" s="40"/>
    </row>
    <row r="290" spans="1:1">
      <c r="A290" s="40"/>
    </row>
    <row r="291" spans="1:1">
      <c r="A291" s="40"/>
    </row>
    <row r="292" spans="1:1">
      <c r="A292" s="40"/>
    </row>
    <row r="293" spans="1:1">
      <c r="A293" s="40"/>
    </row>
    <row r="294" spans="1:1">
      <c r="A294" s="40"/>
    </row>
    <row r="295" spans="1:1">
      <c r="A295" s="40"/>
    </row>
    <row r="296" spans="1:1">
      <c r="A296" s="40"/>
    </row>
    <row r="297" spans="1:1">
      <c r="A297" s="40"/>
    </row>
    <row r="298" spans="1:1">
      <c r="A298" s="40"/>
    </row>
    <row r="299" spans="1:1">
      <c r="A299" s="40"/>
    </row>
    <row r="300" spans="1:1">
      <c r="A300" s="40"/>
    </row>
    <row r="301" spans="1:1">
      <c r="A301" s="40"/>
    </row>
    <row r="302" spans="1:1">
      <c r="A302" s="40"/>
    </row>
    <row r="303" spans="1:1">
      <c r="A303" s="40"/>
    </row>
    <row r="304" spans="1:1">
      <c r="A304" s="40"/>
    </row>
    <row r="305" spans="1:1">
      <c r="A305" s="40"/>
    </row>
    <row r="306" spans="1:1">
      <c r="A306" s="40"/>
    </row>
    <row r="307" spans="1:1">
      <c r="A307" s="40"/>
    </row>
    <row r="308" spans="1:1">
      <c r="A308" s="40"/>
    </row>
    <row r="309" spans="1:1">
      <c r="A309" s="40"/>
    </row>
    <row r="310" spans="1:1">
      <c r="A310" s="40"/>
    </row>
    <row r="311" spans="1:1">
      <c r="A311" s="40"/>
    </row>
    <row r="312" spans="1:1">
      <c r="A312" s="40"/>
    </row>
    <row r="313" spans="1:1">
      <c r="A313" s="40"/>
    </row>
    <row r="314" spans="1:1">
      <c r="A314" s="40"/>
    </row>
    <row r="315" spans="1:1">
      <c r="A315" s="40"/>
    </row>
    <row r="316" spans="1:1">
      <c r="A316" s="40"/>
    </row>
    <row r="317" spans="1:1">
      <c r="A317" s="40"/>
    </row>
    <row r="318" spans="1:1">
      <c r="A318" s="40"/>
    </row>
    <row r="319" spans="1:1">
      <c r="A319" s="40"/>
    </row>
    <row r="320" spans="1:1">
      <c r="A320" s="40"/>
    </row>
    <row r="321" spans="1:1">
      <c r="A321" s="40"/>
    </row>
    <row r="322" spans="1:1">
      <c r="A322" s="40"/>
    </row>
    <row r="323" spans="1:1">
      <c r="A323" s="40"/>
    </row>
    <row r="324" spans="1:1">
      <c r="A324" s="40"/>
    </row>
    <row r="325" spans="1:1">
      <c r="A325" s="40"/>
    </row>
    <row r="326" spans="1:1">
      <c r="A326" s="40"/>
    </row>
    <row r="327" spans="1:1">
      <c r="A327" s="40"/>
    </row>
    <row r="328" spans="1:1">
      <c r="A328" s="40"/>
    </row>
    <row r="329" spans="1:1">
      <c r="A329" s="40"/>
    </row>
    <row r="330" spans="1:1">
      <c r="A330" s="40"/>
    </row>
    <row r="331" spans="1:1">
      <c r="A331" s="40"/>
    </row>
    <row r="332" spans="1:1">
      <c r="A332" s="40"/>
    </row>
    <row r="333" spans="1:1">
      <c r="A333" s="40"/>
    </row>
    <row r="334" spans="1:1">
      <c r="A334" s="40"/>
    </row>
    <row r="335" spans="1:1">
      <c r="A335" s="40"/>
    </row>
    <row r="336" spans="1:1">
      <c r="A336" s="40"/>
    </row>
    <row r="337" spans="1:1">
      <c r="A337" s="40"/>
    </row>
    <row r="338" spans="1:1">
      <c r="A338" s="40"/>
    </row>
    <row r="339" spans="1:1">
      <c r="A339" s="40"/>
    </row>
    <row r="340" spans="1:1">
      <c r="A340" s="40"/>
    </row>
    <row r="341" spans="1:1">
      <c r="A341" s="40"/>
    </row>
    <row r="342" spans="1:1">
      <c r="A342" s="40"/>
    </row>
    <row r="343" spans="1:1">
      <c r="A343" s="40"/>
    </row>
    <row r="344" spans="1:1">
      <c r="A344" s="40"/>
    </row>
    <row r="345" spans="1:1">
      <c r="A345" s="40"/>
    </row>
    <row r="346" spans="1:1">
      <c r="A346" s="40"/>
    </row>
    <row r="347" spans="1:1">
      <c r="A347" s="40"/>
    </row>
    <row r="348" spans="1:1">
      <c r="A348" s="40"/>
    </row>
    <row r="349" spans="1:1">
      <c r="A349" s="40"/>
    </row>
    <row r="350" spans="1:1">
      <c r="A350" s="40"/>
    </row>
    <row r="351" spans="1:1">
      <c r="A351" s="40"/>
    </row>
    <row r="352" spans="1:1">
      <c r="A352" s="40"/>
    </row>
    <row r="353" spans="1:1">
      <c r="A353" s="40"/>
    </row>
    <row r="354" spans="1:1">
      <c r="A354" s="40"/>
    </row>
    <row r="355" spans="1:1">
      <c r="A355" s="40"/>
    </row>
    <row r="356" spans="1:1">
      <c r="A356" s="40"/>
    </row>
    <row r="357" spans="1:1">
      <c r="A357" s="40"/>
    </row>
    <row r="358" spans="1:1">
      <c r="A358" s="40"/>
    </row>
    <row r="359" spans="1:1">
      <c r="A359" s="40"/>
    </row>
    <row r="360" spans="1:1">
      <c r="A360" s="40"/>
    </row>
    <row r="361" spans="1:1">
      <c r="A361" s="40"/>
    </row>
    <row r="362" spans="1:1">
      <c r="A362" s="40"/>
    </row>
    <row r="363" spans="1:1">
      <c r="A363" s="40"/>
    </row>
    <row r="364" spans="1:1">
      <c r="A364" s="40"/>
    </row>
    <row r="365" spans="1:1">
      <c r="A365" s="40"/>
    </row>
    <row r="366" spans="1:1">
      <c r="A366" s="40"/>
    </row>
    <row r="367" spans="1:1">
      <c r="A367" s="40"/>
    </row>
    <row r="368" spans="1:1">
      <c r="A368" s="40"/>
    </row>
    <row r="369" spans="1:1">
      <c r="A369" s="40"/>
    </row>
    <row r="370" spans="1:1">
      <c r="A370" s="40"/>
    </row>
    <row r="371" spans="1:1">
      <c r="A371" s="40"/>
    </row>
    <row r="372" spans="1:1">
      <c r="A372" s="40"/>
    </row>
    <row r="373" spans="1:1">
      <c r="A373" s="40"/>
    </row>
    <row r="374" spans="1:1">
      <c r="A374" s="40"/>
    </row>
    <row r="375" spans="1:1">
      <c r="A375" s="40"/>
    </row>
    <row r="376" spans="1:1">
      <c r="A376" s="40"/>
    </row>
    <row r="377" spans="1:1">
      <c r="A377" s="40"/>
    </row>
    <row r="378" spans="1:1">
      <c r="A378" s="40"/>
    </row>
    <row r="379" spans="1:1">
      <c r="A379" s="40"/>
    </row>
    <row r="380" spans="1:1">
      <c r="A380" s="40"/>
    </row>
    <row r="381" spans="1:1">
      <c r="A381" s="40"/>
    </row>
    <row r="382" spans="1:1">
      <c r="A382" s="40"/>
    </row>
    <row r="383" spans="1:1">
      <c r="A383" s="40"/>
    </row>
    <row r="384" spans="1:1">
      <c r="A384" s="40"/>
    </row>
    <row r="385" spans="1:1">
      <c r="A385" s="40"/>
    </row>
    <row r="386" spans="1:1">
      <c r="A386" s="40"/>
    </row>
    <row r="387" spans="1:1">
      <c r="A387" s="40"/>
    </row>
    <row r="388" spans="1:1">
      <c r="A388" s="40"/>
    </row>
    <row r="389" spans="1:1">
      <c r="A389" s="40"/>
    </row>
    <row r="390" spans="1:1">
      <c r="A390" s="40"/>
    </row>
    <row r="391" spans="1:1">
      <c r="A391" s="40"/>
    </row>
    <row r="392" spans="1:1">
      <c r="A392" s="40"/>
    </row>
    <row r="393" spans="1:1">
      <c r="A393" s="40"/>
    </row>
    <row r="394" spans="1:1">
      <c r="A394" s="40"/>
    </row>
    <row r="395" spans="1:1">
      <c r="A395" s="40"/>
    </row>
    <row r="396" spans="1:1">
      <c r="A396" s="40"/>
    </row>
    <row r="397" spans="1:1">
      <c r="A397" s="40"/>
    </row>
    <row r="398" spans="1:1">
      <c r="A398" s="40"/>
    </row>
    <row r="399" spans="1:1">
      <c r="A399" s="40"/>
    </row>
    <row r="400" spans="1:1">
      <c r="A400" s="40"/>
    </row>
    <row r="401" spans="1:1">
      <c r="A401" s="40"/>
    </row>
    <row r="402" spans="1:1">
      <c r="A402" s="40"/>
    </row>
    <row r="403" spans="1:1">
      <c r="A403" s="40"/>
    </row>
    <row r="404" spans="1:1">
      <c r="A404" s="40"/>
    </row>
    <row r="405" spans="1:1">
      <c r="A405" s="40"/>
    </row>
    <row r="406" spans="1:1">
      <c r="A406" s="40"/>
    </row>
    <row r="407" spans="1:1">
      <c r="A407" s="40"/>
    </row>
    <row r="408" spans="1:1">
      <c r="A408" s="40"/>
    </row>
    <row r="409" spans="1:1">
      <c r="A409" s="40"/>
    </row>
    <row r="410" spans="1:1">
      <c r="A410" s="40"/>
    </row>
    <row r="411" spans="1:1">
      <c r="A411" s="40"/>
    </row>
    <row r="412" spans="1:1">
      <c r="A412" s="40"/>
    </row>
    <row r="413" spans="1:1">
      <c r="A413" s="40"/>
    </row>
    <row r="414" spans="1:1">
      <c r="A414" s="40"/>
    </row>
    <row r="415" spans="1:1">
      <c r="A415" s="40"/>
    </row>
    <row r="416" spans="1:1">
      <c r="A416" s="40"/>
    </row>
    <row r="417" spans="1:1">
      <c r="A417" s="40"/>
    </row>
    <row r="418" spans="1:1">
      <c r="A418" s="40"/>
    </row>
    <row r="419" spans="1:1">
      <c r="A419" s="40"/>
    </row>
    <row r="420" spans="1:1">
      <c r="A420" s="40"/>
    </row>
    <row r="421" spans="1:1">
      <c r="A421" s="40"/>
    </row>
    <row r="422" spans="1:1">
      <c r="A422" s="40"/>
    </row>
    <row r="423" spans="1:1">
      <c r="A423" s="40"/>
    </row>
    <row r="424" spans="1:1">
      <c r="A424" s="40"/>
    </row>
    <row r="425" spans="1:1">
      <c r="A425" s="40"/>
    </row>
    <row r="426" spans="1:1">
      <c r="A426" s="40"/>
    </row>
    <row r="427" spans="1:1">
      <c r="A427" s="40"/>
    </row>
    <row r="428" spans="1:1">
      <c r="A428" s="40"/>
    </row>
    <row r="429" spans="1:1">
      <c r="A429" s="40"/>
    </row>
    <row r="430" spans="1:1">
      <c r="A430" s="40"/>
    </row>
    <row r="431" spans="1:1">
      <c r="A431" s="40"/>
    </row>
    <row r="432" spans="1:1">
      <c r="A432" s="40"/>
    </row>
    <row r="433" spans="1:1">
      <c r="A433" s="40"/>
    </row>
    <row r="434" spans="1:1">
      <c r="A434" s="40"/>
    </row>
    <row r="435" spans="1:1">
      <c r="A435" s="40"/>
    </row>
    <row r="436" spans="1:1">
      <c r="A436" s="40"/>
    </row>
    <row r="437" spans="1:1">
      <c r="A437" s="40"/>
    </row>
    <row r="438" spans="1:1">
      <c r="A438" s="40"/>
    </row>
    <row r="439" spans="1:1">
      <c r="A439" s="40"/>
    </row>
    <row r="440" spans="1:1">
      <c r="A440" s="40"/>
    </row>
    <row r="441" spans="1:1">
      <c r="A441" s="40"/>
    </row>
    <row r="442" spans="1:1">
      <c r="A442" s="40"/>
    </row>
    <row r="443" spans="1:1">
      <c r="A443" s="40"/>
    </row>
    <row r="444" spans="1:1">
      <c r="A444" s="40"/>
    </row>
    <row r="445" spans="1:1">
      <c r="A445" s="40"/>
    </row>
    <row r="446" spans="1:1">
      <c r="A446" s="40"/>
    </row>
    <row r="447" spans="1:1">
      <c r="A447" s="40"/>
    </row>
    <row r="448" spans="1:1">
      <c r="A448" s="40"/>
    </row>
    <row r="449" spans="1:1">
      <c r="A449" s="40"/>
    </row>
    <row r="450" spans="1:1">
      <c r="A450" s="40"/>
    </row>
    <row r="451" spans="1:1">
      <c r="A451" s="40"/>
    </row>
    <row r="452" spans="1:1">
      <c r="A452" s="40"/>
    </row>
    <row r="453" spans="1:1">
      <c r="A453" s="40"/>
    </row>
    <row r="454" spans="1:1">
      <c r="A454" s="40"/>
    </row>
    <row r="455" spans="1:1">
      <c r="A455" s="40"/>
    </row>
    <row r="456" spans="1:1">
      <c r="A456" s="40"/>
    </row>
    <row r="457" spans="1:1">
      <c r="A457" s="40"/>
    </row>
    <row r="458" spans="1:1">
      <c r="A458" s="40"/>
    </row>
    <row r="459" spans="1:1">
      <c r="A459" s="40"/>
    </row>
    <row r="460" spans="1:1">
      <c r="A460" s="40"/>
    </row>
    <row r="461" spans="1:1">
      <c r="A461" s="40"/>
    </row>
    <row r="462" spans="1:1">
      <c r="A462" s="40"/>
    </row>
    <row r="463" spans="1:1">
      <c r="A463" s="40"/>
    </row>
    <row r="464" spans="1:1">
      <c r="A464" s="40"/>
    </row>
    <row r="465" spans="1:1">
      <c r="A465" s="40"/>
    </row>
    <row r="466" spans="1:1">
      <c r="A466" s="40"/>
    </row>
    <row r="467" spans="1:1">
      <c r="A467" s="40"/>
    </row>
    <row r="468" spans="1:1">
      <c r="A468" s="40"/>
    </row>
    <row r="469" spans="1:1">
      <c r="A469" s="40"/>
    </row>
    <row r="470" spans="1:1">
      <c r="A470" s="40"/>
    </row>
    <row r="471" spans="1:1">
      <c r="A471" s="40"/>
    </row>
    <row r="472" spans="1:1">
      <c r="A472" s="40"/>
    </row>
    <row r="473" spans="1:1">
      <c r="A473" s="40"/>
    </row>
    <row r="474" spans="1:1">
      <c r="A474" s="40"/>
    </row>
    <row r="475" spans="1:1">
      <c r="A475" s="40"/>
    </row>
    <row r="476" spans="1:1">
      <c r="A476" s="40"/>
    </row>
    <row r="477" spans="1:1">
      <c r="A477" s="40"/>
    </row>
    <row r="478" spans="1:1">
      <c r="A478" s="40"/>
    </row>
    <row r="479" spans="1:1">
      <c r="A479" s="40"/>
    </row>
    <row r="480" spans="1:1">
      <c r="A480" s="40"/>
    </row>
    <row r="481" spans="1:1">
      <c r="A481" s="40"/>
    </row>
    <row r="482" spans="1:1">
      <c r="A482" s="40"/>
    </row>
    <row r="483" spans="1:1">
      <c r="A483" s="40"/>
    </row>
    <row r="484" spans="1:1">
      <c r="A484" s="40"/>
    </row>
    <row r="485" spans="1:1">
      <c r="A485" s="40"/>
    </row>
    <row r="486" spans="1:1">
      <c r="A486" s="40"/>
    </row>
    <row r="487" spans="1:1">
      <c r="A487" s="40"/>
    </row>
    <row r="488" spans="1:1">
      <c r="A488" s="40"/>
    </row>
    <row r="489" spans="1:1">
      <c r="A489" s="40"/>
    </row>
    <row r="490" spans="1:1">
      <c r="A490" s="40"/>
    </row>
    <row r="491" spans="1:1">
      <c r="A491" s="40"/>
    </row>
    <row r="492" spans="1:1">
      <c r="A492" s="40"/>
    </row>
    <row r="493" spans="1:1">
      <c r="A493" s="40"/>
    </row>
    <row r="494" spans="1:1">
      <c r="A494" s="40"/>
    </row>
    <row r="495" spans="1:1">
      <c r="A495" s="40"/>
    </row>
    <row r="496" spans="1:1">
      <c r="A496" s="40"/>
    </row>
    <row r="497" spans="1:1">
      <c r="A497" s="40"/>
    </row>
    <row r="498" spans="1:1">
      <c r="A498" s="40"/>
    </row>
    <row r="499" spans="1:1">
      <c r="A499" s="40"/>
    </row>
    <row r="500" spans="1:1">
      <c r="A500" s="40"/>
    </row>
    <row r="501" spans="1:1">
      <c r="A501" s="40"/>
    </row>
    <row r="502" spans="1:1">
      <c r="A502" s="40"/>
    </row>
    <row r="503" spans="1:1">
      <c r="A503" s="40"/>
    </row>
    <row r="504" spans="1:1">
      <c r="A504" s="40"/>
    </row>
    <row r="505" spans="1:1">
      <c r="A505" s="40"/>
    </row>
    <row r="506" spans="1:1">
      <c r="A506" s="40"/>
    </row>
    <row r="507" spans="1:1">
      <c r="A507" s="40"/>
    </row>
    <row r="508" spans="1:1">
      <c r="A508" s="40"/>
    </row>
    <row r="509" spans="1:1">
      <c r="A509" s="40"/>
    </row>
    <row r="510" spans="1:1">
      <c r="A510" s="40"/>
    </row>
    <row r="511" spans="1:1">
      <c r="A511" s="40"/>
    </row>
    <row r="512" spans="1:1">
      <c r="A512" s="40"/>
    </row>
    <row r="513" spans="1:1">
      <c r="A513" s="40"/>
    </row>
    <row r="514" spans="1:1">
      <c r="A514" s="40"/>
    </row>
    <row r="515" spans="1:1">
      <c r="A515" s="40"/>
    </row>
    <row r="516" spans="1:1">
      <c r="A516" s="40"/>
    </row>
    <row r="517" spans="1:1">
      <c r="A517" s="40"/>
    </row>
    <row r="518" spans="1:1">
      <c r="A518" s="40"/>
    </row>
    <row r="519" spans="1:1">
      <c r="A519" s="40"/>
    </row>
    <row r="520" spans="1:1">
      <c r="A520" s="40"/>
    </row>
    <row r="521" spans="1:1">
      <c r="A521" s="40"/>
    </row>
    <row r="522" spans="1:1">
      <c r="A522" s="40"/>
    </row>
    <row r="523" spans="1:1">
      <c r="A523" s="40"/>
    </row>
    <row r="524" spans="1:1">
      <c r="A524" s="40"/>
    </row>
    <row r="525" spans="1:1">
      <c r="A525" s="40"/>
    </row>
    <row r="526" spans="1:1">
      <c r="A526" s="40"/>
    </row>
    <row r="527" spans="1:1">
      <c r="A527" s="40"/>
    </row>
    <row r="528" spans="1:1">
      <c r="A528" s="40"/>
    </row>
    <row r="529" spans="1:1">
      <c r="A529" s="40"/>
    </row>
    <row r="530" spans="1:1">
      <c r="A530" s="40"/>
    </row>
    <row r="531" spans="1:1">
      <c r="A531" s="40"/>
    </row>
    <row r="532" spans="1:1">
      <c r="A532" s="40"/>
    </row>
    <row r="533" spans="1:1">
      <c r="A533" s="40"/>
    </row>
    <row r="534" spans="1:1">
      <c r="A534" s="40"/>
    </row>
    <row r="535" spans="1:1">
      <c r="A535" s="40"/>
    </row>
    <row r="536" spans="1:1">
      <c r="A536" s="40"/>
    </row>
    <row r="537" spans="1:1">
      <c r="A537" s="40"/>
    </row>
    <row r="538" spans="1:1">
      <c r="A538" s="40"/>
    </row>
    <row r="539" spans="1:1">
      <c r="A539" s="40"/>
    </row>
    <row r="540" spans="1:1">
      <c r="A540" s="40"/>
    </row>
    <row r="541" spans="1:1">
      <c r="A541" s="40"/>
    </row>
    <row r="542" spans="1:1">
      <c r="A542" s="40"/>
    </row>
    <row r="543" spans="1:1">
      <c r="A543" s="40"/>
    </row>
    <row r="544" spans="1:1">
      <c r="A544" s="40"/>
    </row>
    <row r="545" spans="1:1">
      <c r="A545" s="40"/>
    </row>
    <row r="546" spans="1:1">
      <c r="A546" s="40"/>
    </row>
    <row r="547" spans="1:1">
      <c r="A547" s="40"/>
    </row>
    <row r="548" spans="1:1">
      <c r="A548" s="40"/>
    </row>
    <row r="549" spans="1:1">
      <c r="A549" s="40"/>
    </row>
    <row r="550" spans="1:1">
      <c r="A550" s="40"/>
    </row>
    <row r="551" spans="1:1">
      <c r="A551" s="40"/>
    </row>
    <row r="552" spans="1:1">
      <c r="A552" s="40"/>
    </row>
    <row r="553" spans="1:1">
      <c r="A553" s="40"/>
    </row>
    <row r="554" spans="1:1">
      <c r="A554" s="40"/>
    </row>
    <row r="555" spans="1:1">
      <c r="A555" s="40"/>
    </row>
    <row r="556" spans="1:1">
      <c r="A556" s="40"/>
    </row>
    <row r="557" spans="1:1">
      <c r="A557" s="40"/>
    </row>
    <row r="558" spans="1:1">
      <c r="A558" s="40"/>
    </row>
    <row r="559" spans="1:1">
      <c r="A559" s="40"/>
    </row>
    <row r="560" spans="1:1">
      <c r="A560" s="40"/>
    </row>
    <row r="561" spans="1:1">
      <c r="A561" s="40"/>
    </row>
    <row r="562" spans="1:1">
      <c r="A562" s="40"/>
    </row>
    <row r="563" spans="1:1">
      <c r="A563" s="40"/>
    </row>
    <row r="564" spans="1:1">
      <c r="A564" s="40"/>
    </row>
    <row r="565" spans="1:1">
      <c r="A565" s="40"/>
    </row>
    <row r="566" spans="1:1">
      <c r="A566" s="40"/>
    </row>
    <row r="567" spans="1:1">
      <c r="A567" s="40"/>
    </row>
    <row r="568" spans="1:1">
      <c r="A568" s="40"/>
    </row>
    <row r="569" spans="1:1">
      <c r="A569" s="40"/>
    </row>
    <row r="570" spans="1:1">
      <c r="A570" s="40"/>
    </row>
    <row r="571" spans="1:1">
      <c r="A571" s="40"/>
    </row>
    <row r="572" spans="1:1">
      <c r="A572" s="40"/>
    </row>
    <row r="573" spans="1:1">
      <c r="A573" s="40"/>
    </row>
    <row r="574" spans="1:1">
      <c r="A574" s="40"/>
    </row>
    <row r="575" spans="1:1">
      <c r="A575" s="40"/>
    </row>
    <row r="576" spans="1:1">
      <c r="A576" s="40"/>
    </row>
    <row r="577" spans="1:1">
      <c r="A577" s="40"/>
    </row>
    <row r="578" spans="1:1">
      <c r="A578" s="40"/>
    </row>
    <row r="579" spans="1:1">
      <c r="A579" s="40"/>
    </row>
    <row r="580" spans="1:1">
      <c r="A580" s="40"/>
    </row>
    <row r="581" spans="1:1">
      <c r="A581" s="40"/>
    </row>
    <row r="582" spans="1:1">
      <c r="A582" s="40"/>
    </row>
    <row r="583" spans="1:1">
      <c r="A583" s="40"/>
    </row>
    <row r="584" spans="1:1">
      <c r="A584" s="40"/>
    </row>
    <row r="585" spans="1:1">
      <c r="A585" s="40"/>
    </row>
    <row r="586" spans="1:1">
      <c r="A586" s="40"/>
    </row>
    <row r="587" spans="1:1">
      <c r="A587" s="40"/>
    </row>
    <row r="588" spans="1:1">
      <c r="A588" s="40"/>
    </row>
    <row r="589" spans="1:1">
      <c r="A589" s="40"/>
    </row>
    <row r="590" spans="1:1">
      <c r="A590" s="40"/>
    </row>
    <row r="591" spans="1:1">
      <c r="A591" s="40"/>
    </row>
    <row r="592" spans="1:1">
      <c r="A592" s="40"/>
    </row>
    <row r="593" spans="1:1">
      <c r="A593" s="40"/>
    </row>
    <row r="594" spans="1:1">
      <c r="A594" s="40"/>
    </row>
    <row r="595" spans="1:1">
      <c r="A595" s="40"/>
    </row>
    <row r="596" spans="1:1">
      <c r="A596" s="40"/>
    </row>
    <row r="597" spans="1:1">
      <c r="A597" s="40"/>
    </row>
    <row r="598" spans="1:1">
      <c r="A598" s="40"/>
    </row>
    <row r="599" spans="1:1">
      <c r="A599" s="40"/>
    </row>
    <row r="600" spans="1:1">
      <c r="A600" s="40"/>
    </row>
    <row r="601" spans="1:1">
      <c r="A601" s="40"/>
    </row>
    <row r="602" spans="1:1">
      <c r="A602" s="40"/>
    </row>
    <row r="603" spans="1:1">
      <c r="A603" s="40"/>
    </row>
    <row r="604" spans="1:1">
      <c r="A604" s="40"/>
    </row>
    <row r="605" spans="1:1">
      <c r="A605" s="40"/>
    </row>
    <row r="606" spans="1:1">
      <c r="A606" s="40"/>
    </row>
    <row r="607" spans="1:1">
      <c r="A607" s="40"/>
    </row>
    <row r="608" spans="1:1">
      <c r="A608" s="40"/>
    </row>
    <row r="609" spans="1:1">
      <c r="A609" s="40"/>
    </row>
    <row r="610" spans="1:1">
      <c r="A610" s="40"/>
    </row>
    <row r="611" spans="1:1">
      <c r="A611" s="40"/>
    </row>
    <row r="612" spans="1:1">
      <c r="A612" s="40"/>
    </row>
    <row r="613" spans="1:1">
      <c r="A613" s="40"/>
    </row>
    <row r="614" spans="1:1">
      <c r="A614" s="40"/>
    </row>
    <row r="615" spans="1:1">
      <c r="A615" s="40"/>
    </row>
    <row r="616" spans="1:1">
      <c r="A616" s="40"/>
    </row>
    <row r="617" spans="1:1">
      <c r="A617" s="40"/>
    </row>
    <row r="618" spans="1:1">
      <c r="A618" s="40"/>
    </row>
    <row r="619" spans="1:1">
      <c r="A619" s="40"/>
    </row>
    <row r="620" spans="1:1">
      <c r="A620" s="40"/>
    </row>
    <row r="621" spans="1:1">
      <c r="A621" s="40"/>
    </row>
    <row r="622" spans="1:1">
      <c r="A622" s="40"/>
    </row>
    <row r="623" spans="1:1">
      <c r="A623" s="40"/>
    </row>
    <row r="624" spans="1:1">
      <c r="A624" s="40"/>
    </row>
    <row r="625" spans="1:1">
      <c r="A625" s="40"/>
    </row>
    <row r="626" spans="1:1">
      <c r="A626" s="40"/>
    </row>
    <row r="627" spans="1:1">
      <c r="A627" s="40"/>
    </row>
    <row r="628" spans="1:1">
      <c r="A628" s="40"/>
    </row>
    <row r="629" spans="1:1">
      <c r="A629" s="40"/>
    </row>
    <row r="630" spans="1:1">
      <c r="A630" s="40"/>
    </row>
    <row r="631" spans="1:1">
      <c r="A631" s="40"/>
    </row>
    <row r="632" spans="1:1">
      <c r="A632" s="40"/>
    </row>
    <row r="633" spans="1:1">
      <c r="A633" s="40"/>
    </row>
    <row r="634" spans="1:1">
      <c r="A634" s="40"/>
    </row>
    <row r="635" spans="1:1">
      <c r="A635" s="40"/>
    </row>
    <row r="636" spans="1:1">
      <c r="A636" s="40"/>
    </row>
    <row r="637" spans="1:1">
      <c r="A637" s="40"/>
    </row>
    <row r="638" spans="1:1">
      <c r="A638" s="40"/>
    </row>
    <row r="639" spans="1:1">
      <c r="A639" s="40"/>
    </row>
    <row r="640" spans="1:1">
      <c r="A640" s="40"/>
    </row>
    <row r="641" spans="1:1">
      <c r="A641" s="40"/>
    </row>
    <row r="642" spans="1:1">
      <c r="A642" s="40"/>
    </row>
    <row r="643" spans="1:1">
      <c r="A643" s="40"/>
    </row>
    <row r="644" spans="1:1">
      <c r="A644" s="40"/>
    </row>
    <row r="645" spans="1:1">
      <c r="A645" s="40"/>
    </row>
    <row r="646" spans="1:1">
      <c r="A646" s="40"/>
    </row>
    <row r="647" spans="1:1">
      <c r="A647" s="40"/>
    </row>
    <row r="648" spans="1:1">
      <c r="A648" s="40"/>
    </row>
    <row r="649" spans="1:1">
      <c r="A649" s="40"/>
    </row>
    <row r="650" spans="1:1">
      <c r="A650" s="40"/>
    </row>
    <row r="651" spans="1:1">
      <c r="A651" s="40"/>
    </row>
    <row r="652" spans="1:1">
      <c r="A652" s="40"/>
    </row>
    <row r="653" spans="1:1">
      <c r="A653" s="40"/>
    </row>
    <row r="654" spans="1:1">
      <c r="A654" s="40"/>
    </row>
    <row r="655" spans="1:1">
      <c r="A655" s="40"/>
    </row>
    <row r="656" spans="1:1">
      <c r="A656" s="40"/>
    </row>
    <row r="657" spans="1:1">
      <c r="A657" s="40"/>
    </row>
    <row r="658" spans="1:1">
      <c r="A658" s="40"/>
    </row>
    <row r="659" spans="1:1">
      <c r="A659" s="40"/>
    </row>
    <row r="660" spans="1:1">
      <c r="A660" s="40"/>
    </row>
    <row r="661" spans="1:1">
      <c r="A661" s="40"/>
    </row>
    <row r="662" spans="1:1">
      <c r="A662" s="40"/>
    </row>
    <row r="663" spans="1:1">
      <c r="A663" s="40"/>
    </row>
    <row r="664" spans="1:1">
      <c r="A664" s="40"/>
    </row>
    <row r="665" spans="1:1">
      <c r="A665" s="40"/>
    </row>
    <row r="666" spans="1:1">
      <c r="A666" s="40"/>
    </row>
    <row r="667" spans="1:1">
      <c r="A667" s="40"/>
    </row>
    <row r="668" spans="1:1">
      <c r="A668" s="40"/>
    </row>
    <row r="669" spans="1:1">
      <c r="A669" s="40"/>
    </row>
    <row r="670" spans="1:1">
      <c r="A670" s="40"/>
    </row>
    <row r="671" spans="1:1">
      <c r="A671" s="40"/>
    </row>
    <row r="672" spans="1:1">
      <c r="A672" s="40"/>
    </row>
    <row r="673" spans="1:1">
      <c r="A673" s="40"/>
    </row>
    <row r="674" spans="1:1">
      <c r="A674" s="40"/>
    </row>
    <row r="675" spans="1:1">
      <c r="A675" s="40"/>
    </row>
    <row r="676" spans="1:1">
      <c r="A676" s="40"/>
    </row>
    <row r="677" spans="1:1">
      <c r="A677" s="40"/>
    </row>
    <row r="678" spans="1:1">
      <c r="A678" s="40"/>
    </row>
    <row r="679" spans="1:1">
      <c r="A679" s="40"/>
    </row>
    <row r="680" spans="1:1">
      <c r="A680" s="40"/>
    </row>
    <row r="681" spans="1:1">
      <c r="A681" s="40"/>
    </row>
    <row r="682" spans="1:1">
      <c r="A682" s="40"/>
    </row>
    <row r="683" spans="1:1">
      <c r="A683" s="40"/>
    </row>
    <row r="684" spans="1:1">
      <c r="A684" s="40"/>
    </row>
    <row r="685" spans="1:1">
      <c r="A685" s="40"/>
    </row>
    <row r="686" spans="1:1">
      <c r="A686" s="40"/>
    </row>
    <row r="687" spans="1:1">
      <c r="A687" s="40"/>
    </row>
    <row r="688" spans="1:1">
      <c r="A688" s="40"/>
    </row>
    <row r="689" spans="1:1">
      <c r="A689" s="40"/>
    </row>
    <row r="690" spans="1:1">
      <c r="A690" s="40"/>
    </row>
    <row r="691" spans="1:1">
      <c r="A691" s="40"/>
    </row>
    <row r="692" spans="1:1">
      <c r="A692" s="40"/>
    </row>
    <row r="693" spans="1:1">
      <c r="A693" s="40"/>
    </row>
    <row r="694" spans="1:1">
      <c r="A694" s="40"/>
    </row>
    <row r="695" spans="1:1">
      <c r="A695" s="40"/>
    </row>
    <row r="696" spans="1:1">
      <c r="A696" s="40"/>
    </row>
    <row r="697" spans="1:1">
      <c r="A697" s="40"/>
    </row>
    <row r="698" spans="1:1">
      <c r="A698" s="40"/>
    </row>
    <row r="699" spans="1:1">
      <c r="A699" s="40"/>
    </row>
    <row r="700" spans="1:1">
      <c r="A700" s="40"/>
    </row>
    <row r="701" spans="1:1">
      <c r="A701" s="40"/>
    </row>
    <row r="702" spans="1:1">
      <c r="A702" s="40"/>
    </row>
    <row r="703" spans="1:1">
      <c r="A703" s="40"/>
    </row>
    <row r="704" spans="1:1">
      <c r="A704" s="40"/>
    </row>
    <row r="705" spans="1:1">
      <c r="A705" s="40"/>
    </row>
    <row r="706" spans="1:1">
      <c r="A706" s="40"/>
    </row>
    <row r="707" spans="1:1">
      <c r="A707" s="40"/>
    </row>
    <row r="708" spans="1:1">
      <c r="A708" s="40"/>
    </row>
    <row r="709" spans="1:1">
      <c r="A709" s="40"/>
    </row>
    <row r="710" spans="1:1">
      <c r="A710" s="40"/>
    </row>
    <row r="711" spans="1:1">
      <c r="A711" s="40"/>
    </row>
    <row r="712" spans="1:1">
      <c r="A712" s="40"/>
    </row>
    <row r="713" spans="1:1">
      <c r="A713" s="40"/>
    </row>
    <row r="714" spans="1:1">
      <c r="A714" s="40"/>
    </row>
    <row r="715" spans="1:1">
      <c r="A715" s="40"/>
    </row>
    <row r="716" spans="1:1">
      <c r="A716" s="40"/>
    </row>
    <row r="717" spans="1:1">
      <c r="A717" s="40"/>
    </row>
    <row r="718" spans="1:1">
      <c r="A718" s="40"/>
    </row>
    <row r="719" spans="1:1">
      <c r="A719" s="40"/>
    </row>
    <row r="720" spans="1:1">
      <c r="A720" s="40"/>
    </row>
    <row r="721" spans="1:1">
      <c r="A721" s="40"/>
    </row>
    <row r="722" spans="1:1">
      <c r="A722" s="40"/>
    </row>
    <row r="723" spans="1:1">
      <c r="A723" s="40"/>
    </row>
    <row r="724" spans="1:1">
      <c r="A724" s="40"/>
    </row>
    <row r="725" spans="1:1">
      <c r="A725" s="40"/>
    </row>
    <row r="726" spans="1:1">
      <c r="A726" s="40"/>
    </row>
    <row r="727" spans="1:1">
      <c r="A727" s="40"/>
    </row>
    <row r="728" spans="1:1">
      <c r="A728" s="40"/>
    </row>
    <row r="729" spans="1:1">
      <c r="A729" s="40"/>
    </row>
    <row r="730" spans="1:1">
      <c r="A730" s="40"/>
    </row>
    <row r="731" spans="1:1">
      <c r="A731" s="40"/>
    </row>
    <row r="732" spans="1:1">
      <c r="A732" s="40"/>
    </row>
    <row r="733" spans="1:1">
      <c r="A733" s="40"/>
    </row>
    <row r="734" spans="1:1">
      <c r="A734" s="40"/>
    </row>
    <row r="735" spans="1:1">
      <c r="A735" s="40"/>
    </row>
    <row r="736" spans="1:1">
      <c r="A736" s="40"/>
    </row>
    <row r="737" spans="1:1">
      <c r="A737" s="40"/>
    </row>
    <row r="738" spans="1:1">
      <c r="A738" s="40"/>
    </row>
    <row r="739" spans="1:1">
      <c r="A739" s="40"/>
    </row>
    <row r="740" spans="1:1">
      <c r="A740" s="40"/>
    </row>
    <row r="741" spans="1:1">
      <c r="A741" s="40"/>
    </row>
    <row r="742" spans="1:1">
      <c r="A742" s="40"/>
    </row>
    <row r="743" spans="1:1">
      <c r="A743" s="40"/>
    </row>
    <row r="744" spans="1:1">
      <c r="A744" s="40"/>
    </row>
    <row r="745" spans="1:1">
      <c r="A745" s="40"/>
    </row>
    <row r="746" spans="1:1">
      <c r="A746" s="40"/>
    </row>
    <row r="747" spans="1:1">
      <c r="A747" s="40"/>
    </row>
    <row r="748" spans="1:1">
      <c r="A748" s="40"/>
    </row>
    <row r="749" spans="1:1">
      <c r="A749" s="40"/>
    </row>
    <row r="750" spans="1:1">
      <c r="A750" s="40"/>
    </row>
    <row r="751" spans="1:1">
      <c r="A751" s="40"/>
    </row>
    <row r="752" spans="1:1">
      <c r="A752" s="40"/>
    </row>
    <row r="753" spans="1:1">
      <c r="A753" s="40"/>
    </row>
    <row r="754" spans="1:1">
      <c r="A754" s="40"/>
    </row>
    <row r="755" spans="1:1">
      <c r="A755" s="40"/>
    </row>
    <row r="756" spans="1:1">
      <c r="A756" s="40"/>
    </row>
    <row r="757" spans="1:1">
      <c r="A757" s="40"/>
    </row>
    <row r="758" spans="1:1">
      <c r="A758" s="40"/>
    </row>
    <row r="759" spans="1:1">
      <c r="A759" s="40"/>
    </row>
    <row r="760" spans="1:1">
      <c r="A760" s="40"/>
    </row>
    <row r="761" spans="1:1">
      <c r="A761" s="40"/>
    </row>
    <row r="762" spans="1:1">
      <c r="A762" s="40"/>
    </row>
    <row r="763" spans="1:1">
      <c r="A763" s="40"/>
    </row>
    <row r="764" spans="1:1">
      <c r="A764" s="40"/>
    </row>
    <row r="765" spans="1:1">
      <c r="A765" s="40"/>
    </row>
    <row r="766" spans="1:1">
      <c r="A766" s="40"/>
    </row>
    <row r="767" spans="1:1">
      <c r="A767" s="40"/>
    </row>
    <row r="768" spans="1:1">
      <c r="A768" s="40"/>
    </row>
    <row r="769" spans="1:1">
      <c r="A769" s="40"/>
    </row>
    <row r="770" spans="1:1">
      <c r="A770" s="40"/>
    </row>
    <row r="771" spans="1:1">
      <c r="A771" s="40"/>
    </row>
    <row r="772" spans="1:1">
      <c r="A772" s="40"/>
    </row>
    <row r="773" spans="1:1">
      <c r="A773" s="40"/>
    </row>
    <row r="774" spans="1:1">
      <c r="A774" s="40"/>
    </row>
    <row r="775" spans="1:1">
      <c r="A775" s="40"/>
    </row>
    <row r="776" spans="1:1">
      <c r="A776" s="40"/>
    </row>
    <row r="777" spans="1:1">
      <c r="A777" s="40"/>
    </row>
    <row r="778" spans="1:1">
      <c r="A778" s="40"/>
    </row>
    <row r="779" spans="1:1">
      <c r="A779" s="40"/>
    </row>
    <row r="780" spans="1:1">
      <c r="A780" s="40"/>
    </row>
    <row r="781" spans="1:1">
      <c r="A781" s="40"/>
    </row>
    <row r="782" spans="1:1">
      <c r="A782" s="40"/>
    </row>
    <row r="783" spans="1:1">
      <c r="A783" s="40"/>
    </row>
    <row r="784" spans="1:1">
      <c r="A784" s="40"/>
    </row>
    <row r="785" spans="1:1">
      <c r="A785" s="40"/>
    </row>
    <row r="786" spans="1:1">
      <c r="A786" s="40"/>
    </row>
    <row r="787" spans="1:1">
      <c r="A787" s="40"/>
    </row>
    <row r="788" spans="1:1">
      <c r="A788" s="40"/>
    </row>
    <row r="789" spans="1:1">
      <c r="A789" s="40"/>
    </row>
    <row r="790" spans="1:1">
      <c r="A790" s="40"/>
    </row>
    <row r="791" spans="1:1">
      <c r="A791" s="40"/>
    </row>
    <row r="792" spans="1:1">
      <c r="A792" s="40"/>
    </row>
    <row r="793" spans="1:1">
      <c r="A793" s="40"/>
    </row>
    <row r="794" spans="1:1">
      <c r="A794" s="40"/>
    </row>
    <row r="795" spans="1:1">
      <c r="A795" s="40"/>
    </row>
    <row r="796" spans="1:1">
      <c r="A796" s="40"/>
    </row>
    <row r="797" spans="1:1">
      <c r="A797" s="40"/>
    </row>
    <row r="798" spans="1:1">
      <c r="A798" s="40"/>
    </row>
    <row r="799" spans="1:1">
      <c r="A799" s="40"/>
    </row>
    <row r="800" spans="1:1">
      <c r="A800" s="40"/>
    </row>
    <row r="801" spans="1:1">
      <c r="A801" s="40"/>
    </row>
    <row r="802" spans="1:1">
      <c r="A802" s="40"/>
    </row>
    <row r="803" spans="1:1">
      <c r="A803" s="40"/>
    </row>
    <row r="804" spans="1:1">
      <c r="A804" s="40"/>
    </row>
    <row r="805" spans="1:1">
      <c r="A805" s="40"/>
    </row>
    <row r="806" spans="1:1">
      <c r="A806" s="40"/>
    </row>
    <row r="807" spans="1:1">
      <c r="A807" s="40"/>
    </row>
    <row r="808" spans="1:1">
      <c r="A808" s="40"/>
    </row>
    <row r="809" spans="1:1">
      <c r="A809" s="40"/>
    </row>
    <row r="810" spans="1:1">
      <c r="A810" s="40"/>
    </row>
    <row r="811" spans="1:1">
      <c r="A811" s="40"/>
    </row>
    <row r="812" spans="1:1">
      <c r="A812" s="40"/>
    </row>
    <row r="813" spans="1:1">
      <c r="A813" s="40"/>
    </row>
    <row r="814" spans="1:1">
      <c r="A814" s="40"/>
    </row>
    <row r="815" spans="1:1">
      <c r="A815" s="40"/>
    </row>
    <row r="816" spans="1:1">
      <c r="A816" s="40"/>
    </row>
    <row r="817" spans="1:1">
      <c r="A817" s="40"/>
    </row>
    <row r="818" spans="1:1">
      <c r="A818" s="40"/>
    </row>
    <row r="819" spans="1:1">
      <c r="A819" s="40"/>
    </row>
    <row r="820" spans="1:1">
      <c r="A820" s="40"/>
    </row>
    <row r="821" spans="1:1">
      <c r="A821" s="40"/>
    </row>
    <row r="822" spans="1:1">
      <c r="A822" s="40"/>
    </row>
    <row r="823" spans="1:1">
      <c r="A823" s="40"/>
    </row>
    <row r="824" spans="1:1">
      <c r="A824" s="40"/>
    </row>
    <row r="825" spans="1:1">
      <c r="A825" s="40"/>
    </row>
    <row r="826" spans="1:1">
      <c r="A826" s="40"/>
    </row>
    <row r="827" spans="1:1">
      <c r="A827" s="40"/>
    </row>
    <row r="828" spans="1:1">
      <c r="A828" s="40"/>
    </row>
    <row r="829" spans="1:1">
      <c r="A829" s="40"/>
    </row>
    <row r="830" spans="1:1">
      <c r="A830" s="40"/>
    </row>
    <row r="831" spans="1:1">
      <c r="A831" s="40"/>
    </row>
    <row r="832" spans="1:1">
      <c r="A832" s="40"/>
    </row>
    <row r="833" spans="1:1">
      <c r="A833" s="40"/>
    </row>
    <row r="834" spans="1:1">
      <c r="A834" s="40"/>
    </row>
    <row r="835" spans="1:1">
      <c r="A835" s="40"/>
    </row>
    <row r="836" spans="1:1">
      <c r="A836" s="40"/>
    </row>
    <row r="837" spans="1:1">
      <c r="A837" s="40"/>
    </row>
    <row r="838" spans="1:1">
      <c r="A838" s="40"/>
    </row>
    <row r="839" spans="1:1">
      <c r="A839" s="40"/>
    </row>
    <row r="840" spans="1:1">
      <c r="A840" s="40"/>
    </row>
    <row r="841" spans="1:1">
      <c r="A841" s="40"/>
    </row>
    <row r="842" spans="1:1">
      <c r="A842" s="40"/>
    </row>
    <row r="843" spans="1:1">
      <c r="A843" s="40"/>
    </row>
    <row r="844" spans="1:1">
      <c r="A844" s="40"/>
    </row>
    <row r="845" spans="1:1">
      <c r="A845" s="40"/>
    </row>
    <row r="846" spans="1:1">
      <c r="A846" s="40"/>
    </row>
    <row r="847" spans="1:1">
      <c r="A847" s="40"/>
    </row>
    <row r="848" spans="1:1">
      <c r="A848" s="40"/>
    </row>
    <row r="849" spans="1:1">
      <c r="A849" s="40"/>
    </row>
    <row r="850" spans="1:1">
      <c r="A850" s="40"/>
    </row>
    <row r="851" spans="1:1">
      <c r="A851" s="40"/>
    </row>
    <row r="852" spans="1:1">
      <c r="A852" s="40"/>
    </row>
    <row r="853" spans="1:1">
      <c r="A853" s="40"/>
    </row>
    <row r="854" spans="1:1">
      <c r="A854" s="40"/>
    </row>
    <row r="855" spans="1:1">
      <c r="A855" s="40"/>
    </row>
    <row r="856" spans="1:1">
      <c r="A856" s="40"/>
    </row>
    <row r="857" spans="1:1">
      <c r="A857" s="40"/>
    </row>
    <row r="858" spans="1:1">
      <c r="A858" s="40"/>
    </row>
    <row r="859" spans="1:1">
      <c r="A859" s="40"/>
    </row>
    <row r="860" spans="1:1">
      <c r="A860" s="40"/>
    </row>
    <row r="861" spans="1:1">
      <c r="A861" s="40"/>
    </row>
    <row r="862" spans="1:1">
      <c r="A862" s="40"/>
    </row>
    <row r="863" spans="1:1">
      <c r="A863" s="40"/>
    </row>
    <row r="864" spans="1:1">
      <c r="A864" s="40"/>
    </row>
    <row r="865" spans="1:1">
      <c r="A865" s="40"/>
    </row>
    <row r="866" spans="1:1">
      <c r="A866" s="40"/>
    </row>
    <row r="867" spans="1:1">
      <c r="A867" s="40"/>
    </row>
    <row r="868" spans="1:1">
      <c r="A868" s="40"/>
    </row>
    <row r="869" spans="1:1">
      <c r="A869" s="40"/>
    </row>
    <row r="870" spans="1:1">
      <c r="A870" s="40"/>
    </row>
    <row r="871" spans="1:1">
      <c r="A871" s="40"/>
    </row>
    <row r="872" spans="1:1">
      <c r="A872" s="40"/>
    </row>
    <row r="873" spans="1:1">
      <c r="A873" s="40"/>
    </row>
    <row r="874" spans="1:1">
      <c r="A874" s="40"/>
    </row>
    <row r="875" spans="1:1">
      <c r="A875" s="40"/>
    </row>
    <row r="876" spans="1:1">
      <c r="A876" s="40"/>
    </row>
    <row r="877" spans="1:1">
      <c r="A877" s="40"/>
    </row>
    <row r="878" spans="1:1">
      <c r="A878" s="40"/>
    </row>
    <row r="879" spans="1:1">
      <c r="A879" s="40"/>
    </row>
    <row r="880" spans="1:1">
      <c r="A880" s="40"/>
    </row>
    <row r="881" spans="1:1">
      <c r="A881" s="40"/>
    </row>
    <row r="882" spans="1:1">
      <c r="A882" s="40"/>
    </row>
    <row r="883" spans="1:1">
      <c r="A883" s="40"/>
    </row>
    <row r="884" spans="1:1">
      <c r="A884" s="40"/>
    </row>
    <row r="885" spans="1:1">
      <c r="A885" s="40"/>
    </row>
    <row r="886" spans="1:1">
      <c r="A886" s="40"/>
    </row>
    <row r="887" spans="1:1">
      <c r="A887" s="40"/>
    </row>
    <row r="888" spans="1:1">
      <c r="A888" s="40"/>
    </row>
    <row r="889" spans="1:1">
      <c r="A889" s="40"/>
    </row>
    <row r="890" spans="1:1">
      <c r="A890" s="40"/>
    </row>
    <row r="891" spans="1:1">
      <c r="A891" s="40"/>
    </row>
    <row r="892" spans="1:1">
      <c r="A892" s="40"/>
    </row>
    <row r="893" spans="1:1">
      <c r="A893" s="40"/>
    </row>
    <row r="894" spans="1:1">
      <c r="A894" s="40"/>
    </row>
    <row r="895" spans="1:1">
      <c r="A895" s="40"/>
    </row>
    <row r="896" spans="1:1">
      <c r="A896" s="40"/>
    </row>
    <row r="897" spans="1:1">
      <c r="A897" s="40"/>
    </row>
    <row r="898" spans="1:1">
      <c r="A898" s="40"/>
    </row>
    <row r="899" spans="1:1">
      <c r="A899" s="40"/>
    </row>
    <row r="900" spans="1:1">
      <c r="A900" s="40"/>
    </row>
    <row r="901" spans="1:1">
      <c r="A901" s="40"/>
    </row>
    <row r="902" spans="1:1">
      <c r="A902" s="40"/>
    </row>
    <row r="903" spans="1:1">
      <c r="A903" s="40"/>
    </row>
    <row r="904" spans="1:1">
      <c r="A904" s="40"/>
    </row>
    <row r="905" spans="1:1">
      <c r="A905" s="40"/>
    </row>
    <row r="906" spans="1:1">
      <c r="A906" s="40"/>
    </row>
    <row r="907" spans="1:1">
      <c r="A907" s="40"/>
    </row>
    <row r="908" spans="1:1">
      <c r="A908" s="40"/>
    </row>
    <row r="909" spans="1:1">
      <c r="A909" s="40"/>
    </row>
    <row r="910" spans="1:1">
      <c r="A910" s="40"/>
    </row>
    <row r="911" spans="1:1">
      <c r="A911" s="40"/>
    </row>
    <row r="912" spans="1:1">
      <c r="A912" s="40"/>
    </row>
    <row r="913" spans="1:1">
      <c r="A913" s="40"/>
    </row>
    <row r="914" spans="1:1">
      <c r="A914" s="40"/>
    </row>
    <row r="915" spans="1:1">
      <c r="A915" s="40"/>
    </row>
    <row r="916" spans="1:1">
      <c r="A916" s="40"/>
    </row>
    <row r="917" spans="1:1">
      <c r="A917" s="40"/>
    </row>
    <row r="918" spans="1:1">
      <c r="A918" s="40"/>
    </row>
    <row r="919" spans="1:1">
      <c r="A919" s="40"/>
    </row>
    <row r="920" spans="1:1">
      <c r="A920" s="40"/>
    </row>
    <row r="921" spans="1:1">
      <c r="A921" s="40"/>
    </row>
    <row r="922" spans="1:1">
      <c r="A922" s="40"/>
    </row>
    <row r="923" spans="1:1">
      <c r="A923" s="40"/>
    </row>
    <row r="924" spans="1:1">
      <c r="A924" s="40"/>
    </row>
    <row r="925" spans="1:1">
      <c r="A925" s="40"/>
    </row>
    <row r="926" spans="1:1">
      <c r="A926" s="40"/>
    </row>
    <row r="927" spans="1:1">
      <c r="A927" s="40"/>
    </row>
    <row r="928" spans="1:1">
      <c r="A928" s="40"/>
    </row>
    <row r="929" spans="1:1">
      <c r="A929" s="40"/>
    </row>
    <row r="930" spans="1:1">
      <c r="A930" s="40"/>
    </row>
    <row r="931" spans="1:1">
      <c r="A931" s="40"/>
    </row>
    <row r="932" spans="1:1">
      <c r="A932" s="40"/>
    </row>
    <row r="933" spans="1:1">
      <c r="A933" s="40"/>
    </row>
    <row r="934" spans="1:1">
      <c r="A934" s="40"/>
    </row>
    <row r="935" spans="1:1">
      <c r="A935" s="40"/>
    </row>
    <row r="936" spans="1:1">
      <c r="A936" s="40"/>
    </row>
    <row r="937" spans="1:1">
      <c r="A937" s="40"/>
    </row>
    <row r="938" spans="1:1">
      <c r="A938" s="40"/>
    </row>
    <row r="939" spans="1:1">
      <c r="A939" s="40"/>
    </row>
    <row r="940" spans="1:1">
      <c r="A940" s="40"/>
    </row>
    <row r="941" spans="1:1">
      <c r="A941" s="40"/>
    </row>
    <row r="942" spans="1:1">
      <c r="A942" s="40"/>
    </row>
    <row r="943" spans="1:1">
      <c r="A943" s="40"/>
    </row>
    <row r="944" spans="1:1">
      <c r="A944" s="40"/>
    </row>
    <row r="945" spans="1:1">
      <c r="A945" s="40"/>
    </row>
    <row r="946" spans="1:1">
      <c r="A946" s="40"/>
    </row>
    <row r="947" spans="1:1">
      <c r="A947" s="40"/>
    </row>
    <row r="948" spans="1:1">
      <c r="A948" s="40"/>
    </row>
    <row r="949" spans="1:1">
      <c r="A949" s="40"/>
    </row>
    <row r="950" spans="1:1">
      <c r="A950" s="40"/>
    </row>
    <row r="951" spans="1:1">
      <c r="A951" s="40"/>
    </row>
    <row r="952" spans="1:1">
      <c r="A952" s="40"/>
    </row>
    <row r="953" spans="1:1">
      <c r="A953" s="40"/>
    </row>
    <row r="954" spans="1:1">
      <c r="A954" s="40"/>
    </row>
    <row r="955" spans="1:1">
      <c r="A955" s="40"/>
    </row>
    <row r="956" spans="1:1">
      <c r="A956" s="40"/>
    </row>
    <row r="957" spans="1:1">
      <c r="A957" s="40"/>
    </row>
    <row r="958" spans="1:1">
      <c r="A958" s="40"/>
    </row>
    <row r="959" spans="1:1">
      <c r="A959" s="40"/>
    </row>
    <row r="960" spans="1:1">
      <c r="A960" s="40"/>
    </row>
    <row r="961" spans="1:1">
      <c r="A961" s="40"/>
    </row>
    <row r="962" spans="1:1">
      <c r="A962" s="40"/>
    </row>
    <row r="963" spans="1:1">
      <c r="A963" s="40"/>
    </row>
    <row r="964" spans="1:1">
      <c r="A964" s="40"/>
    </row>
    <row r="965" spans="1:1">
      <c r="A965" s="40"/>
    </row>
    <row r="966" spans="1:1">
      <c r="A966" s="40"/>
    </row>
    <row r="967" spans="1:1">
      <c r="A967" s="40"/>
    </row>
    <row r="968" spans="1:1">
      <c r="A968" s="40"/>
    </row>
    <row r="969" spans="1:1">
      <c r="A969" s="40"/>
    </row>
    <row r="970" spans="1:1">
      <c r="A970" s="40"/>
    </row>
    <row r="971" spans="1:1">
      <c r="A971" s="40"/>
    </row>
    <row r="972" spans="1:1">
      <c r="A972" s="40"/>
    </row>
    <row r="973" spans="1:1">
      <c r="A973" s="40"/>
    </row>
    <row r="974" spans="1:1">
      <c r="A974" s="40"/>
    </row>
    <row r="975" spans="1:1">
      <c r="A975" s="40"/>
    </row>
    <row r="976" spans="1:1">
      <c r="A976" s="40"/>
    </row>
    <row r="977" spans="1:1">
      <c r="A977" s="40"/>
    </row>
    <row r="978" spans="1:1">
      <c r="A978" s="40"/>
    </row>
    <row r="979" spans="1:1">
      <c r="A979" s="40"/>
    </row>
    <row r="980" spans="1:1">
      <c r="A980" s="40"/>
    </row>
    <row r="981" spans="1:1">
      <c r="A981" s="40"/>
    </row>
    <row r="982" spans="1:1">
      <c r="A982" s="40"/>
    </row>
    <row r="983" spans="1:1">
      <c r="A983" s="40"/>
    </row>
    <row r="984" spans="1:1">
      <c r="A984" s="40"/>
    </row>
    <row r="985" spans="1:1">
      <c r="A985" s="40"/>
    </row>
    <row r="986" spans="1:1">
      <c r="A986" s="40"/>
    </row>
    <row r="987" spans="1:1">
      <c r="A987" s="40"/>
    </row>
    <row r="988" spans="1:1">
      <c r="A988" s="40"/>
    </row>
    <row r="989" spans="1:1">
      <c r="A989" s="40"/>
    </row>
    <row r="990" spans="1:1">
      <c r="A990" s="40"/>
    </row>
    <row r="991" spans="1:1">
      <c r="A991" s="40"/>
    </row>
    <row r="992" spans="1:1">
      <c r="A992" s="40"/>
    </row>
    <row r="993" spans="1:1">
      <c r="A993" s="40"/>
    </row>
    <row r="994" spans="1:1">
      <c r="A994" s="40"/>
    </row>
    <row r="995" spans="1:1">
      <c r="A995" s="40"/>
    </row>
    <row r="996" spans="1:1">
      <c r="A996" s="40"/>
    </row>
    <row r="997" spans="1:1">
      <c r="A997" s="40"/>
    </row>
    <row r="998" spans="1:1">
      <c r="A998" s="40"/>
    </row>
    <row r="999" spans="1:1">
      <c r="A999" s="40"/>
    </row>
    <row r="1000" spans="1:1">
      <c r="A1000" s="40"/>
    </row>
    <row r="1001" spans="1:1">
      <c r="A1001" s="40"/>
    </row>
    <row r="1002" spans="1:1">
      <c r="A1002" s="40"/>
    </row>
    <row r="1003" spans="1:1">
      <c r="A1003" s="40"/>
    </row>
    <row r="1004" spans="1:1">
      <c r="A1004" s="40"/>
    </row>
    <row r="1005" spans="1:1">
      <c r="A1005" s="40"/>
    </row>
    <row r="1006" spans="1:1">
      <c r="A1006" s="40"/>
    </row>
    <row r="1007" spans="1:1">
      <c r="A1007" s="40"/>
    </row>
    <row r="1008" spans="1:1">
      <c r="A1008" s="40"/>
    </row>
    <row r="1009" spans="1:1">
      <c r="A1009" s="40"/>
    </row>
    <row r="1010" spans="1:1">
      <c r="A1010" s="40"/>
    </row>
    <row r="1011" spans="1:1">
      <c r="A1011" s="40"/>
    </row>
    <row r="1012" spans="1:1">
      <c r="A1012" s="40"/>
    </row>
    <row r="1013" spans="1:1">
      <c r="A1013" s="40"/>
    </row>
    <row r="1014" spans="1:1">
      <c r="A1014" s="40"/>
    </row>
    <row r="1015" spans="1:1">
      <c r="A1015" s="40"/>
    </row>
    <row r="1016" spans="1:1">
      <c r="A1016" s="40"/>
    </row>
    <row r="1017" spans="1:1">
      <c r="A1017" s="40"/>
    </row>
    <row r="1018" spans="1:1">
      <c r="A1018" s="40"/>
    </row>
    <row r="1019" spans="1:1">
      <c r="A1019" s="40"/>
    </row>
    <row r="1020" spans="1:1">
      <c r="A1020" s="40"/>
    </row>
    <row r="1021" spans="1:1">
      <c r="A1021" s="40"/>
    </row>
    <row r="1022" spans="1:1">
      <c r="A1022" s="40"/>
    </row>
    <row r="1023" spans="1:1">
      <c r="A1023" s="40"/>
    </row>
    <row r="1024" spans="1:1">
      <c r="A1024" s="40"/>
    </row>
    <row r="1025" spans="1:1">
      <c r="A1025" s="40"/>
    </row>
    <row r="1026" spans="1:1">
      <c r="A1026" s="40"/>
    </row>
    <row r="1027" spans="1:1">
      <c r="A1027" s="40"/>
    </row>
    <row r="1028" spans="1:1">
      <c r="A1028" s="40"/>
    </row>
    <row r="1029" spans="1:1">
      <c r="A1029" s="40"/>
    </row>
    <row r="1030" spans="1:1">
      <c r="A1030" s="40"/>
    </row>
    <row r="1031" spans="1:1">
      <c r="A1031" s="40"/>
    </row>
    <row r="1032" spans="1:1">
      <c r="A1032" s="40"/>
    </row>
    <row r="1033" spans="1:1">
      <c r="A1033" s="40"/>
    </row>
    <row r="1034" spans="1:1">
      <c r="A1034" s="40"/>
    </row>
    <row r="1035" spans="1:1">
      <c r="A1035" s="40"/>
    </row>
    <row r="1036" spans="1:1">
      <c r="A1036" s="40"/>
    </row>
    <row r="1037" spans="1:1">
      <c r="A1037" s="40"/>
    </row>
    <row r="1038" spans="1:1">
      <c r="A1038" s="40"/>
    </row>
    <row r="1039" spans="1:1">
      <c r="A1039" s="40"/>
    </row>
    <row r="1040" spans="1:1">
      <c r="A1040" s="40"/>
    </row>
    <row r="1041" spans="1:1">
      <c r="A1041" s="40"/>
    </row>
    <row r="1042" spans="1:1">
      <c r="A1042" s="40"/>
    </row>
    <row r="1043" spans="1:1">
      <c r="A1043" s="40"/>
    </row>
    <row r="1044" spans="1:1">
      <c r="A1044" s="40"/>
    </row>
    <row r="1045" spans="1:1">
      <c r="A1045" s="40"/>
    </row>
    <row r="1046" spans="1:1">
      <c r="A1046" s="40"/>
    </row>
    <row r="1047" spans="1:1">
      <c r="A1047" s="40"/>
    </row>
    <row r="1048" spans="1:1">
      <c r="A1048" s="40"/>
    </row>
    <row r="1049" spans="1:1">
      <c r="A1049" s="40"/>
    </row>
    <row r="1050" spans="1:1">
      <c r="A1050" s="40"/>
    </row>
    <row r="1051" spans="1:1">
      <c r="A1051" s="40"/>
    </row>
    <row r="1052" spans="1:1">
      <c r="A1052" s="40"/>
    </row>
    <row r="1053" spans="1:1">
      <c r="A1053" s="40"/>
    </row>
    <row r="1054" spans="1:1">
      <c r="A1054" s="40"/>
    </row>
    <row r="1055" spans="1:1">
      <c r="A1055" s="40"/>
    </row>
    <row r="1056" spans="1:1">
      <c r="A1056" s="40"/>
    </row>
    <row r="1057" spans="1:1">
      <c r="A1057" s="40"/>
    </row>
    <row r="1058" spans="1:1">
      <c r="A1058" s="40"/>
    </row>
    <row r="1059" spans="1:1">
      <c r="A1059" s="40"/>
    </row>
    <row r="1060" spans="1:1">
      <c r="A1060" s="40"/>
    </row>
    <row r="1061" spans="1:1">
      <c r="A1061" s="40"/>
    </row>
    <row r="1062" spans="1:1">
      <c r="A1062" s="40"/>
    </row>
    <row r="1063" spans="1:1">
      <c r="A1063" s="40"/>
    </row>
    <row r="1064" spans="1:1">
      <c r="A1064" s="40"/>
    </row>
    <row r="1065" spans="1:1">
      <c r="A1065" s="40"/>
    </row>
    <row r="1066" spans="1:1">
      <c r="A1066" s="40"/>
    </row>
    <row r="1067" spans="1:1">
      <c r="A1067" s="40"/>
    </row>
    <row r="1068" spans="1:1">
      <c r="A1068" s="40"/>
    </row>
    <row r="1069" spans="1:1">
      <c r="A1069" s="40"/>
    </row>
    <row r="1070" spans="1:1">
      <c r="A1070" s="40"/>
    </row>
    <row r="1071" spans="1:1">
      <c r="A1071" s="40"/>
    </row>
    <row r="1072" spans="1:1">
      <c r="A1072" s="40"/>
    </row>
    <row r="1073" spans="1:1">
      <c r="A1073" s="40"/>
    </row>
    <row r="1074" spans="1:1">
      <c r="A1074" s="40"/>
    </row>
    <row r="1075" spans="1:1">
      <c r="A1075" s="40"/>
    </row>
    <row r="1076" spans="1:1">
      <c r="A1076" s="40"/>
    </row>
    <row r="1077" spans="1:1">
      <c r="A1077" s="40"/>
    </row>
    <row r="1078" spans="1:1">
      <c r="A1078" s="40"/>
    </row>
    <row r="1079" spans="1:1">
      <c r="A1079" s="40"/>
    </row>
    <row r="1080" spans="1:1">
      <c r="A1080" s="40"/>
    </row>
    <row r="1081" spans="1:1">
      <c r="A1081" s="40"/>
    </row>
    <row r="1082" spans="1:1">
      <c r="A1082" s="40"/>
    </row>
    <row r="1083" spans="1:1">
      <c r="A1083" s="40"/>
    </row>
    <row r="1084" spans="1:1">
      <c r="A1084" s="40"/>
    </row>
    <row r="1085" spans="1:1">
      <c r="A1085" s="40"/>
    </row>
    <row r="1086" spans="1:1">
      <c r="A1086" s="40"/>
    </row>
    <row r="1087" spans="1:1">
      <c r="A1087" s="40"/>
    </row>
    <row r="1088" spans="1:1">
      <c r="A1088" s="40"/>
    </row>
    <row r="1089" spans="1:1">
      <c r="A1089" s="40"/>
    </row>
    <row r="1090" spans="1:1">
      <c r="A1090" s="40"/>
    </row>
    <row r="1091" spans="1:1">
      <c r="A1091" s="40"/>
    </row>
    <row r="1092" spans="1:1">
      <c r="A1092" s="40"/>
    </row>
    <row r="1093" spans="1:1">
      <c r="A1093" s="40"/>
    </row>
    <row r="1094" spans="1:1">
      <c r="A1094" s="40"/>
    </row>
    <row r="1095" spans="1:1">
      <c r="A1095" s="40"/>
    </row>
    <row r="1096" spans="1:1">
      <c r="A1096" s="40"/>
    </row>
    <row r="1097" spans="1:1">
      <c r="A1097" s="40"/>
    </row>
    <row r="1098" spans="1:1">
      <c r="A1098" s="40"/>
    </row>
    <row r="1099" spans="1:1">
      <c r="A1099" s="40"/>
    </row>
    <row r="1100" spans="1:1">
      <c r="A1100" s="40"/>
    </row>
    <row r="1101" spans="1:1">
      <c r="A1101" s="40"/>
    </row>
    <row r="1102" spans="1:1">
      <c r="A1102" s="40"/>
    </row>
    <row r="1103" spans="1:1">
      <c r="A1103" s="40"/>
    </row>
    <row r="1104" spans="1:1">
      <c r="A1104" s="40"/>
    </row>
    <row r="1105" spans="1:1">
      <c r="A1105" s="40"/>
    </row>
    <row r="1106" spans="1:1">
      <c r="A1106" s="40"/>
    </row>
    <row r="1107" spans="1:1">
      <c r="A1107" s="40"/>
    </row>
    <row r="1108" spans="1:1">
      <c r="A1108" s="40"/>
    </row>
    <row r="1109" spans="1:1">
      <c r="A1109" s="40"/>
    </row>
    <row r="1110" spans="1:1">
      <c r="A1110" s="40"/>
    </row>
    <row r="1111" spans="1:1">
      <c r="A1111" s="40"/>
    </row>
    <row r="1112" spans="1:1">
      <c r="A1112" s="40"/>
    </row>
    <row r="1113" spans="1:1">
      <c r="A1113" s="40"/>
    </row>
    <row r="1114" spans="1:1">
      <c r="A1114" s="40"/>
    </row>
    <row r="1115" spans="1:1">
      <c r="A1115" s="40"/>
    </row>
    <row r="1116" spans="1:1">
      <c r="A1116" s="40"/>
    </row>
    <row r="1117" spans="1:1">
      <c r="A1117" s="40"/>
    </row>
    <row r="1118" spans="1:1">
      <c r="A1118" s="40"/>
    </row>
    <row r="1119" spans="1:1">
      <c r="A1119" s="40"/>
    </row>
    <row r="1120" spans="1:1">
      <c r="A1120" s="40"/>
    </row>
    <row r="1121" spans="1:1">
      <c r="A1121" s="40"/>
    </row>
    <row r="1122" spans="1:1">
      <c r="A1122" s="40"/>
    </row>
    <row r="1123" spans="1:1">
      <c r="A1123" s="40"/>
    </row>
    <row r="1124" spans="1:1">
      <c r="A1124" s="40"/>
    </row>
    <row r="1125" spans="1:1">
      <c r="A1125" s="40"/>
    </row>
    <row r="1126" spans="1:1">
      <c r="A1126" s="40"/>
    </row>
    <row r="1127" spans="1:1">
      <c r="A1127" s="40"/>
    </row>
    <row r="1128" spans="1:1">
      <c r="A1128" s="40"/>
    </row>
    <row r="1129" spans="1:1">
      <c r="A1129" s="40"/>
    </row>
    <row r="1130" spans="1:1">
      <c r="A1130" s="40"/>
    </row>
    <row r="1131" spans="1:1">
      <c r="A1131" s="40"/>
    </row>
    <row r="1132" spans="1:1">
      <c r="A1132" s="40"/>
    </row>
    <row r="1133" spans="1:1">
      <c r="A1133" s="40"/>
    </row>
    <row r="1134" spans="1:1">
      <c r="A1134" s="40"/>
    </row>
    <row r="1135" spans="1:1">
      <c r="A1135" s="40"/>
    </row>
    <row r="1136" spans="1:1">
      <c r="A1136" s="40"/>
    </row>
    <row r="1137" spans="1:1">
      <c r="A1137" s="40"/>
    </row>
    <row r="1138" spans="1:1">
      <c r="A1138" s="40"/>
    </row>
    <row r="1139" spans="1:1">
      <c r="A1139" s="40"/>
    </row>
    <row r="1140" spans="1:1">
      <c r="A1140" s="40"/>
    </row>
    <row r="1141" spans="1:1">
      <c r="A1141" s="40"/>
    </row>
    <row r="1142" spans="1:1">
      <c r="A1142" s="40"/>
    </row>
    <row r="1143" spans="1:1">
      <c r="A1143" s="40"/>
    </row>
    <row r="1144" spans="1:1">
      <c r="A1144" s="40"/>
    </row>
    <row r="1145" spans="1:1">
      <c r="A1145" s="40"/>
    </row>
    <row r="1146" spans="1:1">
      <c r="A1146" s="40"/>
    </row>
    <row r="1147" spans="1:1">
      <c r="A1147" s="40"/>
    </row>
    <row r="1148" spans="1:1">
      <c r="A1148" s="40"/>
    </row>
    <row r="1149" spans="1:1">
      <c r="A1149" s="40"/>
    </row>
    <row r="1150" spans="1:1">
      <c r="A1150" s="40"/>
    </row>
    <row r="1151" spans="1:1">
      <c r="A1151" s="40"/>
    </row>
    <row r="1152" spans="1:1">
      <c r="A1152" s="40"/>
    </row>
    <row r="1153" spans="1:1">
      <c r="A1153" s="40"/>
    </row>
    <row r="1154" spans="1:1">
      <c r="A1154" s="40"/>
    </row>
    <row r="1155" spans="1:1">
      <c r="A1155" s="40"/>
    </row>
    <row r="1156" spans="1:1">
      <c r="A1156" s="40"/>
    </row>
    <row r="1157" spans="1:1">
      <c r="A1157" s="40"/>
    </row>
    <row r="1158" spans="1:1">
      <c r="A1158" s="40"/>
    </row>
    <row r="1159" spans="1:1">
      <c r="A1159" s="40"/>
    </row>
    <row r="1160" spans="1:1">
      <c r="A1160" s="40"/>
    </row>
    <row r="1161" spans="1:1">
      <c r="A1161" s="40"/>
    </row>
    <row r="1162" spans="1:1">
      <c r="A1162" s="40"/>
    </row>
    <row r="1163" spans="1:1">
      <c r="A1163" s="40"/>
    </row>
    <row r="1164" spans="1:1">
      <c r="A1164" s="40"/>
    </row>
    <row r="1165" spans="1:1">
      <c r="A1165" s="40"/>
    </row>
    <row r="1166" spans="1:1">
      <c r="A1166" s="40"/>
    </row>
    <row r="1167" spans="1:1">
      <c r="A1167" s="40"/>
    </row>
    <row r="1168" spans="1:1">
      <c r="A1168" s="40"/>
    </row>
    <row r="1169" spans="1:1">
      <c r="A1169" s="40"/>
    </row>
    <row r="1170" spans="1:1">
      <c r="A1170" s="40"/>
    </row>
    <row r="1171" spans="1:1">
      <c r="A1171" s="40"/>
    </row>
    <row r="1172" spans="1:1">
      <c r="A1172" s="40"/>
    </row>
    <row r="1173" spans="1:1">
      <c r="A1173" s="40"/>
    </row>
    <row r="1174" spans="1:1">
      <c r="A1174" s="40"/>
    </row>
    <row r="1175" spans="1:1">
      <c r="A1175" s="40"/>
    </row>
    <row r="1176" spans="1:1">
      <c r="A1176" s="40"/>
    </row>
    <row r="1177" spans="1:1">
      <c r="A1177" s="40"/>
    </row>
    <row r="1178" spans="1:1">
      <c r="A1178" s="40"/>
    </row>
    <row r="1179" spans="1:1">
      <c r="A1179" s="40"/>
    </row>
    <row r="1180" spans="1:1">
      <c r="A1180" s="40"/>
    </row>
    <row r="1181" spans="1:1">
      <c r="A1181" s="40"/>
    </row>
    <row r="1182" spans="1:1">
      <c r="A1182" s="40"/>
    </row>
    <row r="1183" spans="1:1">
      <c r="A1183" s="40"/>
    </row>
    <row r="1184" spans="1:1">
      <c r="A1184" s="40"/>
    </row>
    <row r="1185" spans="1:1">
      <c r="A1185" s="40"/>
    </row>
    <row r="1186" spans="1:1">
      <c r="A1186" s="40"/>
    </row>
    <row r="1187" spans="1:1">
      <c r="A1187" s="40"/>
    </row>
    <row r="1188" spans="1:1">
      <c r="A1188" s="40"/>
    </row>
    <row r="1189" spans="1:1">
      <c r="A1189" s="40"/>
    </row>
    <row r="1190" spans="1:1">
      <c r="A1190" s="40"/>
    </row>
    <row r="1191" spans="1:1">
      <c r="A1191" s="40"/>
    </row>
    <row r="1192" spans="1:1">
      <c r="A1192" s="40"/>
    </row>
    <row r="1193" spans="1:1">
      <c r="A1193" s="40"/>
    </row>
    <row r="1194" spans="1:1">
      <c r="A1194" s="40"/>
    </row>
    <row r="1195" spans="1:1">
      <c r="A1195" s="40"/>
    </row>
    <row r="1196" spans="1:1">
      <c r="A1196" s="40"/>
    </row>
    <row r="1197" spans="1:1">
      <c r="A1197" s="40"/>
    </row>
    <row r="1198" spans="1:1">
      <c r="A1198" s="40"/>
    </row>
    <row r="1199" spans="1:1">
      <c r="A1199" s="40"/>
    </row>
    <row r="1200" spans="1:1">
      <c r="A1200" s="40"/>
    </row>
    <row r="1201" spans="1:1">
      <c r="A1201" s="40"/>
    </row>
    <row r="1202" spans="1:1">
      <c r="A1202" s="40"/>
    </row>
    <row r="1203" spans="1:1">
      <c r="A1203" s="40"/>
    </row>
    <row r="1204" spans="1:1">
      <c r="A1204" s="40"/>
    </row>
    <row r="1205" spans="1:1">
      <c r="A1205" s="40"/>
    </row>
    <row r="1206" spans="1:1">
      <c r="A1206" s="40"/>
    </row>
    <row r="1207" spans="1:1">
      <c r="A1207" s="40"/>
    </row>
    <row r="1208" spans="1:1">
      <c r="A1208" s="40"/>
    </row>
    <row r="1209" spans="1:1">
      <c r="A1209" s="40"/>
    </row>
    <row r="1210" spans="1:1">
      <c r="A1210" s="40"/>
    </row>
    <row r="1211" spans="1:1">
      <c r="A1211" s="40"/>
    </row>
    <row r="1212" spans="1:1">
      <c r="A1212" s="40"/>
    </row>
    <row r="1213" spans="1:1">
      <c r="A1213" s="40"/>
    </row>
    <row r="1214" spans="1:1">
      <c r="A1214" s="40"/>
    </row>
    <row r="1215" spans="1:1">
      <c r="A1215" s="40"/>
    </row>
    <row r="1216" spans="1:1">
      <c r="A1216" s="40"/>
    </row>
    <row r="1217" spans="1:1">
      <c r="A1217" s="40"/>
    </row>
    <row r="1218" spans="1:1">
      <c r="A1218" s="40"/>
    </row>
    <row r="1219" spans="1:1">
      <c r="A1219" s="40"/>
    </row>
    <row r="1220" spans="1:1">
      <c r="A1220" s="40"/>
    </row>
    <row r="1221" spans="1:1">
      <c r="A1221" s="40"/>
    </row>
    <row r="1222" spans="1:1">
      <c r="A1222" s="40"/>
    </row>
    <row r="1223" spans="1:1">
      <c r="A1223" s="40"/>
    </row>
    <row r="1224" spans="1:1">
      <c r="A1224" s="40"/>
    </row>
    <row r="1225" spans="1:1">
      <c r="A1225" s="40"/>
    </row>
    <row r="1226" spans="1:1">
      <c r="A1226" s="40"/>
    </row>
    <row r="1227" spans="1:1">
      <c r="A1227" s="40"/>
    </row>
    <row r="1228" spans="1:1">
      <c r="A1228" s="40"/>
    </row>
    <row r="1229" spans="1:1">
      <c r="A1229" s="40"/>
    </row>
    <row r="1230" spans="1:1">
      <c r="A1230" s="40"/>
    </row>
    <row r="1231" spans="1:1">
      <c r="A1231" s="40"/>
    </row>
    <row r="1232" spans="1:1">
      <c r="A1232" s="40"/>
    </row>
    <row r="1233" spans="1:1">
      <c r="A1233" s="40"/>
    </row>
    <row r="1234" spans="1:1">
      <c r="A1234" s="40"/>
    </row>
    <row r="1235" spans="1:1">
      <c r="A1235" s="40"/>
    </row>
    <row r="1236" spans="1:1">
      <c r="A1236" s="40"/>
    </row>
    <row r="1237" spans="1:1">
      <c r="A1237" s="40"/>
    </row>
    <row r="1238" spans="1:1">
      <c r="A1238" s="40"/>
    </row>
    <row r="1239" spans="1:1">
      <c r="A1239" s="40"/>
    </row>
    <row r="1240" spans="1:1">
      <c r="A1240" s="40"/>
    </row>
    <row r="1241" spans="1:1">
      <c r="A1241" s="40"/>
    </row>
    <row r="1242" spans="1:1">
      <c r="A1242" s="40"/>
    </row>
    <row r="1243" spans="1:1">
      <c r="A1243" s="40"/>
    </row>
    <row r="1244" spans="1:1">
      <c r="A1244" s="40"/>
    </row>
    <row r="1245" spans="1:1">
      <c r="A1245" s="40"/>
    </row>
    <row r="1246" spans="1:1">
      <c r="A1246" s="40"/>
    </row>
    <row r="1247" spans="1:1">
      <c r="A1247" s="40"/>
    </row>
    <row r="1248" spans="1:1">
      <c r="A1248" s="40"/>
    </row>
    <row r="1249" spans="1:1">
      <c r="A1249" s="40"/>
    </row>
    <row r="1250" spans="1:1">
      <c r="A1250" s="40"/>
    </row>
    <row r="1251" spans="1:1">
      <c r="A1251" s="40"/>
    </row>
    <row r="1252" spans="1:1">
      <c r="A1252" s="40"/>
    </row>
    <row r="1253" spans="1:1">
      <c r="A1253" s="40"/>
    </row>
    <row r="1254" spans="1:1">
      <c r="A1254" s="40"/>
    </row>
    <row r="1255" spans="1:1">
      <c r="A1255" s="40"/>
    </row>
    <row r="1256" spans="1:1">
      <c r="A1256" s="40"/>
    </row>
    <row r="1257" spans="1:1">
      <c r="A1257" s="40"/>
    </row>
    <row r="1258" spans="1:1">
      <c r="A1258" s="40"/>
    </row>
    <row r="1259" spans="1:1">
      <c r="A1259" s="40"/>
    </row>
    <row r="1260" spans="1:1">
      <c r="A1260" s="40"/>
    </row>
    <row r="1261" spans="1:1">
      <c r="A1261" s="40"/>
    </row>
    <row r="1262" spans="1:1">
      <c r="A1262" s="40"/>
    </row>
    <row r="1263" spans="1:1">
      <c r="A1263" s="40"/>
    </row>
    <row r="1264" spans="1:1">
      <c r="A1264" s="40"/>
    </row>
    <row r="1265" spans="1:1">
      <c r="A1265" s="40"/>
    </row>
    <row r="1266" spans="1:1">
      <c r="A1266" s="40"/>
    </row>
    <row r="1267" spans="1:1">
      <c r="A1267" s="40"/>
    </row>
    <row r="1268" spans="1:1">
      <c r="A1268" s="40"/>
    </row>
    <row r="1269" spans="1:1">
      <c r="A1269" s="40"/>
    </row>
    <row r="1270" spans="1:1">
      <c r="A1270" s="40"/>
    </row>
    <row r="1271" spans="1:1">
      <c r="A1271" s="40"/>
    </row>
    <row r="1272" spans="1:1">
      <c r="A1272" s="40"/>
    </row>
    <row r="1273" spans="1:1">
      <c r="A1273" s="40"/>
    </row>
    <row r="1274" spans="1:1">
      <c r="A1274" s="40"/>
    </row>
    <row r="1275" spans="1:1">
      <c r="A1275" s="40"/>
    </row>
    <row r="1276" spans="1:1">
      <c r="A1276" s="40"/>
    </row>
    <row r="1277" spans="1:1">
      <c r="A1277" s="40"/>
    </row>
    <row r="1278" spans="1:1">
      <c r="A1278" s="40"/>
    </row>
    <row r="1279" spans="1:1">
      <c r="A1279" s="40"/>
    </row>
    <row r="1280" spans="1:1">
      <c r="A1280" s="40"/>
    </row>
    <row r="1281" spans="1:1">
      <c r="A1281" s="40"/>
    </row>
    <row r="1282" spans="1:1">
      <c r="A1282" s="40"/>
    </row>
    <row r="1283" spans="1:1">
      <c r="A1283" s="40"/>
    </row>
    <row r="1284" spans="1:1">
      <c r="A1284" s="40"/>
    </row>
    <row r="1285" spans="1:1">
      <c r="A1285" s="40"/>
    </row>
    <row r="1286" spans="1:1">
      <c r="A1286" s="40"/>
    </row>
    <row r="1287" spans="1:1">
      <c r="A1287" s="40"/>
    </row>
    <row r="1288" spans="1:1">
      <c r="A1288" s="40"/>
    </row>
    <row r="1289" spans="1:1">
      <c r="A1289" s="40"/>
    </row>
    <row r="1290" spans="1:1">
      <c r="A1290" s="40"/>
    </row>
    <row r="1291" spans="1:1">
      <c r="A1291" s="40"/>
    </row>
    <row r="1292" spans="1:1">
      <c r="A1292" s="40"/>
    </row>
    <row r="1293" spans="1:1">
      <c r="A1293" s="40"/>
    </row>
    <row r="1294" spans="1:1">
      <c r="A1294" s="40"/>
    </row>
    <row r="1295" spans="1:1">
      <c r="A1295" s="40"/>
    </row>
    <row r="1296" spans="1:1">
      <c r="A1296" s="40"/>
    </row>
    <row r="1297" spans="1:1">
      <c r="A1297" s="40"/>
    </row>
    <row r="1298" spans="1:1">
      <c r="A1298" s="40"/>
    </row>
    <row r="1299" spans="1:1">
      <c r="A1299" s="40"/>
    </row>
    <row r="1300" spans="1:1">
      <c r="A1300" s="40"/>
    </row>
    <row r="1301" spans="1:1">
      <c r="A1301" s="40"/>
    </row>
    <row r="1302" spans="1:1">
      <c r="A1302" s="40"/>
    </row>
    <row r="1303" spans="1:1">
      <c r="A1303" s="40"/>
    </row>
    <row r="1304" spans="1:1">
      <c r="A1304" s="40"/>
    </row>
    <row r="1305" spans="1:1">
      <c r="A1305" s="40"/>
    </row>
    <row r="1306" spans="1:1">
      <c r="A1306" s="40"/>
    </row>
    <row r="1307" spans="1:1">
      <c r="A1307" s="40"/>
    </row>
    <row r="1308" spans="1:1">
      <c r="A1308" s="40"/>
    </row>
    <row r="1309" spans="1:1">
      <c r="A1309" s="40"/>
    </row>
    <row r="1310" spans="1:1">
      <c r="A1310" s="40"/>
    </row>
    <row r="1311" spans="1:1">
      <c r="A1311" s="40"/>
    </row>
    <row r="1312" spans="1:1">
      <c r="A1312" s="40"/>
    </row>
    <row r="1313" spans="1:1">
      <c r="A1313" s="40"/>
    </row>
    <row r="1314" spans="1:1">
      <c r="A1314" s="40"/>
    </row>
    <row r="1315" spans="1:1">
      <c r="A1315" s="40"/>
    </row>
    <row r="1316" spans="1:1">
      <c r="A1316" s="40"/>
    </row>
    <row r="1317" spans="1:1">
      <c r="A1317" s="40"/>
    </row>
    <row r="1318" spans="1:1">
      <c r="A1318" s="40"/>
    </row>
    <row r="1319" spans="1:1">
      <c r="A1319" s="40"/>
    </row>
    <row r="1320" spans="1:1">
      <c r="A1320" s="40"/>
    </row>
    <row r="1321" spans="1:1">
      <c r="A1321" s="40"/>
    </row>
    <row r="1322" spans="1:1">
      <c r="A1322" s="40"/>
    </row>
    <row r="1323" spans="1:1">
      <c r="A1323" s="40"/>
    </row>
    <row r="1324" spans="1:1">
      <c r="A1324" s="40"/>
    </row>
    <row r="1325" spans="1:1">
      <c r="A1325" s="40"/>
    </row>
    <row r="1326" spans="1:1">
      <c r="A1326" s="40"/>
    </row>
    <row r="1327" spans="1:1">
      <c r="A1327" s="40"/>
    </row>
    <row r="1328" spans="1:1">
      <c r="A1328" s="40"/>
    </row>
    <row r="1329" spans="1:1">
      <c r="A1329" s="40"/>
    </row>
    <row r="1330" spans="1:1">
      <c r="A1330" s="40"/>
    </row>
    <row r="1331" spans="1:1">
      <c r="A1331" s="40"/>
    </row>
    <row r="1332" spans="1:1">
      <c r="A1332" s="40"/>
    </row>
    <row r="1333" spans="1:1">
      <c r="A1333" s="40"/>
    </row>
    <row r="1334" spans="1:1">
      <c r="A1334" s="40"/>
    </row>
    <row r="1335" spans="1:1">
      <c r="A1335" s="40"/>
    </row>
    <row r="1336" spans="1:1">
      <c r="A1336" s="40"/>
    </row>
    <row r="1337" spans="1:1">
      <c r="A1337" s="40"/>
    </row>
    <row r="1338" spans="1:1">
      <c r="A1338" s="40"/>
    </row>
    <row r="1339" spans="1:1">
      <c r="A1339" s="40"/>
    </row>
    <row r="1340" spans="1:1">
      <c r="A1340" s="40"/>
    </row>
    <row r="1341" spans="1:1">
      <c r="A1341" s="40"/>
    </row>
    <row r="1342" spans="1:1">
      <c r="A1342" s="40"/>
    </row>
    <row r="1343" spans="1:1">
      <c r="A1343" s="40"/>
    </row>
    <row r="1344" spans="1:1">
      <c r="A1344" s="40"/>
    </row>
    <row r="1345" spans="1:1">
      <c r="A1345" s="40"/>
    </row>
    <row r="1346" spans="1:1">
      <c r="A1346" s="40"/>
    </row>
    <row r="1347" spans="1:1">
      <c r="A1347" s="40"/>
    </row>
    <row r="1348" spans="1:1">
      <c r="A1348" s="40"/>
    </row>
    <row r="1349" spans="1:1">
      <c r="A1349" s="40"/>
    </row>
    <row r="1350" spans="1:1">
      <c r="A1350" s="40"/>
    </row>
    <row r="1351" spans="1:1">
      <c r="A1351" s="40"/>
    </row>
    <row r="1352" spans="1:1">
      <c r="A1352" s="40"/>
    </row>
    <row r="1353" spans="1:1">
      <c r="A1353" s="40"/>
    </row>
    <row r="1354" spans="1:1">
      <c r="A1354" s="40"/>
    </row>
    <row r="1355" spans="1:1">
      <c r="A1355" s="40"/>
    </row>
    <row r="1356" spans="1:1">
      <c r="A1356" s="40"/>
    </row>
    <row r="1357" spans="1:1">
      <c r="A1357" s="40"/>
    </row>
    <row r="1358" spans="1:1">
      <c r="A1358" s="40"/>
    </row>
    <row r="1359" spans="1:1">
      <c r="A1359" s="40"/>
    </row>
    <row r="1360" spans="1:1">
      <c r="A1360" s="40"/>
    </row>
    <row r="1361" spans="1:1">
      <c r="A1361" s="40"/>
    </row>
    <row r="1362" spans="1:1">
      <c r="A1362" s="40"/>
    </row>
    <row r="1363" spans="1:1">
      <c r="A1363" s="40"/>
    </row>
    <row r="1364" spans="1:1">
      <c r="A1364" s="40"/>
    </row>
    <row r="1365" spans="1:1">
      <c r="A1365" s="40"/>
    </row>
    <row r="1366" spans="1:1">
      <c r="A1366" s="40"/>
    </row>
    <row r="1367" spans="1:1">
      <c r="A1367" s="40"/>
    </row>
    <row r="1368" spans="1:1">
      <c r="A1368" s="40"/>
    </row>
    <row r="1369" spans="1:1">
      <c r="A1369" s="40"/>
    </row>
    <row r="1370" spans="1:1">
      <c r="A1370" s="40"/>
    </row>
    <row r="1371" spans="1:1">
      <c r="A1371" s="40"/>
    </row>
    <row r="1372" spans="1:1">
      <c r="A1372" s="40"/>
    </row>
    <row r="1373" spans="1:1">
      <c r="A1373" s="40"/>
    </row>
    <row r="1374" spans="1:1">
      <c r="A1374" s="40"/>
    </row>
    <row r="1375" spans="1:1">
      <c r="A1375" s="40"/>
    </row>
    <row r="1376" spans="1:1">
      <c r="A1376" s="40"/>
    </row>
    <row r="1377" spans="1:1">
      <c r="A1377" s="40"/>
    </row>
    <row r="1378" spans="1:1">
      <c r="A1378" s="40"/>
    </row>
    <row r="1379" spans="1:1">
      <c r="A1379" s="40"/>
    </row>
    <row r="1380" spans="1:1">
      <c r="A1380" s="40"/>
    </row>
    <row r="1381" spans="1:1">
      <c r="A1381" s="40"/>
    </row>
    <row r="1382" spans="1:1">
      <c r="A1382" s="40"/>
    </row>
    <row r="1383" spans="1:1">
      <c r="A1383" s="40"/>
    </row>
    <row r="1384" spans="1:1">
      <c r="A1384" s="40"/>
    </row>
    <row r="1385" spans="1:1">
      <c r="A1385" s="40"/>
    </row>
    <row r="1386" spans="1:1">
      <c r="A1386" s="40"/>
    </row>
    <row r="1387" spans="1:1">
      <c r="A1387" s="40"/>
    </row>
    <row r="1388" spans="1:1">
      <c r="A1388" s="40"/>
    </row>
    <row r="1389" spans="1:1">
      <c r="A1389" s="40"/>
    </row>
    <row r="1390" spans="1:1">
      <c r="A1390" s="40"/>
    </row>
    <row r="1391" spans="1:1">
      <c r="A1391" s="40"/>
    </row>
    <row r="1392" spans="1:1">
      <c r="A1392" s="40"/>
    </row>
    <row r="1393" spans="1:1">
      <c r="A1393" s="40"/>
    </row>
    <row r="1394" spans="1:1">
      <c r="A1394" s="40"/>
    </row>
    <row r="1395" spans="1:1">
      <c r="A1395" s="40"/>
    </row>
    <row r="1396" spans="1:1">
      <c r="A1396" s="40"/>
    </row>
    <row r="1397" spans="1:1">
      <c r="A1397" s="40"/>
    </row>
    <row r="1398" spans="1:1">
      <c r="A1398" s="40"/>
    </row>
    <row r="1399" spans="1:1">
      <c r="A1399" s="40"/>
    </row>
    <row r="1400" spans="1:1">
      <c r="A1400" s="40"/>
    </row>
    <row r="1401" spans="1:1">
      <c r="A1401" s="40"/>
    </row>
    <row r="1402" spans="1:1">
      <c r="A1402" s="40"/>
    </row>
    <row r="1403" spans="1:1">
      <c r="A1403" s="40"/>
    </row>
    <row r="1404" spans="1:1">
      <c r="A1404" s="40"/>
    </row>
    <row r="1405" spans="1:1">
      <c r="A1405" s="40"/>
    </row>
    <row r="1406" spans="1:1">
      <c r="A1406" s="40"/>
    </row>
    <row r="1407" spans="1:1">
      <c r="A1407" s="40"/>
    </row>
    <row r="1408" spans="1:1">
      <c r="A1408" s="40"/>
    </row>
    <row r="1409" spans="1:1">
      <c r="A1409" s="40"/>
    </row>
    <row r="1410" spans="1:1">
      <c r="A1410" s="40"/>
    </row>
    <row r="1411" spans="1:1">
      <c r="A1411" s="40"/>
    </row>
    <row r="1412" spans="1:1">
      <c r="A1412" s="40"/>
    </row>
    <row r="1413" spans="1:1">
      <c r="A1413" s="40"/>
    </row>
    <row r="1414" spans="1:1">
      <c r="A1414" s="40"/>
    </row>
    <row r="1415" spans="1:1">
      <c r="A1415" s="40"/>
    </row>
    <row r="1416" spans="1:1">
      <c r="A1416" s="40"/>
    </row>
    <row r="1417" spans="1:1">
      <c r="A1417" s="40"/>
    </row>
    <row r="1418" spans="1:1">
      <c r="A1418" s="40"/>
    </row>
    <row r="1419" spans="1:1">
      <c r="A1419" s="40"/>
    </row>
    <row r="1420" spans="1:1">
      <c r="A1420" s="40"/>
    </row>
    <row r="1421" spans="1:1">
      <c r="A1421" s="40"/>
    </row>
    <row r="1422" spans="1:1">
      <c r="A1422" s="40"/>
    </row>
    <row r="1423" spans="1:1">
      <c r="A1423" s="40"/>
    </row>
    <row r="1424" spans="1:1">
      <c r="A1424" s="40"/>
    </row>
    <row r="1425" spans="1:1">
      <c r="A1425" s="40"/>
    </row>
    <row r="1426" spans="1:1">
      <c r="A1426" s="40"/>
    </row>
    <row r="1427" spans="1:1">
      <c r="A1427" s="40"/>
    </row>
    <row r="1428" spans="1:1">
      <c r="A1428" s="40"/>
    </row>
    <row r="1429" spans="1:1">
      <c r="A1429" s="40"/>
    </row>
    <row r="1430" spans="1:1">
      <c r="A1430" s="40"/>
    </row>
    <row r="1431" spans="1:1">
      <c r="A1431" s="40"/>
    </row>
    <row r="1432" spans="1:1">
      <c r="A1432" s="40"/>
    </row>
    <row r="1433" spans="1:1">
      <c r="A1433" s="40"/>
    </row>
    <row r="1434" spans="1:1">
      <c r="A1434" s="40"/>
    </row>
    <row r="1435" spans="1:1">
      <c r="A1435" s="40"/>
    </row>
    <row r="1436" spans="1:1">
      <c r="A1436" s="40"/>
    </row>
    <row r="1437" spans="1:1">
      <c r="A1437" s="40"/>
    </row>
    <row r="1438" spans="1:1">
      <c r="A1438" s="40"/>
    </row>
    <row r="1439" spans="1:1">
      <c r="A1439" s="40"/>
    </row>
    <row r="1440" spans="1:1">
      <c r="A1440" s="40"/>
    </row>
    <row r="1441" spans="1:1">
      <c r="A1441" s="40"/>
    </row>
    <row r="1442" spans="1:1">
      <c r="A1442" s="40"/>
    </row>
    <row r="1443" spans="1:1">
      <c r="A1443" s="40"/>
    </row>
    <row r="1444" spans="1:1">
      <c r="A1444" s="40"/>
    </row>
    <row r="1445" spans="1:1">
      <c r="A1445" s="40"/>
    </row>
    <row r="1446" spans="1:1">
      <c r="A1446" s="40"/>
    </row>
    <row r="1447" spans="1:1">
      <c r="A1447" s="40"/>
    </row>
    <row r="1448" spans="1:1">
      <c r="A1448" s="40"/>
    </row>
    <row r="1449" spans="1:1">
      <c r="A1449" s="40"/>
    </row>
    <row r="1450" spans="1:1">
      <c r="A1450" s="40"/>
    </row>
    <row r="1451" spans="1:1">
      <c r="A1451" s="40"/>
    </row>
    <row r="1452" spans="1:1">
      <c r="A1452" s="40"/>
    </row>
    <row r="1453" spans="1:1">
      <c r="A1453" s="40"/>
    </row>
    <row r="1454" spans="1:1">
      <c r="A1454" s="40"/>
    </row>
    <row r="1455" spans="1:1">
      <c r="A1455" s="40"/>
    </row>
    <row r="1456" spans="1:1">
      <c r="A1456" s="40"/>
    </row>
    <row r="1457" spans="1:1">
      <c r="A1457" s="40"/>
    </row>
    <row r="1458" spans="1:1">
      <c r="A1458" s="40"/>
    </row>
    <row r="1459" spans="1:1">
      <c r="A1459" s="40"/>
    </row>
    <row r="1460" spans="1:1">
      <c r="A1460" s="40"/>
    </row>
    <row r="1461" spans="1:1">
      <c r="A1461" s="40"/>
    </row>
    <row r="1462" spans="1:1">
      <c r="A1462" s="40"/>
    </row>
    <row r="1463" spans="1:1">
      <c r="A1463" s="40"/>
    </row>
    <row r="1464" spans="1:1">
      <c r="A1464" s="40"/>
    </row>
    <row r="1465" spans="1:1">
      <c r="A1465" s="40"/>
    </row>
    <row r="1466" spans="1:1">
      <c r="A1466" s="40"/>
    </row>
    <row r="1467" spans="1:1">
      <c r="A1467" s="40"/>
    </row>
    <row r="1468" spans="1:1">
      <c r="A1468" s="40"/>
    </row>
    <row r="1469" spans="1:1">
      <c r="A1469" s="40"/>
    </row>
    <row r="1470" spans="1:1">
      <c r="A1470" s="40"/>
    </row>
    <row r="1471" spans="1:1">
      <c r="A1471" s="40"/>
    </row>
  </sheetData>
  <pageMargins left="0.7" right="0.7" top="0.78740157499999996" bottom="0.78740157499999996" header="0.3" footer="0.3"/>
  <ignoredErrors>
    <ignoredError sqref="E10:E33" formulaRange="1"/>
  </ignoredErrors>
  <drawing r:id="rId1"/>
  <tableParts count="1">
    <tablePart r:id="rId2"/>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7FB4BBE-6E25-427E-8D75-8F19A7CB84D7}">
          <x14:formula1>
            <xm:f>Eingabedaten!$C$10:$C$54</xm:f>
          </x14:formula1>
          <xm:sqref>B5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4"/>
  <dimension ref="A1:F2"/>
  <sheetViews>
    <sheetView showGridLines="0" showRowColHeaders="0" workbookViewId="0">
      <selection activeCell="D33" sqref="D33"/>
    </sheetView>
  </sheetViews>
  <sheetFormatPr baseColWidth="10" defaultRowHeight="13.2"/>
  <cols>
    <col min="2" max="2" width="5.88671875" customWidth="1"/>
    <col min="4" max="6" width="40" customWidth="1"/>
  </cols>
  <sheetData>
    <row r="1" spans="1:6" ht="6.75" customHeight="1"/>
    <row r="2" spans="1:6" ht="36" customHeight="1">
      <c r="A2" s="1792" t="str">
        <f>Begriffe!F365</f>
        <v>Anleitung - SIA 2024 Raum-Datenblätter</v>
      </c>
      <c r="B2" s="1793"/>
      <c r="C2" s="1794"/>
      <c r="D2" s="1795"/>
      <c r="E2" s="1794"/>
      <c r="F2" s="1796"/>
    </row>
  </sheetData>
  <sheetProtection password="DFA6" sheet="1" objects="1" scenarios="1"/>
  <pageMargins left="0.7" right="0.7" top="0.78740157499999996" bottom="0.78740157499999996" header="0.3" footer="0.3"/>
  <pageSetup paperSize="9" orientation="portrait" horizontalDpi="4294967293" verticalDpi="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1"/>
  <dimension ref="A1:I372"/>
  <sheetViews>
    <sheetView zoomScaleNormal="100" workbookViewId="0">
      <pane ySplit="1" topLeftCell="A320" activePane="bottomLeft" state="frozen"/>
      <selection pane="bottomLeft" activeCell="D359" sqref="D359"/>
    </sheetView>
  </sheetViews>
  <sheetFormatPr baseColWidth="10" defaultColWidth="11.44140625" defaultRowHeight="13.2"/>
  <cols>
    <col min="1" max="1" width="6.109375" style="1134" customWidth="1"/>
    <col min="2" max="2" width="8.5546875" style="1139" customWidth="1"/>
    <col min="3" max="3" width="53" style="1134" customWidth="1"/>
    <col min="4" max="4" width="59.33203125" style="1134" customWidth="1"/>
    <col min="5" max="5" width="52.33203125" style="1134" bestFit="1" customWidth="1"/>
    <col min="6" max="6" width="44.44140625" style="1181" customWidth="1"/>
    <col min="7" max="16384" width="11.44140625" style="1134"/>
  </cols>
  <sheetData>
    <row r="1" spans="1:9" ht="24.75" customHeight="1">
      <c r="A1" s="1136" t="str">
        <f>Begriffe!F365</f>
        <v>Anleitung - SIA 2024 Raum-Datenblätter</v>
      </c>
      <c r="B1" s="1138"/>
      <c r="C1" s="189"/>
      <c r="D1" s="1137">
        <v>1</v>
      </c>
      <c r="E1" s="189"/>
      <c r="F1" s="1180"/>
      <c r="G1">
        <f>D1</f>
        <v>1</v>
      </c>
      <c r="H1"/>
      <c r="I1" s="1134" t="s">
        <v>929</v>
      </c>
    </row>
    <row r="2" spans="1:9">
      <c r="A2" s="1193"/>
      <c r="B2" s="1194"/>
      <c r="C2" s="1193"/>
      <c r="D2" s="1193"/>
      <c r="E2" s="1193"/>
      <c r="G2"/>
      <c r="H2"/>
      <c r="I2" s="1134" t="s">
        <v>1155</v>
      </c>
    </row>
    <row r="3" spans="1:9" ht="13.8">
      <c r="A3" s="1195" t="s">
        <v>1178</v>
      </c>
      <c r="B3" s="1194"/>
      <c r="C3" s="1193"/>
      <c r="D3" s="1193"/>
      <c r="E3" s="1193"/>
      <c r="G3"/>
      <c r="H3"/>
      <c r="I3" s="1134" t="s">
        <v>1156</v>
      </c>
    </row>
    <row r="4" spans="1:9">
      <c r="A4" s="1196"/>
      <c r="B4" s="1194"/>
      <c r="C4" s="1193"/>
      <c r="D4" s="1193"/>
      <c r="E4" s="1193"/>
    </row>
    <row r="5" spans="1:9">
      <c r="A5" s="1196" t="s">
        <v>1157</v>
      </c>
      <c r="B5" s="1197" t="s">
        <v>928</v>
      </c>
      <c r="C5" s="1198" t="s">
        <v>929</v>
      </c>
      <c r="D5" s="1199" t="s">
        <v>930</v>
      </c>
      <c r="E5" s="1199" t="s">
        <v>931</v>
      </c>
      <c r="F5" s="1182" t="s">
        <v>1177</v>
      </c>
    </row>
    <row r="6" spans="1:9">
      <c r="A6" s="1193">
        <v>100</v>
      </c>
      <c r="B6" s="1200" t="s">
        <v>932</v>
      </c>
      <c r="C6" s="1201" t="s">
        <v>863</v>
      </c>
      <c r="D6" s="1202" t="s">
        <v>933</v>
      </c>
      <c r="E6" s="1202" t="s">
        <v>1495</v>
      </c>
      <c r="F6" s="1181" t="str">
        <f>IF(Begriffe!$G$1=1,C6,IF(Begriffe!$G$1=2,D6,E6))</f>
        <v>Abminderungsfaktor für Fensterrahmen</v>
      </c>
    </row>
    <row r="7" spans="1:9">
      <c r="A7" s="1193">
        <f>A6+1</f>
        <v>101</v>
      </c>
      <c r="B7" s="1200" t="s">
        <v>934</v>
      </c>
      <c r="C7" s="1201" t="s">
        <v>145</v>
      </c>
      <c r="D7" s="1201" t="s">
        <v>935</v>
      </c>
      <c r="E7" s="1201" t="s">
        <v>1496</v>
      </c>
      <c r="F7" s="1181" t="str">
        <f>IF(Begriffe!$G$1=1,C7,IF(Begriffe!$G$1=2,D7,E7))</f>
        <v>Aktivitätsgrad</v>
      </c>
    </row>
    <row r="8" spans="1:9">
      <c r="A8" s="1193">
        <f t="shared" ref="A8:A71" si="0">A7+1</f>
        <v>102</v>
      </c>
      <c r="B8" s="1200" t="s">
        <v>936</v>
      </c>
      <c r="C8" s="1201" t="s">
        <v>255</v>
      </c>
      <c r="D8" s="1201" t="s">
        <v>937</v>
      </c>
      <c r="E8" s="1202" t="s">
        <v>938</v>
      </c>
      <c r="F8" s="1181" t="str">
        <f>IF(Begriffe!$G$1=1,C8,IF(Begriffe!$G$1=2,D8,E8))</f>
        <v>Anlagentyp</v>
      </c>
    </row>
    <row r="9" spans="1:9">
      <c r="A9" s="1193">
        <f t="shared" si="0"/>
        <v>103</v>
      </c>
      <c r="B9" s="1200" t="s">
        <v>939</v>
      </c>
      <c r="C9" s="1201" t="s">
        <v>892</v>
      </c>
      <c r="D9" s="1201" t="s">
        <v>940</v>
      </c>
      <c r="E9" s="1201" t="s">
        <v>941</v>
      </c>
      <c r="F9" s="1181" t="str">
        <f>IF(Begriffe!$G$1=1,C9,IF(Begriffe!$G$1=2,D9,E9))</f>
        <v>Anzahl Bezugseinheiten pro Person</v>
      </c>
    </row>
    <row r="10" spans="1:9">
      <c r="A10" s="1193">
        <f t="shared" si="0"/>
        <v>104</v>
      </c>
      <c r="B10" s="1200" t="s">
        <v>942</v>
      </c>
      <c r="C10" s="1201" t="s">
        <v>540</v>
      </c>
      <c r="D10" s="1201" t="s">
        <v>943</v>
      </c>
      <c r="E10" s="1202" t="s">
        <v>1497</v>
      </c>
      <c r="F10" s="1181" t="str">
        <f>IF(Begriffe!$G$1=1,C10,IF(Begriffe!$G$1=2,D10,E10))</f>
        <v>Aussenluft-Volumenstrom</v>
      </c>
    </row>
    <row r="11" spans="1:9">
      <c r="A11" s="1193">
        <f t="shared" si="0"/>
        <v>105</v>
      </c>
      <c r="B11" s="1200" t="s">
        <v>944</v>
      </c>
      <c r="C11" s="1202" t="s">
        <v>945</v>
      </c>
      <c r="D11" s="1202" t="s">
        <v>946</v>
      </c>
      <c r="E11" s="1203" t="s">
        <v>1498</v>
      </c>
      <c r="F11" s="1181" t="str">
        <f>IF(Begriffe!$G$1=1,C11,IF(Begriffe!$G$1=2,D11,E11))</f>
        <v>Aussenluft-Volumenstrom durch Infiltration</v>
      </c>
    </row>
    <row r="12" spans="1:9">
      <c r="A12" s="1193">
        <f t="shared" si="0"/>
        <v>106</v>
      </c>
      <c r="B12" s="1200" t="s">
        <v>947</v>
      </c>
      <c r="C12" s="1201" t="s">
        <v>1403</v>
      </c>
      <c r="D12" s="1201" t="s">
        <v>948</v>
      </c>
      <c r="E12" s="1202" t="s">
        <v>949</v>
      </c>
      <c r="F12" s="1181" t="str">
        <f>IF(Begriffe!$G$1=1,C12,IF(Begriffe!$G$1=2,D12,E12))</f>
        <v xml:space="preserve">Bauteilflächen </v>
      </c>
    </row>
    <row r="13" spans="1:9">
      <c r="A13" s="1193">
        <f t="shared" si="0"/>
        <v>107</v>
      </c>
      <c r="B13" s="1200" t="s">
        <v>950</v>
      </c>
      <c r="C13" s="1201" t="s">
        <v>951</v>
      </c>
      <c r="D13" s="1201" t="s">
        <v>952</v>
      </c>
      <c r="E13" s="1202" t="s">
        <v>1499</v>
      </c>
      <c r="F13" s="1181" t="str">
        <f>IF(Begriffe!$G$1=1,C13,IF(Begriffe!$G$1=2,D13,E13))</f>
        <v>Beleuchtungsstärke</v>
      </c>
    </row>
    <row r="14" spans="1:9">
      <c r="A14" s="1193">
        <f t="shared" si="0"/>
        <v>108</v>
      </c>
      <c r="B14" s="1200" t="s">
        <v>953</v>
      </c>
      <c r="C14" s="1201" t="s">
        <v>882</v>
      </c>
      <c r="D14" s="1201" t="s">
        <v>1500</v>
      </c>
      <c r="E14" s="1202" t="s">
        <v>1501</v>
      </c>
      <c r="F14" s="1181" t="str">
        <f>IF(Begriffe!$G$1=1,C14,IF(Begriffe!$G$1=2,D14,E14))</f>
        <v>Beurteilungspegel für Geräusche haustechnischer Anlagen</v>
      </c>
    </row>
    <row r="15" spans="1:9">
      <c r="A15" s="1193">
        <f t="shared" si="0"/>
        <v>109</v>
      </c>
      <c r="B15" s="1200" t="s">
        <v>954</v>
      </c>
      <c r="C15" s="1201" t="s">
        <v>154</v>
      </c>
      <c r="D15" s="1202" t="s">
        <v>955</v>
      </c>
      <c r="E15" s="1202" t="s">
        <v>956</v>
      </c>
      <c r="F15" s="1181" t="str">
        <f>IF(Begriffe!$G$1=1,C15,IF(Begriffe!$G$1=2,D15,E15))</f>
        <v>Bewertungsebene</v>
      </c>
    </row>
    <row r="16" spans="1:9">
      <c r="A16" s="1193">
        <f t="shared" si="0"/>
        <v>110</v>
      </c>
      <c r="B16" s="1200" t="s">
        <v>957</v>
      </c>
      <c r="C16" s="1201" t="s">
        <v>888</v>
      </c>
      <c r="D16" s="1201" t="s">
        <v>958</v>
      </c>
      <c r="E16" s="1201" t="s">
        <v>959</v>
      </c>
      <c r="F16" s="1181" t="str">
        <f>IF(Begriffe!$G$1=1,C16,IF(Begriffe!$G$1=2,D16,E16))</f>
        <v>Bezugseinheit</v>
      </c>
    </row>
    <row r="17" spans="1:6">
      <c r="A17" s="1193">
        <f t="shared" si="0"/>
        <v>111</v>
      </c>
      <c r="B17" s="1200" t="s">
        <v>960</v>
      </c>
      <c r="C17" s="1201" t="s">
        <v>961</v>
      </c>
      <c r="D17" s="1201" t="s">
        <v>962</v>
      </c>
      <c r="E17" s="1202" t="s">
        <v>1502</v>
      </c>
      <c r="F17" s="1181" t="str">
        <f>IF(Begriffe!$G$1=1,C17,IF(Begriffe!$G$1=2,D17,E17))</f>
        <v>Elektrische Leistung der Akzentbeleuchtung</v>
      </c>
    </row>
    <row r="18" spans="1:6">
      <c r="A18" s="1193">
        <f t="shared" si="0"/>
        <v>112</v>
      </c>
      <c r="B18" s="1200" t="s">
        <v>963</v>
      </c>
      <c r="C18" s="1201" t="s">
        <v>964</v>
      </c>
      <c r="D18" s="1201" t="s">
        <v>965</v>
      </c>
      <c r="E18" s="1202" t="s">
        <v>1503</v>
      </c>
      <c r="F18" s="1181" t="str">
        <f>IF(Begriffe!$G$1=1,C18,IF(Begriffe!$G$1=2,D18,E18))</f>
        <v>Elektrische Leistung der Raumbeleuchtung</v>
      </c>
    </row>
    <row r="19" spans="1:6">
      <c r="A19" s="1193">
        <f t="shared" si="0"/>
        <v>113</v>
      </c>
      <c r="B19" s="1200" t="s">
        <v>966</v>
      </c>
      <c r="C19" s="1201" t="s">
        <v>967</v>
      </c>
      <c r="D19" s="1201" t="s">
        <v>1492</v>
      </c>
      <c r="E19" s="1202" t="s">
        <v>968</v>
      </c>
      <c r="F19" s="1181" t="str">
        <f>IF(Begriffe!$G$1=1,C19,IF(Begriffe!$G$1=2,D19,E19))</f>
        <v>Elektrische Leistung der Geräte</v>
      </c>
    </row>
    <row r="20" spans="1:6">
      <c r="A20" s="1193">
        <f t="shared" si="0"/>
        <v>114</v>
      </c>
      <c r="B20" s="1200" t="s">
        <v>969</v>
      </c>
      <c r="C20" s="1201" t="s">
        <v>970</v>
      </c>
      <c r="D20" s="1201" t="s">
        <v>971</v>
      </c>
      <c r="E20" s="1201" t="s">
        <v>972</v>
      </c>
      <c r="F20" s="1181" t="str">
        <f>IF(Begriffe!$G$1=1,C20,IF(Begriffe!$G$1=2,D20,E20))</f>
        <v>Elektrische Leistung der Lüftung</v>
      </c>
    </row>
    <row r="21" spans="1:6">
      <c r="A21" s="1193">
        <f t="shared" si="0"/>
        <v>115</v>
      </c>
      <c r="B21" s="1200" t="s">
        <v>973</v>
      </c>
      <c r="C21" s="1202" t="s">
        <v>841</v>
      </c>
      <c r="D21" s="1201" t="s">
        <v>974</v>
      </c>
      <c r="E21" s="1204" t="s">
        <v>975</v>
      </c>
      <c r="F21" s="1181" t="str">
        <f>IF(Begriffe!$G$1=1,C21,IF(Begriffe!$G$1=2,D21,E21))</f>
        <v>Externe Wärmeeintragsleistung</v>
      </c>
    </row>
    <row r="22" spans="1:6">
      <c r="A22" s="1193">
        <f t="shared" si="0"/>
        <v>116</v>
      </c>
      <c r="B22" s="1200" t="s">
        <v>976</v>
      </c>
      <c r="C22" s="1201" t="s">
        <v>754</v>
      </c>
      <c r="D22" s="1201" t="s">
        <v>977</v>
      </c>
      <c r="E22" s="1202" t="s">
        <v>1504</v>
      </c>
      <c r="F22" s="1181" t="str">
        <f>IF(Begriffe!$G$1=1,C22,IF(Begriffe!$G$1=2,D22,E22))</f>
        <v>Feuchteproduktion Personen</v>
      </c>
    </row>
    <row r="23" spans="1:6">
      <c r="A23" s="1193">
        <f t="shared" si="0"/>
        <v>117</v>
      </c>
      <c r="B23" s="1200" t="s">
        <v>978</v>
      </c>
      <c r="C23" s="1201" t="s">
        <v>831</v>
      </c>
      <c r="D23" s="1201" t="s">
        <v>979</v>
      </c>
      <c r="E23" s="1202" t="s">
        <v>980</v>
      </c>
      <c r="F23" s="1181" t="str">
        <f>IF(Begriffe!$G$1=1,C23,IF(Begriffe!$G$1=2,D23,E23))</f>
        <v>Feuchtequellen (ohne Personen)</v>
      </c>
    </row>
    <row r="24" spans="1:6">
      <c r="A24" s="1193">
        <f t="shared" si="0"/>
        <v>118</v>
      </c>
      <c r="B24" s="1200" t="s">
        <v>981</v>
      </c>
      <c r="C24" s="1201" t="s">
        <v>982</v>
      </c>
      <c r="D24" s="1201" t="s">
        <v>983</v>
      </c>
      <c r="E24" s="1201" t="s">
        <v>1505</v>
      </c>
      <c r="F24" s="1181" t="str">
        <f>IF(Begriffe!$G$1=1,C24,IF(Begriffe!$G$1=2,D24,E24))</f>
        <v>Geräteprofil</v>
      </c>
    </row>
    <row r="25" spans="1:6">
      <c r="A25" s="1193">
        <f t="shared" si="0"/>
        <v>119</v>
      </c>
      <c r="B25" s="1200" t="s">
        <v>984</v>
      </c>
      <c r="C25" s="1201" t="s">
        <v>985</v>
      </c>
      <c r="D25" s="1201" t="s">
        <v>1506</v>
      </c>
      <c r="E25" s="1201" t="s">
        <v>1507</v>
      </c>
      <c r="F25" s="1181" t="str">
        <f>IF(Begriffe!$G$1=1,C25,IF(Begriffe!$G$1=2,D25,E25))</f>
        <v>Gesamtenergiedurchlassgrad</v>
      </c>
    </row>
    <row r="26" spans="1:6">
      <c r="A26" s="1193">
        <f t="shared" si="0"/>
        <v>120</v>
      </c>
      <c r="B26" s="1200" t="s">
        <v>986</v>
      </c>
      <c r="C26" s="1202" t="s">
        <v>729</v>
      </c>
      <c r="D26" s="1202" t="s">
        <v>987</v>
      </c>
      <c r="E26" s="1202" t="s">
        <v>1508</v>
      </c>
      <c r="F26" s="1181" t="str">
        <f>IF(Begriffe!$G$1=1,C26,IF(Begriffe!$G$1=2,D26,E26))</f>
        <v>Glasanteil</v>
      </c>
    </row>
    <row r="27" spans="1:6">
      <c r="A27" s="1193">
        <f t="shared" si="0"/>
        <v>121</v>
      </c>
      <c r="B27" s="1200" t="s">
        <v>988</v>
      </c>
      <c r="C27" s="1201" t="s">
        <v>737</v>
      </c>
      <c r="D27" s="1205" t="s">
        <v>1509</v>
      </c>
      <c r="E27" s="1202" t="s">
        <v>1404</v>
      </c>
      <c r="F27" s="1181" t="str">
        <f>IF(Begriffe!$G$1=1,C27,IF(Begriffe!$G$1=2,D27,E27))</f>
        <v>Glasflächenzahl</v>
      </c>
    </row>
    <row r="28" spans="1:6">
      <c r="A28" s="1193">
        <f t="shared" si="0"/>
        <v>122</v>
      </c>
      <c r="B28" s="1200" t="s">
        <v>989</v>
      </c>
      <c r="C28" s="1201" t="s">
        <v>742</v>
      </c>
      <c r="D28" s="1206" t="s">
        <v>1510</v>
      </c>
      <c r="E28" s="1202" t="s">
        <v>1511</v>
      </c>
      <c r="F28" s="1181" t="str">
        <f>IF(Begriffe!$G$1=1,C28,IF(Begriffe!$G$1=2,D28,E28))</f>
        <v>Interne Wärmeeinträge pro Tag</v>
      </c>
    </row>
    <row r="29" spans="1:6">
      <c r="A29" s="1193">
        <f t="shared" si="0"/>
        <v>123</v>
      </c>
      <c r="B29" s="1200" t="s">
        <v>991</v>
      </c>
      <c r="C29" s="1201" t="s">
        <v>842</v>
      </c>
      <c r="D29" s="1201" t="s">
        <v>992</v>
      </c>
      <c r="E29" s="1202" t="s">
        <v>990</v>
      </c>
      <c r="F29" s="1181" t="str">
        <f>IF(Begriffe!$G$1=1,C29,IF(Begriffe!$G$1=2,D29,E29))</f>
        <v>Interne Wärmeeintragsleistung</v>
      </c>
    </row>
    <row r="30" spans="1:6">
      <c r="A30" s="1193">
        <f t="shared" si="0"/>
        <v>124</v>
      </c>
      <c r="B30" s="1200" t="s">
        <v>993</v>
      </c>
      <c r="C30" s="1201" t="s">
        <v>103</v>
      </c>
      <c r="D30" s="1201" t="s">
        <v>994</v>
      </c>
      <c r="E30" s="1201" t="s">
        <v>995</v>
      </c>
      <c r="F30" s="1181" t="str">
        <f>IF(Begriffe!$G$1=1,C30,IF(Begriffe!$G$1=2,D30,E30))</f>
        <v>Jahresgleichzeitigkeit</v>
      </c>
    </row>
    <row r="31" spans="1:6">
      <c r="A31" s="1193">
        <f t="shared" si="0"/>
        <v>125</v>
      </c>
      <c r="B31" s="1200" t="s">
        <v>996</v>
      </c>
      <c r="C31" s="1201" t="s">
        <v>903</v>
      </c>
      <c r="D31" s="1201" t="s">
        <v>1512</v>
      </c>
      <c r="E31" s="1202" t="s">
        <v>1513</v>
      </c>
      <c r="F31" s="1181" t="str">
        <f>IF(Begriffe!$G$1=1,C31,IF(Begriffe!$G$1=2,D31,E31))</f>
        <v>Jahresnutzungsgrad der Wärmerückgewinnung</v>
      </c>
    </row>
    <row r="32" spans="1:6">
      <c r="A32" s="1193">
        <f t="shared" si="0"/>
        <v>126</v>
      </c>
      <c r="B32" s="1200" t="s">
        <v>997</v>
      </c>
      <c r="C32" s="1201" t="s">
        <v>710</v>
      </c>
      <c r="D32" s="1201" t="s">
        <v>998</v>
      </c>
      <c r="E32" s="1201" t="s">
        <v>999</v>
      </c>
      <c r="F32" s="1181" t="str">
        <f>IF(Begriffe!$G$1=1,C32,IF(Begriffe!$G$1=2,D32,E32))</f>
        <v>Jahresprofil</v>
      </c>
    </row>
    <row r="33" spans="1:6">
      <c r="A33" s="1193">
        <f t="shared" si="0"/>
        <v>127</v>
      </c>
      <c r="B33" s="1200" t="s">
        <v>1000</v>
      </c>
      <c r="C33" s="1207" t="s">
        <v>1282</v>
      </c>
      <c r="D33" s="1207" t="s">
        <v>1292</v>
      </c>
      <c r="E33" s="1204" t="s">
        <v>1405</v>
      </c>
      <c r="F33" s="1181" t="str">
        <f>IF(Begriffe!$G$1=1,C33,IF(Begriffe!$G$1=2,D33,E33))</f>
        <v>Jährliche Volllaststunden der Geräte</v>
      </c>
    </row>
    <row r="34" spans="1:6">
      <c r="A34" s="1193">
        <f t="shared" si="0"/>
        <v>128</v>
      </c>
      <c r="B34" s="1200" t="s">
        <v>1001</v>
      </c>
      <c r="C34" s="1207" t="s">
        <v>1281</v>
      </c>
      <c r="D34" s="1207" t="s">
        <v>1293</v>
      </c>
      <c r="E34" s="1204" t="s">
        <v>1406</v>
      </c>
      <c r="F34" s="1181" t="str">
        <f>IF(Begriffe!$G$1=1,C34,IF(Begriffe!$G$1=2,D34,E34))</f>
        <v>Jährliche Volllaststunden der Lüftung</v>
      </c>
    </row>
    <row r="35" spans="1:6">
      <c r="A35" s="1193">
        <f t="shared" si="0"/>
        <v>129</v>
      </c>
      <c r="B35" s="1200" t="s">
        <v>1002</v>
      </c>
      <c r="C35" s="1207" t="s">
        <v>1283</v>
      </c>
      <c r="D35" s="1207" t="s">
        <v>1294</v>
      </c>
      <c r="E35" s="1204" t="s">
        <v>1514</v>
      </c>
      <c r="F35" s="1181" t="str">
        <f>IF(Begriffe!$G$1=1,C35,IF(Begriffe!$G$1=2,D35,E35))</f>
        <v>Jährliche Volllaststunden der Raumkühlung</v>
      </c>
    </row>
    <row r="36" spans="1:6">
      <c r="A36" s="1193">
        <f t="shared" si="0"/>
        <v>130</v>
      </c>
      <c r="B36" s="1200" t="s">
        <v>1003</v>
      </c>
      <c r="C36" s="1207" t="s">
        <v>1284</v>
      </c>
      <c r="D36" s="1207" t="s">
        <v>1407</v>
      </c>
      <c r="E36" s="1204" t="s">
        <v>1515</v>
      </c>
      <c r="F36" s="1181" t="str">
        <f>IF(Begriffe!$G$1=1,C36,IF(Begriffe!$G$1=2,D36,E36))</f>
        <v>Jährliche Volllaststunden der Raumheizung</v>
      </c>
    </row>
    <row r="37" spans="1:6">
      <c r="A37" s="1193">
        <f t="shared" si="0"/>
        <v>131</v>
      </c>
      <c r="B37" s="1200" t="s">
        <v>1004</v>
      </c>
      <c r="C37" s="1207" t="s">
        <v>1005</v>
      </c>
      <c r="D37" s="1207" t="s">
        <v>1006</v>
      </c>
      <c r="E37" s="1204" t="s">
        <v>1408</v>
      </c>
      <c r="F37" s="1181" t="str">
        <f>IF(Begriffe!$G$1=1,C37,IF(Begriffe!$G$1=2,D37,E37))</f>
        <v xml:space="preserve">Jährliche Volllaststunden der Raumbeleuchtung </v>
      </c>
    </row>
    <row r="38" spans="1:6">
      <c r="A38" s="1193">
        <f t="shared" si="0"/>
        <v>132</v>
      </c>
      <c r="B38" s="1200" t="s">
        <v>1007</v>
      </c>
      <c r="C38" s="1207" t="s">
        <v>1008</v>
      </c>
      <c r="D38" s="1207" t="s">
        <v>1009</v>
      </c>
      <c r="E38" s="1204" t="s">
        <v>1516</v>
      </c>
      <c r="F38" s="1181" t="str">
        <f>IF(Begriffe!$G$1=1,C38,IF(Begriffe!$G$1=2,D38,E38))</f>
        <v xml:space="preserve">Jährliche Volllaststunden der Akzentbeleuchtung </v>
      </c>
    </row>
    <row r="39" spans="1:6">
      <c r="A39" s="1193">
        <f t="shared" si="0"/>
        <v>133</v>
      </c>
      <c r="B39" s="1200" t="s">
        <v>1010</v>
      </c>
      <c r="C39" s="1207" t="s">
        <v>741</v>
      </c>
      <c r="D39" s="1204" t="s">
        <v>1011</v>
      </c>
      <c r="E39" s="1204" t="s">
        <v>1012</v>
      </c>
      <c r="F39" s="1181" t="str">
        <f>IF(Begriffe!$G$1=1,C39,IF(Begriffe!$G$1=2,D39,E39))</f>
        <v>Jährlicher Elektrizitätsbedarf Beleuchtung</v>
      </c>
    </row>
    <row r="40" spans="1:6">
      <c r="A40" s="1193">
        <f t="shared" si="0"/>
        <v>134</v>
      </c>
      <c r="B40" s="1200" t="s">
        <v>1013</v>
      </c>
      <c r="C40" s="1207" t="s">
        <v>1014</v>
      </c>
      <c r="D40" s="1204" t="s">
        <v>1517</v>
      </c>
      <c r="E40" s="1204" t="s">
        <v>1518</v>
      </c>
      <c r="F40" s="1181" t="str">
        <f>IF(Begriffe!$G$1=1,C40,IF(Begriffe!$G$1=2,D40,E40))</f>
        <v>Jährlicher Elektrizitätsbedarf der Geräte</v>
      </c>
    </row>
    <row r="41" spans="1:6">
      <c r="A41" s="1193">
        <f t="shared" si="0"/>
        <v>135</v>
      </c>
      <c r="B41" s="1200" t="s">
        <v>1015</v>
      </c>
      <c r="C41" s="1201" t="s">
        <v>1016</v>
      </c>
      <c r="D41" s="1202" t="s">
        <v>1017</v>
      </c>
      <c r="E41" s="1202" t="s">
        <v>1018</v>
      </c>
      <c r="F41" s="1181" t="str">
        <f>IF(Begriffe!$G$1=1,C41,IF(Begriffe!$G$1=2,D41,E41))</f>
        <v>Jährlicher Elektrizitätsbedarf für die Lüftung</v>
      </c>
    </row>
    <row r="42" spans="1:6">
      <c r="A42" s="1193">
        <f t="shared" si="0"/>
        <v>136</v>
      </c>
      <c r="B42" s="1200" t="s">
        <v>1019</v>
      </c>
      <c r="C42" s="1201" t="s">
        <v>1020</v>
      </c>
      <c r="D42" s="1201" t="s">
        <v>1021</v>
      </c>
      <c r="E42" s="1202" t="s">
        <v>1519</v>
      </c>
      <c r="F42" s="1181" t="str">
        <f>IF(Begriffe!$G$1=1,C42,IF(Begriffe!$G$1=2,D42,E42))</f>
        <v>Jährlicher Energiebedarf</v>
      </c>
    </row>
    <row r="43" spans="1:6">
      <c r="A43" s="1193">
        <f t="shared" si="0"/>
        <v>137</v>
      </c>
      <c r="B43" s="1200" t="s">
        <v>1022</v>
      </c>
      <c r="C43" s="1201" t="s">
        <v>1023</v>
      </c>
      <c r="D43" s="1205" t="s">
        <v>1409</v>
      </c>
      <c r="E43" s="1202" t="s">
        <v>1410</v>
      </c>
      <c r="F43" s="1181" t="str">
        <f>IF(Begriffe!$G$1=1,C43,IF(Begriffe!$G$1=2,D43,E43))</f>
        <v xml:space="preserve">Jährlicher Heizwärmebedarf </v>
      </c>
    </row>
    <row r="44" spans="1:6">
      <c r="A44" s="1193">
        <f t="shared" si="0"/>
        <v>138</v>
      </c>
      <c r="B44" s="1200" t="s">
        <v>1024</v>
      </c>
      <c r="C44" s="1201" t="s">
        <v>746</v>
      </c>
      <c r="D44" s="1205" t="s">
        <v>1520</v>
      </c>
      <c r="E44" s="1201" t="s">
        <v>1411</v>
      </c>
      <c r="F44" s="1181" t="str">
        <f>IF(Begriffe!$G$1=1,C44,IF(Begriffe!$G$1=2,D44,E44))</f>
        <v>Jährlicher Klimakältebedarf</v>
      </c>
    </row>
    <row r="45" spans="1:6">
      <c r="A45" s="1193">
        <f t="shared" si="0"/>
        <v>139</v>
      </c>
      <c r="B45" s="1200" t="s">
        <v>1025</v>
      </c>
      <c r="C45" s="1201" t="s">
        <v>749</v>
      </c>
      <c r="D45" s="1205" t="s">
        <v>1412</v>
      </c>
      <c r="E45" s="1202" t="s">
        <v>1413</v>
      </c>
      <c r="F45" s="1181" t="str">
        <f>IF(Begriffe!$G$1=1,C45,IF(Begriffe!$G$1=2,D45,E45))</f>
        <v>Jährlicher Wärmebedarf für Warmwasser</v>
      </c>
    </row>
    <row r="46" spans="1:6">
      <c r="A46" s="1193">
        <f t="shared" si="0"/>
        <v>140</v>
      </c>
      <c r="B46" s="1200" t="s">
        <v>1026</v>
      </c>
      <c r="C46" s="1201" t="s">
        <v>744</v>
      </c>
      <c r="D46" s="1202" t="s">
        <v>1027</v>
      </c>
      <c r="E46" s="1201" t="s">
        <v>1028</v>
      </c>
      <c r="F46" s="1181" t="str">
        <f>IF(Begriffe!$G$1=1,C46,IF(Begriffe!$G$1=2,D46,E46))</f>
        <v>Klimakälteleistungsbedarf</v>
      </c>
    </row>
    <row r="47" spans="1:6">
      <c r="A47" s="1193">
        <f t="shared" si="0"/>
        <v>141</v>
      </c>
      <c r="B47" s="1200" t="s">
        <v>1029</v>
      </c>
      <c r="C47" s="1201" t="s">
        <v>1030</v>
      </c>
      <c r="D47" s="1201" t="s">
        <v>1031</v>
      </c>
      <c r="E47" s="1202" t="s">
        <v>1032</v>
      </c>
      <c r="F47" s="1181" t="str">
        <f>IF(Begriffe!$G$1=1,C47,IF(Begriffe!$G$1=2,D47,E47))</f>
        <v>Korrekturfaktor für Präsenzregelung</v>
      </c>
    </row>
    <row r="48" spans="1:6">
      <c r="A48" s="1193">
        <f t="shared" si="0"/>
        <v>142</v>
      </c>
      <c r="B48" s="1200" t="s">
        <v>1033</v>
      </c>
      <c r="C48" s="1201" t="s">
        <v>144</v>
      </c>
      <c r="D48" s="1201" t="s">
        <v>1034</v>
      </c>
      <c r="E48" s="1202" t="s">
        <v>1035</v>
      </c>
      <c r="F48" s="1181" t="str">
        <f>IF(Begriffe!$G$1=1,C48,IF(Begriffe!$G$1=2,D48,E48))</f>
        <v>Lärmempfindlichkeit</v>
      </c>
    </row>
    <row r="49" spans="1:6">
      <c r="A49" s="1193">
        <f t="shared" si="0"/>
        <v>143</v>
      </c>
      <c r="B49" s="1200" t="s">
        <v>1036</v>
      </c>
      <c r="C49" s="1201" t="s">
        <v>753</v>
      </c>
      <c r="D49" s="1201" t="s">
        <v>1664</v>
      </c>
      <c r="E49" s="1202" t="s">
        <v>1521</v>
      </c>
      <c r="F49" s="1181" t="str">
        <f>IF(Begriffe!$G$1=1,C49,IF(Begriffe!$G$1=2,D49,E49))</f>
        <v>Leistung ausserhalb der Nutzungszeit</v>
      </c>
    </row>
    <row r="50" spans="1:6">
      <c r="A50" s="1193">
        <f t="shared" si="0"/>
        <v>144</v>
      </c>
      <c r="B50" s="1200" t="s">
        <v>1037</v>
      </c>
      <c r="C50" s="1201" t="s">
        <v>1038</v>
      </c>
      <c r="D50" s="1201" t="s">
        <v>1039</v>
      </c>
      <c r="E50" s="1201" t="s">
        <v>1040</v>
      </c>
      <c r="F50" s="1181" t="str">
        <f>IF(Begriffe!$G$1=1,C50,IF(Begriffe!$G$1=2,D50,E50))</f>
        <v>Leistungsbedarf</v>
      </c>
    </row>
    <row r="51" spans="1:6">
      <c r="A51" s="1193">
        <f t="shared" si="0"/>
        <v>145</v>
      </c>
      <c r="B51" s="1200" t="s">
        <v>1041</v>
      </c>
      <c r="C51" s="1201" t="s">
        <v>739</v>
      </c>
      <c r="D51" s="1201" t="s">
        <v>1042</v>
      </c>
      <c r="E51" s="1202" t="s">
        <v>1043</v>
      </c>
      <c r="F51" s="1181" t="str">
        <f>IF(Begriffe!$G$1=1,C51,IF(Begriffe!$G$1=2,D51,E51))</f>
        <v>Leuchten-Lichtausbeute</v>
      </c>
    </row>
    <row r="52" spans="1:6">
      <c r="A52" s="1193">
        <f t="shared" si="0"/>
        <v>146</v>
      </c>
      <c r="B52" s="1200" t="s">
        <v>1044</v>
      </c>
      <c r="C52" s="1201" t="s">
        <v>752</v>
      </c>
      <c r="D52" s="1202" t="s">
        <v>1045</v>
      </c>
      <c r="E52" s="1201" t="s">
        <v>1046</v>
      </c>
      <c r="F52" s="1181" t="str">
        <f>IF(Begriffe!$G$1=1,C52,IF(Begriffe!$G$1=2,D52,E52))</f>
        <v>Lichttransmissionsgrad</v>
      </c>
    </row>
    <row r="53" spans="1:6">
      <c r="A53" s="1193">
        <f t="shared" si="0"/>
        <v>147</v>
      </c>
      <c r="B53" s="1200" t="s">
        <v>1047</v>
      </c>
      <c r="C53" s="1201" t="s">
        <v>1048</v>
      </c>
      <c r="D53" s="1201" t="s">
        <v>1049</v>
      </c>
      <c r="E53" s="1201" t="s">
        <v>1522</v>
      </c>
      <c r="F53" s="1181" t="str">
        <f>IF(Begriffe!$G$1=1,C53,IF(Begriffe!$G$1=2,D53,E53))</f>
        <v>Lüftungs-Wärmetransferkoeffizient</v>
      </c>
    </row>
    <row r="54" spans="1:6">
      <c r="A54" s="1193">
        <f t="shared" si="0"/>
        <v>148</v>
      </c>
      <c r="B54" s="1200" t="s">
        <v>1050</v>
      </c>
      <c r="C54" s="1201" t="s">
        <v>1051</v>
      </c>
      <c r="D54" s="1201" t="s">
        <v>1052</v>
      </c>
      <c r="E54" s="1202" t="s">
        <v>1053</v>
      </c>
      <c r="F54" s="1181" t="str">
        <f>IF(Begriffe!$G$1=1,C54,IF(Begriffe!$G$1=2,D54,E54))</f>
        <v>Maximale Luftgeschwindigkeit</v>
      </c>
    </row>
    <row r="55" spans="1:6">
      <c r="A55" s="1193">
        <f t="shared" si="0"/>
        <v>149</v>
      </c>
      <c r="B55" s="1200" t="s">
        <v>1054</v>
      </c>
      <c r="C55" s="1201" t="s">
        <v>153</v>
      </c>
      <c r="D55" s="1201" t="s">
        <v>1055</v>
      </c>
      <c r="E55" s="1202" t="s">
        <v>1056</v>
      </c>
      <c r="F55" s="1181" t="str">
        <f>IF(Begriffe!$G$1=1,C55,IF(Begriffe!$G$1=2,D55,E55))</f>
        <v>Nachhallzeit</v>
      </c>
    </row>
    <row r="56" spans="1:6">
      <c r="A56" s="1193">
        <f t="shared" si="0"/>
        <v>150</v>
      </c>
      <c r="B56" s="1200" t="s">
        <v>1057</v>
      </c>
      <c r="C56" s="1201" t="s">
        <v>748</v>
      </c>
      <c r="D56" s="1206" t="s">
        <v>1493</v>
      </c>
      <c r="E56" s="1208" t="s">
        <v>1414</v>
      </c>
      <c r="F56" s="1181" t="str">
        <f>IF(Begriffe!$G$1=1,C56,IF(Begriffe!$G$1=2,D56,E56))</f>
        <v>Norm-Heizwärmeleistungsbedarf</v>
      </c>
    </row>
    <row r="57" spans="1:6">
      <c r="A57" s="1193">
        <f t="shared" si="0"/>
        <v>151</v>
      </c>
      <c r="B57" s="1200" t="s">
        <v>1058</v>
      </c>
      <c r="C57" s="1201" t="s">
        <v>743</v>
      </c>
      <c r="D57" s="1201" t="s">
        <v>1059</v>
      </c>
      <c r="E57" s="1201" t="s">
        <v>1060</v>
      </c>
      <c r="F57" s="1181" t="str">
        <f>IF(Begriffe!$G$1=1,C57,IF(Begriffe!$G$1=2,D57,E57))</f>
        <v>Notwendigkeit einer Kühlung</v>
      </c>
    </row>
    <row r="58" spans="1:6">
      <c r="A58" s="1193">
        <f t="shared" si="0"/>
        <v>152</v>
      </c>
      <c r="B58" s="1200" t="s">
        <v>1061</v>
      </c>
      <c r="C58" s="1201" t="s">
        <v>866</v>
      </c>
      <c r="D58" s="1201" t="s">
        <v>1062</v>
      </c>
      <c r="E58" s="1201" t="s">
        <v>1063</v>
      </c>
      <c r="F58" s="1181" t="str">
        <f>IF(Begriffe!$G$1=1,C58,IF(Begriffe!$G$1=2,D58,E58))</f>
        <v>Nutzungsstunden pro Tag</v>
      </c>
    </row>
    <row r="59" spans="1:6">
      <c r="A59" s="1193">
        <f t="shared" si="0"/>
        <v>153</v>
      </c>
      <c r="B59" s="1200" t="s">
        <v>1064</v>
      </c>
      <c r="C59" s="1201" t="s">
        <v>1065</v>
      </c>
      <c r="D59" s="1201" t="s">
        <v>1066</v>
      </c>
      <c r="E59" s="1202" t="s">
        <v>1067</v>
      </c>
      <c r="F59" s="1181" t="str">
        <f>IF(Begriffe!$G$1=1,C59,IF(Begriffe!$G$1=2,D59,E59))</f>
        <v>Nutzungsstunden Tag und Nacht</v>
      </c>
    </row>
    <row r="60" spans="1:6">
      <c r="A60" s="1193">
        <f t="shared" si="0"/>
        <v>154</v>
      </c>
      <c r="B60" s="1200" t="s">
        <v>1068</v>
      </c>
      <c r="C60" s="1201" t="s">
        <v>868</v>
      </c>
      <c r="D60" s="1201" t="s">
        <v>1523</v>
      </c>
      <c r="E60" s="1201" t="s">
        <v>1069</v>
      </c>
      <c r="F60" s="1181" t="str">
        <f>IF(Begriffe!$G$1=1,C60,IF(Begriffe!$G$1=2,D60,E60))</f>
        <v>Nutzungstage pro Jahr</v>
      </c>
    </row>
    <row r="61" spans="1:6">
      <c r="A61" s="1193">
        <f t="shared" si="0"/>
        <v>155</v>
      </c>
      <c r="B61" s="1200" t="s">
        <v>1070</v>
      </c>
      <c r="C61" s="1201" t="s">
        <v>904</v>
      </c>
      <c r="D61" s="1201" t="s">
        <v>1071</v>
      </c>
      <c r="E61" s="1201" t="s">
        <v>1072</v>
      </c>
      <c r="F61" s="1181" t="str">
        <f>IF(Begriffe!$G$1=1,C61,IF(Begriffe!$G$1=2,D61,E61))</f>
        <v>Nutzwarmwasserbedarf pro Bezugseinheit</v>
      </c>
    </row>
    <row r="62" spans="1:6">
      <c r="A62" s="1193">
        <f t="shared" si="0"/>
        <v>156</v>
      </c>
      <c r="B62" s="1200" t="s">
        <v>1073</v>
      </c>
      <c r="C62" s="1201" t="s">
        <v>131</v>
      </c>
      <c r="D62" s="1201" t="s">
        <v>1074</v>
      </c>
      <c r="E62" s="1202" t="s">
        <v>1075</v>
      </c>
      <c r="F62" s="1181" t="str">
        <f>IF(Begriffe!$G$1=1,C62,IF(Begriffe!$G$1=2,D62,E62))</f>
        <v>Personenfläche</v>
      </c>
    </row>
    <row r="63" spans="1:6">
      <c r="A63" s="1193">
        <f t="shared" si="0"/>
        <v>157</v>
      </c>
      <c r="B63" s="1200" t="s">
        <v>1076</v>
      </c>
      <c r="C63" s="1201" t="s">
        <v>1077</v>
      </c>
      <c r="D63" s="1201" t="s">
        <v>1524</v>
      </c>
      <c r="E63" s="1202" t="s">
        <v>1078</v>
      </c>
      <c r="F63" s="1181" t="str">
        <f>IF(Begriffe!$G$1=1,C63,IF(Begriffe!$G$1=2,D63,E63))</f>
        <v>Personenprofil</v>
      </c>
    </row>
    <row r="64" spans="1:6">
      <c r="A64" s="1193">
        <f t="shared" si="0"/>
        <v>158</v>
      </c>
      <c r="B64" s="1209" t="s">
        <v>1079</v>
      </c>
      <c r="C64" s="1201" t="s">
        <v>143</v>
      </c>
      <c r="D64" s="1201" t="s">
        <v>1525</v>
      </c>
      <c r="E64" s="1201" t="s">
        <v>1526</v>
      </c>
      <c r="F64" s="1181" t="str">
        <f>IF(Begriffe!$G$1=1,C64,IF(Begriffe!$G$1=2,D64,E64))</f>
        <v>Raumabmessungen</v>
      </c>
    </row>
    <row r="65" spans="1:6">
      <c r="A65" s="1193">
        <f t="shared" si="0"/>
        <v>159</v>
      </c>
      <c r="B65" s="1200" t="s">
        <v>1080</v>
      </c>
      <c r="C65" s="1201" t="s">
        <v>738</v>
      </c>
      <c r="D65" s="1201" t="s">
        <v>1527</v>
      </c>
      <c r="E65" s="1202" t="s">
        <v>1081</v>
      </c>
      <c r="F65" s="1181" t="str">
        <f>IF(Begriffe!$G$1=1,C65,IF(Begriffe!$G$1=2,D65,E65))</f>
        <v>Raumindex</v>
      </c>
    </row>
    <row r="66" spans="1:6">
      <c r="A66" s="1193">
        <f t="shared" si="0"/>
        <v>160</v>
      </c>
      <c r="B66" s="1200" t="s">
        <v>1082</v>
      </c>
      <c r="C66" s="1201" t="s">
        <v>894</v>
      </c>
      <c r="D66" s="1201" t="s">
        <v>1083</v>
      </c>
      <c r="E66" s="1210" t="s">
        <v>1415</v>
      </c>
      <c r="F66" s="1181" t="str">
        <f>IF(Begriffe!$G$1=1,C66,IF(Begriffe!$G$1=2,D66,E66))</f>
        <v>Raumlufttemperatur</v>
      </c>
    </row>
    <row r="67" spans="1:6">
      <c r="A67" s="1193">
        <f t="shared" si="0"/>
        <v>161</v>
      </c>
      <c r="B67" s="1200" t="s">
        <v>1084</v>
      </c>
      <c r="C67" s="1201" t="s">
        <v>740</v>
      </c>
      <c r="D67" s="1201" t="s">
        <v>1085</v>
      </c>
      <c r="E67" s="1202" t="s">
        <v>1416</v>
      </c>
      <c r="F67" s="1181" t="str">
        <f>IF(Begriffe!$G$1=1,C67,IF(Begriffe!$G$1=2,D67,E67))</f>
        <v>Raumwirkungsgrad</v>
      </c>
    </row>
    <row r="68" spans="1:6">
      <c r="A68" s="1193">
        <f t="shared" si="0"/>
        <v>162</v>
      </c>
      <c r="B68" s="1200" t="s">
        <v>1086</v>
      </c>
      <c r="C68" s="1201" t="s">
        <v>732</v>
      </c>
      <c r="D68" s="1201" t="s">
        <v>1087</v>
      </c>
      <c r="E68" s="1201" t="s">
        <v>1088</v>
      </c>
      <c r="F68" s="1181" t="str">
        <f>IF(Begriffe!$G$1=1,C68,IF(Begriffe!$G$1=2,D68,E68))</f>
        <v>Reduktionsfaktor solare Wärmeeinträge</v>
      </c>
    </row>
    <row r="69" spans="1:6">
      <c r="A69" s="1193">
        <f t="shared" si="0"/>
        <v>163</v>
      </c>
      <c r="B69" s="1200" t="s">
        <v>1089</v>
      </c>
      <c r="C69" s="1201" t="s">
        <v>1417</v>
      </c>
      <c r="D69" s="1211" t="s">
        <v>1528</v>
      </c>
      <c r="E69" s="1202" t="s">
        <v>1529</v>
      </c>
      <c r="F69" s="1181" t="str">
        <f>IF(Begriffe!$G$1=1,C69,IF(Begriffe!$G$1=2,D69,E69))</f>
        <v xml:space="preserve">Relative Raumluftfeuchte </v>
      </c>
    </row>
    <row r="70" spans="1:6">
      <c r="A70" s="1193">
        <f t="shared" si="0"/>
        <v>164</v>
      </c>
      <c r="B70" s="1200" t="s">
        <v>1090</v>
      </c>
      <c r="C70" s="1201" t="s">
        <v>105</v>
      </c>
      <c r="D70" s="1201" t="s">
        <v>1091</v>
      </c>
      <c r="E70" s="1201" t="s">
        <v>1092</v>
      </c>
      <c r="F70" s="1181" t="str">
        <f>IF(Begriffe!$G$1=1,C70,IF(Begriffe!$G$1=2,D70,E70))</f>
        <v>Ruhetage pro Woche</v>
      </c>
    </row>
    <row r="71" spans="1:6">
      <c r="A71" s="1193">
        <f t="shared" si="0"/>
        <v>165</v>
      </c>
      <c r="B71" s="1200" t="s">
        <v>1093</v>
      </c>
      <c r="C71" s="1201" t="s">
        <v>1418</v>
      </c>
      <c r="D71" s="1201" t="s">
        <v>1419</v>
      </c>
      <c r="E71" s="1202" t="s">
        <v>1420</v>
      </c>
      <c r="F71" s="1181" t="str">
        <f>IF(Begriffe!$G$1=1,C71,IF(Begriffe!$G$1=2,D71,E71))</f>
        <v>Spezifische Ventilatorleistung</v>
      </c>
    </row>
    <row r="72" spans="1:6" ht="26.4">
      <c r="A72" s="1193">
        <f t="shared" ref="A72:A94" si="1">A71+1</f>
        <v>166</v>
      </c>
      <c r="B72" s="1200" t="s">
        <v>1094</v>
      </c>
      <c r="C72" s="1207" t="s">
        <v>1530</v>
      </c>
      <c r="D72" s="1201" t="s">
        <v>1531</v>
      </c>
      <c r="E72" s="1202" t="s">
        <v>1421</v>
      </c>
      <c r="F72" s="1181" t="str">
        <f>IF(Begriffe!$G$1=1,C72,IF(Begriffe!$G$1=2,D72,E72))</f>
        <v>Steuerung und Regelung des Luftvolumenstroms (einstufig, zweistufig, stufenlos)</v>
      </c>
    </row>
    <row r="73" spans="1:6" ht="26.4">
      <c r="A73" s="1193">
        <f t="shared" si="1"/>
        <v>167</v>
      </c>
      <c r="B73" s="1200" t="s">
        <v>1095</v>
      </c>
      <c r="C73" s="1201" t="s">
        <v>1096</v>
      </c>
      <c r="D73" s="1201" t="s">
        <v>1097</v>
      </c>
      <c r="E73" s="1202" t="s">
        <v>1098</v>
      </c>
      <c r="F73" s="1181" t="str">
        <f>IF(Begriffe!$G$1=1,C73,IF(Begriffe!$G$1=2,D73,E73))</f>
        <v>Strahlungsleistung für Betätigung Sonnenschutz</v>
      </c>
    </row>
    <row r="74" spans="1:6" ht="26.4">
      <c r="A74" s="1193">
        <f t="shared" si="1"/>
        <v>168</v>
      </c>
      <c r="B74" s="1200" t="s">
        <v>1099</v>
      </c>
      <c r="C74" s="1201" t="s">
        <v>898</v>
      </c>
      <c r="D74" s="1202" t="s">
        <v>1154</v>
      </c>
      <c r="E74" s="1202" t="s">
        <v>1100</v>
      </c>
      <c r="F74" s="1181" t="str">
        <f>IF(Begriffe!$G$1=1,C74,IF(Begriffe!$G$1=2,D74,E74))</f>
        <v>Temperatur-Änderungsgrad der Wärmerückgewinnung</v>
      </c>
    </row>
    <row r="75" spans="1:6">
      <c r="A75" s="1193">
        <f t="shared" si="1"/>
        <v>169</v>
      </c>
      <c r="B75" s="1200" t="s">
        <v>1101</v>
      </c>
      <c r="C75" s="1201" t="s">
        <v>1102</v>
      </c>
      <c r="D75" s="1201" t="s">
        <v>1103</v>
      </c>
      <c r="E75" s="1202" t="s">
        <v>1104</v>
      </c>
      <c r="F75" s="1181" t="str">
        <f>IF(Begriffe!$G$1=1,C75,IF(Begriffe!$G$1=2,D75,E75))</f>
        <v>Temperaturkorrektur</v>
      </c>
    </row>
    <row r="76" spans="1:6">
      <c r="A76" s="1193">
        <f t="shared" si="1"/>
        <v>170</v>
      </c>
      <c r="B76" s="1200" t="s">
        <v>1105</v>
      </c>
      <c r="C76" s="1201" t="s">
        <v>1106</v>
      </c>
      <c r="D76" s="1201" t="s">
        <v>1107</v>
      </c>
      <c r="E76" s="1204" t="s">
        <v>1108</v>
      </c>
      <c r="F76" s="1181" t="str">
        <f>IF(Begriffe!$G$1=1,C76,IF(Begriffe!$G$1=2,D76,E76))</f>
        <v>Thermisch wirksamer Aussenluft-Volumenstrom</v>
      </c>
    </row>
    <row r="77" spans="1:6">
      <c r="A77" s="1193">
        <f t="shared" si="1"/>
        <v>171</v>
      </c>
      <c r="B77" s="1200" t="s">
        <v>1109</v>
      </c>
      <c r="C77" s="1202" t="s">
        <v>638</v>
      </c>
      <c r="D77" s="1202" t="s">
        <v>1110</v>
      </c>
      <c r="E77" s="1202" t="s">
        <v>1111</v>
      </c>
      <c r="F77" s="1181" t="str">
        <f>IF(Begriffe!$G$1=1,C77,IF(Begriffe!$G$1=2,D77,E77))</f>
        <v>Thermische Gebäudehüllfläche</v>
      </c>
    </row>
    <row r="78" spans="1:6">
      <c r="A78" s="1193">
        <f t="shared" si="1"/>
        <v>172</v>
      </c>
      <c r="B78" s="1200" t="s">
        <v>1112</v>
      </c>
      <c r="C78" s="1212" t="s">
        <v>1167</v>
      </c>
      <c r="D78" s="1205" t="s">
        <v>1532</v>
      </c>
      <c r="E78" s="1204" t="s">
        <v>1422</v>
      </c>
      <c r="F78" s="1181" t="str">
        <f>IF(Begriffe!$G$1=1,C78,IF(Begriffe!$G$1=2,D78,E78))</f>
        <v>Transmissions-Wärmetransferkoeffizient</v>
      </c>
    </row>
    <row r="79" spans="1:6" ht="26.4">
      <c r="A79" s="1193">
        <f t="shared" si="1"/>
        <v>173</v>
      </c>
      <c r="B79" s="1200" t="s">
        <v>1113</v>
      </c>
      <c r="C79" s="1201" t="s">
        <v>1114</v>
      </c>
      <c r="D79" s="1213" t="s">
        <v>1533</v>
      </c>
      <c r="E79" s="1207" t="s">
        <v>1423</v>
      </c>
      <c r="F79" s="1181" t="str">
        <f>IF(Begriffe!$G$1=1,C79,IF(Begriffe!$G$1=2,D79,E79))</f>
        <v>Verhältnis Warmwasserbedarf zu Wasserbedarf</v>
      </c>
    </row>
    <row r="80" spans="1:6">
      <c r="A80" s="1193">
        <f t="shared" si="1"/>
        <v>174</v>
      </c>
      <c r="B80" s="1200" t="s">
        <v>1115</v>
      </c>
      <c r="C80" s="1201" t="s">
        <v>1116</v>
      </c>
      <c r="D80" s="1201" t="s">
        <v>1117</v>
      </c>
      <c r="E80" s="1202" t="s">
        <v>1118</v>
      </c>
      <c r="F80" s="1181" t="str">
        <f>IF(Begriffe!$G$1=1,C80,IF(Begriffe!$G$1=2,D80,E80))</f>
        <v>Volllaststunden pro Jahr</v>
      </c>
    </row>
    <row r="81" spans="1:6">
      <c r="A81" s="1193">
        <f t="shared" si="1"/>
        <v>175</v>
      </c>
      <c r="B81" s="1200" t="s">
        <v>1119</v>
      </c>
      <c r="C81" s="1201" t="s">
        <v>867</v>
      </c>
      <c r="D81" s="1201" t="s">
        <v>1120</v>
      </c>
      <c r="E81" s="1202" t="s">
        <v>1121</v>
      </c>
      <c r="F81" s="1181" t="str">
        <f>IF(Begriffe!$G$1=1,C81,IF(Begriffe!$G$1=2,D81,E81))</f>
        <v>Volllaststunden pro Tag</v>
      </c>
    </row>
    <row r="82" spans="1:6">
      <c r="A82" s="1193">
        <f t="shared" si="1"/>
        <v>176</v>
      </c>
      <c r="B82" s="1200" t="s">
        <v>1122</v>
      </c>
      <c r="C82" s="1201" t="s">
        <v>867</v>
      </c>
      <c r="D82" s="1201" t="s">
        <v>1120</v>
      </c>
      <c r="E82" s="1202" t="s">
        <v>1121</v>
      </c>
      <c r="F82" s="1181" t="str">
        <f>IF(Begriffe!$G$1=1,C82,IF(Begriffe!$G$1=2,D82,E82))</f>
        <v>Volllaststunden pro Tag</v>
      </c>
    </row>
    <row r="83" spans="1:6">
      <c r="A83" s="1193">
        <f t="shared" si="1"/>
        <v>177</v>
      </c>
      <c r="B83" s="1200" t="s">
        <v>1123</v>
      </c>
      <c r="C83" s="1201" t="s">
        <v>1124</v>
      </c>
      <c r="D83" s="1201" t="s">
        <v>1125</v>
      </c>
      <c r="E83" s="1201" t="s">
        <v>1126</v>
      </c>
      <c r="F83" s="1181" t="str">
        <f>IF(Begriffe!$G$1=1,C83,IF(Begriffe!$G$1=2,D83,E83))</f>
        <v>Wärmeabgabeleistung Personen</v>
      </c>
    </row>
    <row r="84" spans="1:6">
      <c r="A84" s="1193">
        <f t="shared" si="1"/>
        <v>178</v>
      </c>
      <c r="B84" s="1200" t="s">
        <v>1127</v>
      </c>
      <c r="C84" s="1201" t="s">
        <v>829</v>
      </c>
      <c r="D84" s="1202" t="s">
        <v>1128</v>
      </c>
      <c r="E84" s="1202" t="s">
        <v>1129</v>
      </c>
      <c r="F84" s="1181" t="str">
        <f>IF(Begriffe!$G$1=1,C84,IF(Begriffe!$G$1=2,D84,E84))</f>
        <v>Wärmedämmwert der Bekleidung</v>
      </c>
    </row>
    <row r="85" spans="1:6">
      <c r="A85" s="1193">
        <f t="shared" si="1"/>
        <v>179</v>
      </c>
      <c r="B85" s="1200" t="s">
        <v>1130</v>
      </c>
      <c r="C85" s="1201" t="s">
        <v>1131</v>
      </c>
      <c r="D85" s="1201" t="s">
        <v>1132</v>
      </c>
      <c r="E85" s="1202" t="s">
        <v>1133</v>
      </c>
      <c r="F85" s="1181" t="str">
        <f>IF(Begriffe!$G$1=1,C85,IF(Begriffe!$G$1=2,D85,E85))</f>
        <v>Wärmedurchgangskoeffizient</v>
      </c>
    </row>
    <row r="86" spans="1:6">
      <c r="A86" s="1193">
        <f t="shared" si="1"/>
        <v>180</v>
      </c>
      <c r="B86" s="1200" t="s">
        <v>1134</v>
      </c>
      <c r="C86" s="1201" t="s">
        <v>1135</v>
      </c>
      <c r="D86" s="1201" t="s">
        <v>1136</v>
      </c>
      <c r="E86" s="1202" t="s">
        <v>1534</v>
      </c>
      <c r="F86" s="1181" t="str">
        <f>IF(Begriffe!$G$1=1,C86,IF(Begriffe!$G$1=2,D86,E86))</f>
        <v>Wärmeeintragsleistung der Akzentbeleuchtung</v>
      </c>
    </row>
    <row r="87" spans="1:6">
      <c r="A87" s="1193">
        <f t="shared" si="1"/>
        <v>181</v>
      </c>
      <c r="B87" s="1200" t="s">
        <v>1137</v>
      </c>
      <c r="C87" s="1201" t="s">
        <v>1138</v>
      </c>
      <c r="D87" s="1201" t="s">
        <v>1535</v>
      </c>
      <c r="E87" s="1202" t="s">
        <v>1536</v>
      </c>
      <c r="F87" s="1181" t="str">
        <f>IF(Begriffe!$G$1=1,C87,IF(Begriffe!$G$1=2,D87,E87))</f>
        <v>Wärmeeintragsleistung der Geräte</v>
      </c>
    </row>
    <row r="88" spans="1:6">
      <c r="A88" s="1193">
        <f t="shared" si="1"/>
        <v>182</v>
      </c>
      <c r="B88" s="1200" t="s">
        <v>1139</v>
      </c>
      <c r="C88" s="1201" t="s">
        <v>1140</v>
      </c>
      <c r="D88" s="1201" t="s">
        <v>1141</v>
      </c>
      <c r="E88" s="1202" t="s">
        <v>1537</v>
      </c>
      <c r="F88" s="1181" t="str">
        <f>IF(Begriffe!$G$1=1,C88,IF(Begriffe!$G$1=2,D88,E88))</f>
        <v>Wärmeeintragsleistung der Raumbeleuchtung</v>
      </c>
    </row>
    <row r="89" spans="1:6">
      <c r="A89" s="1193">
        <f t="shared" si="1"/>
        <v>183</v>
      </c>
      <c r="B89" s="1200" t="s">
        <v>1142</v>
      </c>
      <c r="C89" s="1201" t="s">
        <v>735</v>
      </c>
      <c r="D89" s="1201" t="s">
        <v>1538</v>
      </c>
      <c r="E89" s="1201" t="s">
        <v>1539</v>
      </c>
      <c r="F89" s="1181" t="str">
        <f>IF(Begriffe!$G$1=1,C89,IF(Begriffe!$G$1=2,D89,E89))</f>
        <v>Wärmeeintragsleistung Personen</v>
      </c>
    </row>
    <row r="90" spans="1:6">
      <c r="A90" s="1193">
        <f t="shared" si="1"/>
        <v>184</v>
      </c>
      <c r="B90" s="1200" t="s">
        <v>1143</v>
      </c>
      <c r="C90" s="1201" t="s">
        <v>733</v>
      </c>
      <c r="D90" s="1214" t="s">
        <v>1540</v>
      </c>
      <c r="E90" s="1202" t="s">
        <v>1541</v>
      </c>
      <c r="F90" s="1181" t="str">
        <f>IF(Begriffe!$G$1=1,C90,IF(Begriffe!$G$1=2,D90,E90))</f>
        <v>Wärmespeicherfähigkeit des Raumes</v>
      </c>
    </row>
    <row r="91" spans="1:6">
      <c r="A91" s="1193">
        <f t="shared" si="1"/>
        <v>185</v>
      </c>
      <c r="B91" s="1200" t="s">
        <v>1144</v>
      </c>
      <c r="C91" s="1201" t="s">
        <v>887</v>
      </c>
      <c r="D91" s="1202" t="s">
        <v>1145</v>
      </c>
      <c r="E91" s="1202" t="s">
        <v>1424</v>
      </c>
      <c r="F91" s="1181" t="str">
        <f>IF(Begriffe!$G$1=1,C91,IF(Begriffe!$G$1=2,D91,E91))</f>
        <v>Wärmetransferkoeffizient</v>
      </c>
    </row>
    <row r="92" spans="1:6">
      <c r="A92" s="1193">
        <f t="shared" si="1"/>
        <v>186</v>
      </c>
      <c r="B92" s="1200" t="s">
        <v>1146</v>
      </c>
      <c r="C92" s="1201" t="s">
        <v>824</v>
      </c>
      <c r="D92" s="1201" t="s">
        <v>1147</v>
      </c>
      <c r="E92" s="1202" t="s">
        <v>1425</v>
      </c>
      <c r="F92" s="1181" t="str">
        <f>IF(Begriffe!$G$1=1,C92,IF(Begriffe!$G$1=2,D92,E92))</f>
        <v>Warmwasserbedarf pro Person</v>
      </c>
    </row>
    <row r="93" spans="1:6">
      <c r="A93" s="1193">
        <f t="shared" si="1"/>
        <v>187</v>
      </c>
      <c r="B93" s="1200" t="s">
        <v>1148</v>
      </c>
      <c r="C93" s="1201" t="s">
        <v>823</v>
      </c>
      <c r="D93" s="1201" t="s">
        <v>1149</v>
      </c>
      <c r="E93" s="1201" t="s">
        <v>1150</v>
      </c>
      <c r="F93" s="1181" t="str">
        <f>IF(Begriffe!$G$1=1,C93,IF(Begriffe!$G$1=2,D93,E93))</f>
        <v>Wasserbedarf pro Person</v>
      </c>
    </row>
    <row r="94" spans="1:6">
      <c r="A94" s="1193">
        <f t="shared" si="1"/>
        <v>188</v>
      </c>
      <c r="B94" s="1200" t="s">
        <v>1151</v>
      </c>
      <c r="C94" s="1201" t="s">
        <v>747</v>
      </c>
      <c r="D94" s="1201" t="s">
        <v>1152</v>
      </c>
      <c r="E94" s="1201" t="s">
        <v>1153</v>
      </c>
      <c r="F94" s="1181" t="str">
        <f>IF(Begriffe!$G$1=1,C94,IF(Begriffe!$G$1=2,D94,E94))</f>
        <v>Zeitkonstante</v>
      </c>
    </row>
    <row r="95" spans="1:6">
      <c r="A95" s="1193"/>
      <c r="B95" s="1200"/>
      <c r="C95" s="1201"/>
      <c r="D95" s="1201"/>
      <c r="E95" s="1201"/>
      <c r="F95" s="1181">
        <f>IF(Begriffe!$G$1=1,C95,IF(Begriffe!$G$1=2,D95,E95))</f>
        <v>0</v>
      </c>
    </row>
    <row r="96" spans="1:6">
      <c r="A96" s="1193"/>
      <c r="B96" s="1200"/>
      <c r="C96" s="1201"/>
      <c r="D96" s="1201"/>
      <c r="E96" s="1201"/>
      <c r="F96" s="1181">
        <f>IF(Begriffe!$G$1=1,C96,IF(Begriffe!$G$1=2,D96,E96))</f>
        <v>0</v>
      </c>
    </row>
    <row r="97" spans="1:6">
      <c r="A97" s="1193"/>
      <c r="B97" s="1194"/>
      <c r="C97" s="1193"/>
      <c r="D97" s="1193"/>
      <c r="E97" s="1193"/>
      <c r="F97" s="1181">
        <f>IF(Begriffe!$G$1=1,C97,IF(Begriffe!$G$1=2,D97,E97))</f>
        <v>0</v>
      </c>
    </row>
    <row r="98" spans="1:6" ht="13.8">
      <c r="A98" s="1195" t="s">
        <v>1180</v>
      </c>
      <c r="B98" s="1194"/>
      <c r="C98" s="1193"/>
      <c r="D98" s="1193"/>
      <c r="E98" s="1193"/>
      <c r="F98" s="1181">
        <f>IF(Begriffe!$G$1=1,C98,IF(Begriffe!$G$1=2,D98,E98))</f>
        <v>0</v>
      </c>
    </row>
    <row r="99" spans="1:6">
      <c r="A99" s="1193"/>
      <c r="B99" s="1194"/>
      <c r="C99" s="1193"/>
      <c r="D99" s="1193"/>
      <c r="E99" s="1193"/>
      <c r="F99" s="1181">
        <f>IF(Begriffe!$G$1=1,C99,IF(Begriffe!$G$1=2,D99,E99))</f>
        <v>0</v>
      </c>
    </row>
    <row r="100" spans="1:6">
      <c r="A100" s="1196"/>
      <c r="B100" s="1197" t="s">
        <v>134</v>
      </c>
      <c r="C100" s="1215" t="s">
        <v>929</v>
      </c>
      <c r="D100" s="1216" t="s">
        <v>930</v>
      </c>
      <c r="E100" s="1216" t="s">
        <v>931</v>
      </c>
      <c r="F100" s="1181" t="str">
        <f>IF(Begriffe!$G$1=1,C100,IF(Begriffe!$G$1=2,D100,E100))</f>
        <v>Deutsch</v>
      </c>
    </row>
    <row r="101" spans="1:6">
      <c r="A101" s="1193"/>
      <c r="B101" s="1217">
        <v>1.1000000000000001</v>
      </c>
      <c r="C101" s="1193" t="s">
        <v>858</v>
      </c>
      <c r="D101" s="1193" t="s">
        <v>1235</v>
      </c>
      <c r="E101" s="1193" t="s">
        <v>1336</v>
      </c>
      <c r="F101" s="1181" t="str">
        <f>IF(Begriffe!$G$1=1,C101,IF(Begriffe!$G$1=2,D101,E101))</f>
        <v>Wohnen MFH</v>
      </c>
    </row>
    <row r="102" spans="1:6">
      <c r="A102" s="1193"/>
      <c r="B102" s="1217">
        <v>1.2</v>
      </c>
      <c r="C102" s="1193" t="s">
        <v>859</v>
      </c>
      <c r="D102" s="1193" t="s">
        <v>1234</v>
      </c>
      <c r="E102" s="1193" t="s">
        <v>1337</v>
      </c>
      <c r="F102" s="1181" t="str">
        <f>IF(Begriffe!$G$1=1,C102,IF(Begriffe!$G$1=2,D102,E102))</f>
        <v>Wohnen EFH</v>
      </c>
    </row>
    <row r="103" spans="1:6">
      <c r="A103" s="1193"/>
      <c r="B103" s="1217">
        <v>2.1</v>
      </c>
      <c r="C103" s="1193" t="s">
        <v>106</v>
      </c>
      <c r="D103" s="1193" t="s">
        <v>1200</v>
      </c>
      <c r="E103" s="1193" t="s">
        <v>1298</v>
      </c>
      <c r="F103" s="1181" t="str">
        <f>IF(Begriffe!$G$1=1,C103,IF(Begriffe!$G$1=2,D103,E103))</f>
        <v xml:space="preserve">Hotelzimmer </v>
      </c>
    </row>
    <row r="104" spans="1:6">
      <c r="A104" s="1193"/>
      <c r="B104" s="1217">
        <v>2.2000000000000002</v>
      </c>
      <c r="C104" s="1193" t="s">
        <v>258</v>
      </c>
      <c r="D104" s="1193" t="s">
        <v>1201</v>
      </c>
      <c r="E104" s="1193" t="s">
        <v>1299</v>
      </c>
      <c r="F104" s="1181" t="str">
        <f>IF(Begriffe!$G$1=1,C104,IF(Begriffe!$G$1=2,D104,E104))</f>
        <v>Empfang, Lobby</v>
      </c>
    </row>
    <row r="105" spans="1:6">
      <c r="A105" s="1193"/>
      <c r="B105" s="1217">
        <v>3.1</v>
      </c>
      <c r="C105" s="1193" t="s">
        <v>259</v>
      </c>
      <c r="D105" s="1193" t="s">
        <v>1202</v>
      </c>
      <c r="E105" s="1193" t="s">
        <v>1300</v>
      </c>
      <c r="F105" s="1181" t="str">
        <f>IF(Begriffe!$G$1=1,C105,IF(Begriffe!$G$1=2,D105,E105))</f>
        <v>Einzel-, Gruppenbüro</v>
      </c>
    </row>
    <row r="106" spans="1:6">
      <c r="A106" s="1193"/>
      <c r="B106" s="1217">
        <v>3.2</v>
      </c>
      <c r="C106" s="1193" t="s">
        <v>108</v>
      </c>
      <c r="D106" s="1193" t="s">
        <v>1203</v>
      </c>
      <c r="E106" s="1193" t="s">
        <v>1301</v>
      </c>
      <c r="F106" s="1181" t="str">
        <f>IF(Begriffe!$G$1=1,C106,IF(Begriffe!$G$1=2,D106,E106))</f>
        <v>Grossraumbüro</v>
      </c>
    </row>
    <row r="107" spans="1:6">
      <c r="A107" s="1193"/>
      <c r="B107" s="1217">
        <v>3.3</v>
      </c>
      <c r="C107" s="1193" t="s">
        <v>109</v>
      </c>
      <c r="D107" s="1193" t="s">
        <v>1204</v>
      </c>
      <c r="E107" s="1193" t="s">
        <v>1302</v>
      </c>
      <c r="F107" s="1181" t="str">
        <f>IF(Begriffe!$G$1=1,C107,IF(Begriffe!$G$1=2,D107,E107))</f>
        <v>Sitzungszimmer</v>
      </c>
    </row>
    <row r="108" spans="1:6">
      <c r="A108" s="1193"/>
      <c r="B108" s="1217">
        <v>3.4</v>
      </c>
      <c r="C108" s="1193" t="s">
        <v>260</v>
      </c>
      <c r="D108" s="1193" t="s">
        <v>1205</v>
      </c>
      <c r="E108" s="1193" t="s">
        <v>1303</v>
      </c>
      <c r="F108" s="1181" t="str">
        <f>IF(Begriffe!$G$1=1,C108,IF(Begriffe!$G$1=2,D108,E108))</f>
        <v>Schalterhalle, Empfang</v>
      </c>
    </row>
    <row r="109" spans="1:6">
      <c r="A109" s="1193"/>
      <c r="B109" s="1217">
        <v>4.0999999999999996</v>
      </c>
      <c r="C109" s="1193" t="s">
        <v>75</v>
      </c>
      <c r="D109" s="1193" t="s">
        <v>1206</v>
      </c>
      <c r="E109" s="1193" t="s">
        <v>1304</v>
      </c>
      <c r="F109" s="1181" t="str">
        <f>IF(Begriffe!$G$1=1,C109,IF(Begriffe!$G$1=2,D109,E109))</f>
        <v>Schulzimmer</v>
      </c>
    </row>
    <row r="110" spans="1:6">
      <c r="A110" s="1193"/>
      <c r="B110" s="1217">
        <v>4.2</v>
      </c>
      <c r="C110" s="1193" t="s">
        <v>201</v>
      </c>
      <c r="D110" s="1193" t="s">
        <v>1207</v>
      </c>
      <c r="E110" s="1193" t="s">
        <v>1305</v>
      </c>
      <c r="F110" s="1181" t="str">
        <f>IF(Begriffe!$G$1=1,C110,IF(Begriffe!$G$1=2,D110,E110))</f>
        <v>Lehrerzimmer</v>
      </c>
    </row>
    <row r="111" spans="1:6">
      <c r="A111" s="1193"/>
      <c r="B111" s="1217">
        <v>4.3</v>
      </c>
      <c r="C111" s="1193" t="s">
        <v>110</v>
      </c>
      <c r="D111" s="1193" t="s">
        <v>1208</v>
      </c>
      <c r="E111" s="1193" t="s">
        <v>1306</v>
      </c>
      <c r="F111" s="1181" t="str">
        <f>IF(Begriffe!$G$1=1,C111,IF(Begriffe!$G$1=2,D111,E111))</f>
        <v>Bibliothek</v>
      </c>
    </row>
    <row r="112" spans="1:6">
      <c r="A112" s="1193"/>
      <c r="B112" s="1217">
        <v>4.4000000000000004</v>
      </c>
      <c r="C112" s="1193" t="s">
        <v>80</v>
      </c>
      <c r="D112" s="1193" t="s">
        <v>1209</v>
      </c>
      <c r="E112" s="1193" t="s">
        <v>1307</v>
      </c>
      <c r="F112" s="1181" t="str">
        <f>IF(Begriffe!$G$1=1,C112,IF(Begriffe!$G$1=2,D112,E112))</f>
        <v>Hörsaal</v>
      </c>
    </row>
    <row r="113" spans="1:6">
      <c r="A113" s="1193"/>
      <c r="B113" s="1217">
        <v>4.5</v>
      </c>
      <c r="C113" s="1218" t="s">
        <v>1426</v>
      </c>
      <c r="D113" s="1193" t="s">
        <v>1427</v>
      </c>
      <c r="E113" s="1193" t="s">
        <v>1542</v>
      </c>
      <c r="F113" s="1181" t="str">
        <f>IF(Begriffe!$G$1=1,C113,IF(Begriffe!$G$1=2,D113,E113))</f>
        <v>Schulfachraum (Spezialraum)</v>
      </c>
    </row>
    <row r="114" spans="1:6">
      <c r="A114" s="1193"/>
      <c r="B114" s="1217">
        <v>5.0999999999999996</v>
      </c>
      <c r="C114" s="1193" t="s">
        <v>111</v>
      </c>
      <c r="D114" s="1193" t="s">
        <v>1210</v>
      </c>
      <c r="E114" s="1193" t="s">
        <v>1308</v>
      </c>
      <c r="F114" s="1181" t="str">
        <f>IF(Begriffe!$G$1=1,C114,IF(Begriffe!$G$1=2,D114,E114))</f>
        <v>Lebensmittelverkauf</v>
      </c>
    </row>
    <row r="115" spans="1:6">
      <c r="A115" s="1193"/>
      <c r="B115" s="1217">
        <v>5.2</v>
      </c>
      <c r="C115" s="1193" t="s">
        <v>641</v>
      </c>
      <c r="D115" s="1193" t="s">
        <v>1211</v>
      </c>
      <c r="E115" s="1193" t="s">
        <v>1331</v>
      </c>
      <c r="F115" s="1181" t="str">
        <f>IF(Begriffe!$G$1=1,C115,IF(Begriffe!$G$1=2,D115,E115))</f>
        <v>Fachgeschäft</v>
      </c>
    </row>
    <row r="116" spans="1:6">
      <c r="A116" s="1193"/>
      <c r="B116" s="1217">
        <v>5.3</v>
      </c>
      <c r="C116" s="1193" t="s">
        <v>640</v>
      </c>
      <c r="D116" s="1193" t="s">
        <v>1232</v>
      </c>
      <c r="E116" s="1193" t="s">
        <v>1332</v>
      </c>
      <c r="F116" s="1181" t="str">
        <f>IF(Begriffe!$G$1=1,C116,IF(Begriffe!$G$1=2,D116,E116))</f>
        <v>Verkauf Möbel, Bau, Garten</v>
      </c>
    </row>
    <row r="117" spans="1:6">
      <c r="A117" s="1193"/>
      <c r="B117" s="1217">
        <v>6.1</v>
      </c>
      <c r="C117" s="1193" t="s">
        <v>112</v>
      </c>
      <c r="D117" s="1193" t="s">
        <v>112</v>
      </c>
      <c r="E117" s="1193" t="s">
        <v>1309</v>
      </c>
      <c r="F117" s="1181" t="str">
        <f>IF(Begriffe!$G$1=1,C117,IF(Begriffe!$G$1=2,D117,E117))</f>
        <v>Restaurant</v>
      </c>
    </row>
    <row r="118" spans="1:6">
      <c r="A118" s="1193"/>
      <c r="B118" s="1217">
        <v>6.2</v>
      </c>
      <c r="C118" s="1193" t="s">
        <v>113</v>
      </c>
      <c r="D118" s="1193" t="s">
        <v>1212</v>
      </c>
      <c r="E118" s="1193" t="s">
        <v>1310</v>
      </c>
      <c r="F118" s="1181" t="str">
        <f>IF(Begriffe!$G$1=1,C118,IF(Begriffe!$G$1=2,D118,E118))</f>
        <v>Selbstbedienungsrestaurant</v>
      </c>
    </row>
    <row r="119" spans="1:6">
      <c r="A119" s="1193"/>
      <c r="B119" s="1217">
        <v>6.3</v>
      </c>
      <c r="C119" s="1193" t="s">
        <v>261</v>
      </c>
      <c r="D119" s="1193" t="s">
        <v>1213</v>
      </c>
      <c r="E119" s="1193" t="s">
        <v>1311</v>
      </c>
      <c r="F119" s="1181" t="str">
        <f>IF(Begriffe!$G$1=1,C119,IF(Begriffe!$G$1=2,D119,E119))</f>
        <v>Küche zu Restaurant</v>
      </c>
    </row>
    <row r="120" spans="1:6">
      <c r="A120" s="1193"/>
      <c r="B120" s="1217">
        <v>6.4</v>
      </c>
      <c r="C120" s="1193" t="s">
        <v>262</v>
      </c>
      <c r="D120" s="1193" t="s">
        <v>1214</v>
      </c>
      <c r="E120" s="1193" t="s">
        <v>1312</v>
      </c>
      <c r="F120" s="1181" t="str">
        <f>IF(Begriffe!$G$1=1,C120,IF(Begriffe!$G$1=2,D120,E120))</f>
        <v>Küche zu Selbstbedienungsrest.</v>
      </c>
    </row>
    <row r="121" spans="1:6">
      <c r="A121" s="1193"/>
      <c r="B121" s="1217">
        <v>7.1</v>
      </c>
      <c r="C121" s="1193" t="s">
        <v>116</v>
      </c>
      <c r="D121" s="1193" t="s">
        <v>1215</v>
      </c>
      <c r="E121" s="1193" t="s">
        <v>1313</v>
      </c>
      <c r="F121" s="1181" t="str">
        <f>IF(Begriffe!$G$1=1,C121,IF(Begriffe!$G$1=2,D121,E121))</f>
        <v>Vorstellungsraum</v>
      </c>
    </row>
    <row r="122" spans="1:6">
      <c r="A122" s="1193"/>
      <c r="B122" s="1217">
        <v>7.2</v>
      </c>
      <c r="C122" s="1193" t="s">
        <v>117</v>
      </c>
      <c r="D122" s="1193" t="s">
        <v>1663</v>
      </c>
      <c r="E122" s="1193" t="s">
        <v>1314</v>
      </c>
      <c r="F122" s="1181" t="str">
        <f>IF(Begriffe!$G$1=1,C122,IF(Begriffe!$G$1=2,D122,E122))</f>
        <v>Mehrzweckhalle</v>
      </c>
    </row>
    <row r="123" spans="1:6">
      <c r="A123" s="1193"/>
      <c r="B123" s="1217">
        <v>7.3</v>
      </c>
      <c r="C123" s="1193" t="s">
        <v>146</v>
      </c>
      <c r="D123" s="1193" t="s">
        <v>1216</v>
      </c>
      <c r="E123" s="1193" t="s">
        <v>1315</v>
      </c>
      <c r="F123" s="1181" t="str">
        <f>IF(Begriffe!$G$1=1,C123,IF(Begriffe!$G$1=2,D123,E123))</f>
        <v>Ausstellungshalle</v>
      </c>
    </row>
    <row r="124" spans="1:6">
      <c r="A124" s="1193"/>
      <c r="B124" s="1219">
        <v>8.1</v>
      </c>
      <c r="C124" s="1193" t="s">
        <v>118</v>
      </c>
      <c r="D124" s="1193" t="s">
        <v>1217</v>
      </c>
      <c r="E124" s="1193" t="s">
        <v>1316</v>
      </c>
      <c r="F124" s="1181" t="str">
        <f>IF(Begriffe!$G$1=1,C124,IF(Begriffe!$G$1=2,D124,E124))</f>
        <v xml:space="preserve">Bettenzimmer </v>
      </c>
    </row>
    <row r="125" spans="1:6">
      <c r="A125" s="1193"/>
      <c r="B125" s="1217">
        <v>8.1999999999999993</v>
      </c>
      <c r="C125" s="1193" t="s">
        <v>119</v>
      </c>
      <c r="D125" s="1193" t="s">
        <v>1218</v>
      </c>
      <c r="E125" s="1193" t="s">
        <v>1317</v>
      </c>
      <c r="F125" s="1181" t="str">
        <f>IF(Begriffe!$G$1=1,C125,IF(Begriffe!$G$1=2,D125,E125))</f>
        <v xml:space="preserve">Stationszimmer </v>
      </c>
    </row>
    <row r="126" spans="1:6">
      <c r="A126" s="1193"/>
      <c r="B126" s="1217">
        <v>8.3000000000000007</v>
      </c>
      <c r="C126" s="1193" t="s">
        <v>642</v>
      </c>
      <c r="D126" s="1193" t="s">
        <v>1219</v>
      </c>
      <c r="E126" s="1193" t="s">
        <v>1318</v>
      </c>
      <c r="F126" s="1181" t="str">
        <f>IF(Begriffe!$G$1=1,C126,IF(Begriffe!$G$1=2,D126,E126))</f>
        <v>Behandlungsraum</v>
      </c>
    </row>
    <row r="127" spans="1:6">
      <c r="A127" s="1193"/>
      <c r="B127" s="1217">
        <v>9.1</v>
      </c>
      <c r="C127" s="1193" t="s">
        <v>120</v>
      </c>
      <c r="D127" s="1193" t="s">
        <v>1220</v>
      </c>
      <c r="E127" s="1193" t="s">
        <v>1319</v>
      </c>
      <c r="F127" s="1181" t="str">
        <f>IF(Begriffe!$G$1=1,C127,IF(Begriffe!$G$1=2,D127,E127))</f>
        <v>Produktion (grobe Arbeit)</v>
      </c>
    </row>
    <row r="128" spans="1:6">
      <c r="A128" s="1193"/>
      <c r="B128" s="1217">
        <v>9.1999999999999993</v>
      </c>
      <c r="C128" s="1193" t="s">
        <v>121</v>
      </c>
      <c r="D128" s="1193" t="s">
        <v>1221</v>
      </c>
      <c r="E128" s="1193" t="s">
        <v>1320</v>
      </c>
      <c r="F128" s="1181" t="str">
        <f>IF(Begriffe!$G$1=1,C128,IF(Begriffe!$G$1=2,D128,E128))</f>
        <v>Produktion (feine Arbeit)</v>
      </c>
    </row>
    <row r="129" spans="1:6">
      <c r="A129" s="1193"/>
      <c r="B129" s="1217">
        <v>9.3000000000000007</v>
      </c>
      <c r="C129" s="1193" t="s">
        <v>634</v>
      </c>
      <c r="D129" s="1193" t="s">
        <v>1268</v>
      </c>
      <c r="E129" s="1193" t="s">
        <v>1333</v>
      </c>
      <c r="F129" s="1181" t="str">
        <f>IF(Begriffe!$G$1=1,C129,IF(Begriffe!$G$1=2,D129,E129))</f>
        <v>Laborraum</v>
      </c>
    </row>
    <row r="130" spans="1:6">
      <c r="A130" s="1193"/>
      <c r="B130" s="1217">
        <v>10.1</v>
      </c>
      <c r="C130" s="1193" t="s">
        <v>122</v>
      </c>
      <c r="D130" s="1193" t="s">
        <v>1222</v>
      </c>
      <c r="E130" s="1193" t="s">
        <v>1543</v>
      </c>
      <c r="F130" s="1181" t="str">
        <f>IF(Begriffe!$G$1=1,C130,IF(Begriffe!$G$1=2,D130,E130))</f>
        <v>Lagerhalle</v>
      </c>
    </row>
    <row r="131" spans="1:6">
      <c r="A131" s="1193"/>
      <c r="B131" s="1217">
        <v>11.1</v>
      </c>
      <c r="C131" s="1193" t="s">
        <v>123</v>
      </c>
      <c r="D131" s="1193" t="s">
        <v>1223</v>
      </c>
      <c r="E131" s="1193" t="s">
        <v>1321</v>
      </c>
      <c r="F131" s="1181" t="str">
        <f>IF(Begriffe!$G$1=1,C131,IF(Begriffe!$G$1=2,D131,E131))</f>
        <v>Turnhalle</v>
      </c>
    </row>
    <row r="132" spans="1:6">
      <c r="A132" s="1193"/>
      <c r="B132" s="1217">
        <v>11.2</v>
      </c>
      <c r="C132" s="1193" t="s">
        <v>124</v>
      </c>
      <c r="D132" s="1193" t="s">
        <v>1224</v>
      </c>
      <c r="E132" s="1193" t="s">
        <v>1322</v>
      </c>
      <c r="F132" s="1181" t="str">
        <f>IF(Begriffe!$G$1=1,C132,IF(Begriffe!$G$1=2,D132,E132))</f>
        <v>Fitnessraum</v>
      </c>
    </row>
    <row r="133" spans="1:6">
      <c r="A133" s="1193"/>
      <c r="B133" s="1217">
        <v>11.3</v>
      </c>
      <c r="C133" s="1193" t="s">
        <v>125</v>
      </c>
      <c r="D133" s="1193" t="s">
        <v>1225</v>
      </c>
      <c r="E133" s="1193" t="s">
        <v>1323</v>
      </c>
      <c r="F133" s="1181" t="str">
        <f>IF(Begriffe!$G$1=1,C133,IF(Begriffe!$G$1=2,D133,E133))</f>
        <v>Schwimmhalle</v>
      </c>
    </row>
    <row r="134" spans="1:6">
      <c r="A134" s="1193"/>
      <c r="B134" s="1217">
        <v>12.1</v>
      </c>
      <c r="C134" s="1193" t="s">
        <v>126</v>
      </c>
      <c r="D134" s="1193" t="s">
        <v>1226</v>
      </c>
      <c r="E134" s="1193" t="s">
        <v>1324</v>
      </c>
      <c r="F134" s="1181" t="str">
        <f>IF(Begriffe!$G$1=1,C134,IF(Begriffe!$G$1=2,D134,E134))</f>
        <v>Verkehrsfläche</v>
      </c>
    </row>
    <row r="135" spans="1:6">
      <c r="A135" s="1193"/>
      <c r="B135" s="1217">
        <v>12.2</v>
      </c>
      <c r="C135" s="1193" t="s">
        <v>350</v>
      </c>
      <c r="D135" s="1193" t="s">
        <v>1233</v>
      </c>
      <c r="E135" s="1193" t="s">
        <v>1334</v>
      </c>
      <c r="F135" s="1181" t="str">
        <f>IF(Begriffe!$G$1=1,C135,IF(Begriffe!$G$1=2,D135,E135))</f>
        <v>Verkehrsfläche 24 h</v>
      </c>
    </row>
    <row r="136" spans="1:6">
      <c r="A136" s="1193"/>
      <c r="B136" s="1217">
        <v>12.3</v>
      </c>
      <c r="C136" s="1193" t="s">
        <v>636</v>
      </c>
      <c r="D136" s="1218" t="s">
        <v>1428</v>
      </c>
      <c r="E136" s="1193" t="s">
        <v>1335</v>
      </c>
      <c r="F136" s="1181" t="str">
        <f>IF(Begriffe!$G$1=1,C136,IF(Begriffe!$G$1=2,D136,E136))</f>
        <v>Treppenhaus</v>
      </c>
    </row>
    <row r="137" spans="1:6">
      <c r="A137" s="1193"/>
      <c r="B137" s="1217">
        <v>12.4</v>
      </c>
      <c r="C137" s="1193" t="s">
        <v>643</v>
      </c>
      <c r="D137" s="1218" t="s">
        <v>1275</v>
      </c>
      <c r="E137" s="1193" t="s">
        <v>1544</v>
      </c>
      <c r="F137" s="1181" t="str">
        <f>IF(Begriffe!$G$1=1,C137,IF(Begriffe!$G$1=2,D137,E137))</f>
        <v>Nebenraum</v>
      </c>
    </row>
    <row r="138" spans="1:6">
      <c r="A138" s="1193"/>
      <c r="B138" s="1217">
        <v>12.5</v>
      </c>
      <c r="C138" s="1193" t="s">
        <v>283</v>
      </c>
      <c r="D138" s="1218" t="s">
        <v>1429</v>
      </c>
      <c r="E138" s="1193" t="s">
        <v>1430</v>
      </c>
      <c r="F138" s="1181" t="str">
        <f>IF(Begriffe!$G$1=1,C138,IF(Begriffe!$G$1=2,D138,E138))</f>
        <v>Küche, Teeküche</v>
      </c>
    </row>
    <row r="139" spans="1:6">
      <c r="A139" s="1193"/>
      <c r="B139" s="1217">
        <v>12.6</v>
      </c>
      <c r="C139" s="1193" t="s">
        <v>263</v>
      </c>
      <c r="D139" s="1193" t="s">
        <v>1227</v>
      </c>
      <c r="E139" s="1193" t="s">
        <v>1325</v>
      </c>
      <c r="F139" s="1181" t="str">
        <f>IF(Begriffe!$G$1=1,C139,IF(Begriffe!$G$1=2,D139,E139))</f>
        <v xml:space="preserve">WC, Bad, Dusche </v>
      </c>
    </row>
    <row r="140" spans="1:6">
      <c r="A140" s="1193"/>
      <c r="B140" s="1217">
        <v>12.7</v>
      </c>
      <c r="C140" s="1220" t="s">
        <v>127</v>
      </c>
      <c r="D140" s="1193" t="s">
        <v>127</v>
      </c>
      <c r="E140" s="1193" t="s">
        <v>127</v>
      </c>
      <c r="F140" s="1181" t="str">
        <f>IF(Begriffe!$G$1=1,C140,IF(Begriffe!$G$1=2,D140,E140))</f>
        <v>WC</v>
      </c>
    </row>
    <row r="141" spans="1:6">
      <c r="A141" s="1193"/>
      <c r="B141" s="1217">
        <v>12.8</v>
      </c>
      <c r="C141" s="1220" t="s">
        <v>644</v>
      </c>
      <c r="D141" s="1193" t="s">
        <v>1276</v>
      </c>
      <c r="E141" s="1193" t="s">
        <v>1326</v>
      </c>
      <c r="F141" s="1181" t="str">
        <f>IF(Begriffe!$G$1=1,C141,IF(Begriffe!$G$1=2,D141,E141))</f>
        <v>Garderobe, Dusche</v>
      </c>
    </row>
    <row r="142" spans="1:6">
      <c r="A142" s="1193"/>
      <c r="B142" s="1217">
        <v>12.9</v>
      </c>
      <c r="C142" s="1220" t="s">
        <v>128</v>
      </c>
      <c r="D142" s="1193" t="s">
        <v>1228</v>
      </c>
      <c r="E142" s="1193" t="s">
        <v>1327</v>
      </c>
      <c r="F142" s="1181" t="str">
        <f>IF(Begriffe!$G$1=1,C142,IF(Begriffe!$G$1=2,D142,E142))</f>
        <v>Parkhaus</v>
      </c>
    </row>
    <row r="143" spans="1:6">
      <c r="A143" s="1193"/>
      <c r="B143" s="1221">
        <v>12.1</v>
      </c>
      <c r="C143" s="1220" t="s">
        <v>129</v>
      </c>
      <c r="D143" s="1193" t="s">
        <v>1229</v>
      </c>
      <c r="E143" s="1193" t="s">
        <v>1328</v>
      </c>
      <c r="F143" s="1181" t="str">
        <f>IF(Begriffe!$G$1=1,C143,IF(Begriffe!$G$1=2,D143,E143))</f>
        <v>Wasch- und Trockenraum</v>
      </c>
    </row>
    <row r="144" spans="1:6">
      <c r="A144" s="1193"/>
      <c r="B144" s="1221">
        <v>12.11</v>
      </c>
      <c r="C144" s="1193" t="s">
        <v>130</v>
      </c>
      <c r="D144" s="1193" t="s">
        <v>1230</v>
      </c>
      <c r="E144" s="1193" t="s">
        <v>1329</v>
      </c>
      <c r="F144" s="1181" t="str">
        <f>IF(Begriffe!$G$1=1,C144,IF(Begriffe!$G$1=2,D144,E144))</f>
        <v>Kühlraum</v>
      </c>
    </row>
    <row r="145" spans="1:6">
      <c r="A145" s="1193"/>
      <c r="B145" s="1221">
        <v>12.12</v>
      </c>
      <c r="C145" s="1193" t="s">
        <v>660</v>
      </c>
      <c r="D145" s="1193" t="s">
        <v>1231</v>
      </c>
      <c r="E145" s="1193" t="s">
        <v>1330</v>
      </c>
      <c r="F145" s="1181" t="str">
        <f>IF(Begriffe!$G$1=1,C145,IF(Begriffe!$G$1=2,D145,E145))</f>
        <v>Serverraum</v>
      </c>
    </row>
    <row r="146" spans="1:6">
      <c r="A146" s="1193"/>
      <c r="B146" s="1194"/>
      <c r="C146" s="1193"/>
      <c r="D146" s="1193"/>
      <c r="E146" s="1193"/>
      <c r="F146" s="1181">
        <f>IF(Begriffe!$G$1=1,C146,IF(Begriffe!$G$1=2,D146,E146))</f>
        <v>0</v>
      </c>
    </row>
    <row r="147" spans="1:6">
      <c r="A147" s="1193"/>
      <c r="B147" s="1194"/>
      <c r="C147" s="1193"/>
      <c r="D147" s="1193"/>
      <c r="E147" s="1193"/>
      <c r="F147" s="1181">
        <f>IF(Begriffe!$G$1=1,C147,IF(Begriffe!$G$1=2,D147,E147))</f>
        <v>0</v>
      </c>
    </row>
    <row r="148" spans="1:6" ht="13.8">
      <c r="A148" s="1195" t="s">
        <v>1179</v>
      </c>
      <c r="B148" s="1194"/>
      <c r="C148" s="1193"/>
      <c r="D148" s="1193"/>
      <c r="E148" s="1193"/>
      <c r="F148" s="1181">
        <f>IF(Begriffe!$G$1=1,C148,IF(Begriffe!$G$1=2,D148,E148))</f>
        <v>0</v>
      </c>
    </row>
    <row r="149" spans="1:6">
      <c r="A149" s="1193"/>
      <c r="B149" s="1194"/>
      <c r="C149" s="1193"/>
      <c r="D149" s="1193"/>
      <c r="E149" s="1193"/>
      <c r="F149" s="1181">
        <f>IF(Begriffe!$G$1=1,C149,IF(Begriffe!$G$1=2,D149,E149))</f>
        <v>0</v>
      </c>
    </row>
    <row r="150" spans="1:6">
      <c r="A150" s="1222" t="s">
        <v>1157</v>
      </c>
      <c r="B150" s="1197"/>
      <c r="C150" s="1198" t="s">
        <v>929</v>
      </c>
      <c r="D150" s="1199" t="s">
        <v>930</v>
      </c>
      <c r="E150" s="1199" t="s">
        <v>931</v>
      </c>
      <c r="F150" s="1181" t="str">
        <f>IF(Begriffe!$G$1=1,C150,IF(Begriffe!$G$1=2,D150,E150))</f>
        <v>Deutsch</v>
      </c>
    </row>
    <row r="151" spans="1:6">
      <c r="A151" s="1223">
        <v>300</v>
      </c>
      <c r="B151" s="1224"/>
      <c r="C151" s="1225" t="s">
        <v>726</v>
      </c>
      <c r="D151" s="1223" t="s">
        <v>1488</v>
      </c>
      <c r="E151" s="1193" t="s">
        <v>1338</v>
      </c>
      <c r="F151" s="1181" t="str">
        <f>IF(Begriffe!$G$1=1,C151,IF(Begriffe!$G$1=2,D151,E151))</f>
        <v>Raumlänge</v>
      </c>
    </row>
    <row r="152" spans="1:6">
      <c r="A152" s="1223">
        <v>301</v>
      </c>
      <c r="B152" s="1224"/>
      <c r="C152" s="1225" t="s">
        <v>727</v>
      </c>
      <c r="D152" s="1223" t="s">
        <v>1236</v>
      </c>
      <c r="E152" s="1193" t="s">
        <v>1339</v>
      </c>
      <c r="F152" s="1181" t="str">
        <f>IF(Begriffe!$G$1=1,C152,IF(Begriffe!$G$1=2,D152,E152))</f>
        <v>Raumtiefe</v>
      </c>
    </row>
    <row r="153" spans="1:6">
      <c r="A153" s="1223">
        <v>302</v>
      </c>
      <c r="B153" s="1224"/>
      <c r="C153" s="1225" t="s">
        <v>728</v>
      </c>
      <c r="D153" s="1223" t="s">
        <v>1237</v>
      </c>
      <c r="E153" s="1193" t="s">
        <v>1340</v>
      </c>
      <c r="F153" s="1181" t="str">
        <f>IF(Begriffe!$G$1=1,C153,IF(Begriffe!$G$1=2,D153,E153))</f>
        <v>Raumhöhe</v>
      </c>
    </row>
    <row r="154" spans="1:6">
      <c r="A154" s="1223">
        <v>303</v>
      </c>
      <c r="B154" s="1224"/>
      <c r="C154" s="1225" t="s">
        <v>373</v>
      </c>
      <c r="D154" s="1223" t="s">
        <v>1238</v>
      </c>
      <c r="E154" s="1193" t="s">
        <v>1341</v>
      </c>
      <c r="F154" s="1181" t="str">
        <f>IF(Begriffe!$G$1=1,C154,IF(Begriffe!$G$1=2,D154,E154))</f>
        <v>Nettogeschossfläche</v>
      </c>
    </row>
    <row r="155" spans="1:6">
      <c r="A155" s="1223">
        <v>307</v>
      </c>
      <c r="B155" s="1224"/>
      <c r="C155" s="1225" t="s">
        <v>1431</v>
      </c>
      <c r="D155" s="1226" t="s">
        <v>1432</v>
      </c>
      <c r="E155" s="1218" t="s">
        <v>1545</v>
      </c>
      <c r="F155" s="1181" t="str">
        <f>IF(Begriffe!$G$1=1,C155,IF(Begriffe!$G$1=2,D155,E155))</f>
        <v>Fensteranteil, Bruttofassade</v>
      </c>
    </row>
    <row r="156" spans="1:6">
      <c r="A156" s="1223">
        <v>308</v>
      </c>
      <c r="B156" s="1224"/>
      <c r="C156" s="1225" t="s">
        <v>730</v>
      </c>
      <c r="D156" s="1223" t="s">
        <v>1342</v>
      </c>
      <c r="E156" s="1193" t="s">
        <v>1343</v>
      </c>
      <c r="F156" s="1181" t="str">
        <f>IF(Begriffe!$G$1=1,C156,IF(Begriffe!$G$1=2,D156,E156))</f>
        <v>U-Wert Fenster</v>
      </c>
    </row>
    <row r="157" spans="1:6">
      <c r="A157" s="1223">
        <v>309</v>
      </c>
      <c r="B157" s="1224"/>
      <c r="C157" s="1225" t="s">
        <v>731</v>
      </c>
      <c r="D157" s="1223" t="s">
        <v>1489</v>
      </c>
      <c r="E157" s="1193" t="s">
        <v>1546</v>
      </c>
      <c r="F157" s="1181" t="str">
        <f>IF(Begriffe!$G$1=1,C157,IF(Begriffe!$G$1=2,D157,E157))</f>
        <v>U-Wert opake Bauteile</v>
      </c>
    </row>
    <row r="158" spans="1:6">
      <c r="A158" s="1223">
        <v>310</v>
      </c>
      <c r="B158" s="1224"/>
      <c r="C158" s="1227" t="s">
        <v>750</v>
      </c>
      <c r="D158" s="1228" t="str">
        <f>D25&amp;" vitrage"</f>
        <v>Facteur de transmission énergétique solaire totale vitrage</v>
      </c>
      <c r="E158" s="1228" t="str">
        <f>E25 &amp; " vetro"</f>
        <v>Coefficiente di trasmissione energetica globale  vetro</v>
      </c>
      <c r="F158" s="1181" t="str">
        <f>IF(Begriffe!$G$1=1,C158,IF(Begriffe!$G$1=2,D158,E158))</f>
        <v>Gesamtenergiedurchlassgrad Verglasung</v>
      </c>
    </row>
    <row r="159" spans="1:6" ht="26.4">
      <c r="A159" s="1223">
        <v>311</v>
      </c>
      <c r="B159" s="1224"/>
      <c r="C159" s="1227" t="s">
        <v>751</v>
      </c>
      <c r="D159" s="1228" t="str">
        <f>D25&amp;" vitrage et protection solaire"</f>
        <v>Facteur de transmission énergétique solaire totale vitrage et protection solaire</v>
      </c>
      <c r="E159" s="1229" t="str">
        <f>E25 &amp; " vetro e protezione solare"</f>
        <v>Coefficiente di trasmissione energetica globale  vetro e protezione solare</v>
      </c>
      <c r="F159" s="1181" t="str">
        <f>IF(Begriffe!$G$1=1,C159,IF(Begriffe!$G$1=2,D159,E159))</f>
        <v>Gesamtenergiedurchlassgrad Verglasung und Sonnenschutz</v>
      </c>
    </row>
    <row r="160" spans="1:6">
      <c r="A160" s="1223">
        <v>317</v>
      </c>
      <c r="B160" s="1224"/>
      <c r="C160" s="1225" t="s">
        <v>257</v>
      </c>
      <c r="D160" s="1226" t="s">
        <v>1239</v>
      </c>
      <c r="E160" s="1218" t="s">
        <v>1433</v>
      </c>
      <c r="F160" s="1181" t="str">
        <f>IF(Begriffe!$G$1=1,C160,IF(Begriffe!$G$1=2,D160,E160))</f>
        <v>Nutzung mit Klimatisierung</v>
      </c>
    </row>
    <row r="161" spans="1:6" hidden="1">
      <c r="A161" s="1223">
        <v>318</v>
      </c>
      <c r="B161" s="1224" t="s">
        <v>26</v>
      </c>
      <c r="C161" s="1225" t="s">
        <v>152</v>
      </c>
      <c r="D161" s="1218"/>
      <c r="E161" s="1218"/>
      <c r="F161" s="1181" t="str">
        <f>IF(Begriffe!$G$1=1,C161,IF(Begriffe!$G$1=2,D161,E161))</f>
        <v>Klasse gemäss 384.201</v>
      </c>
    </row>
    <row r="162" spans="1:6" hidden="1">
      <c r="A162" s="1223">
        <v>332</v>
      </c>
      <c r="B162" s="1224" t="s">
        <v>26</v>
      </c>
      <c r="C162" s="1225" t="s">
        <v>637</v>
      </c>
      <c r="D162" s="1218"/>
      <c r="E162" s="1218"/>
      <c r="F162" s="1181" t="str">
        <f>IF(Begriffe!$G$1=1,C162,IF(Begriffe!$G$1=2,D162,E162))</f>
        <v>Blendziffer UGR</v>
      </c>
    </row>
    <row r="163" spans="1:6">
      <c r="A163" s="1223">
        <v>334</v>
      </c>
      <c r="B163" s="1224"/>
      <c r="C163" s="1225" t="s">
        <v>1166</v>
      </c>
      <c r="D163" s="1218" t="s">
        <v>1279</v>
      </c>
      <c r="E163" s="1204" t="s">
        <v>1434</v>
      </c>
      <c r="F163" s="1181" t="str">
        <f>IF(Begriffe!$G$1=1,C163,IF(Begriffe!$G$1=2,D163,E163))</f>
        <v>Nutzungsstunden pro Nacht</v>
      </c>
    </row>
    <row r="164" spans="1:6" hidden="1">
      <c r="A164" s="1223">
        <v>336</v>
      </c>
      <c r="B164" s="1224" t="s">
        <v>26</v>
      </c>
      <c r="C164" s="1230" t="s">
        <v>212</v>
      </c>
      <c r="D164" s="1218"/>
      <c r="E164" s="1218"/>
      <c r="F164" s="1181" t="str">
        <f>IF(Begriffe!$G$1=1,C164,IF(Begriffe!$G$1=2,D164,E164))</f>
        <v>Beleuchtungssteuerung (Stundenmodell)</v>
      </c>
    </row>
    <row r="165" spans="1:6" hidden="1">
      <c r="A165" s="1223">
        <v>339</v>
      </c>
      <c r="B165" s="1224" t="s">
        <v>26</v>
      </c>
      <c r="C165" s="1225" t="s">
        <v>1165</v>
      </c>
      <c r="D165" s="1218"/>
      <c r="E165" s="1218"/>
      <c r="F165" s="1181" t="str">
        <f>IF(Begriffe!$G$1=1,C165,IF(Begriffe!$G$1=2,D165,E165))</f>
        <v>Spez. elektrische Leistung Bel. &amp; Betriebseinr.</v>
      </c>
    </row>
    <row r="166" spans="1:6" hidden="1">
      <c r="A166" s="1223">
        <v>340</v>
      </c>
      <c r="B166" s="1224" t="s">
        <v>26</v>
      </c>
      <c r="C166" s="1225" t="s">
        <v>659</v>
      </c>
      <c r="D166" s="1218"/>
      <c r="E166" s="1218"/>
      <c r="F166" s="1181" t="str">
        <f>IF(Begriffe!$G$1=1,C166,IF(Begriffe!$G$1=2,D166,E166))</f>
        <v>Spez. Anschlusswirkleistung</v>
      </c>
    </row>
    <row r="167" spans="1:6" hidden="1">
      <c r="A167" s="1223">
        <v>341</v>
      </c>
      <c r="B167" s="1224" t="s">
        <v>26</v>
      </c>
      <c r="C167" s="1225" t="s">
        <v>658</v>
      </c>
      <c r="D167" s="1218"/>
      <c r="E167" s="1218"/>
      <c r="F167" s="1181" t="str">
        <f>IF(Begriffe!$G$1=1,C167,IF(Begriffe!$G$1=2,D167,E167))</f>
        <v>Gesamt-Gleichzeitigkeitsfaktor</v>
      </c>
    </row>
    <row r="168" spans="1:6">
      <c r="A168" s="1223">
        <v>342</v>
      </c>
      <c r="B168" s="1224"/>
      <c r="C168" s="1225" t="s">
        <v>1160</v>
      </c>
      <c r="D168" s="1207" t="s">
        <v>1435</v>
      </c>
      <c r="E168" s="1204" t="s">
        <v>1547</v>
      </c>
      <c r="F168" s="1181" t="str">
        <f>IF(Begriffe!$G$1=1,C168,IF(Begriffe!$G$1=2,D168,E168))</f>
        <v>Aussenluft-Volumenstrom pro Person</v>
      </c>
    </row>
    <row r="169" spans="1:6" hidden="1">
      <c r="A169" s="1223">
        <v>343</v>
      </c>
      <c r="B169" s="1224" t="s">
        <v>26</v>
      </c>
      <c r="C169" s="1225" t="s">
        <v>1161</v>
      </c>
      <c r="D169" s="1193"/>
      <c r="E169" s="1193"/>
      <c r="F169" s="1181" t="str">
        <f>IF(Begriffe!$G$1=1,C169,IF(Begriffe!$G$1=2,D169,E169))</f>
        <v>Aussenluft-Volumenstrom pro Person Nacht</v>
      </c>
    </row>
    <row r="170" spans="1:6" ht="26.4" hidden="1">
      <c r="A170" s="1223">
        <v>344</v>
      </c>
      <c r="B170" s="1224" t="s">
        <v>26</v>
      </c>
      <c r="C170" s="1225" t="s">
        <v>1162</v>
      </c>
      <c r="D170" s="1193"/>
      <c r="E170" s="1193"/>
      <c r="F170" s="1181" t="str">
        <f>IF(Begriffe!$G$1=1,C170,IF(Begriffe!$G$1=2,D170,E170))</f>
        <v>Aussenluft-Volumenstrom pro Personenfläche und Aktivitätsgrad</v>
      </c>
    </row>
    <row r="171" spans="1:6" hidden="1">
      <c r="A171" s="1223">
        <v>345</v>
      </c>
      <c r="B171" s="1224" t="s">
        <v>26</v>
      </c>
      <c r="C171" s="1225" t="s">
        <v>1163</v>
      </c>
      <c r="D171" s="1193"/>
      <c r="E171" s="1193"/>
      <c r="F171" s="1181" t="str">
        <f>IF(Begriffe!$G$1=1,C171,IF(Begriffe!$G$1=2,D171,E171))</f>
        <v>Aussenluft-Volumenstrom pro Nettofläche</v>
      </c>
    </row>
    <row r="172" spans="1:6" hidden="1">
      <c r="A172" s="1223">
        <v>347</v>
      </c>
      <c r="B172" s="1224" t="s">
        <v>26</v>
      </c>
      <c r="C172" s="1225" t="s">
        <v>1164</v>
      </c>
      <c r="D172" s="1193"/>
      <c r="E172" s="1193"/>
      <c r="F172" s="1181" t="str">
        <f>IF(Begriffe!$G$1=1,C172,IF(Begriffe!$G$1=2,D172,E172))</f>
        <v>Spez. Aussenluft-Volumenstrom Nacht</v>
      </c>
    </row>
    <row r="173" spans="1:6" hidden="1">
      <c r="A173" s="1223">
        <v>355</v>
      </c>
      <c r="B173" s="1224" t="s">
        <v>26</v>
      </c>
      <c r="C173" s="1225" t="s">
        <v>758</v>
      </c>
      <c r="D173" s="1193"/>
      <c r="E173" s="1193"/>
      <c r="F173" s="1181" t="str">
        <f>IF(Begriffe!$G$1=1,C173,IF(Begriffe!$G$1=2,D173,E173))</f>
        <v>Feuchtegehalt-Änderungsgrad der Lüftungsanlage</v>
      </c>
    </row>
    <row r="174" spans="1:6" hidden="1">
      <c r="A174" s="1223">
        <v>362</v>
      </c>
      <c r="B174" s="1224" t="s">
        <v>26</v>
      </c>
      <c r="C174" s="1225" t="s">
        <v>195</v>
      </c>
      <c r="D174" s="1193"/>
      <c r="E174" s="1193"/>
      <c r="F174" s="1181" t="str">
        <f>IF(Begriffe!$G$1=1,C174,IF(Begriffe!$G$1=2,D174,E174))</f>
        <v>Typ</v>
      </c>
    </row>
    <row r="175" spans="1:6" hidden="1">
      <c r="A175" s="1223">
        <v>365</v>
      </c>
      <c r="B175" s="1224" t="s">
        <v>26</v>
      </c>
      <c r="C175" s="1225" t="s">
        <v>27</v>
      </c>
      <c r="D175" s="1193"/>
      <c r="E175" s="1193"/>
      <c r="F175" s="1181" t="str">
        <f>IF(Begriffe!$G$1=1,C175,IF(Begriffe!$G$1=2,D175,E175))</f>
        <v>Nutzungsstunden</v>
      </c>
    </row>
    <row r="176" spans="1:6" hidden="1">
      <c r="A176" s="1223">
        <v>366</v>
      </c>
      <c r="B176" s="1224" t="s">
        <v>26</v>
      </c>
      <c r="C176" s="1225" t="s">
        <v>102</v>
      </c>
      <c r="D176" s="1193"/>
      <c r="E176" s="1193"/>
      <c r="F176" s="1181" t="str">
        <f>IF(Begriffe!$G$1=1,C176,IF(Begriffe!$G$1=2,D176,E176))</f>
        <v>Volllaststunden</v>
      </c>
    </row>
    <row r="177" spans="1:6" hidden="1">
      <c r="A177" s="1223">
        <v>367</v>
      </c>
      <c r="B177" s="1224" t="s">
        <v>26</v>
      </c>
      <c r="C177" s="1231" t="s">
        <v>178</v>
      </c>
      <c r="D177" s="1193"/>
      <c r="E177" s="1193"/>
      <c r="F177" s="1181" t="str">
        <f>IF(Begriffe!$G$1=1,C177,IF(Begriffe!$G$1=2,D177,E177))</f>
        <v>Volllaststunden (7-18h)</v>
      </c>
    </row>
    <row r="178" spans="1:6" hidden="1">
      <c r="A178" s="1223">
        <v>368</v>
      </c>
      <c r="B178" s="1224" t="s">
        <v>26</v>
      </c>
      <c r="C178" s="1231" t="s">
        <v>179</v>
      </c>
      <c r="D178" s="1193"/>
      <c r="E178" s="1193"/>
      <c r="F178" s="1181" t="str">
        <f>IF(Begriffe!$G$1=1,C178,IF(Begriffe!$G$1=2,D178,E178))</f>
        <v>Vollaststunden (18-7h)</v>
      </c>
    </row>
    <row r="179" spans="1:6" hidden="1">
      <c r="A179" s="1223">
        <v>369</v>
      </c>
      <c r="B179" s="1224" t="s">
        <v>26</v>
      </c>
      <c r="C179" s="1225" t="s">
        <v>103</v>
      </c>
      <c r="D179" s="1193"/>
      <c r="E179" s="1193"/>
      <c r="F179" s="1181" t="str">
        <f>IF(Begriffe!$G$1=1,C179,IF(Begriffe!$G$1=2,D179,E179))</f>
        <v>Jahresgleichzeitigkeit</v>
      </c>
    </row>
    <row r="180" spans="1:6" hidden="1">
      <c r="A180" s="1223">
        <v>370</v>
      </c>
      <c r="B180" s="1224" t="s">
        <v>26</v>
      </c>
      <c r="C180" s="1225" t="s">
        <v>745</v>
      </c>
      <c r="D180" s="1193"/>
      <c r="E180" s="1193"/>
      <c r="F180" s="1181" t="str">
        <f>IF(Begriffe!$G$1=1,C180,IF(Begriffe!$G$1=2,D180,E180))</f>
        <v>Jährliche Volllaststunden</v>
      </c>
    </row>
    <row r="181" spans="1:6" hidden="1">
      <c r="A181" s="1223">
        <v>371</v>
      </c>
      <c r="B181" s="1224" t="s">
        <v>26</v>
      </c>
      <c r="C181" s="1225" t="s">
        <v>27</v>
      </c>
      <c r="D181" s="1193"/>
      <c r="E181" s="1193"/>
      <c r="F181" s="1181" t="str">
        <f>IF(Begriffe!$G$1=1,C181,IF(Begriffe!$G$1=2,D181,E181))</f>
        <v>Nutzungsstunden</v>
      </c>
    </row>
    <row r="182" spans="1:6" hidden="1">
      <c r="A182" s="1223">
        <v>372</v>
      </c>
      <c r="B182" s="1224" t="s">
        <v>26</v>
      </c>
      <c r="C182" s="1225" t="s">
        <v>102</v>
      </c>
      <c r="D182" s="1193"/>
      <c r="E182" s="1193"/>
      <c r="F182" s="1181" t="str">
        <f>IF(Begriffe!$G$1=1,C182,IF(Begriffe!$G$1=2,D182,E182))</f>
        <v>Volllaststunden</v>
      </c>
    </row>
    <row r="183" spans="1:6" hidden="1">
      <c r="A183" s="1223">
        <v>373</v>
      </c>
      <c r="B183" s="1224" t="s">
        <v>26</v>
      </c>
      <c r="C183" s="1225" t="s">
        <v>104</v>
      </c>
      <c r="D183" s="1193"/>
      <c r="E183" s="1193"/>
      <c r="F183" s="1181" t="str">
        <f>IF(Begriffe!$G$1=1,C183,IF(Begriffe!$G$1=2,D183,E183))</f>
        <v>Volllaststunden Ruhetag</v>
      </c>
    </row>
    <row r="184" spans="1:6" hidden="1">
      <c r="A184" s="1223">
        <v>374</v>
      </c>
      <c r="B184" s="1224" t="s">
        <v>26</v>
      </c>
      <c r="C184" s="1225" t="s">
        <v>1158</v>
      </c>
      <c r="D184" s="1193"/>
      <c r="E184" s="1193"/>
      <c r="F184" s="1181" t="str">
        <f>IF(Begriffe!$G$1=1,C184,IF(Begriffe!$G$1=2,D184,E184))</f>
        <v>Jährliche Geräte-Volllaststunden</v>
      </c>
    </row>
    <row r="185" spans="1:6" hidden="1">
      <c r="A185" s="1223">
        <v>375</v>
      </c>
      <c r="B185" s="1224" t="s">
        <v>26</v>
      </c>
      <c r="C185" s="1231" t="s">
        <v>180</v>
      </c>
      <c r="D185" s="1193"/>
      <c r="E185" s="1193"/>
      <c r="F185" s="1181" t="str">
        <f>IF(Begriffe!$G$1=1,C185,IF(Begriffe!$G$1=2,D185,E185))</f>
        <v>Kommentar 1</v>
      </c>
    </row>
    <row r="186" spans="1:6" hidden="1">
      <c r="A186" s="1223">
        <v>376</v>
      </c>
      <c r="B186" s="1224" t="s">
        <v>26</v>
      </c>
      <c r="C186" s="1231" t="s">
        <v>181</v>
      </c>
      <c r="D186" s="1193"/>
      <c r="E186" s="1193"/>
      <c r="F186" s="1181" t="str">
        <f>IF(Begriffe!$G$1=1,C186,IF(Begriffe!$G$1=2,D186,E186))</f>
        <v>Kommentar 2</v>
      </c>
    </row>
    <row r="187" spans="1:6" hidden="1">
      <c r="A187" s="1223">
        <v>377</v>
      </c>
      <c r="B187" s="1224" t="s">
        <v>26</v>
      </c>
      <c r="C187" s="1231" t="s">
        <v>182</v>
      </c>
      <c r="D187" s="1193"/>
      <c r="E187" s="1193"/>
      <c r="F187" s="1181" t="str">
        <f>IF(Begriffe!$G$1=1,C187,IF(Begriffe!$G$1=2,D187,E187))</f>
        <v>Kommentar 3</v>
      </c>
    </row>
    <row r="188" spans="1:6" hidden="1">
      <c r="A188" s="1223">
        <v>378</v>
      </c>
      <c r="B188" s="1224" t="s">
        <v>26</v>
      </c>
      <c r="C188" s="1231" t="s">
        <v>183</v>
      </c>
      <c r="D188" s="1193"/>
      <c r="E188" s="1193"/>
      <c r="F188" s="1181" t="str">
        <f>IF(Begriffe!$G$1=1,C188,IF(Begriffe!$G$1=2,D188,E188))</f>
        <v>Kommentar 4</v>
      </c>
    </row>
    <row r="189" spans="1:6" hidden="1">
      <c r="A189" s="1223">
        <v>379</v>
      </c>
      <c r="B189" s="1224" t="s">
        <v>26</v>
      </c>
      <c r="C189" s="1231" t="s">
        <v>184</v>
      </c>
      <c r="D189" s="1193"/>
      <c r="E189" s="1193"/>
      <c r="F189" s="1181" t="str">
        <f>IF(Begriffe!$G$1=1,C189,IF(Begriffe!$G$1=2,D189,E189))</f>
        <v>Kommentar 5</v>
      </c>
    </row>
    <row r="190" spans="1:6" hidden="1">
      <c r="A190" s="1223">
        <v>380</v>
      </c>
      <c r="B190" s="1224" t="s">
        <v>26</v>
      </c>
      <c r="C190" s="1231" t="s">
        <v>185</v>
      </c>
      <c r="D190" s="1193"/>
      <c r="E190" s="1193"/>
      <c r="F190" s="1181" t="str">
        <f>IF(Begriffe!$G$1=1,C190,IF(Begriffe!$G$1=2,D190,E190))</f>
        <v>Kommentar 6</v>
      </c>
    </row>
    <row r="191" spans="1:6">
      <c r="A191" s="1223"/>
      <c r="B191" s="1224"/>
      <c r="C191" s="1231"/>
      <c r="D191" s="1193"/>
      <c r="E191" s="1193"/>
      <c r="F191" s="1181">
        <f>IF(Begriffe!$G$1=1,C191,IF(Begriffe!$G$1=2,D191,E191))</f>
        <v>0</v>
      </c>
    </row>
    <row r="192" spans="1:6" ht="13.8">
      <c r="A192" s="1195" t="s">
        <v>1181</v>
      </c>
      <c r="B192" s="1224"/>
      <c r="C192" s="1231"/>
      <c r="D192" s="1193"/>
      <c r="E192" s="1193"/>
      <c r="F192" s="1181">
        <f>IF(Begriffe!$G$1=1,C192,IF(Begriffe!$G$1=2,D192,E192))</f>
        <v>0</v>
      </c>
    </row>
    <row r="193" spans="1:6">
      <c r="A193" s="1223"/>
      <c r="B193" s="1224"/>
      <c r="C193" s="1223"/>
      <c r="D193" s="1223"/>
      <c r="E193" s="1193"/>
      <c r="F193" s="1181">
        <f>IF(Begriffe!$G$1=1,C193,IF(Begriffe!$G$1=2,D193,E193))</f>
        <v>0</v>
      </c>
    </row>
    <row r="194" spans="1:6">
      <c r="A194" s="1223"/>
      <c r="B194" s="1224"/>
      <c r="C194" s="1223" t="s">
        <v>199</v>
      </c>
      <c r="D194" s="1223" t="s">
        <v>1240</v>
      </c>
      <c r="E194" s="1193" t="s">
        <v>1344</v>
      </c>
      <c r="F194" s="1181" t="str">
        <f>IF(Begriffe!$G$1=1,C194,IF(Begriffe!$G$1=2,D194,E194))</f>
        <v>Bezeichnung</v>
      </c>
    </row>
    <row r="195" spans="1:6">
      <c r="A195" s="1193"/>
      <c r="B195" s="1224"/>
      <c r="C195" s="1232" t="s">
        <v>818</v>
      </c>
      <c r="D195" s="1223" t="s">
        <v>1241</v>
      </c>
      <c r="E195" s="1193" t="s">
        <v>1345</v>
      </c>
      <c r="F195" s="1181" t="str">
        <f>IF(Begriffe!$G$1=1,C195,IF(Begriffe!$G$1=2,D195,E195))</f>
        <v>Raumnutzung</v>
      </c>
    </row>
    <row r="196" spans="1:6">
      <c r="A196" s="1193"/>
      <c r="B196" s="1224"/>
      <c r="C196" s="1218" t="s">
        <v>0</v>
      </c>
      <c r="D196" s="1193" t="s">
        <v>1266</v>
      </c>
      <c r="E196" s="1193" t="s">
        <v>1346</v>
      </c>
      <c r="F196" s="1181" t="str">
        <f>IF(Begriffe!$G$1=1,C196,IF(Begriffe!$G$1=2,D196,E196))</f>
        <v>Raum</v>
      </c>
    </row>
    <row r="197" spans="1:6">
      <c r="A197" s="1193"/>
      <c r="B197" s="1224"/>
      <c r="C197" s="1233" t="s">
        <v>143</v>
      </c>
      <c r="D197" s="1223" t="s">
        <v>1242</v>
      </c>
      <c r="E197" s="1218" t="s">
        <v>1548</v>
      </c>
      <c r="F197" s="1181" t="str">
        <f>IF(Begriffe!$G$1=1,C197,IF(Begriffe!$G$1=2,D197,E197))</f>
        <v>Raumabmessungen</v>
      </c>
    </row>
    <row r="198" spans="1:6">
      <c r="A198" s="1193"/>
      <c r="B198" s="1224"/>
      <c r="C198" s="1233" t="s">
        <v>709</v>
      </c>
      <c r="D198" s="1234" t="s">
        <v>1549</v>
      </c>
      <c r="E198" s="1218" t="s">
        <v>1550</v>
      </c>
      <c r="F198" s="1181" t="str">
        <f>IF(Begriffe!$G$1=1,C198,IF(Begriffe!$G$1=2,D198,E198))</f>
        <v>Bauphysikalische Eigenschaften</v>
      </c>
    </row>
    <row r="199" spans="1:6">
      <c r="A199" s="1193"/>
      <c r="B199" s="1224"/>
      <c r="C199" s="1232" t="s">
        <v>268</v>
      </c>
      <c r="D199" s="1223" t="s">
        <v>1243</v>
      </c>
      <c r="E199" s="1218" t="s">
        <v>1551</v>
      </c>
      <c r="F199" s="1181" t="str">
        <f>IF(Begriffe!$G$1=1,C199,IF(Begriffe!$G$1=2,D199,E199))</f>
        <v>Raumklima</v>
      </c>
    </row>
    <row r="200" spans="1:6">
      <c r="A200" s="1193"/>
      <c r="B200" s="1224"/>
      <c r="C200" s="1232" t="s">
        <v>734</v>
      </c>
      <c r="D200" s="1223" t="s">
        <v>1490</v>
      </c>
      <c r="E200" s="1193" t="s">
        <v>1552</v>
      </c>
      <c r="F200" s="1181" t="str">
        <f>IF(Begriffe!$G$1=1,C200,IF(Begriffe!$G$1=2,D200,E200))</f>
        <v>Raumakustik</v>
      </c>
    </row>
    <row r="201" spans="1:6">
      <c r="A201" s="1193"/>
      <c r="B201" s="1224"/>
      <c r="C201" s="1233" t="s">
        <v>12</v>
      </c>
      <c r="D201" s="1223" t="s">
        <v>1244</v>
      </c>
      <c r="E201" s="1193" t="s">
        <v>1347</v>
      </c>
      <c r="F201" s="1181" t="str">
        <f>IF(Begriffe!$G$1=1,C201,IF(Begriffe!$G$1=2,D201,E201))</f>
        <v>Personen</v>
      </c>
    </row>
    <row r="202" spans="1:6">
      <c r="A202" s="1193"/>
      <c r="B202" s="1224"/>
      <c r="C202" s="1233" t="s">
        <v>64</v>
      </c>
      <c r="D202" s="1223" t="s">
        <v>1245</v>
      </c>
      <c r="E202" s="1193" t="s">
        <v>1348</v>
      </c>
      <c r="F202" s="1181" t="str">
        <f>IF(Begriffe!$G$1=1,C202,IF(Begriffe!$G$1=2,D202,E202))</f>
        <v>Geräte</v>
      </c>
    </row>
    <row r="203" spans="1:6">
      <c r="A203" s="1193"/>
      <c r="B203" s="1224"/>
      <c r="C203" s="1233" t="s">
        <v>19</v>
      </c>
      <c r="D203" s="1223" t="s">
        <v>1246</v>
      </c>
      <c r="E203" s="1193" t="s">
        <v>1349</v>
      </c>
      <c r="F203" s="1181" t="str">
        <f>IF(Begriffe!$G$1=1,C203,IF(Begriffe!$G$1=2,D203,E203))</f>
        <v>Beleuchtung</v>
      </c>
    </row>
    <row r="204" spans="1:6">
      <c r="A204" s="1193"/>
      <c r="B204" s="1224"/>
      <c r="C204" s="1233" t="s">
        <v>712</v>
      </c>
      <c r="D204" s="1226" t="s">
        <v>1553</v>
      </c>
      <c r="E204" s="1193" t="s">
        <v>1554</v>
      </c>
      <c r="F204" s="1181" t="str">
        <f>IF(Begriffe!$G$1=1,C204,IF(Begriffe!$G$1=2,D204,E204))</f>
        <v>Anschlussleistung</v>
      </c>
    </row>
    <row r="205" spans="1:6">
      <c r="A205" s="1193"/>
      <c r="B205" s="1224"/>
      <c r="C205" s="1233" t="s">
        <v>23</v>
      </c>
      <c r="D205" s="1223" t="s">
        <v>1247</v>
      </c>
      <c r="E205" s="1193" t="s">
        <v>1350</v>
      </c>
      <c r="F205" s="1181" t="str">
        <f>IF(Begriffe!$G$1=1,C205,IF(Begriffe!$G$1=2,D205,E205))</f>
        <v>Lüftung</v>
      </c>
    </row>
    <row r="206" spans="1:6">
      <c r="A206" s="1193"/>
      <c r="B206" s="1224"/>
      <c r="C206" s="1233" t="s">
        <v>369</v>
      </c>
      <c r="D206" s="1223" t="s">
        <v>1248</v>
      </c>
      <c r="E206" s="1193" t="s">
        <v>1351</v>
      </c>
      <c r="F206" s="1181" t="str">
        <f>IF(Begriffe!$G$1=1,C206,IF(Begriffe!$G$1=2,D206,E206))</f>
        <v>Raumkühlung</v>
      </c>
    </row>
    <row r="207" spans="1:6">
      <c r="A207" s="1193"/>
      <c r="B207" s="1224"/>
      <c r="C207" s="1233" t="s">
        <v>24</v>
      </c>
      <c r="D207" s="1223" t="s">
        <v>1555</v>
      </c>
      <c r="E207" s="1193" t="s">
        <v>1556</v>
      </c>
      <c r="F207" s="1181" t="str">
        <f>IF(Begriffe!$G$1=1,C207,IF(Begriffe!$G$1=2,D207,E207))</f>
        <v>Befeuchtung</v>
      </c>
    </row>
    <row r="208" spans="1:6">
      <c r="A208" s="1193"/>
      <c r="B208" s="1224"/>
      <c r="C208" s="1233" t="s">
        <v>370</v>
      </c>
      <c r="D208" s="1223" t="s">
        <v>1249</v>
      </c>
      <c r="E208" s="1193" t="s">
        <v>1352</v>
      </c>
      <c r="F208" s="1181" t="str">
        <f>IF(Begriffe!$G$1=1,C208,IF(Begriffe!$G$1=2,D208,E208))</f>
        <v>Raumheizung</v>
      </c>
    </row>
    <row r="209" spans="1:6">
      <c r="A209" s="1193"/>
      <c r="B209" s="1194"/>
      <c r="C209" s="1218" t="s">
        <v>772</v>
      </c>
      <c r="D209" s="1193" t="s">
        <v>1267</v>
      </c>
      <c r="E209" s="1193" t="s">
        <v>1353</v>
      </c>
      <c r="F209" s="1181" t="str">
        <f>IF(Begriffe!$G$1=1,C209,IF(Begriffe!$G$1=2,D209,E209))</f>
        <v>Wasser</v>
      </c>
    </row>
    <row r="210" spans="1:6">
      <c r="A210" s="1193"/>
      <c r="B210" s="1224"/>
      <c r="C210" s="1233" t="s">
        <v>372</v>
      </c>
      <c r="D210" s="1223" t="s">
        <v>1250</v>
      </c>
      <c r="E210" s="1193" t="s">
        <v>1436</v>
      </c>
      <c r="F210" s="1181" t="str">
        <f>IF(Begriffe!$G$1=1,C210,IF(Begriffe!$G$1=2,D210,E210))</f>
        <v>Warmwasser</v>
      </c>
    </row>
    <row r="211" spans="1:6">
      <c r="A211" s="1193"/>
      <c r="B211" s="1224"/>
      <c r="C211" s="1233" t="s">
        <v>896</v>
      </c>
      <c r="D211" s="1223" t="s">
        <v>1557</v>
      </c>
      <c r="E211" s="1193" t="s">
        <v>1437</v>
      </c>
      <c r="F211" s="1181" t="str">
        <f>IF(Begriffe!$G$1=1,C211,IF(Begriffe!$G$1=2,D211,E211))</f>
        <v>Wasser und Warmwasser</v>
      </c>
    </row>
    <row r="212" spans="1:6">
      <c r="A212" s="1193"/>
      <c r="B212" s="1224"/>
      <c r="C212" s="1233" t="s">
        <v>148</v>
      </c>
      <c r="D212" s="1207" t="s">
        <v>1558</v>
      </c>
      <c r="E212" s="1207" t="s">
        <v>1559</v>
      </c>
      <c r="F212" s="1181" t="str">
        <f>IF(Begriffe!$G$1=1,C212,IF(Begriffe!$G$1=2,D212,E212))</f>
        <v>Tagesprofil-Typ</v>
      </c>
    </row>
    <row r="213" spans="1:6">
      <c r="A213" s="1193"/>
      <c r="B213" s="1224"/>
      <c r="C213" s="1233" t="s">
        <v>374</v>
      </c>
      <c r="D213" s="1207" t="s">
        <v>1438</v>
      </c>
      <c r="E213" s="1204" t="s">
        <v>1439</v>
      </c>
      <c r="F213" s="1181" t="str">
        <f>IF(Begriffe!$G$1=1,C213,IF(Begriffe!$G$1=2,D213,E213))</f>
        <v>Personenprofil (Nutzungstag)</v>
      </c>
    </row>
    <row r="214" spans="1:6">
      <c r="A214" s="1193"/>
      <c r="B214" s="1224"/>
      <c r="C214" s="1235" t="s">
        <v>819</v>
      </c>
      <c r="D214" s="1207" t="s">
        <v>1440</v>
      </c>
      <c r="E214" s="1236" t="s">
        <v>1441</v>
      </c>
      <c r="F214" s="1181" t="str">
        <f>IF(Begriffe!$G$1=1,C214,IF(Begriffe!$G$1=2,D214,E214))</f>
        <v>Geräteprofil (Nutzungstag)</v>
      </c>
    </row>
    <row r="215" spans="1:6">
      <c r="A215" s="1193"/>
      <c r="B215" s="1224"/>
      <c r="C215" s="1233" t="s">
        <v>100</v>
      </c>
      <c r="D215" s="1226" t="s">
        <v>1442</v>
      </c>
      <c r="E215" s="1218" t="s">
        <v>1443</v>
      </c>
      <c r="F215" s="1181" t="str">
        <f>IF(Begriffe!$G$1=1,C215,IF(Begriffe!$G$1=2,D215,E215))</f>
        <v>Nutzungstage</v>
      </c>
    </row>
    <row r="216" spans="1:6">
      <c r="A216" s="1193"/>
      <c r="B216" s="1224"/>
      <c r="C216" s="1233" t="s">
        <v>149</v>
      </c>
      <c r="D216" s="1223" t="s">
        <v>1444</v>
      </c>
      <c r="E216" s="1223" t="s">
        <v>1445</v>
      </c>
      <c r="F216" s="1181" t="str">
        <f>IF(Begriffe!$G$1=1,C216,IF(Begriffe!$G$1=2,D216,E216))</f>
        <v>Personen-Stunden</v>
      </c>
    </row>
    <row r="217" spans="1:6">
      <c r="A217" s="1193"/>
      <c r="B217" s="1224"/>
      <c r="C217" s="1233" t="s">
        <v>150</v>
      </c>
      <c r="D217" s="1193" t="s">
        <v>1446</v>
      </c>
      <c r="E217" s="1193" t="s">
        <v>1447</v>
      </c>
      <c r="F217" s="1181" t="str">
        <f>IF(Begriffe!$G$1=1,C217,IF(Begriffe!$G$1=2,D217,E217))</f>
        <v>Geräte-Stunden</v>
      </c>
    </row>
    <row r="218" spans="1:6">
      <c r="A218" s="1193"/>
      <c r="B218" s="1224"/>
      <c r="C218" s="1233" t="s">
        <v>187</v>
      </c>
      <c r="D218" s="1223" t="s">
        <v>1280</v>
      </c>
      <c r="E218" s="1193" t="s">
        <v>1560</v>
      </c>
      <c r="F218" s="1181" t="str">
        <f>IF(Begriffe!$G$1=1,C218,IF(Begriffe!$G$1=2,D218,E218))</f>
        <v>Kommentare</v>
      </c>
    </row>
    <row r="219" spans="1:6">
      <c r="A219" s="1193"/>
      <c r="B219" s="1224"/>
      <c r="C219" s="1233" t="s">
        <v>893</v>
      </c>
      <c r="D219" s="1223" t="s">
        <v>1669</v>
      </c>
      <c r="E219" s="1193" t="s">
        <v>1670</v>
      </c>
      <c r="F219" s="1181" t="str">
        <f>IF(Begriffe!$G$1=1,C219,IF(Begriffe!$G$1=2,D219,E219))</f>
        <v>Auslegungskriterien</v>
      </c>
    </row>
    <row r="220" spans="1:6">
      <c r="A220" s="1193"/>
      <c r="B220" s="1224"/>
      <c r="C220" s="1225" t="s">
        <v>30</v>
      </c>
      <c r="D220" s="1223" t="s">
        <v>30</v>
      </c>
      <c r="E220" s="1223" t="s">
        <v>30</v>
      </c>
      <c r="F220" s="1181" t="str">
        <f>IF(Begriffe!$G$1=1,C220,IF(Begriffe!$G$1=2,D220,E220))</f>
        <v>Standard</v>
      </c>
    </row>
    <row r="221" spans="1:6">
      <c r="A221" s="1193"/>
      <c r="B221" s="1224"/>
      <c r="C221" s="1225" t="s">
        <v>63</v>
      </c>
      <c r="D221" s="1193" t="s">
        <v>1168</v>
      </c>
      <c r="E221" s="1193" t="s">
        <v>1173</v>
      </c>
      <c r="F221" s="1181" t="str">
        <f>IF(Begriffe!$G$1=1,C221,IF(Begriffe!$G$1=2,D221,E221))</f>
        <v>Zielwert</v>
      </c>
    </row>
    <row r="222" spans="1:6">
      <c r="A222" s="1193"/>
      <c r="B222" s="1224"/>
      <c r="C222" s="1225" t="s">
        <v>356</v>
      </c>
      <c r="D222" s="1193" t="s">
        <v>1169</v>
      </c>
      <c r="E222" s="1193" t="s">
        <v>1561</v>
      </c>
      <c r="F222" s="1181" t="str">
        <f>IF(Begriffe!$G$1=1,C222,IF(Begriffe!$G$1=2,D222,E222))</f>
        <v>Bestand</v>
      </c>
    </row>
    <row r="223" spans="1:6">
      <c r="A223" s="1193"/>
      <c r="B223" s="1224"/>
      <c r="C223" s="1223" t="s">
        <v>639</v>
      </c>
      <c r="D223" s="1193" t="s">
        <v>1170</v>
      </c>
      <c r="E223" s="1193" t="s">
        <v>1174</v>
      </c>
      <c r="F223" s="1181" t="str">
        <f>IF(Begriffe!$G$1=1,C223,IF(Begriffe!$G$1=2,D223,E223))</f>
        <v>Standard, Zielwert</v>
      </c>
    </row>
    <row r="224" spans="1:6">
      <c r="A224" s="1193"/>
      <c r="B224" s="1194"/>
      <c r="C224" s="1223" t="s">
        <v>895</v>
      </c>
      <c r="D224" s="1193" t="s">
        <v>1171</v>
      </c>
      <c r="E224" s="1193" t="s">
        <v>1562</v>
      </c>
      <c r="F224" s="1181" t="str">
        <f>IF(Begriffe!$G$1=1,C224,IF(Begriffe!$G$1=2,D224,E224))</f>
        <v>Standard, Bestand</v>
      </c>
    </row>
    <row r="225" spans="1:6">
      <c r="A225" s="1193"/>
      <c r="B225" s="1194"/>
      <c r="C225" s="1223" t="s">
        <v>2</v>
      </c>
      <c r="D225" s="1193" t="s">
        <v>1563</v>
      </c>
      <c r="E225" s="1193" t="s">
        <v>1175</v>
      </c>
      <c r="F225" s="1181" t="str">
        <f>IF(Begriffe!$G$1=1,C225,IF(Begriffe!$G$1=2,D225,E225))</f>
        <v>Sommer</v>
      </c>
    </row>
    <row r="226" spans="1:6">
      <c r="A226" s="1193"/>
      <c r="B226" s="1194"/>
      <c r="C226" s="1193" t="s">
        <v>4</v>
      </c>
      <c r="D226" s="1193" t="s">
        <v>1172</v>
      </c>
      <c r="E226" s="1193" t="s">
        <v>1176</v>
      </c>
      <c r="F226" s="1181" t="str">
        <f>IF(Begriffe!$G$1=1,C226,IF(Begriffe!$G$1=2,D226,E226))</f>
        <v>Winter</v>
      </c>
    </row>
    <row r="227" spans="1:6">
      <c r="A227" s="1193"/>
      <c r="B227" s="1194"/>
      <c r="C227" s="1193"/>
      <c r="D227" s="1193"/>
      <c r="E227" s="1193"/>
      <c r="F227" s="1181">
        <f>IF(Begriffe!$G$1=1,C227,IF(Begriffe!$G$1=2,D227,E227))</f>
        <v>0</v>
      </c>
    </row>
    <row r="228" spans="1:6">
      <c r="A228" s="1193"/>
      <c r="B228" s="1194"/>
      <c r="C228" s="1193" t="s">
        <v>8</v>
      </c>
      <c r="D228" s="1193" t="s">
        <v>1251</v>
      </c>
      <c r="E228" s="1193" t="s">
        <v>1354</v>
      </c>
      <c r="F228" s="1181" t="str">
        <f>IF(Begriffe!$G$1=1,C228,IF(Begriffe!$G$1=2,D228,E228))</f>
        <v>mittel</v>
      </c>
    </row>
    <row r="229" spans="1:6">
      <c r="A229" s="1193"/>
      <c r="B229" s="1194"/>
      <c r="C229" s="1193" t="s">
        <v>79</v>
      </c>
      <c r="D229" s="1193" t="s">
        <v>1252</v>
      </c>
      <c r="E229" s="1193" t="s">
        <v>1564</v>
      </c>
      <c r="F229" s="1181" t="str">
        <f>IF(Begriffe!$G$1=1,C229,IF(Begriffe!$G$1=2,D229,E229))</f>
        <v>gering</v>
      </c>
    </row>
    <row r="230" spans="1:6">
      <c r="A230" s="1193"/>
      <c r="B230" s="1194"/>
      <c r="C230" s="1193" t="s">
        <v>254</v>
      </c>
      <c r="D230" s="1193" t="s">
        <v>1253</v>
      </c>
      <c r="E230" s="1193" t="s">
        <v>1355</v>
      </c>
      <c r="F230" s="1181" t="str">
        <f>IF(Begriffe!$G$1=1,C230,IF(Begriffe!$G$1=2,D230,E230))</f>
        <v>1-stufig</v>
      </c>
    </row>
    <row r="231" spans="1:6">
      <c r="A231" s="1193"/>
      <c r="B231" s="1194"/>
      <c r="C231" s="1193" t="s">
        <v>186</v>
      </c>
      <c r="D231" s="1193" t="s">
        <v>1565</v>
      </c>
      <c r="E231" s="1193" t="s">
        <v>1356</v>
      </c>
      <c r="F231" s="1181" t="str">
        <f>IF(Begriffe!$G$1=1,C231,IF(Begriffe!$G$1=2,D231,E231))</f>
        <v>2-stufig</v>
      </c>
    </row>
    <row r="232" spans="1:6">
      <c r="A232" s="1193"/>
      <c r="B232" s="1194"/>
      <c r="C232" s="1193" t="s">
        <v>253</v>
      </c>
      <c r="D232" s="1193" t="s">
        <v>1566</v>
      </c>
      <c r="E232" s="1193" t="s">
        <v>1567</v>
      </c>
      <c r="F232" s="1181" t="str">
        <f>IF(Begriffe!$G$1=1,C232,IF(Begriffe!$G$1=2,D232,E232))</f>
        <v>stufenlos</v>
      </c>
    </row>
    <row r="233" spans="1:6">
      <c r="A233" s="1193"/>
      <c r="B233" s="1194"/>
      <c r="C233" s="1193" t="s">
        <v>364</v>
      </c>
      <c r="D233" s="1193" t="s">
        <v>1254</v>
      </c>
      <c r="E233" s="1193" t="s">
        <v>1358</v>
      </c>
      <c r="F233" s="1181" t="str">
        <f>IF(Begriffe!$G$1=1,C233,IF(Begriffe!$G$1=2,D233,E233))</f>
        <v>Einfache Lüftungsanlage</v>
      </c>
    </row>
    <row r="234" spans="1:6">
      <c r="A234" s="1193"/>
      <c r="B234" s="1194"/>
      <c r="C234" s="1193" t="s">
        <v>365</v>
      </c>
      <c r="D234" s="1193" t="s">
        <v>1248</v>
      </c>
      <c r="E234" s="1193" t="s">
        <v>1568</v>
      </c>
      <c r="F234" s="1181" t="str">
        <f>IF(Begriffe!$G$1=1,C234,IF(Begriffe!$G$1=2,D234,E234))</f>
        <v>Einfache Klimaanlage</v>
      </c>
    </row>
    <row r="235" spans="1:6">
      <c r="A235" s="1193"/>
      <c r="B235" s="1194"/>
      <c r="C235" s="1193" t="s">
        <v>366</v>
      </c>
      <c r="D235" s="1193" t="s">
        <v>1255</v>
      </c>
      <c r="E235" s="1193" t="s">
        <v>1359</v>
      </c>
      <c r="F235" s="1181" t="str">
        <f>IF(Begriffe!$G$1=1,C235,IF(Begriffe!$G$1=2,D235,E235))</f>
        <v>LA mit Lufterwärmung</v>
      </c>
    </row>
    <row r="236" spans="1:6">
      <c r="A236" s="1193"/>
      <c r="B236" s="1194"/>
      <c r="C236" s="1193" t="s">
        <v>367</v>
      </c>
      <c r="D236" s="1193" t="s">
        <v>1256</v>
      </c>
      <c r="E236" s="1193" t="s">
        <v>1360</v>
      </c>
      <c r="F236" s="1181" t="str">
        <f>IF(Begriffe!$G$1=1,C236,IF(Begriffe!$G$1=2,D236,E236))</f>
        <v>Klimaanlage mit Luftbe- und -entfeuchtung</v>
      </c>
    </row>
    <row r="237" spans="1:6">
      <c r="A237" s="1193"/>
      <c r="B237" s="1224"/>
      <c r="C237" s="1223" t="s">
        <v>368</v>
      </c>
      <c r="D237" s="1223" t="s">
        <v>1257</v>
      </c>
      <c r="E237" s="1193" t="s">
        <v>1357</v>
      </c>
      <c r="F237" s="1181" t="str">
        <f>IF(Begriffe!$G$1=1,C237,IF(Begriffe!$G$1=2,D237,E237))</f>
        <v>Einfache Abluftanlage</v>
      </c>
    </row>
    <row r="238" spans="1:6">
      <c r="A238" s="1193"/>
      <c r="B238" s="1224"/>
      <c r="C238" s="1223" t="s">
        <v>264</v>
      </c>
      <c r="D238" s="1223" t="s">
        <v>1258</v>
      </c>
      <c r="E238" s="1193" t="s">
        <v>1361</v>
      </c>
      <c r="F238" s="1181" t="str">
        <f>IF(Begriffe!$G$1=1,C238,IF(Begriffe!$G$1=2,D238,E238))</f>
        <v>keine Lüftungsanlage</v>
      </c>
    </row>
    <row r="239" spans="1:6">
      <c r="A239" s="1193"/>
      <c r="B239" s="1224"/>
      <c r="C239" s="1223" t="s">
        <v>860</v>
      </c>
      <c r="D239" s="1223" t="s">
        <v>1261</v>
      </c>
      <c r="E239" s="1193" t="s">
        <v>1362</v>
      </c>
      <c r="F239" s="1181" t="str">
        <f>IF(Begriffe!$G$1=1,C239,IF(Begriffe!$G$1=2,D239,E239))</f>
        <v>nicht notwend.</v>
      </c>
    </row>
    <row r="240" spans="1:6">
      <c r="A240" s="1193"/>
      <c r="B240" s="1224"/>
      <c r="C240" s="1223" t="s">
        <v>784</v>
      </c>
      <c r="D240" s="1223" t="s">
        <v>1260</v>
      </c>
      <c r="E240" s="1193" t="s">
        <v>1363</v>
      </c>
      <c r="F240" s="1181" t="str">
        <f>IF(Begriffe!$G$1=1,C240,IF(Begriffe!$G$1=2,D240,E240))</f>
        <v>erwünscht</v>
      </c>
    </row>
    <row r="241" spans="1:6">
      <c r="A241" s="1193"/>
      <c r="B241" s="1224"/>
      <c r="C241" s="1223" t="s">
        <v>785</v>
      </c>
      <c r="D241" s="1223" t="s">
        <v>1259</v>
      </c>
      <c r="E241" s="1193" t="s">
        <v>1364</v>
      </c>
      <c r="F241" s="1181" t="str">
        <f>IF(Begriffe!$G$1=1,C241,IF(Begriffe!$G$1=2,D241,E241))</f>
        <v>notwendig</v>
      </c>
    </row>
    <row r="242" spans="1:6">
      <c r="A242" s="1193"/>
      <c r="B242" s="1224"/>
      <c r="C242" s="1223" t="s">
        <v>847</v>
      </c>
      <c r="D242" s="1223" t="s">
        <v>1569</v>
      </c>
      <c r="E242" s="1193" t="s">
        <v>1570</v>
      </c>
      <c r="F242" s="1181" t="str">
        <f>IF(Begriffe!$G$1=1,C242,IF(Begriffe!$G$1=2,D242,E242))</f>
        <v>Person</v>
      </c>
    </row>
    <row r="243" spans="1:6">
      <c r="A243" s="1193"/>
      <c r="B243" s="1224"/>
      <c r="C243" s="1223" t="s">
        <v>848</v>
      </c>
      <c r="D243" s="1223" t="s">
        <v>1262</v>
      </c>
      <c r="E243" s="1193" t="s">
        <v>1571</v>
      </c>
      <c r="F243" s="1181" t="str">
        <f>IF(Begriffe!$G$1=1,C243,IF(Begriffe!$G$1=2,D243,E243))</f>
        <v>Bett</v>
      </c>
    </row>
    <row r="244" spans="1:6">
      <c r="A244" s="1193"/>
      <c r="B244" s="1224"/>
      <c r="C244" s="1223" t="s">
        <v>849</v>
      </c>
      <c r="D244" s="1226" t="s">
        <v>1448</v>
      </c>
      <c r="E244" s="1193" t="s">
        <v>1572</v>
      </c>
      <c r="F244" s="1181" t="str">
        <f>IF(Begriffe!$G$1=1,C244,IF(Begriffe!$G$1=2,D244,E244))</f>
        <v>Sitzplatz</v>
      </c>
    </row>
    <row r="245" spans="1:6">
      <c r="A245" s="1193"/>
      <c r="B245" s="1224"/>
      <c r="C245" s="1223" t="s">
        <v>891</v>
      </c>
      <c r="D245" s="1223" t="s">
        <v>1263</v>
      </c>
      <c r="E245" s="1193" t="s">
        <v>1573</v>
      </c>
      <c r="F245" s="1181" t="str">
        <f>IF(Begriffe!$G$1=1,C245,IF(Begriffe!$G$1=2,D245,E245))</f>
        <v>Dusche</v>
      </c>
    </row>
    <row r="246" spans="1:6">
      <c r="A246" s="1193"/>
      <c r="B246" s="1224"/>
      <c r="C246" s="1223"/>
      <c r="D246" s="1223"/>
      <c r="E246" s="1193"/>
      <c r="F246" s="1181">
        <f>IF(Begriffe!$G$1=1,C246,IF(Begriffe!$G$1=2,D246,E246))</f>
        <v>0</v>
      </c>
    </row>
    <row r="247" spans="1:6">
      <c r="A247" s="1193"/>
      <c r="B247" s="1224"/>
      <c r="C247" s="1237" t="s">
        <v>244</v>
      </c>
      <c r="D247" s="1238" t="s">
        <v>1574</v>
      </c>
      <c r="E247" s="1239" t="s">
        <v>1575</v>
      </c>
      <c r="F247" s="1181" t="str">
        <f>IF(Begriffe!$G$1=1,C247,IF(Begriffe!$G$1=2,D247,E247))</f>
        <v>- Im Schlafzimmer erhöhter Schallschutz</v>
      </c>
    </row>
    <row r="248" spans="1:6">
      <c r="A248" s="1193"/>
      <c r="B248" s="1224"/>
      <c r="C248" s="1237" t="s">
        <v>243</v>
      </c>
      <c r="D248" s="1239" t="s">
        <v>1576</v>
      </c>
      <c r="E248" s="1239" t="s">
        <v>1577</v>
      </c>
      <c r="F248" s="1181" t="str">
        <f>IF(Begriffe!$G$1=1,C248,IF(Begriffe!$G$1=2,D248,E248))</f>
        <v>- Im Direktionsbüro erhöhter Schallschutz</v>
      </c>
    </row>
    <row r="249" spans="1:6">
      <c r="A249" s="1193"/>
      <c r="B249" s="1224"/>
      <c r="C249" s="1240" t="s">
        <v>241</v>
      </c>
      <c r="D249" s="1240" t="s">
        <v>1578</v>
      </c>
      <c r="E249" s="1240" t="s">
        <v>1579</v>
      </c>
      <c r="F249" s="1181" t="str">
        <f>IF(Begriffe!$G$1=1,C249,IF(Begriffe!$G$1=2,D249,E249))</f>
        <v>- Im Kindergarten Beleuchtungsstärke 300 lx</v>
      </c>
    </row>
    <row r="250" spans="1:6">
      <c r="A250" s="1193"/>
      <c r="B250" s="1224"/>
      <c r="C250" s="1237" t="s">
        <v>245</v>
      </c>
      <c r="D250" s="1226" t="s">
        <v>1580</v>
      </c>
      <c r="E250" s="1223" t="s">
        <v>1581</v>
      </c>
      <c r="F250" s="1181" t="str">
        <f>IF(Begriffe!$G$1=1,C250,IF(Begriffe!$G$1=2,D250,E250))</f>
        <v>- Im Lesebereich Beleuchtungsstärke 500 lx</v>
      </c>
    </row>
    <row r="251" spans="1:6">
      <c r="A251" s="1193"/>
      <c r="B251" s="1224"/>
      <c r="C251" s="1240" t="s">
        <v>242</v>
      </c>
      <c r="D251" s="1226" t="s">
        <v>1582</v>
      </c>
      <c r="E251" s="1223" t="s">
        <v>1583</v>
      </c>
      <c r="F251" s="1181" t="str">
        <f>IF(Begriffe!$G$1=1,C251,IF(Begriffe!$G$1=2,D251,E251))</f>
        <v>- Im Musikzimmer erhöhter Schallschutz</v>
      </c>
    </row>
    <row r="252" spans="1:6">
      <c r="A252" s="1193"/>
      <c r="B252" s="1224"/>
      <c r="C252" s="1237" t="s">
        <v>1199</v>
      </c>
      <c r="D252" s="1226" t="s">
        <v>1584</v>
      </c>
      <c r="E252" s="1223" t="s">
        <v>1585</v>
      </c>
      <c r="F252" s="1181" t="str">
        <f>IF(Begriffe!$G$1=1,C252,IF(Begriffe!$G$1=2,D252,E252))</f>
        <v>- Gewerbliche Kälte ist unter Geräte verbucht</v>
      </c>
    </row>
    <row r="253" spans="1:6">
      <c r="A253" s="1193"/>
      <c r="B253" s="1224"/>
      <c r="C253" s="1237" t="s">
        <v>246</v>
      </c>
      <c r="D253" s="1226" t="s">
        <v>1586</v>
      </c>
      <c r="E253" s="1223" t="s">
        <v>1587</v>
      </c>
      <c r="F253" s="1181" t="str">
        <f>IF(Begriffe!$G$1=1,C253,IF(Begriffe!$G$1=2,D253,E253))</f>
        <v>- Bühnenbereich des Theaters mit speziellen Anforderungen</v>
      </c>
    </row>
    <row r="254" spans="1:6">
      <c r="A254" s="1193"/>
      <c r="B254" s="1224"/>
      <c r="C254" s="1237" t="s">
        <v>247</v>
      </c>
      <c r="D254" s="1226" t="s">
        <v>1588</v>
      </c>
      <c r="E254" s="1223" t="s">
        <v>1589</v>
      </c>
      <c r="F254" s="1181" t="str">
        <f>IF(Begriffe!$G$1=1,C254,IF(Begriffe!$G$1=2,D254,E254))</f>
        <v>- Für einfache Untersuchungen Beleuchtungsstärke 300 lx</v>
      </c>
    </row>
    <row r="255" spans="1:6">
      <c r="A255" s="1193"/>
      <c r="B255" s="1224"/>
      <c r="C255" s="1237" t="s">
        <v>248</v>
      </c>
      <c r="D255" s="1226" t="s">
        <v>1590</v>
      </c>
      <c r="E255" s="1223" t="s">
        <v>1591</v>
      </c>
      <c r="F255" s="1181" t="str">
        <f>IF(Begriffe!$G$1=1,C255,IF(Begriffe!$G$1=2,D255,E255))</f>
        <v>- Verpackungsbereich mit speziellen Anforderungen</v>
      </c>
    </row>
    <row r="256" spans="1:6" ht="26.4">
      <c r="A256" s="1193"/>
      <c r="B256" s="1224"/>
      <c r="C256" s="1237" t="s">
        <v>249</v>
      </c>
      <c r="D256" s="1239" t="s">
        <v>1592</v>
      </c>
      <c r="E256" s="1239" t="s">
        <v>1593</v>
      </c>
      <c r="F256" s="1181" t="str">
        <f>IF(Begriffe!$G$1=1,C256,IF(Begriffe!$G$1=2,D256,E256))</f>
        <v>- Für Wettkampfsport Beleuchtungsstärke 500 lx und erhöhter Luftwechsel</v>
      </c>
    </row>
    <row r="257" spans="1:6" ht="26.4">
      <c r="A257" s="1193"/>
      <c r="B257" s="1224"/>
      <c r="C257" s="1237" t="s">
        <v>869</v>
      </c>
      <c r="D257" s="1226" t="s">
        <v>1594</v>
      </c>
      <c r="E257" s="1239" t="s">
        <v>1595</v>
      </c>
      <c r="F257" s="1181" t="str">
        <f>IF(Begriffe!$G$1=1,C257,IF(Begriffe!$G$1=2,D257,E257))</f>
        <v>- Die Raumlufttemperatur Winter (Auslegung Heizung) richtet sich nach der zugehörigen Hauptnutzung</v>
      </c>
    </row>
    <row r="258" spans="1:6">
      <c r="A258" s="1193"/>
      <c r="B258" s="1224"/>
      <c r="C258" s="1237" t="s">
        <v>250</v>
      </c>
      <c r="D258" s="1226" t="s">
        <v>1596</v>
      </c>
      <c r="E258" s="1223" t="s">
        <v>1597</v>
      </c>
      <c r="F258" s="1181" t="str">
        <f>IF(Begriffe!$G$1=1,C258,IF(Begriffe!$G$1=2,D258,E258))</f>
        <v>- Je nach Hauptnutzung unterschiedliche Luftwechsel</v>
      </c>
    </row>
    <row r="259" spans="1:6">
      <c r="A259" s="1193"/>
      <c r="B259" s="1224"/>
      <c r="C259" s="1237" t="s">
        <v>269</v>
      </c>
      <c r="D259" s="1226" t="s">
        <v>1598</v>
      </c>
      <c r="E259" s="1218" t="s">
        <v>1599</v>
      </c>
      <c r="F259" s="1181" t="str">
        <f>IF(Begriffe!$G$1=1,C259,IF(Begriffe!$G$1=2,D259,E259))</f>
        <v>- Tiefkühlraum -18°C</v>
      </c>
    </row>
    <row r="260" spans="1:6" ht="39.6">
      <c r="A260" s="1193"/>
      <c r="B260" s="1224"/>
      <c r="C260" s="1241" t="s">
        <v>716</v>
      </c>
      <c r="D260" s="1226" t="s">
        <v>1600</v>
      </c>
      <c r="E260" s="1239" t="s">
        <v>1601</v>
      </c>
      <c r="F260" s="1181" t="str">
        <f>IF(Begriffe!$G$1=1,C260,IF(Begriffe!$G$1=2,D260,E260))</f>
        <v>- Berechnung Klimakältebedarf: negative Wärmeeinträge durch Kühlmöbel (Standard: -10, Zielwert: -8, Bestand: -12 W/m2)</v>
      </c>
    </row>
    <row r="261" spans="1:6" ht="26.4">
      <c r="A261" s="1193"/>
      <c r="B261" s="1224"/>
      <c r="C261" s="1241" t="s">
        <v>856</v>
      </c>
      <c r="D261" s="1239" t="s">
        <v>1602</v>
      </c>
      <c r="E261" s="1239" t="s">
        <v>1603</v>
      </c>
      <c r="F261" s="1181" t="str">
        <f>IF(Begriffe!$G$1=1,C261,IF(Begriffe!$G$1=2,D261,E261))</f>
        <v>- Beurteilungspegel für Dauergeräusche von Haustechnikanlagen in Abhängigkeit der zugehörigen Hauptnutzung</v>
      </c>
    </row>
    <row r="262" spans="1:6">
      <c r="A262" s="1193"/>
      <c r="B262" s="1224"/>
      <c r="C262" s="1242" t="s">
        <v>874</v>
      </c>
      <c r="D262" s="1243" t="s">
        <v>1604</v>
      </c>
      <c r="E262" s="1239" t="s">
        <v>1605</v>
      </c>
      <c r="F262" s="1181" t="str">
        <f>IF(Begriffe!$G$1=1,C262,IF(Begriffe!$G$1=2,D262,E262))</f>
        <v>- Keine Lüftungsanlage im Bestand</v>
      </c>
    </row>
    <row r="263" spans="1:6" ht="15.6">
      <c r="A263" s="1193"/>
      <c r="B263" s="1224"/>
      <c r="C263" s="1244" t="s">
        <v>1449</v>
      </c>
      <c r="D263" s="1244" t="s">
        <v>1606</v>
      </c>
      <c r="E263" s="1244" t="s">
        <v>1607</v>
      </c>
      <c r="F263" s="1181" t="str">
        <f>IF(Begriffe!$G$1=1,C263,IF(Begriffe!$G$1=2,D263,E263))</f>
        <v>- Spez. Aussenluftvolumenstrom für öffentliche Parkhäuser: 6 m3/m2h</v>
      </c>
    </row>
    <row r="264" spans="1:6">
      <c r="A264" s="1193"/>
      <c r="B264" s="1224"/>
      <c r="C264" s="1242" t="s">
        <v>889</v>
      </c>
      <c r="D264" s="1236" t="s">
        <v>1450</v>
      </c>
      <c r="E264" s="1236" t="s">
        <v>1451</v>
      </c>
      <c r="F264" s="1181" t="str">
        <f>IF(Begriffe!$G$1=1,C264,IF(Begriffe!$G$1=2,D264,E264))</f>
        <v>- Wasser- und Warmwasserbedarf pro Person</v>
      </c>
    </row>
    <row r="265" spans="1:6" ht="13.5" customHeight="1">
      <c r="A265" s="1193"/>
      <c r="B265" s="1224"/>
      <c r="C265" s="1242" t="s">
        <v>889</v>
      </c>
      <c r="D265" s="1236" t="s">
        <v>1450</v>
      </c>
      <c r="E265" s="1236" t="s">
        <v>1451</v>
      </c>
      <c r="F265" s="1181" t="str">
        <f>IF(Begriffe!$G$1=1,C265,IF(Begriffe!$G$1=2,D265,E265))</f>
        <v>- Wasser- und Warmwasserbedarf pro Person</v>
      </c>
    </row>
    <row r="266" spans="1:6" ht="26.4">
      <c r="A266" s="1193"/>
      <c r="B266" s="1194"/>
      <c r="C266" s="1245" t="s">
        <v>905</v>
      </c>
      <c r="D266" s="1236" t="s">
        <v>1608</v>
      </c>
      <c r="E266" s="1236" t="s">
        <v>1609</v>
      </c>
      <c r="F266" s="1181" t="str">
        <f>IF(Begriffe!$G$1=1,C266,IF(Begriffe!$G$1=2,D266,E266))</f>
        <v>- Wasser- und Warmwasserbedarf pro Bett, ohne Küche und Wäscherei</v>
      </c>
    </row>
    <row r="267" spans="1:6" ht="26.4">
      <c r="A267" s="1193"/>
      <c r="B267" s="1194"/>
      <c r="C267" s="1245" t="s">
        <v>851</v>
      </c>
      <c r="D267" s="1236" t="s">
        <v>1610</v>
      </c>
      <c r="E267" s="1236" t="s">
        <v>1611</v>
      </c>
      <c r="F267" s="1181" t="str">
        <f>IF(Begriffe!$G$1=1,C267,IF(Begriffe!$G$1=2,D267,E267))</f>
        <v>- Wasser- und Warmwasserbedarf sind in der Raumnutzung 2.1 enthalten</v>
      </c>
    </row>
    <row r="268" spans="1:6" ht="26.4">
      <c r="A268" s="1193"/>
      <c r="B268" s="1194"/>
      <c r="C268" s="1245" t="s">
        <v>906</v>
      </c>
      <c r="D268" s="1236" t="s">
        <v>1452</v>
      </c>
      <c r="E268" s="1236" t="s">
        <v>1453</v>
      </c>
      <c r="F268" s="1181" t="str">
        <f>IF(Begriffe!$G$1=1,C268,IF(Begriffe!$G$1=2,D268,E268))</f>
        <v>- Wasser- und Warmwasserbedarf pro Person, ohne Personalrestaurant</v>
      </c>
    </row>
    <row r="269" spans="1:6" ht="26.4">
      <c r="A269" s="1193"/>
      <c r="B269" s="1194"/>
      <c r="C269" s="1245" t="s">
        <v>906</v>
      </c>
      <c r="D269" s="1236" t="s">
        <v>1452</v>
      </c>
      <c r="E269" s="1236" t="s">
        <v>1453</v>
      </c>
      <c r="F269" s="1181" t="str">
        <f>IF(Begriffe!$G$1=1,C269,IF(Begriffe!$G$1=2,D269,E269))</f>
        <v>- Wasser- und Warmwasserbedarf pro Person, ohne Personalrestaurant</v>
      </c>
    </row>
    <row r="270" spans="1:6" ht="26.4">
      <c r="A270" s="1193"/>
      <c r="B270" s="1194"/>
      <c r="C270" s="1245" t="s">
        <v>845</v>
      </c>
      <c r="D270" s="1236" t="s">
        <v>1612</v>
      </c>
      <c r="E270" s="1236" t="s">
        <v>1613</v>
      </c>
      <c r="F270" s="1181" t="str">
        <f>IF(Begriffe!$G$1=1,C270,IF(Begriffe!$G$1=2,D270,E270))</f>
        <v>- Wasser- und Warmwasserbedarf sind in den Raumnutzungen 3.1 und 3.2 enthalten</v>
      </c>
    </row>
    <row r="271" spans="1:6" ht="26.4">
      <c r="A271" s="1193"/>
      <c r="B271" s="1194"/>
      <c r="C271" s="1244" t="s">
        <v>845</v>
      </c>
      <c r="D271" s="1236" t="s">
        <v>1612</v>
      </c>
      <c r="E271" s="1236" t="s">
        <v>1613</v>
      </c>
      <c r="F271" s="1181" t="str">
        <f>IF(Begriffe!$G$1=1,C271,IF(Begriffe!$G$1=2,D271,E271))</f>
        <v>- Wasser- und Warmwasserbedarf sind in den Raumnutzungen 3.1 und 3.2 enthalten</v>
      </c>
    </row>
    <row r="272" spans="1:6" ht="26.4">
      <c r="A272" s="1193"/>
      <c r="B272" s="1194"/>
      <c r="C272" s="1244" t="s">
        <v>907</v>
      </c>
      <c r="D272" s="1236" t="s">
        <v>1454</v>
      </c>
      <c r="E272" s="1236" t="s">
        <v>1455</v>
      </c>
      <c r="F272" s="1181" t="str">
        <f>IF(Begriffe!$G$1=1,C272,IF(Begriffe!$G$1=2,D272,E272))</f>
        <v>- Wasser- und Warmwasserbedarf pro Person (Schüler), ohne Mensa und Sportanlagen</v>
      </c>
    </row>
    <row r="273" spans="1:6" ht="26.4">
      <c r="A273" s="1193"/>
      <c r="B273" s="1194"/>
      <c r="C273" s="1244" t="s">
        <v>852</v>
      </c>
      <c r="D273" s="1236" t="s">
        <v>1614</v>
      </c>
      <c r="E273" s="1236" t="s">
        <v>1615</v>
      </c>
      <c r="F273" s="1181" t="str">
        <f>IF(Begriffe!$G$1=1,C273,IF(Begriffe!$G$1=2,D273,E273))</f>
        <v>- Wasser- und Warmwasserbedarf sind in der Raumnutzung 4.1 enthalten</v>
      </c>
    </row>
    <row r="274" spans="1:6" ht="26.4">
      <c r="A274" s="1193"/>
      <c r="B274" s="1194"/>
      <c r="C274" s="1244" t="s">
        <v>852</v>
      </c>
      <c r="D274" s="1236" t="s">
        <v>1614</v>
      </c>
      <c r="E274" s="1236" t="s">
        <v>1615</v>
      </c>
      <c r="F274" s="1181" t="str">
        <f>IF(Begriffe!$G$1=1,C274,IF(Begriffe!$G$1=2,D274,E274))</f>
        <v>- Wasser- und Warmwasserbedarf sind in der Raumnutzung 4.1 enthalten</v>
      </c>
    </row>
    <row r="275" spans="1:6" ht="26.4">
      <c r="A275" s="1193"/>
      <c r="B275" s="1194"/>
      <c r="C275" s="1244" t="s">
        <v>907</v>
      </c>
      <c r="D275" s="1236" t="s">
        <v>1454</v>
      </c>
      <c r="E275" s="1236" t="s">
        <v>1456</v>
      </c>
      <c r="F275" s="1181" t="str">
        <f>IF(Begriffe!$G$1=1,C275,IF(Begriffe!$G$1=2,D275,E275))</f>
        <v>- Wasser- und Warmwasserbedarf pro Person (Schüler), ohne Mensa und Sportanlagen</v>
      </c>
    </row>
    <row r="276" spans="1:6" ht="26.4">
      <c r="A276" s="1193"/>
      <c r="B276" s="1194"/>
      <c r="C276" s="1244" t="s">
        <v>907</v>
      </c>
      <c r="D276" s="1236" t="s">
        <v>1454</v>
      </c>
      <c r="E276" s="1236" t="s">
        <v>1456</v>
      </c>
      <c r="F276" s="1181" t="str">
        <f>IF(Begriffe!$G$1=1,C276,IF(Begriffe!$G$1=2,D276,E276))</f>
        <v>- Wasser- und Warmwasserbedarf pro Person (Schüler), ohne Mensa und Sportanlagen</v>
      </c>
    </row>
    <row r="277" spans="1:6" ht="26.4">
      <c r="A277" s="1193"/>
      <c r="B277" s="1194"/>
      <c r="C277" s="1244" t="s">
        <v>908</v>
      </c>
      <c r="D277" s="1236" t="s">
        <v>1457</v>
      </c>
      <c r="E277" s="1236" t="s">
        <v>1458</v>
      </c>
      <c r="F277" s="1181" t="str">
        <f>IF(Begriffe!$G$1=1,C277,IF(Begriffe!$G$1=2,D277,E277))</f>
        <v>- Wasser- und Warmwasserbedarf pro Person (Kunden)</v>
      </c>
    </row>
    <row r="278" spans="1:6" ht="26.4">
      <c r="A278" s="1193"/>
      <c r="B278" s="1194"/>
      <c r="C278" s="1245" t="s">
        <v>908</v>
      </c>
      <c r="D278" s="1236" t="s">
        <v>1457</v>
      </c>
      <c r="E278" s="1236" t="s">
        <v>1458</v>
      </c>
      <c r="F278" s="1181" t="str">
        <f>IF(Begriffe!$G$1=1,C278,IF(Begriffe!$G$1=2,D278,E278))</f>
        <v>- Wasser- und Warmwasserbedarf pro Person (Kunden)</v>
      </c>
    </row>
    <row r="279" spans="1:6" ht="26.4">
      <c r="A279" s="1193"/>
      <c r="B279" s="1194"/>
      <c r="C279" s="1245" t="s">
        <v>908</v>
      </c>
      <c r="D279" s="1236" t="s">
        <v>1457</v>
      </c>
      <c r="E279" s="1236" t="s">
        <v>1458</v>
      </c>
      <c r="F279" s="1181" t="str">
        <f>IF(Begriffe!$G$1=1,C279,IF(Begriffe!$G$1=2,D279,E279))</f>
        <v>- Wasser- und Warmwasserbedarf pro Person (Kunden)</v>
      </c>
    </row>
    <row r="280" spans="1:6" ht="26.4">
      <c r="A280" s="1193"/>
      <c r="B280" s="1194"/>
      <c r="C280" s="1245" t="s">
        <v>890</v>
      </c>
      <c r="D280" s="1236" t="s">
        <v>1616</v>
      </c>
      <c r="E280" s="1236" t="s">
        <v>1617</v>
      </c>
      <c r="F280" s="1181" t="str">
        <f>IF(Begriffe!$G$1=1,C280,IF(Begriffe!$G$1=2,D280,E280))</f>
        <v>- Wasser- und Warmwasserbedarf für Restaurants inkl. Küche pro Sitzplatz</v>
      </c>
    </row>
    <row r="281" spans="1:6" ht="26.4">
      <c r="A281" s="1193"/>
      <c r="B281" s="1194"/>
      <c r="C281" s="1245" t="s">
        <v>890</v>
      </c>
      <c r="D281" s="1236" t="s">
        <v>1616</v>
      </c>
      <c r="E281" s="1236" t="s">
        <v>1618</v>
      </c>
      <c r="F281" s="1181" t="str">
        <f>IF(Begriffe!$G$1=1,C281,IF(Begriffe!$G$1=2,D281,E281))</f>
        <v>- Wasser- und Warmwasserbedarf für Restaurants inkl. Küche pro Sitzplatz</v>
      </c>
    </row>
    <row r="282" spans="1:6" ht="26.4">
      <c r="A282" s="1193"/>
      <c r="B282" s="1194"/>
      <c r="C282" s="1245" t="s">
        <v>909</v>
      </c>
      <c r="D282" s="1236" t="s">
        <v>1619</v>
      </c>
      <c r="E282" s="1236" t="s">
        <v>1620</v>
      </c>
      <c r="F282" s="1181" t="str">
        <f>IF(Begriffe!$G$1=1,C282,IF(Begriffe!$G$1=2,D282,E282))</f>
        <v>- Wasser- und Warmwasserbedarf sind in der Raumnutzung 6.1 enthalten</v>
      </c>
    </row>
    <row r="283" spans="1:6" ht="26.4">
      <c r="A283" s="1193"/>
      <c r="B283" s="1194"/>
      <c r="C283" s="1245" t="s">
        <v>853</v>
      </c>
      <c r="D283" s="1236" t="s">
        <v>1621</v>
      </c>
      <c r="E283" s="1236" t="s">
        <v>1620</v>
      </c>
      <c r="F283" s="1181" t="str">
        <f>IF(Begriffe!$G$1=1,C283,IF(Begriffe!$G$1=2,D283,E283))</f>
        <v>'- Wasser- und Warmwasserbedarf sind in der Raumnutzung 6.2 enthalten</v>
      </c>
    </row>
    <row r="284" spans="1:6" ht="26.4">
      <c r="A284" s="1193"/>
      <c r="B284" s="1194"/>
      <c r="C284" s="1245" t="s">
        <v>910</v>
      </c>
      <c r="D284" s="1236" t="s">
        <v>1459</v>
      </c>
      <c r="E284" s="1236" t="s">
        <v>1460</v>
      </c>
      <c r="F284" s="1181" t="str">
        <f>IF(Begriffe!$G$1=1,C284,IF(Begriffe!$G$1=2,D284,E284))</f>
        <v>- Wasser- und Warmwasserbedarf pro Person (Besucher)</v>
      </c>
    </row>
    <row r="285" spans="1:6" ht="26.4">
      <c r="A285" s="1193"/>
      <c r="B285" s="1194"/>
      <c r="C285" s="1245" t="s">
        <v>910</v>
      </c>
      <c r="D285" s="1236" t="s">
        <v>1459</v>
      </c>
      <c r="E285" s="1236" t="s">
        <v>1460</v>
      </c>
      <c r="F285" s="1181" t="str">
        <f>IF(Begriffe!$G$1=1,C285,IF(Begriffe!$G$1=2,D285,E285))</f>
        <v>- Wasser- und Warmwasserbedarf pro Person (Besucher)</v>
      </c>
    </row>
    <row r="286" spans="1:6" ht="26.4">
      <c r="A286" s="1193"/>
      <c r="B286" s="1194"/>
      <c r="C286" s="1245" t="s">
        <v>910</v>
      </c>
      <c r="D286" s="1236" t="s">
        <v>1459</v>
      </c>
      <c r="E286" s="1236" t="s">
        <v>1460</v>
      </c>
      <c r="F286" s="1181" t="str">
        <f>IF(Begriffe!$G$1=1,C286,IF(Begriffe!$G$1=2,D286,E286))</f>
        <v>- Wasser- und Warmwasserbedarf pro Person (Besucher)</v>
      </c>
    </row>
    <row r="287" spans="1:6" ht="26.4">
      <c r="A287" s="1193"/>
      <c r="B287" s="1194"/>
      <c r="C287" s="1245" t="s">
        <v>911</v>
      </c>
      <c r="D287" s="1236" t="s">
        <v>1461</v>
      </c>
      <c r="E287" s="1236" t="s">
        <v>1622</v>
      </c>
      <c r="F287" s="1181" t="str">
        <f>IF(Begriffe!$G$1=1,C287,IF(Begriffe!$G$1=2,D287,E287))</f>
        <v>- Wasser- und Warmwasserbedarf pro Bett, ohne Restaurant</v>
      </c>
    </row>
    <row r="288" spans="1:6" ht="26.4">
      <c r="A288" s="1193"/>
      <c r="B288" s="1194"/>
      <c r="C288" s="1245" t="s">
        <v>912</v>
      </c>
      <c r="D288" s="1246" t="s">
        <v>1623</v>
      </c>
      <c r="E288" s="1246" t="s">
        <v>1624</v>
      </c>
      <c r="F288" s="1181" t="str">
        <f>IF(Begriffe!$G$1=1,C288,IF(Begriffe!$G$1=2,D288,E288))</f>
        <v>- Wasser- und Warmwasserbedarf sind in der Raumnutzung 8.1 enthalten</v>
      </c>
    </row>
    <row r="289" spans="1:6" ht="26.4">
      <c r="A289" s="1193"/>
      <c r="B289" s="1194"/>
      <c r="C289" s="1245" t="s">
        <v>912</v>
      </c>
      <c r="D289" s="1246" t="s">
        <v>1623</v>
      </c>
      <c r="E289" s="1246" t="s">
        <v>1625</v>
      </c>
      <c r="F289" s="1181" t="str">
        <f>IF(Begriffe!$G$1=1,C289,IF(Begriffe!$G$1=2,D289,E289))</f>
        <v>- Wasser- und Warmwasserbedarf sind in der Raumnutzung 8.1 enthalten</v>
      </c>
    </row>
    <row r="290" spans="1:6" ht="26.4">
      <c r="A290" s="1193"/>
      <c r="B290" s="1194"/>
      <c r="C290" s="1245" t="s">
        <v>1462</v>
      </c>
      <c r="D290" s="1246" t="s">
        <v>1463</v>
      </c>
      <c r="E290" s="1246" t="s">
        <v>1464</v>
      </c>
      <c r="F290" s="1181" t="str">
        <f>IF(Begriffe!$G$1=1,C290,IF(Begriffe!$G$1=2,D290,E290))</f>
        <v xml:space="preserve">- Wasser- und Warmwasserbedarf pro Person, ohne Prozesswasser </v>
      </c>
    </row>
    <row r="291" spans="1:6" ht="26.4">
      <c r="A291" s="1193"/>
      <c r="B291" s="1194"/>
      <c r="C291" s="1245" t="s">
        <v>1462</v>
      </c>
      <c r="D291" s="1246" t="s">
        <v>1463</v>
      </c>
      <c r="E291" s="1246" t="s">
        <v>1464</v>
      </c>
      <c r="F291" s="1181" t="str">
        <f>IF(Begriffe!$G$1=1,C291,IF(Begriffe!$G$1=2,D291,E291))</f>
        <v xml:space="preserve">- Wasser- und Warmwasserbedarf pro Person, ohne Prozesswasser </v>
      </c>
    </row>
    <row r="292" spans="1:6" ht="26.4">
      <c r="A292" s="1193"/>
      <c r="B292" s="1194"/>
      <c r="C292" s="1245" t="s">
        <v>1462</v>
      </c>
      <c r="D292" s="1246" t="s">
        <v>1463</v>
      </c>
      <c r="E292" s="1246" t="s">
        <v>1464</v>
      </c>
      <c r="F292" s="1181" t="str">
        <f>IF(Begriffe!$G$1=1,C292,IF(Begriffe!$G$1=2,D292,E292))</f>
        <v xml:space="preserve">- Wasser- und Warmwasserbedarf pro Person, ohne Prozesswasser </v>
      </c>
    </row>
    <row r="293" spans="1:6">
      <c r="A293" s="1193"/>
      <c r="B293" s="1194"/>
      <c r="C293" s="1245" t="s">
        <v>889</v>
      </c>
      <c r="D293" s="1236" t="s">
        <v>1450</v>
      </c>
      <c r="E293" s="1236" t="s">
        <v>1451</v>
      </c>
      <c r="F293" s="1181" t="str">
        <f>IF(Begriffe!$G$1=1,C293,IF(Begriffe!$G$1=2,D293,E293))</f>
        <v>- Wasser- und Warmwasserbedarf pro Person</v>
      </c>
    </row>
    <row r="294" spans="1:6" ht="26.4">
      <c r="A294" s="1193"/>
      <c r="B294" s="1194"/>
      <c r="C294" s="1245" t="s">
        <v>854</v>
      </c>
      <c r="D294" s="1236" t="s">
        <v>1465</v>
      </c>
      <c r="E294" s="1236" t="s">
        <v>1626</v>
      </c>
      <c r="F294" s="1181" t="str">
        <f>IF(Begriffe!$G$1=1,C294,IF(Begriffe!$G$1=2,D294,E294))</f>
        <v>- Wasser- und Warmwasserbedarf pro Dusche für Sportanlagen</v>
      </c>
    </row>
    <row r="295" spans="1:6" ht="26.4">
      <c r="A295" s="1193"/>
      <c r="B295" s="1194"/>
      <c r="C295" s="1245" t="s">
        <v>854</v>
      </c>
      <c r="D295" s="1236" t="s">
        <v>1465</v>
      </c>
      <c r="E295" s="1236" t="s">
        <v>1627</v>
      </c>
      <c r="F295" s="1181" t="str">
        <f>IF(Begriffe!$G$1=1,C295,IF(Begriffe!$G$1=2,D295,E295))</f>
        <v>- Wasser- und Warmwasserbedarf pro Dusche für Sportanlagen</v>
      </c>
    </row>
    <row r="296" spans="1:6" ht="26.4">
      <c r="A296" s="1193"/>
      <c r="B296" s="1194"/>
      <c r="C296" s="1245" t="s">
        <v>855</v>
      </c>
      <c r="D296" s="1246" t="s">
        <v>1466</v>
      </c>
      <c r="E296" s="1246" t="s">
        <v>1628</v>
      </c>
      <c r="F296" s="1181" t="str">
        <f>IF(Begriffe!$G$1=1,C296,IF(Begriffe!$G$1=2,D296,E296))</f>
        <v>- Wasser- und Warmwasserbedarf pro Dusche ohne Badewasserbedarf</v>
      </c>
    </row>
    <row r="297" spans="1:6" ht="26.4">
      <c r="A297" s="1193"/>
      <c r="B297" s="1194"/>
      <c r="C297" s="1245" t="s">
        <v>857</v>
      </c>
      <c r="D297" s="1246" t="s">
        <v>1629</v>
      </c>
      <c r="E297" s="1246" t="s">
        <v>1630</v>
      </c>
      <c r="F297" s="1181" t="str">
        <f>IF(Begriffe!$G$1=1,C297,IF(Begriffe!$G$1=2,D297,E297))</f>
        <v>- Wasser- und Warmwasserbedarf werden durch die Hauptnutzung bestimmt</v>
      </c>
    </row>
    <row r="298" spans="1:6">
      <c r="A298" s="1193"/>
      <c r="B298" s="1194"/>
      <c r="C298" s="1245"/>
      <c r="D298" s="1193"/>
      <c r="E298" s="1193"/>
      <c r="F298" s="1181">
        <f>IF(Begriffe!$G$1=1,C298,IF(Begriffe!$G$1=2,D298,E298))</f>
        <v>0</v>
      </c>
    </row>
    <row r="299" spans="1:6">
      <c r="A299" s="1193"/>
      <c r="B299" s="1194"/>
      <c r="C299" s="1245"/>
      <c r="D299" s="1193"/>
      <c r="E299" s="1193"/>
      <c r="F299" s="1181">
        <f>IF(Begriffe!$G$1=1,C299,IF(Begriffe!$G$1=2,D299,E299))</f>
        <v>0</v>
      </c>
    </row>
    <row r="300" spans="1:6">
      <c r="A300" s="1193"/>
      <c r="B300" s="1194"/>
      <c r="C300" s="1193"/>
      <c r="D300" s="1193"/>
      <c r="E300" s="1193"/>
      <c r="F300" s="1181">
        <f>IF(Begriffe!$G$1=1,C300,IF(Begriffe!$G$1=2,D300,E300))</f>
        <v>0</v>
      </c>
    </row>
    <row r="301" spans="1:6" ht="13.8">
      <c r="A301" s="1195" t="s">
        <v>1182</v>
      </c>
      <c r="B301" s="1194"/>
      <c r="C301" s="1193"/>
      <c r="D301" s="1193"/>
      <c r="E301" s="1193"/>
      <c r="F301" s="1181">
        <f>IF(Begriffe!$G$1=1,C301,IF(Begriffe!$G$1=2,D301,E301))</f>
        <v>0</v>
      </c>
    </row>
    <row r="302" spans="1:6">
      <c r="A302" s="1193"/>
      <c r="B302" s="1194"/>
      <c r="C302" s="1193" t="s">
        <v>769</v>
      </c>
      <c r="D302" s="1193" t="s">
        <v>1278</v>
      </c>
      <c r="E302" s="1193" t="s">
        <v>1365</v>
      </c>
      <c r="F302" s="1181" t="str">
        <f>IF(Begriffe!$G$1=1,C302,IF(Begriffe!$G$1=2,D302,E302))</f>
        <v>Elektrische Leistung Beleuchtung</v>
      </c>
    </row>
    <row r="303" spans="1:6">
      <c r="A303" s="1193"/>
      <c r="B303" s="1194"/>
      <c r="C303" s="1193" t="s">
        <v>31</v>
      </c>
      <c r="D303" s="1193" t="s">
        <v>1264</v>
      </c>
      <c r="E303" s="1193" t="s">
        <v>1371</v>
      </c>
      <c r="F303" s="1181" t="str">
        <f>IF(Begriffe!$G$1=1,C303,IF(Begriffe!$G$1=2,D303,E303))</f>
        <v>Symbol</v>
      </c>
    </row>
    <row r="304" spans="1:6">
      <c r="A304" s="1193"/>
      <c r="B304" s="1194"/>
      <c r="C304" s="1193" t="s">
        <v>1</v>
      </c>
      <c r="D304" s="1193" t="s">
        <v>1265</v>
      </c>
      <c r="E304" s="1193" t="s">
        <v>1372</v>
      </c>
      <c r="F304" s="1181" t="str">
        <f>IF(Begriffe!$G$1=1,C304,IF(Begriffe!$G$1=2,D304,E304))</f>
        <v>Einheit</v>
      </c>
    </row>
    <row r="305" spans="1:6">
      <c r="A305" s="1193"/>
      <c r="B305" s="1194"/>
      <c r="C305" s="1193" t="s">
        <v>1367</v>
      </c>
      <c r="D305" s="1193" t="s">
        <v>1368</v>
      </c>
      <c r="E305" s="1193" t="s">
        <v>1369</v>
      </c>
      <c r="F305" s="1181" t="str">
        <f>IF(Begriffe!$G$1=1,C305,IF(Begriffe!$G$1=2,D305,E305))</f>
        <v>Projektwert</v>
      </c>
    </row>
    <row r="306" spans="1:6">
      <c r="A306" s="1193"/>
      <c r="B306" s="1194"/>
      <c r="C306" s="1233" t="s">
        <v>61</v>
      </c>
      <c r="D306" s="1193" t="s">
        <v>1487</v>
      </c>
      <c r="E306" s="1193" t="s">
        <v>1370</v>
      </c>
      <c r="F306" s="1181" t="str">
        <f>IF(Begriffe!$G$1=1,C306,IF(Begriffe!$G$1=2,D306,E306))</f>
        <v>Standardwert</v>
      </c>
    </row>
    <row r="307" spans="1:6">
      <c r="A307" s="1193"/>
      <c r="B307" s="1194"/>
      <c r="C307" s="1193"/>
      <c r="D307" s="1193"/>
      <c r="E307" s="1193"/>
      <c r="F307" s="1181">
        <f>IF(Begriffe!$G$1=1,C307,IF(Begriffe!$G$1=2,D307,E307))</f>
        <v>0</v>
      </c>
    </row>
    <row r="308" spans="1:6">
      <c r="A308" s="1193"/>
      <c r="B308" s="1194"/>
      <c r="C308" s="1218" t="s">
        <v>371</v>
      </c>
      <c r="D308" s="1223" t="s">
        <v>1277</v>
      </c>
      <c r="E308" s="1193" t="s">
        <v>1373</v>
      </c>
      <c r="F308" s="1181" t="str">
        <f>IF(Begriffe!$G$1=1,C308,IF(Begriffe!$G$1=2,D308,E308))</f>
        <v>Energie- und Leistungsbedarf</v>
      </c>
    </row>
    <row r="309" spans="1:6">
      <c r="A309" s="1193"/>
      <c r="B309" s="1194"/>
      <c r="C309" s="1233"/>
      <c r="D309" s="1193"/>
      <c r="E309" s="1193"/>
      <c r="F309" s="1181">
        <f>IF(Begriffe!$G$1=1,C309,IF(Begriffe!$G$1=2,D309,E309))</f>
        <v>0</v>
      </c>
    </row>
    <row r="310" spans="1:6">
      <c r="A310" s="1193"/>
      <c r="B310" s="1194"/>
      <c r="C310" s="1193" t="s">
        <v>721</v>
      </c>
      <c r="D310" s="1218" t="s">
        <v>1467</v>
      </c>
      <c r="E310" s="1218" t="s">
        <v>1631</v>
      </c>
      <c r="F310" s="1181" t="str">
        <f>IF(Begriffe!$G$1=1,C310,IF(Begriffe!$G$1=2,D310,E310))</f>
        <v>nach Westen orientiert</v>
      </c>
    </row>
    <row r="311" spans="1:6">
      <c r="A311" s="1193"/>
      <c r="B311" s="1194"/>
      <c r="C311" s="1193" t="s">
        <v>926</v>
      </c>
      <c r="D311" s="1218" t="s">
        <v>1632</v>
      </c>
      <c r="E311" s="1218" t="s">
        <v>1468</v>
      </c>
      <c r="F311" s="1181" t="str">
        <f>IF(Begriffe!$G$1=1,C311,IF(Begriffe!$G$1=2,D311,E311))</f>
        <v>Auslegung Kühlung</v>
      </c>
    </row>
    <row r="312" spans="1:6">
      <c r="A312" s="1193"/>
      <c r="B312" s="1194"/>
      <c r="C312" s="1193" t="s">
        <v>927</v>
      </c>
      <c r="D312" s="1218" t="s">
        <v>1633</v>
      </c>
      <c r="E312" s="1218" t="s">
        <v>1469</v>
      </c>
      <c r="F312" s="1181" t="str">
        <f>IF(Begriffe!$G$1=1,C312,IF(Begriffe!$G$1=2,D312,E312))</f>
        <v>Auslegung Heizung</v>
      </c>
    </row>
    <row r="313" spans="1:6" ht="26.4">
      <c r="A313" s="1193"/>
      <c r="B313" s="1194"/>
      <c r="C313" s="1193" t="s">
        <v>722</v>
      </c>
      <c r="D313" s="1246" t="s">
        <v>1470</v>
      </c>
      <c r="E313" s="1246" t="s">
        <v>1471</v>
      </c>
      <c r="F313" s="1181" t="str">
        <f>IF(Begriffe!$G$1=1,C313,IF(Begriffe!$G$1=2,D313,E313))</f>
        <v>Aussen-/Innenlärm, Trittschall</v>
      </c>
    </row>
    <row r="314" spans="1:6">
      <c r="A314" s="1193"/>
      <c r="B314" s="1194"/>
      <c r="C314" s="1193" t="s">
        <v>883</v>
      </c>
      <c r="D314" s="1246" t="s">
        <v>1634</v>
      </c>
      <c r="E314" s="1246" t="s">
        <v>1635</v>
      </c>
      <c r="F314" s="1181" t="str">
        <f>IF(Begriffe!$G$1=1,C314,IF(Begriffe!$G$1=2,D314,E314))</f>
        <v>Auslegung Dauergeräusche</v>
      </c>
    </row>
    <row r="315" spans="1:6">
      <c r="A315" s="1193"/>
      <c r="B315" s="1194"/>
      <c r="C315" s="1193" t="s">
        <v>723</v>
      </c>
      <c r="D315" s="1246" t="s">
        <v>1636</v>
      </c>
      <c r="E315" s="1246" t="s">
        <v>1637</v>
      </c>
      <c r="F315" s="1181" t="str">
        <f>IF(Begriffe!$G$1=1,C315,IF(Begriffe!$G$1=2,D315,E315))</f>
        <v>mit Möblierung</v>
      </c>
    </row>
    <row r="316" spans="1:6">
      <c r="A316" s="1193"/>
      <c r="B316" s="1194"/>
      <c r="C316" s="1247" t="s">
        <v>828</v>
      </c>
      <c r="D316" s="1218" t="s">
        <v>1472</v>
      </c>
      <c r="E316" s="1218" t="s">
        <v>1638</v>
      </c>
      <c r="F316" s="1181" t="str">
        <f>IF(Begriffe!$G$1=1,C316,IF(Begriffe!$G$1=2,D316,E316))</f>
        <v>Nettogeschossfläche pro Person</v>
      </c>
    </row>
    <row r="317" spans="1:6">
      <c r="A317" s="1193"/>
      <c r="B317" s="1194"/>
      <c r="C317" s="1193" t="s">
        <v>1183</v>
      </c>
      <c r="D317" s="1218" t="s">
        <v>1473</v>
      </c>
      <c r="E317" s="1218" t="s">
        <v>1639</v>
      </c>
      <c r="F317" s="1181" t="str">
        <f>IF(Begriffe!$G$1=1,C317,IF(Begriffe!$G$1=2,D317,E317))</f>
        <v>bei</v>
      </c>
    </row>
    <row r="318" spans="1:6">
      <c r="A318" s="1193"/>
      <c r="B318" s="1193"/>
      <c r="C318" s="1248" t="s">
        <v>210</v>
      </c>
      <c r="D318" s="1218" t="s">
        <v>1640</v>
      </c>
      <c r="E318" s="1218" t="s">
        <v>1491</v>
      </c>
      <c r="F318" s="1181" t="str">
        <f>IF(Begriffe!$G$1=1,C318,IF(Begriffe!$G$1=2,D318,E318))</f>
        <v>z.B. Pflanzen</v>
      </c>
    </row>
    <row r="319" spans="1:6">
      <c r="A319" s="1193"/>
      <c r="B319" s="1194"/>
      <c r="C319" s="1193" t="s">
        <v>707</v>
      </c>
      <c r="D319" s="1218" t="s">
        <v>1474</v>
      </c>
      <c r="E319" s="1218" t="s">
        <v>1641</v>
      </c>
      <c r="F319" s="1181" t="str">
        <f>IF(Begriffe!$G$1=1,C319,IF(Begriffe!$G$1=2,D319,E319))</f>
        <v>Maximaler Stundenwert</v>
      </c>
    </row>
    <row r="320" spans="1:6">
      <c r="A320" s="1193"/>
      <c r="B320" s="1194"/>
      <c r="C320" s="1248" t="s">
        <v>1159</v>
      </c>
      <c r="D320" s="1218" t="s">
        <v>1475</v>
      </c>
      <c r="E320" s="1218" t="s">
        <v>1642</v>
      </c>
      <c r="F320" s="1181" t="str">
        <f>IF(Begriffe!$G$1=1,C320,IF(Begriffe!$G$1=2,D320,E320))</f>
        <v>Wartungswert</v>
      </c>
    </row>
    <row r="321" spans="1:6">
      <c r="A321" s="1193"/>
      <c r="B321" s="1194"/>
      <c r="C321" s="1248" t="s">
        <v>1186</v>
      </c>
      <c r="D321" s="1218" t="s">
        <v>1476</v>
      </c>
      <c r="E321" s="1218" t="s">
        <v>1643</v>
      </c>
      <c r="F321" s="1181" t="str">
        <f>IF(Begriffe!$G$1=1,C321,IF(Begriffe!$G$1=2,D321,E321))</f>
        <v>Höhe = 0.75 m oder 0.05 m</v>
      </c>
    </row>
    <row r="322" spans="1:6">
      <c r="A322" s="1193"/>
      <c r="B322" s="1194"/>
      <c r="C322" s="1248" t="s">
        <v>770</v>
      </c>
      <c r="D322" s="1249" t="s">
        <v>1644</v>
      </c>
      <c r="E322" s="1239" t="s">
        <v>1645</v>
      </c>
      <c r="F322" s="1181" t="str">
        <f>IF(Begriffe!$G$1=1,C322,IF(Begriffe!$G$1=2,D322,E322))</f>
        <v>Raum- und Akzentbeleuchtung</v>
      </c>
    </row>
    <row r="323" spans="1:6">
      <c r="A323" s="1193"/>
      <c r="B323" s="1194"/>
      <c r="C323" s="1193" t="s">
        <v>33</v>
      </c>
      <c r="D323" s="1218" t="s">
        <v>1477</v>
      </c>
      <c r="E323" s="1218" t="s">
        <v>1646</v>
      </c>
      <c r="F323" s="1181" t="str">
        <f>IF(Begriffe!$G$1=1,C323,IF(Begriffe!$G$1=2,D323,E323))</f>
        <v>Nichtraucher</v>
      </c>
    </row>
    <row r="324" spans="1:6">
      <c r="A324" s="1193"/>
      <c r="B324" s="1194"/>
      <c r="C324" s="1193" t="s">
        <v>724</v>
      </c>
      <c r="D324" s="1218" t="s">
        <v>1478</v>
      </c>
      <c r="E324" s="1218" t="s">
        <v>1647</v>
      </c>
      <c r="F324" s="1181" t="str">
        <f>IF(Begriffe!$G$1=1,C324,IF(Begriffe!$G$1=2,D324,E324))</f>
        <v>pro Nettogeschossfläche</v>
      </c>
    </row>
    <row r="325" spans="1:6">
      <c r="A325" s="1193"/>
      <c r="B325" s="1194"/>
      <c r="C325" s="1193" t="s">
        <v>78</v>
      </c>
      <c r="D325" s="1218" t="s">
        <v>1479</v>
      </c>
      <c r="E325" s="1218" t="s">
        <v>1648</v>
      </c>
      <c r="F325" s="1181" t="str">
        <f>IF(Begriffe!$G$1=1,C325,IF(Begriffe!$G$1=2,D325,E325))</f>
        <v>Total Zu- und Abluft</v>
      </c>
    </row>
    <row r="326" spans="1:6">
      <c r="A326" s="1193"/>
      <c r="B326" s="1194"/>
      <c r="C326" s="1193" t="s">
        <v>765</v>
      </c>
      <c r="D326" s="1193" t="s">
        <v>1290</v>
      </c>
      <c r="E326" s="1193" t="s">
        <v>1649</v>
      </c>
      <c r="F326" s="1181" t="str">
        <f>IF(Begriffe!$G$1=1,C326,IF(Begriffe!$G$1=2,D326,E326))</f>
        <v>Elektrizitätsbedarf</v>
      </c>
    </row>
    <row r="327" spans="1:6">
      <c r="A327" s="1193"/>
      <c r="B327" s="1194"/>
      <c r="C327" s="1193" t="s">
        <v>844</v>
      </c>
      <c r="D327" s="1193" t="s">
        <v>1289</v>
      </c>
      <c r="E327" s="1193" t="s">
        <v>1650</v>
      </c>
      <c r="F327" s="1181" t="str">
        <f>IF(Begriffe!$G$1=1,C327,IF(Begriffe!$G$1=2,D327,E327))</f>
        <v>Solar, Transmission, Lüftung</v>
      </c>
    </row>
    <row r="328" spans="1:6">
      <c r="A328" s="1193"/>
      <c r="B328" s="1194"/>
      <c r="C328" s="1193" t="s">
        <v>843</v>
      </c>
      <c r="D328" s="1193" t="s">
        <v>1291</v>
      </c>
      <c r="E328" s="1193" t="s">
        <v>1651</v>
      </c>
      <c r="F328" s="1181" t="str">
        <f>IF(Begriffe!$G$1=1,C328,IF(Begriffe!$G$1=2,D328,E328))</f>
        <v>Personen, Geräte, Beleuchtung</v>
      </c>
    </row>
    <row r="329" spans="1:6">
      <c r="A329" s="1193"/>
      <c r="B329" s="1194"/>
      <c r="C329" s="1193" t="s">
        <v>832</v>
      </c>
      <c r="D329" s="1193" t="s">
        <v>1285</v>
      </c>
      <c r="E329" s="1239" t="s">
        <v>1652</v>
      </c>
      <c r="F329" s="1181" t="str">
        <f>IF(Begriffe!$G$1=1,C329,IF(Begriffe!$G$1=2,D329,E329))</f>
        <v>mit Fensterlüftung Tag und Nacht</v>
      </c>
    </row>
    <row r="330" spans="1:6">
      <c r="A330" s="1193"/>
      <c r="B330" s="1194"/>
      <c r="C330" s="1193" t="s">
        <v>717</v>
      </c>
      <c r="D330" s="1193" t="s">
        <v>1286</v>
      </c>
      <c r="E330" s="1239" t="s">
        <v>1653</v>
      </c>
      <c r="F330" s="1181" t="str">
        <f>IF(Begriffe!$G$1=1,C330,IF(Begriffe!$G$1=2,D330,E330))</f>
        <v>mit Fensterlüftung bei Belegung</v>
      </c>
    </row>
    <row r="331" spans="1:6">
      <c r="A331" s="1193"/>
      <c r="B331" s="1194"/>
      <c r="C331" s="1193" t="s">
        <v>715</v>
      </c>
      <c r="D331" s="1193" t="s">
        <v>1287</v>
      </c>
      <c r="E331" s="1218" t="s">
        <v>1480</v>
      </c>
      <c r="F331" s="1181" t="str">
        <f>IF(Begriffe!$G$1=1,C331,IF(Begriffe!$G$1=2,D331,E331))</f>
        <v>ohne Fensterlüftung</v>
      </c>
    </row>
    <row r="332" spans="1:6">
      <c r="A332" s="1193"/>
      <c r="B332" s="1194"/>
      <c r="C332" s="1248" t="s">
        <v>850</v>
      </c>
      <c r="D332" s="1193" t="s">
        <v>1288</v>
      </c>
      <c r="E332" s="1193" t="s">
        <v>1654</v>
      </c>
      <c r="F332" s="1181" t="str">
        <f>IF(Begriffe!$G$1=1,C332,IF(Begriffe!$G$1=2,D332,E332))</f>
        <v>Warm- und Kaltwasser</v>
      </c>
    </row>
    <row r="333" spans="1:6">
      <c r="A333" s="1193"/>
      <c r="B333" s="1194"/>
      <c r="C333" s="1193" t="s">
        <v>688</v>
      </c>
      <c r="D333" s="1193" t="s">
        <v>1269</v>
      </c>
      <c r="E333" s="1218" t="s">
        <v>1655</v>
      </c>
      <c r="F333" s="1181" t="str">
        <f>IF(Begriffe!$G$1=1,C333,IF(Begriffe!$G$1=2,D333,E333))</f>
        <v>Elektrischer und thermischer Energiebedarf</v>
      </c>
    </row>
    <row r="334" spans="1:6">
      <c r="A334" s="1193"/>
      <c r="B334" s="1194"/>
      <c r="C334" s="1193" t="s">
        <v>687</v>
      </c>
      <c r="D334" s="1193" t="s">
        <v>1270</v>
      </c>
      <c r="E334" s="1218" t="s">
        <v>1656</v>
      </c>
      <c r="F334" s="1181" t="str">
        <f>IF(Begriffe!$G$1=1,C334,IF(Begriffe!$G$1=2,D334,E334))</f>
        <v xml:space="preserve">Elektrischer und thermischer Leistungsbedarf </v>
      </c>
    </row>
    <row r="335" spans="1:6">
      <c r="A335" s="1193"/>
      <c r="B335" s="1194"/>
      <c r="C335" s="1223" t="s">
        <v>1195</v>
      </c>
      <c r="D335" s="1223" t="s">
        <v>1271</v>
      </c>
      <c r="E335" s="1218" t="s">
        <v>1481</v>
      </c>
      <c r="F335" s="1181" t="str">
        <f>IF(Begriffe!$G$1=1,C335,IF(Begriffe!$G$1=2,D335,E335))</f>
        <v xml:space="preserve">Elektrischer Energiebedarf                              </v>
      </c>
    </row>
    <row r="336" spans="1:6">
      <c r="A336" s="1193"/>
      <c r="B336" s="1194"/>
      <c r="C336" s="1223" t="s">
        <v>1196</v>
      </c>
      <c r="D336" s="1223" t="s">
        <v>1272</v>
      </c>
      <c r="E336" s="1218" t="s">
        <v>1657</v>
      </c>
      <c r="F336" s="1181" t="str">
        <f>IF(Begriffe!$G$1=1,C336,IF(Begriffe!$G$1=2,D336,E336))</f>
        <v xml:space="preserve">Thermischer Energiebedarf                              </v>
      </c>
    </row>
    <row r="337" spans="1:6">
      <c r="A337" s="1193"/>
      <c r="B337" s="1194"/>
      <c r="C337" s="1223" t="s">
        <v>1197</v>
      </c>
      <c r="D337" s="1193" t="s">
        <v>1273</v>
      </c>
      <c r="E337" s="1218" t="s">
        <v>1658</v>
      </c>
      <c r="F337" s="1181" t="str">
        <f>IF(Begriffe!$G$1=1,C337,IF(Begriffe!$G$1=2,D337,E337))</f>
        <v xml:space="preserve">Elektrischer Leistungsbedarf                              </v>
      </c>
    </row>
    <row r="338" spans="1:6">
      <c r="A338" s="1193"/>
      <c r="B338" s="1194"/>
      <c r="C338" s="1223" t="s">
        <v>1198</v>
      </c>
      <c r="D338" s="1193" t="s">
        <v>1274</v>
      </c>
      <c r="E338" s="1218" t="s">
        <v>1482</v>
      </c>
      <c r="F338" s="1181" t="str">
        <f>IF(Begriffe!$G$1=1,C338,IF(Begriffe!$G$1=2,D338,E338))</f>
        <v xml:space="preserve">Thermischer Leistungsbedarf                              </v>
      </c>
    </row>
    <row r="339" spans="1:6" ht="15.6">
      <c r="A339" s="1193"/>
      <c r="B339" s="1194"/>
      <c r="C339" s="1193" t="s">
        <v>1483</v>
      </c>
      <c r="D339" s="1223" t="s">
        <v>1659</v>
      </c>
      <c r="E339" s="1218" t="s">
        <v>1660</v>
      </c>
      <c r="F339" s="1181" t="str">
        <f>IF(Begriffe!$G$1=1,C339,IF(Begriffe!$G$1=2,D339,E339))</f>
        <v>Leistungsbedarf, W/m2</v>
      </c>
    </row>
    <row r="340" spans="1:6" ht="15.6">
      <c r="A340" s="1193"/>
      <c r="B340" s="1194"/>
      <c r="C340" s="1193" t="s">
        <v>1484</v>
      </c>
      <c r="D340" s="1223" t="s">
        <v>1661</v>
      </c>
      <c r="E340" s="1218" t="s">
        <v>1662</v>
      </c>
      <c r="F340" s="1181" t="str">
        <f>IF(Begriffe!$G$1=1,C340,IF(Begriffe!$G$1=2,D340,E340))</f>
        <v>Energiebedarf, kWh/m2</v>
      </c>
    </row>
    <row r="341" spans="1:6">
      <c r="A341" s="1193"/>
      <c r="B341" s="1194"/>
      <c r="C341" s="1193" t="s">
        <v>199</v>
      </c>
      <c r="D341" s="1223" t="s">
        <v>1666</v>
      </c>
      <c r="E341" s="1193" t="s">
        <v>1344</v>
      </c>
      <c r="F341" s="1181" t="str">
        <f>IF(Begriffe!$G$1=1,C341,IF(Begriffe!$G$1=2,D341,E341))</f>
        <v>Bezeichnung</v>
      </c>
    </row>
    <row r="342" spans="1:6">
      <c r="A342" s="1193"/>
      <c r="B342" s="1194"/>
      <c r="C342" s="1193" t="s">
        <v>1665</v>
      </c>
      <c r="D342" s="1223" t="s">
        <v>1667</v>
      </c>
      <c r="E342" s="1193" t="s">
        <v>1667</v>
      </c>
      <c r="F342" s="1181" t="str">
        <f>IF(Begriffe!$G$1=1,C342,IF(Begriffe!$G$1=2,D342,E342))</f>
        <v>Basis:</v>
      </c>
    </row>
    <row r="343" spans="1:6">
      <c r="A343" s="1193"/>
      <c r="B343" s="1194"/>
      <c r="C343" s="1193"/>
      <c r="D343" s="1223"/>
      <c r="E343" s="1193"/>
      <c r="F343" s="1181">
        <f>IF(Begriffe!$G$1=1,C343,IF(Begriffe!$G$1=2,D343,E343))</f>
        <v>0</v>
      </c>
    </row>
    <row r="344" spans="1:6" ht="13.8">
      <c r="A344" s="1195" t="s">
        <v>1386</v>
      </c>
      <c r="B344" s="1194"/>
      <c r="C344" s="1193"/>
      <c r="D344" s="1223"/>
      <c r="E344" s="1193"/>
      <c r="F344" s="1181">
        <f>IF(Begriffe!$G$1=1,C344,IF(Begriffe!$G$1=2,D344,E344))</f>
        <v>0</v>
      </c>
    </row>
    <row r="345" spans="1:6">
      <c r="A345" s="1193"/>
      <c r="B345" s="1194"/>
      <c r="C345" s="1193" t="s">
        <v>50</v>
      </c>
      <c r="D345" s="1223" t="s">
        <v>50</v>
      </c>
      <c r="E345" s="1193" t="s">
        <v>1393</v>
      </c>
      <c r="F345" s="1181" t="str">
        <f>IF(Begriffe!$G$1=1,C345,IF(Begriffe!$G$1=2,D345,E345))</f>
        <v>Jan</v>
      </c>
    </row>
    <row r="346" spans="1:6">
      <c r="A346" s="1193"/>
      <c r="B346" s="1194"/>
      <c r="C346" s="1193" t="s">
        <v>51</v>
      </c>
      <c r="D346" s="1223" t="s">
        <v>1387</v>
      </c>
      <c r="E346" s="1193" t="s">
        <v>51</v>
      </c>
      <c r="F346" s="1181" t="str">
        <f>IF(Begriffe!$G$1=1,C346,IF(Begriffe!$G$1=2,D346,E346))</f>
        <v>Feb</v>
      </c>
    </row>
    <row r="347" spans="1:6">
      <c r="A347" s="1193"/>
      <c r="B347" s="1194"/>
      <c r="C347" s="1193" t="s">
        <v>74</v>
      </c>
      <c r="D347" s="1223" t="s">
        <v>1388</v>
      </c>
      <c r="E347" s="1193" t="s">
        <v>1388</v>
      </c>
      <c r="F347" s="1181" t="str">
        <f>IF(Begriffe!$G$1=1,C347,IF(Begriffe!$G$1=2,D347,E347))</f>
        <v>Mrz</v>
      </c>
    </row>
    <row r="348" spans="1:6">
      <c r="A348" s="1193"/>
      <c r="B348" s="1194"/>
      <c r="C348" s="1193" t="s">
        <v>52</v>
      </c>
      <c r="D348" s="1223" t="s">
        <v>1389</v>
      </c>
      <c r="E348" s="1193" t="s">
        <v>52</v>
      </c>
      <c r="F348" s="1181" t="str">
        <f>IF(Begriffe!$G$1=1,C348,IF(Begriffe!$G$1=2,D348,E348))</f>
        <v>Apr</v>
      </c>
    </row>
    <row r="349" spans="1:6">
      <c r="A349" s="1193"/>
      <c r="B349" s="1194"/>
      <c r="C349" s="1193" t="s">
        <v>53</v>
      </c>
      <c r="D349" s="1223" t="s">
        <v>53</v>
      </c>
      <c r="E349" s="1193" t="s">
        <v>1394</v>
      </c>
      <c r="F349" s="1181" t="str">
        <f>IF(Begriffe!$G$1=1,C349,IF(Begriffe!$G$1=2,D349,E349))</f>
        <v>Mai</v>
      </c>
    </row>
    <row r="350" spans="1:6">
      <c r="A350" s="1193"/>
      <c r="B350" s="1194"/>
      <c r="C350" s="1193" t="s">
        <v>54</v>
      </c>
      <c r="D350" s="1223" t="s">
        <v>1390</v>
      </c>
      <c r="E350" s="1193" t="s">
        <v>1395</v>
      </c>
      <c r="F350" s="1181" t="str">
        <f>IF(Begriffe!$G$1=1,C350,IF(Begriffe!$G$1=2,D350,E350))</f>
        <v>Jun</v>
      </c>
    </row>
    <row r="351" spans="1:6">
      <c r="A351" s="1193"/>
      <c r="B351" s="1194"/>
      <c r="C351" s="1193" t="s">
        <v>55</v>
      </c>
      <c r="D351" s="1223" t="s">
        <v>55</v>
      </c>
      <c r="E351" s="1193" t="s">
        <v>1396</v>
      </c>
      <c r="F351" s="1181" t="str">
        <f>IF(Begriffe!$G$1=1,C351,IF(Begriffe!$G$1=2,D351,E351))</f>
        <v>Jul</v>
      </c>
    </row>
    <row r="352" spans="1:6">
      <c r="A352" s="1193"/>
      <c r="B352" s="1194"/>
      <c r="C352" s="1193" t="s">
        <v>56</v>
      </c>
      <c r="D352" s="1223" t="s">
        <v>1401</v>
      </c>
      <c r="E352" s="1193" t="s">
        <v>1397</v>
      </c>
      <c r="F352" s="1181" t="str">
        <f>IF(Begriffe!$G$1=1,C352,IF(Begriffe!$G$1=2,D352,E352))</f>
        <v>Aug</v>
      </c>
    </row>
    <row r="353" spans="1:6">
      <c r="A353" s="1193"/>
      <c r="B353" s="1194"/>
      <c r="C353" s="1193" t="s">
        <v>57</v>
      </c>
      <c r="D353" s="1223" t="s">
        <v>57</v>
      </c>
      <c r="E353" s="1193" t="s">
        <v>1398</v>
      </c>
      <c r="F353" s="1181" t="str">
        <f>IF(Begriffe!$G$1=1,C353,IF(Begriffe!$G$1=2,D353,E353))</f>
        <v>Sep</v>
      </c>
    </row>
    <row r="354" spans="1:6">
      <c r="A354" s="1193"/>
      <c r="B354" s="1194"/>
      <c r="C354" s="1193" t="s">
        <v>58</v>
      </c>
      <c r="D354" s="1223" t="s">
        <v>1391</v>
      </c>
      <c r="E354" s="1193" t="s">
        <v>1399</v>
      </c>
      <c r="F354" s="1181" t="str">
        <f>IF(Begriffe!$G$1=1,C354,IF(Begriffe!$G$1=2,D354,E354))</f>
        <v>Okt</v>
      </c>
    </row>
    <row r="355" spans="1:6">
      <c r="A355" s="1193"/>
      <c r="B355" s="1194"/>
      <c r="C355" s="1193" t="s">
        <v>59</v>
      </c>
      <c r="D355" s="1223" t="s">
        <v>59</v>
      </c>
      <c r="E355" s="1193" t="s">
        <v>59</v>
      </c>
      <c r="F355" s="1181" t="str">
        <f>IF(Begriffe!$G$1=1,C355,IF(Begriffe!$G$1=2,D355,E355))</f>
        <v>Nov</v>
      </c>
    </row>
    <row r="356" spans="1:6">
      <c r="A356" s="1193"/>
      <c r="B356" s="1194"/>
      <c r="C356" s="1193" t="s">
        <v>60</v>
      </c>
      <c r="D356" s="1223" t="s">
        <v>1392</v>
      </c>
      <c r="E356" s="1193" t="s">
        <v>1400</v>
      </c>
      <c r="F356" s="1181" t="str">
        <f>IF(Begriffe!$G$1=1,C356,IF(Begriffe!$G$1=2,D356,E356))</f>
        <v>Dez</v>
      </c>
    </row>
    <row r="357" spans="1:6">
      <c r="A357" s="1193"/>
      <c r="B357" s="1194"/>
      <c r="C357" s="1193"/>
      <c r="D357" s="1193"/>
      <c r="E357" s="1193"/>
      <c r="F357" s="1181">
        <f>IF(Begriffe!$G$1=1,C357,IF(Begriffe!$G$1=2,D357,E357))</f>
        <v>0</v>
      </c>
    </row>
    <row r="358" spans="1:6" ht="13.8">
      <c r="A358" s="1195" t="s">
        <v>1385</v>
      </c>
      <c r="B358" s="1194"/>
      <c r="C358" s="1193"/>
      <c r="D358" s="1193"/>
      <c r="E358" s="1193"/>
      <c r="F358" s="1181">
        <f>IF(Begriffe!$G$1=1,C358,IF(Begriffe!$G$1=2,D358,E358))</f>
        <v>0</v>
      </c>
    </row>
    <row r="359" spans="1:6">
      <c r="A359" s="1193"/>
      <c r="B359" s="1194"/>
      <c r="C359" s="1193" t="s">
        <v>900</v>
      </c>
      <c r="D359" s="1193" t="s">
        <v>1295</v>
      </c>
      <c r="E359" s="1193" t="s">
        <v>1366</v>
      </c>
      <c r="F359" s="1181" t="str">
        <f>IF(Begriffe!$G$1=1,C359,IF(Begriffe!$G$1=2,D359,E359))</f>
        <v>SIA 2024 - Resultate Standard</v>
      </c>
    </row>
    <row r="360" spans="1:6">
      <c r="A360" s="1193"/>
      <c r="B360" s="1194"/>
      <c r="C360" s="1193" t="s">
        <v>899</v>
      </c>
      <c r="D360" s="1193" t="s">
        <v>1296</v>
      </c>
      <c r="E360" s="1193" t="s">
        <v>1374</v>
      </c>
      <c r="F360" s="1181" t="str">
        <f>IF(Begriffe!$G$1=1,C360,IF(Begriffe!$G$1=2,D360,E360))</f>
        <v>SIA 2024 - Resultate Zielwert</v>
      </c>
    </row>
    <row r="361" spans="1:6">
      <c r="A361" s="1193"/>
      <c r="B361" s="1194"/>
      <c r="C361" s="1193" t="s">
        <v>901</v>
      </c>
      <c r="D361" s="1193" t="s">
        <v>1297</v>
      </c>
      <c r="E361" s="1193" t="s">
        <v>1375</v>
      </c>
      <c r="F361" s="1181" t="str">
        <f>IF(Begriffe!$G$1=1,C361,IF(Begriffe!$G$1=2,D361,E361))</f>
        <v>SIA 2024 - Resultate Bestand</v>
      </c>
    </row>
    <row r="362" spans="1:6">
      <c r="F362" s="1181">
        <f>IF(Begriffe!$G$1=1,C362,IF(Begriffe!$G$1=2,D362,E362))</f>
        <v>0</v>
      </c>
    </row>
    <row r="363" spans="1:6">
      <c r="F363" s="1181">
        <f>IF(Begriffe!$G$1=1,C363,IF(Begriffe!$G$1=2,D363,E363))</f>
        <v>0</v>
      </c>
    </row>
    <row r="364" spans="1:6" ht="13.8">
      <c r="A364" s="1195" t="s">
        <v>1668</v>
      </c>
      <c r="F364" s="1181">
        <f>IF(Begriffe!$G$1=1,C364,IF(Begriffe!$G$1=2,D364,E364))</f>
        <v>0</v>
      </c>
    </row>
    <row r="365" spans="1:6">
      <c r="C365" s="1134" t="s">
        <v>1671</v>
      </c>
      <c r="D365" s="1797" t="s">
        <v>1673</v>
      </c>
      <c r="E365" s="1797" t="s">
        <v>1672</v>
      </c>
      <c r="F365" s="1181" t="str">
        <f>IF(Begriffe!$G$1=1,C365,IF(Begriffe!$G$1=2,D365,E365))</f>
        <v>Anleitung - SIA 2024 Raum-Datenblätter</v>
      </c>
    </row>
    <row r="366" spans="1:6">
      <c r="F366" s="1181">
        <f>IF(Begriffe!$G$1=1,C366,IF(Begriffe!$G$1=2,D366,E366))</f>
        <v>0</v>
      </c>
    </row>
    <row r="367" spans="1:6">
      <c r="F367" s="1181">
        <f>IF(Begriffe!$G$1=1,C367,IF(Begriffe!$G$1=2,D367,E367))</f>
        <v>0</v>
      </c>
    </row>
    <row r="368" spans="1:6">
      <c r="F368" s="1181">
        <f>IF(Begriffe!$G$1=1,C368,IF(Begriffe!$G$1=2,D368,E368))</f>
        <v>0</v>
      </c>
    </row>
    <row r="369" spans="6:6">
      <c r="F369" s="1181">
        <f>IF(Begriffe!$G$1=1,C369,IF(Begriffe!$G$1=2,D369,E369))</f>
        <v>0</v>
      </c>
    </row>
    <row r="370" spans="6:6">
      <c r="F370" s="1181">
        <f>IF(Begriffe!$G$1=1,C370,IF(Begriffe!$G$1=2,D370,E370))</f>
        <v>0</v>
      </c>
    </row>
    <row r="371" spans="6:6">
      <c r="F371" s="1181">
        <f>IF(Begriffe!$G$1=1,C371,IF(Begriffe!$G$1=2,D371,E371))</f>
        <v>0</v>
      </c>
    </row>
    <row r="372" spans="6:6">
      <c r="F372" s="1181">
        <f>IF(Begriffe!$G$1=1,C372,IF(Begriffe!$G$1=2,D372,E372))</f>
        <v>0</v>
      </c>
    </row>
  </sheetData>
  <pageMargins left="0.78740157480314965" right="0.78740157480314965" top="0.78740157480314965" bottom="0.78740157480314965" header="0.31496062992125984" footer="0.31496062992125984"/>
  <pageSetup paperSize="9" orientation="portrait" verticalDpi="0" r:id="rId1"/>
  <headerFooter>
    <oddHeader>&amp;LLemon Consult&amp;R&amp;D</oddHeader>
    <oddFooter>&amp;C&amp;P/&amp;N&amp;R&amp;F</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Drop Down 1">
              <controlPr defaultSize="0" print="0" autoLine="0" autoPict="0">
                <anchor moveWithCells="1">
                  <from>
                    <xdr:col>1</xdr:col>
                    <xdr:colOff>563880</xdr:colOff>
                    <xdr:row>0</xdr:row>
                    <xdr:rowOff>60960</xdr:rowOff>
                  </from>
                  <to>
                    <xdr:col>2</xdr:col>
                    <xdr:colOff>1851660</xdr:colOff>
                    <xdr:row>0</xdr:row>
                    <xdr:rowOff>274320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9">
    <pageSetUpPr fitToPage="1"/>
  </sheetPr>
  <dimension ref="A1:HN57"/>
  <sheetViews>
    <sheetView showGridLines="0" showRowColHeaders="0" zoomScale="80" zoomScaleNormal="80" zoomScaleSheetLayoutView="40" workbookViewId="0">
      <pane xSplit="3" ySplit="9" topLeftCell="L10" activePane="bottomRight" state="frozenSplit"/>
      <selection activeCell="D33" sqref="D33"/>
      <selection pane="topRight" activeCell="D33" sqref="D33"/>
      <selection pane="bottomLeft" activeCell="D33" sqref="D33"/>
      <selection pane="bottomRight" activeCell="BG23" sqref="BG23"/>
    </sheetView>
  </sheetViews>
  <sheetFormatPr baseColWidth="10" defaultColWidth="11.44140625" defaultRowHeight="13.2"/>
  <cols>
    <col min="1" max="1" width="8.44140625" style="8" customWidth="1"/>
    <col min="2" max="2" width="4" style="252" hidden="1" customWidth="1"/>
    <col min="3" max="3" width="29.33203125" style="8" customWidth="1"/>
    <col min="4" max="4" width="5.5546875" style="8" customWidth="1"/>
    <col min="5" max="6" width="5" style="8" customWidth="1"/>
    <col min="7" max="7" width="6" style="8" hidden="1" customWidth="1"/>
    <col min="8" max="8" width="6" style="8" customWidth="1"/>
    <col min="9" max="9" width="4.6640625" style="8" customWidth="1"/>
    <col min="10" max="10" width="5.109375" style="8" customWidth="1"/>
    <col min="11" max="11" width="6.33203125" style="8" customWidth="1"/>
    <col min="12" max="12" width="5.109375" style="8" customWidth="1"/>
    <col min="13" max="13" width="4.109375" style="8" customWidth="1"/>
    <col min="14" max="14" width="3.6640625" style="8" customWidth="1"/>
    <col min="15" max="15" width="5.109375" style="8" customWidth="1"/>
    <col min="16" max="16" width="3.6640625" style="8" customWidth="1"/>
    <col min="17" max="17" width="4.109375" style="8" customWidth="1"/>
    <col min="18" max="18" width="6" style="8" customWidth="1"/>
    <col min="19" max="19" width="5.33203125" style="8" customWidth="1"/>
    <col min="20" max="21" width="5.109375" style="8" customWidth="1"/>
    <col min="22" max="22" width="4.88671875" style="8" customWidth="1"/>
    <col min="23" max="23" width="5.33203125" style="8" customWidth="1"/>
    <col min="24" max="24" width="4.5546875" style="8" customWidth="1"/>
    <col min="25" max="25" width="5.109375" style="8" customWidth="1"/>
    <col min="26" max="26" width="7.5546875" style="8" customWidth="1"/>
    <col min="27" max="27" width="6" style="8" customWidth="1"/>
    <col min="28" max="28" width="5.6640625" style="1253" customWidth="1"/>
    <col min="29" max="29" width="5.109375" style="253" customWidth="1"/>
    <col min="30" max="30" width="4.33203125" style="1254" hidden="1" customWidth="1"/>
    <col min="31" max="31" width="3.6640625" style="1254" hidden="1" customWidth="1"/>
    <col min="32" max="32" width="4.44140625" style="253" customWidth="1"/>
    <col min="33" max="33" width="4.6640625" style="253" customWidth="1"/>
    <col min="34" max="34" width="6.6640625" style="253" customWidth="1"/>
    <col min="35" max="35" width="7.5546875" style="253" customWidth="1"/>
    <col min="36" max="36" width="7.6640625" style="253" customWidth="1"/>
    <col min="37" max="37" width="4.44140625" style="8" customWidth="1"/>
    <col min="38" max="38" width="4.33203125" style="8" customWidth="1"/>
    <col min="39" max="39" width="4.5546875" style="8" customWidth="1"/>
    <col min="40" max="40" width="3.88671875" style="8" customWidth="1"/>
    <col min="41" max="41" width="5.33203125" style="8" customWidth="1"/>
    <col min="42" max="42" width="5.109375" style="8" customWidth="1"/>
    <col min="43" max="44" width="4.6640625" style="8" customWidth="1"/>
    <col min="45" max="45" width="6" style="8" customWidth="1"/>
    <col min="46" max="47" width="4.6640625" style="8" customWidth="1"/>
    <col min="48" max="48" width="5.109375" style="8" customWidth="1"/>
    <col min="49" max="49" width="4.33203125" style="8" customWidth="1"/>
    <col min="50" max="50" width="5.33203125" style="8" customWidth="1"/>
    <col min="51" max="51" width="6" style="8" hidden="1" customWidth="1"/>
    <col min="52" max="52" width="4" style="8" customWidth="1"/>
    <col min="53" max="53" width="5.88671875" style="8" customWidth="1"/>
    <col min="54" max="54" width="5" style="8" customWidth="1"/>
    <col min="55" max="56" width="4.109375" style="8" hidden="1" customWidth="1"/>
    <col min="57" max="58" width="4.33203125" style="8" hidden="1" customWidth="1"/>
    <col min="59" max="59" width="6" style="8" customWidth="1"/>
    <col min="60" max="60" width="3.6640625" style="8" customWidth="1"/>
    <col min="61" max="63" width="7.109375" style="8" hidden="1" customWidth="1"/>
    <col min="64" max="64" width="5.5546875" style="8" customWidth="1"/>
    <col min="65" max="67" width="5.5546875" style="8" hidden="1" customWidth="1"/>
    <col min="68" max="68" width="5.33203125" style="1255" customWidth="1"/>
    <col min="69" max="69" width="5.44140625" style="8" hidden="1" customWidth="1"/>
    <col min="70" max="70" width="5.109375" style="8" customWidth="1"/>
    <col min="71" max="71" width="5.6640625" style="8" customWidth="1"/>
    <col min="72" max="73" width="9.109375" style="8" customWidth="1"/>
    <col min="74" max="74" width="9.33203125" style="8" customWidth="1"/>
    <col min="75" max="75" width="8.88671875" style="10" customWidth="1"/>
    <col min="76" max="77" width="5.33203125" style="10" customWidth="1"/>
    <col min="78" max="78" width="8.33203125" style="10" customWidth="1"/>
    <col min="79" max="80" width="5.33203125" style="10" customWidth="1"/>
    <col min="81" max="81" width="36.88671875" style="8" customWidth="1"/>
    <col min="82" max="82" width="6.33203125" style="8" customWidth="1"/>
    <col min="83" max="84" width="6" style="8" customWidth="1"/>
    <col min="85" max="85" width="15.5546875" style="8" hidden="1" customWidth="1"/>
    <col min="86" max="86" width="14" style="8" hidden="1" customWidth="1"/>
    <col min="87" max="87" width="10.33203125" style="8" hidden="1" customWidth="1"/>
    <col min="88" max="90" width="14" style="8" hidden="1" customWidth="1"/>
    <col min="91" max="97" width="4.6640625" style="8" hidden="1" customWidth="1"/>
    <col min="98" max="98" width="10.33203125" style="8" customWidth="1"/>
    <col min="99" max="100" width="5.5546875" style="8" customWidth="1"/>
    <col min="101" max="101" width="6" style="10" customWidth="1"/>
    <col min="102" max="102" width="5.6640625" style="8" customWidth="1"/>
    <col min="103" max="103" width="4.44140625" style="10" customWidth="1"/>
    <col min="104" max="104" width="16.6640625" style="4" hidden="1" customWidth="1"/>
    <col min="105" max="128" width="3.88671875" style="8" customWidth="1"/>
    <col min="129" max="152" width="3.6640625" style="8" customWidth="1"/>
    <col min="153" max="153" width="7.6640625" style="3" hidden="1" customWidth="1"/>
    <col min="154" max="165" width="3.6640625" style="8" customWidth="1"/>
    <col min="166" max="167" width="9.33203125" style="3" customWidth="1"/>
    <col min="168" max="168" width="5.109375" style="3" hidden="1" customWidth="1"/>
    <col min="169" max="169" width="5" style="3" hidden="1" customWidth="1"/>
    <col min="170" max="171" width="4.6640625" style="3" hidden="1" customWidth="1"/>
    <col min="172" max="172" width="5.109375" style="3" hidden="1" customWidth="1"/>
    <col min="173" max="173" width="5.88671875" style="3" hidden="1" customWidth="1"/>
    <col min="174" max="174" width="5.33203125" style="3" hidden="1" customWidth="1"/>
    <col min="175" max="175" width="5" style="3" hidden="1" customWidth="1"/>
    <col min="176" max="176" width="4.33203125" style="3" hidden="1" customWidth="1"/>
    <col min="177" max="177" width="5.5546875" style="3" hidden="1" customWidth="1"/>
    <col min="178" max="178" width="38" style="8" hidden="1" customWidth="1"/>
    <col min="179" max="179" width="7.109375" style="8" hidden="1" customWidth="1"/>
    <col min="180" max="180" width="8" style="8" hidden="1" customWidth="1"/>
    <col min="181" max="181" width="5.6640625" style="8" hidden="1" customWidth="1"/>
    <col min="182" max="184" width="11.44140625" style="8" hidden="1" customWidth="1"/>
    <col min="185" max="189" width="4.44140625" style="8" hidden="1" customWidth="1"/>
    <col min="190" max="190" width="8" style="8" hidden="1" customWidth="1"/>
    <col min="191" max="191" width="7.109375" style="8" hidden="1" customWidth="1"/>
    <col min="192" max="192" width="5.5546875" style="8" hidden="1" customWidth="1"/>
    <col min="193" max="193" width="9.109375" style="8" hidden="1" customWidth="1"/>
    <col min="194" max="205" width="4.44140625" style="8" hidden="1" customWidth="1"/>
    <col min="206" max="206" width="6.6640625" style="8" hidden="1" customWidth="1"/>
    <col min="207" max="207" width="3.6640625" style="8" hidden="1" customWidth="1"/>
    <col min="208" max="208" width="3.5546875" style="8" hidden="1" customWidth="1"/>
    <col min="209" max="209" width="5.5546875" style="8" hidden="1" customWidth="1"/>
    <col min="210" max="216" width="5.33203125" style="1256" hidden="1" customWidth="1"/>
    <col min="217" max="221" width="11.44140625" style="8" hidden="1" customWidth="1"/>
    <col min="222" max="222" width="2.88671875" style="8" hidden="1" customWidth="1"/>
    <col min="223" max="239" width="11.44140625" style="8" customWidth="1"/>
    <col min="240" max="16384" width="11.44140625" style="8"/>
  </cols>
  <sheetData>
    <row r="1" spans="1:222" ht="15.6">
      <c r="A1" s="356" t="s">
        <v>902</v>
      </c>
      <c r="HI1" s="1257"/>
    </row>
    <row r="2" spans="1:222" ht="7.5" customHeight="1">
      <c r="A2" s="356"/>
      <c r="HI2" s="1257"/>
    </row>
    <row r="3" spans="1:222" s="1257" customFormat="1" ht="12" customHeight="1">
      <c r="B3" s="1258" t="s">
        <v>26</v>
      </c>
      <c r="G3" s="1257" t="s">
        <v>26</v>
      </c>
      <c r="AC3" s="1259"/>
      <c r="AD3" s="1259" t="s">
        <v>26</v>
      </c>
      <c r="AE3" s="1259" t="s">
        <v>26</v>
      </c>
      <c r="AF3" s="1259"/>
      <c r="AG3" s="1259"/>
      <c r="AI3" s="1259"/>
      <c r="AJ3" s="1259"/>
      <c r="AY3" s="1257" t="s">
        <v>26</v>
      </c>
      <c r="BC3" s="1257" t="s">
        <v>26</v>
      </c>
      <c r="BD3" s="1257" t="s">
        <v>26</v>
      </c>
      <c r="BE3" s="1257" t="s">
        <v>26</v>
      </c>
      <c r="BF3" s="1257" t="s">
        <v>26</v>
      </c>
      <c r="BI3" s="1257" t="s">
        <v>26</v>
      </c>
      <c r="BJ3" s="1257" t="s">
        <v>26</v>
      </c>
      <c r="BK3" s="1257" t="s">
        <v>26</v>
      </c>
      <c r="BM3" s="1257" t="s">
        <v>26</v>
      </c>
      <c r="BN3" s="1257" t="s">
        <v>26</v>
      </c>
      <c r="BO3" s="1257" t="s">
        <v>26</v>
      </c>
      <c r="BQ3" s="1257" t="s">
        <v>26</v>
      </c>
      <c r="BW3" s="873"/>
      <c r="BX3" s="873"/>
      <c r="BY3" s="873"/>
      <c r="BZ3" s="873"/>
      <c r="CA3" s="873"/>
      <c r="CB3" s="873"/>
      <c r="CG3" s="1257" t="s">
        <v>26</v>
      </c>
      <c r="CH3" s="1257" t="s">
        <v>26</v>
      </c>
      <c r="CI3" s="1257" t="s">
        <v>26</v>
      </c>
      <c r="CJ3" s="1257" t="s">
        <v>26</v>
      </c>
      <c r="CK3" s="1257" t="s">
        <v>26</v>
      </c>
      <c r="CL3" s="1257" t="s">
        <v>26</v>
      </c>
      <c r="CM3" s="1257" t="s">
        <v>26</v>
      </c>
      <c r="CN3" s="1257" t="s">
        <v>26</v>
      </c>
      <c r="CO3" s="1257" t="s">
        <v>26</v>
      </c>
      <c r="CP3" s="1257" t="s">
        <v>26</v>
      </c>
      <c r="CQ3" s="1257" t="s">
        <v>26</v>
      </c>
      <c r="CR3" s="1257" t="s">
        <v>26</v>
      </c>
      <c r="CS3" s="1257" t="s">
        <v>26</v>
      </c>
      <c r="CW3" s="873"/>
      <c r="CY3" s="873"/>
      <c r="CZ3" s="873" t="s">
        <v>26</v>
      </c>
      <c r="EW3" s="1257" t="s">
        <v>26</v>
      </c>
      <c r="FL3" s="1257" t="s">
        <v>26</v>
      </c>
      <c r="FM3" s="1257" t="s">
        <v>26</v>
      </c>
      <c r="FN3" s="1257" t="s">
        <v>26</v>
      </c>
      <c r="FO3" s="1257" t="s">
        <v>26</v>
      </c>
      <c r="FP3" s="1257" t="s">
        <v>26</v>
      </c>
      <c r="FQ3" s="1257" t="s">
        <v>26</v>
      </c>
      <c r="FR3" s="1257" t="s">
        <v>26</v>
      </c>
      <c r="FS3" s="1257" t="s">
        <v>26</v>
      </c>
      <c r="FT3" s="1257" t="s">
        <v>26</v>
      </c>
      <c r="FU3" s="1257" t="s">
        <v>26</v>
      </c>
      <c r="FV3" s="1257" t="s">
        <v>26</v>
      </c>
      <c r="FW3" s="1257" t="s">
        <v>26</v>
      </c>
      <c r="FX3" s="1257" t="s">
        <v>26</v>
      </c>
      <c r="FY3" s="1257" t="s">
        <v>26</v>
      </c>
      <c r="FZ3" s="1257" t="s">
        <v>26</v>
      </c>
      <c r="GA3" s="1257" t="s">
        <v>26</v>
      </c>
      <c r="GB3" s="1257" t="s">
        <v>26</v>
      </c>
      <c r="GC3" s="1257" t="s">
        <v>26</v>
      </c>
      <c r="GD3" s="1257" t="s">
        <v>26</v>
      </c>
      <c r="GE3" s="1257" t="s">
        <v>26</v>
      </c>
      <c r="GF3" s="1257" t="s">
        <v>26</v>
      </c>
      <c r="GG3" s="1257" t="s">
        <v>26</v>
      </c>
      <c r="GH3" s="1257" t="s">
        <v>26</v>
      </c>
      <c r="GI3" s="1257" t="s">
        <v>26</v>
      </c>
      <c r="GJ3" s="1257" t="s">
        <v>26</v>
      </c>
      <c r="GK3" s="1257" t="s">
        <v>26</v>
      </c>
      <c r="GL3" s="1257" t="s">
        <v>26</v>
      </c>
      <c r="GM3" s="1257" t="s">
        <v>26</v>
      </c>
      <c r="GN3" s="1257" t="s">
        <v>26</v>
      </c>
      <c r="GO3" s="1257" t="s">
        <v>26</v>
      </c>
      <c r="GP3" s="1257" t="s">
        <v>26</v>
      </c>
      <c r="GQ3" s="1257" t="s">
        <v>26</v>
      </c>
      <c r="GR3" s="1257" t="s">
        <v>26</v>
      </c>
      <c r="GS3" s="1257" t="s">
        <v>26</v>
      </c>
      <c r="GT3" s="1257" t="s">
        <v>26</v>
      </c>
      <c r="GU3" s="1257" t="s">
        <v>26</v>
      </c>
      <c r="GV3" s="1257" t="s">
        <v>26</v>
      </c>
      <c r="GW3" s="1257" t="s">
        <v>26</v>
      </c>
      <c r="GX3" s="1257" t="s">
        <v>26</v>
      </c>
      <c r="GY3" s="1257" t="s">
        <v>26</v>
      </c>
      <c r="GZ3" s="1257" t="s">
        <v>26</v>
      </c>
      <c r="HB3" s="1260"/>
      <c r="HC3" s="1260"/>
      <c r="HD3" s="1260"/>
      <c r="HE3" s="1260"/>
      <c r="HF3" s="1260"/>
      <c r="HG3" s="1260"/>
      <c r="HH3" s="1260"/>
    </row>
    <row r="4" spans="1:222" s="396" customFormat="1">
      <c r="A4" s="286" t="str">
        <f>Begriffe!F195</f>
        <v>Raumnutzung</v>
      </c>
      <c r="B4" s="1261"/>
      <c r="C4" s="287"/>
      <c r="D4" s="286" t="str">
        <f>Begriffe!F197</f>
        <v>Raumabmessungen</v>
      </c>
      <c r="E4" s="52"/>
      <c r="F4" s="52"/>
      <c r="G4" s="52"/>
      <c r="H4" s="52"/>
      <c r="I4" s="52"/>
      <c r="J4" s="52"/>
      <c r="K4" s="52"/>
      <c r="L4" s="286" t="str">
        <f>Begriffe!F198</f>
        <v>Bauphysikalische Eigenschaften</v>
      </c>
      <c r="M4" s="52"/>
      <c r="N4" s="52"/>
      <c r="O4" s="52"/>
      <c r="P4" s="52"/>
      <c r="Q4" s="52"/>
      <c r="R4" s="52"/>
      <c r="S4" s="52"/>
      <c r="T4" s="52"/>
      <c r="U4" s="52"/>
      <c r="V4" s="52"/>
      <c r="W4" s="52"/>
      <c r="X4" s="52"/>
      <c r="Y4" s="52"/>
      <c r="Z4" s="52"/>
      <c r="AA4" s="52"/>
      <c r="AB4" s="286" t="str">
        <f>Begriffe!F199</f>
        <v>Raumklima</v>
      </c>
      <c r="AC4" s="1262"/>
      <c r="AD4" s="1262"/>
      <c r="AE4" s="1262"/>
      <c r="AF4" s="1263"/>
      <c r="AG4" s="1262"/>
      <c r="AH4" s="286" t="str">
        <f>Begriffe!F200</f>
        <v>Raumakustik</v>
      </c>
      <c r="AI4" s="1263"/>
      <c r="AJ4" s="1264"/>
      <c r="AK4" s="286" t="str">
        <f>Begriffe!F201</f>
        <v>Personen</v>
      </c>
      <c r="AL4" s="52"/>
      <c r="AM4" s="52"/>
      <c r="AN4" s="52"/>
      <c r="AO4" s="1265"/>
      <c r="AP4" s="286" t="str">
        <f>Begriffe!F202</f>
        <v>Geräte</v>
      </c>
      <c r="AQ4" s="52"/>
      <c r="AR4" s="52"/>
      <c r="AS4" s="52"/>
      <c r="AT4" s="52"/>
      <c r="AU4" s="52"/>
      <c r="AV4" s="1265"/>
      <c r="AW4" s="286" t="str">
        <f>Begriffe!F203</f>
        <v>Beleuchtung</v>
      </c>
      <c r="AX4" s="52"/>
      <c r="AY4" s="52"/>
      <c r="AZ4" s="52"/>
      <c r="BA4" s="52"/>
      <c r="BB4" s="52"/>
      <c r="BC4" s="52"/>
      <c r="BD4" s="52"/>
      <c r="BE4" s="52"/>
      <c r="BF4" s="52"/>
      <c r="BG4" s="52"/>
      <c r="BH4" s="52"/>
      <c r="BI4" s="64" t="str">
        <f>Begriffe!F204</f>
        <v>Anschlussleistung</v>
      </c>
      <c r="BJ4" s="52"/>
      <c r="BK4" s="52"/>
      <c r="BL4" s="286" t="str">
        <f>Begriffe!F205</f>
        <v>Lüftung</v>
      </c>
      <c r="BM4" s="52"/>
      <c r="BN4" s="52"/>
      <c r="BO4" s="52"/>
      <c r="BP4" s="1266"/>
      <c r="BQ4" s="1266"/>
      <c r="BR4" s="52"/>
      <c r="BS4" s="52"/>
      <c r="BT4" s="52"/>
      <c r="BU4" s="52"/>
      <c r="BV4" s="52"/>
      <c r="BW4" s="52"/>
      <c r="BX4" s="52"/>
      <c r="BY4" s="52"/>
      <c r="BZ4" s="52"/>
      <c r="CA4" s="52"/>
      <c r="CB4" s="52"/>
      <c r="CC4" s="52"/>
      <c r="CD4" s="52"/>
      <c r="CE4" s="52"/>
      <c r="CF4" s="1265"/>
      <c r="CG4" s="1265" t="str">
        <f>Begriffe!F206</f>
        <v>Raumkühlung</v>
      </c>
      <c r="CH4" s="1265"/>
      <c r="CI4" s="1265"/>
      <c r="CJ4" s="1265"/>
      <c r="CK4" s="1265"/>
      <c r="CL4" s="1265"/>
      <c r="CM4" s="1267" t="str">
        <f>Begriffe!F207</f>
        <v>Befeuchtung</v>
      </c>
      <c r="CN4" s="1267"/>
      <c r="CO4" s="1267"/>
      <c r="CP4" s="1267"/>
      <c r="CQ4" s="1267" t="str">
        <f>Begriffe!F208</f>
        <v>Raumheizung</v>
      </c>
      <c r="CR4" s="1267"/>
      <c r="CS4" s="1267"/>
      <c r="CT4" s="286" t="str">
        <f>Begriffe!F211</f>
        <v>Wasser und Warmwasser</v>
      </c>
      <c r="CU4" s="52"/>
      <c r="CV4" s="52"/>
      <c r="CW4" s="52"/>
      <c r="CX4" s="52"/>
      <c r="CY4" s="1265"/>
      <c r="CZ4" s="1267" t="str">
        <f>Begriffe!F212</f>
        <v>Tagesprofil-Typ</v>
      </c>
      <c r="DA4" s="286" t="str">
        <f>Begriffe!F213</f>
        <v>Personenprofil (Nutzungstag)</v>
      </c>
      <c r="DB4" s="52"/>
      <c r="DC4" s="52"/>
      <c r="DD4" s="52"/>
      <c r="DE4" s="52"/>
      <c r="DF4" s="52"/>
      <c r="DG4" s="52"/>
      <c r="DH4" s="52"/>
      <c r="DI4" s="52"/>
      <c r="DJ4" s="52"/>
      <c r="DK4" s="52"/>
      <c r="DL4" s="52"/>
      <c r="DM4" s="52"/>
      <c r="DN4" s="52"/>
      <c r="DO4" s="52"/>
      <c r="DP4" s="52"/>
      <c r="DQ4" s="52"/>
      <c r="DR4" s="52"/>
      <c r="DS4" s="52"/>
      <c r="DT4" s="52"/>
      <c r="DU4" s="52"/>
      <c r="DV4" s="52"/>
      <c r="DW4" s="52"/>
      <c r="DX4" s="1265"/>
      <c r="DY4" s="286" t="str">
        <f>Begriffe!F214</f>
        <v>Geräteprofil (Nutzungstag)</v>
      </c>
      <c r="DZ4" s="52"/>
      <c r="EA4" s="52"/>
      <c r="EB4" s="52"/>
      <c r="EC4" s="52"/>
      <c r="ED4" s="52"/>
      <c r="EE4" s="52"/>
      <c r="EF4" s="52"/>
      <c r="EG4" s="52"/>
      <c r="EH4" s="52"/>
      <c r="EI4" s="52"/>
      <c r="EJ4" s="52"/>
      <c r="EK4" s="52"/>
      <c r="EL4" s="52"/>
      <c r="EM4" s="52"/>
      <c r="EN4" s="52"/>
      <c r="EO4" s="52"/>
      <c r="EP4" s="52"/>
      <c r="EQ4" s="52"/>
      <c r="ER4" s="52"/>
      <c r="ES4" s="52"/>
      <c r="ET4" s="52"/>
      <c r="EU4" s="52"/>
      <c r="EV4" s="1265"/>
      <c r="EW4" s="64"/>
      <c r="EX4" s="286" t="str">
        <f>Begriffe!F32</f>
        <v>Jahresprofil</v>
      </c>
      <c r="EY4" s="52"/>
      <c r="EZ4" s="52"/>
      <c r="FA4" s="52"/>
      <c r="FB4" s="52"/>
      <c r="FC4" s="52"/>
      <c r="FD4" s="52"/>
      <c r="FE4" s="52"/>
      <c r="FF4" s="52"/>
      <c r="FG4" s="52"/>
      <c r="FH4" s="52"/>
      <c r="FI4" s="1265"/>
      <c r="FJ4" s="286" t="str">
        <f>Begriffe!F215</f>
        <v>Nutzungstage</v>
      </c>
      <c r="FK4" s="1265"/>
      <c r="FL4" s="64" t="str">
        <f>Begriffe!F216</f>
        <v>Personen-Stunden</v>
      </c>
      <c r="FM4" s="52"/>
      <c r="FN4" s="52"/>
      <c r="FO4" s="52"/>
      <c r="FP4" s="52"/>
      <c r="FQ4" s="1265"/>
      <c r="FR4" s="64" t="str">
        <f>Begriffe!F217</f>
        <v>Geräte-Stunden</v>
      </c>
      <c r="FS4" s="52"/>
      <c r="FT4" s="52"/>
      <c r="FU4" s="1265"/>
      <c r="FV4" s="64" t="str">
        <f>Begriffe!F218</f>
        <v>Kommentare</v>
      </c>
      <c r="FW4" s="52"/>
      <c r="FX4" s="52"/>
      <c r="FY4" s="52"/>
      <c r="FZ4" s="52"/>
      <c r="GA4" s="1265"/>
      <c r="GK4" s="396" t="s">
        <v>214</v>
      </c>
      <c r="HB4" s="1268" t="s">
        <v>322</v>
      </c>
      <c r="HC4" s="1268"/>
      <c r="HD4" s="1268"/>
      <c r="HE4" s="1268"/>
      <c r="HF4" s="1268"/>
      <c r="HG4" s="1268"/>
      <c r="HH4" s="1268"/>
      <c r="HI4" s="396" t="s">
        <v>342</v>
      </c>
      <c r="HL4" s="396" t="s">
        <v>625</v>
      </c>
    </row>
    <row r="5" spans="1:222" s="368" customFormat="1">
      <c r="A5" s="1269"/>
      <c r="B5" s="1270"/>
      <c r="C5" s="1271"/>
      <c r="D5" s="367"/>
      <c r="G5" s="1272"/>
      <c r="L5" s="367"/>
      <c r="AB5" s="1273" t="s">
        <v>893</v>
      </c>
      <c r="AC5" s="1274"/>
      <c r="AD5" s="1274"/>
      <c r="AE5" s="1275"/>
      <c r="AF5" s="1276"/>
      <c r="AG5" s="1274"/>
      <c r="AH5" s="1277" t="s">
        <v>207</v>
      </c>
      <c r="AI5" s="1276"/>
      <c r="AJ5" s="1278"/>
      <c r="AK5" s="367"/>
      <c r="AO5" s="1279"/>
      <c r="AP5" s="1280"/>
      <c r="AV5" s="1279"/>
      <c r="AW5" s="367" t="s">
        <v>151</v>
      </c>
      <c r="AY5" s="873"/>
      <c r="BC5" s="4"/>
      <c r="BD5" s="4"/>
      <c r="BI5" s="1280"/>
      <c r="BJ5" s="1272"/>
      <c r="BK5" s="1272"/>
      <c r="BL5" s="1280" t="s">
        <v>865</v>
      </c>
      <c r="BM5" s="1272"/>
      <c r="BN5" s="1272"/>
      <c r="BP5" s="1281"/>
      <c r="CF5" s="1279"/>
      <c r="CG5" s="1279"/>
      <c r="CH5" s="1279"/>
      <c r="CI5" s="1279"/>
      <c r="CJ5" s="1279"/>
      <c r="CK5" s="1279"/>
      <c r="CL5" s="1279"/>
      <c r="CM5" s="1282"/>
      <c r="CN5" s="1282"/>
      <c r="CO5" s="1282"/>
      <c r="CP5" s="1282"/>
      <c r="CQ5" s="1282"/>
      <c r="CR5" s="1282"/>
      <c r="CS5" s="1282"/>
      <c r="CT5" s="1280" t="s">
        <v>846</v>
      </c>
      <c r="CU5" s="1272"/>
      <c r="CV5" s="1272"/>
      <c r="CX5" s="1272"/>
      <c r="CY5" s="1279"/>
      <c r="CZ5" s="1283"/>
      <c r="DA5" s="367"/>
      <c r="DX5" s="1279"/>
      <c r="DY5" s="367"/>
      <c r="EV5" s="1279"/>
      <c r="EW5" s="1284"/>
      <c r="EX5" s="367"/>
      <c r="FI5" s="1279"/>
      <c r="FJ5" s="367"/>
      <c r="FK5" s="1279"/>
      <c r="FL5" s="367"/>
      <c r="FQ5" s="1279"/>
      <c r="FR5" s="367"/>
      <c r="FU5" s="1279"/>
      <c r="FV5" s="367"/>
      <c r="GA5" s="1279"/>
      <c r="HB5" s="1285"/>
      <c r="HC5" s="1285"/>
      <c r="HD5" s="1285"/>
      <c r="HE5" s="1285"/>
      <c r="HF5" s="1285"/>
      <c r="HG5" s="1285"/>
      <c r="HH5" s="1285"/>
    </row>
    <row r="6" spans="1:222" s="1291" customFormat="1" ht="33" hidden="1" customHeight="1">
      <c r="A6" s="1286" t="s">
        <v>1157</v>
      </c>
      <c r="B6" s="1287"/>
      <c r="C6" s="1288">
        <v>399</v>
      </c>
      <c r="D6" s="1289">
        <v>300</v>
      </c>
      <c r="E6" s="1290">
        <v>301</v>
      </c>
      <c r="F6" s="1290">
        <v>302</v>
      </c>
      <c r="G6" s="1290">
        <v>303</v>
      </c>
      <c r="H6" s="1290">
        <v>171</v>
      </c>
      <c r="I6" s="1290">
        <v>120</v>
      </c>
      <c r="J6" s="1291">
        <v>100</v>
      </c>
      <c r="K6" s="1291">
        <v>307</v>
      </c>
      <c r="L6" s="1292">
        <v>308</v>
      </c>
      <c r="O6" s="1291">
        <v>309</v>
      </c>
      <c r="R6" s="1291">
        <v>310</v>
      </c>
      <c r="U6" s="1291">
        <v>311</v>
      </c>
      <c r="X6" s="1291">
        <v>146</v>
      </c>
      <c r="Y6" s="1291">
        <v>162</v>
      </c>
      <c r="Z6" s="1291">
        <v>167</v>
      </c>
      <c r="AA6" s="1291">
        <v>184</v>
      </c>
      <c r="AB6" s="1293">
        <v>160</v>
      </c>
      <c r="AD6" s="1291">
        <v>317</v>
      </c>
      <c r="AE6" s="1290">
        <v>318</v>
      </c>
      <c r="AF6" s="1291">
        <v>163</v>
      </c>
      <c r="AH6" s="1292">
        <v>142</v>
      </c>
      <c r="AI6" s="1291">
        <v>108</v>
      </c>
      <c r="AJ6" s="1294">
        <v>149</v>
      </c>
      <c r="AK6" s="1292">
        <v>156</v>
      </c>
      <c r="AL6" s="1295">
        <v>101</v>
      </c>
      <c r="AM6" s="1291">
        <v>178</v>
      </c>
      <c r="AO6" s="1294">
        <v>117</v>
      </c>
      <c r="AP6" s="1293">
        <v>113</v>
      </c>
      <c r="AS6" s="1291">
        <v>181</v>
      </c>
      <c r="AV6" s="1294">
        <v>143</v>
      </c>
      <c r="AW6" s="1292">
        <v>107</v>
      </c>
      <c r="AX6" s="1291">
        <v>109</v>
      </c>
      <c r="AY6" s="1290">
        <v>332</v>
      </c>
      <c r="AZ6" s="1291">
        <v>152</v>
      </c>
      <c r="BA6" s="1291">
        <v>334</v>
      </c>
      <c r="BB6" s="1291">
        <v>141</v>
      </c>
      <c r="BC6" s="1291">
        <v>336</v>
      </c>
      <c r="BE6" s="1291">
        <v>112</v>
      </c>
      <c r="BG6" s="1291">
        <v>111</v>
      </c>
      <c r="BI6" s="1293">
        <v>339</v>
      </c>
      <c r="BJ6" s="1290">
        <v>340</v>
      </c>
      <c r="BK6" s="1290">
        <v>341</v>
      </c>
      <c r="BL6" s="1293">
        <v>342</v>
      </c>
      <c r="BM6" s="1290">
        <v>343</v>
      </c>
      <c r="BN6" s="1290">
        <v>344</v>
      </c>
      <c r="BO6" s="1290">
        <v>345</v>
      </c>
      <c r="BP6" s="1290">
        <v>104</v>
      </c>
      <c r="BQ6" s="1290">
        <v>347</v>
      </c>
      <c r="BR6" s="1290">
        <v>105</v>
      </c>
      <c r="BT6" s="1291">
        <v>166</v>
      </c>
      <c r="BW6" s="1291">
        <v>168</v>
      </c>
      <c r="BZ6" s="1291">
        <v>125</v>
      </c>
      <c r="CC6" s="1291">
        <v>102</v>
      </c>
      <c r="CD6" s="1291">
        <v>165</v>
      </c>
      <c r="CF6" s="1294"/>
      <c r="CG6" s="1294">
        <v>151</v>
      </c>
      <c r="CH6" s="1294"/>
      <c r="CI6" s="1294"/>
      <c r="CJ6" s="1294"/>
      <c r="CK6" s="1294"/>
      <c r="CL6" s="1294"/>
      <c r="CM6" s="1296">
        <v>117</v>
      </c>
      <c r="CN6" s="1296"/>
      <c r="CO6" s="1296"/>
      <c r="CP6" s="1296">
        <v>355</v>
      </c>
      <c r="CQ6" s="1296"/>
      <c r="CR6" s="1296"/>
      <c r="CS6" s="1296"/>
      <c r="CT6" s="1293">
        <v>110</v>
      </c>
      <c r="CU6" s="1290">
        <v>155</v>
      </c>
      <c r="CV6" s="1290">
        <v>103</v>
      </c>
      <c r="CW6" s="1290">
        <v>186</v>
      </c>
      <c r="CX6" s="1290">
        <v>173</v>
      </c>
      <c r="CY6" s="1294">
        <v>187</v>
      </c>
      <c r="CZ6" s="1297"/>
      <c r="DA6" s="1292"/>
      <c r="DX6" s="1294"/>
      <c r="DY6" s="1292"/>
      <c r="EV6" s="1294"/>
      <c r="EW6" s="1293">
        <v>362</v>
      </c>
      <c r="EX6" s="1292"/>
      <c r="FI6" s="1294"/>
      <c r="FJ6" s="1292">
        <v>164</v>
      </c>
      <c r="FK6" s="1294">
        <v>154</v>
      </c>
      <c r="FL6" s="1292">
        <v>365</v>
      </c>
      <c r="FM6" s="1291">
        <v>366</v>
      </c>
      <c r="FN6" s="1291">
        <v>367</v>
      </c>
      <c r="FO6" s="1291">
        <v>368</v>
      </c>
      <c r="FP6" s="1291">
        <v>124</v>
      </c>
      <c r="FQ6" s="1294">
        <v>174</v>
      </c>
      <c r="FR6" s="1292">
        <v>371</v>
      </c>
      <c r="FS6" s="1291">
        <v>372</v>
      </c>
      <c r="FT6" s="1291">
        <v>373</v>
      </c>
      <c r="FU6" s="1294">
        <v>374</v>
      </c>
      <c r="FV6" s="1292">
        <v>375</v>
      </c>
      <c r="FW6" s="1291">
        <v>376</v>
      </c>
      <c r="FX6" s="1291">
        <v>377</v>
      </c>
      <c r="FY6" s="1291">
        <v>378</v>
      </c>
      <c r="FZ6" s="1291">
        <v>379</v>
      </c>
      <c r="GA6" s="1294">
        <v>380</v>
      </c>
      <c r="HB6" s="1298"/>
      <c r="HC6" s="1298"/>
      <c r="HD6" s="1298"/>
      <c r="HE6" s="1298"/>
      <c r="HF6" s="1298"/>
      <c r="HG6" s="1298"/>
      <c r="HH6" s="1298"/>
    </row>
    <row r="7" spans="1:222" s="1321" customFormat="1" ht="148.5" customHeight="1">
      <c r="A7" s="1299" t="s">
        <v>714</v>
      </c>
      <c r="B7" s="1300" t="s">
        <v>713</v>
      </c>
      <c r="C7" s="838" t="str">
        <f>Begriffe!C194</f>
        <v>Bezeichnung</v>
      </c>
      <c r="D7" s="443" t="str">
        <f>IF(D6=0,"",VLOOKUP(Eingabedaten!D6,Begriffe!$A$6:$E$442,Begriffe!$D$1+2))</f>
        <v>Raumlänge</v>
      </c>
      <c r="E7" s="838" t="str">
        <f>IF(E6=0,"",VLOOKUP(Eingabedaten!E6,Begriffe!$A$6:$E$442,Begriffe!$D$1+2))</f>
        <v>Raumtiefe</v>
      </c>
      <c r="F7" s="838" t="str">
        <f>IF(F6=0,"",VLOOKUP(Eingabedaten!F6,Begriffe!$A$6:$E$442,Begriffe!$D$1+2))</f>
        <v>Raumhöhe</v>
      </c>
      <c r="G7" s="838" t="str">
        <f>IF(G6=0,"",VLOOKUP(Eingabedaten!G6,Begriffe!$A$6:$E$442,Begriffe!$D$1+2))</f>
        <v>Nettogeschossfläche</v>
      </c>
      <c r="H7" s="838" t="str">
        <f>IF(H6=0,"",VLOOKUP(Eingabedaten!H6,Begriffe!$A$6:$E$442,Begriffe!$D$1+2))</f>
        <v>Thermische Gebäudehüllfläche</v>
      </c>
      <c r="I7" s="1301" t="str">
        <f>IF(I6=0,"",VLOOKUP(Eingabedaten!I6,Begriffe!$A$6:$E$442,Begriffe!$D$1+2))</f>
        <v>Glasanteil</v>
      </c>
      <c r="J7" s="175" t="str">
        <f>IF(J6=0,"",VLOOKUP(Eingabedaten!J6,Begriffe!$A$6:$E$442,Begriffe!$D$1+2))</f>
        <v>Abminderungsfaktor für Fensterrahmen</v>
      </c>
      <c r="K7" s="838" t="str">
        <f>IF(K6=0,"",VLOOKUP(Eingabedaten!K6,Begriffe!$A$6:$E$442,Begriffe!$D$1+2))</f>
        <v>Fensteranteil, Bruttofassade</v>
      </c>
      <c r="L7" s="443" t="str">
        <f>IF(L6=0,"",VLOOKUP(Eingabedaten!L6,Begriffe!$A$6:$E$442,Begriffe!$D$1+2))</f>
        <v>U-Wert Fenster</v>
      </c>
      <c r="M7" s="175" t="str">
        <f>IF(M6=0,"",VLOOKUP(Eingabedaten!M6,Begriffe!$A$6:$E$442,Begriffe!$D$1+2))</f>
        <v/>
      </c>
      <c r="N7" s="175" t="str">
        <f>IF(N6=0,"",VLOOKUP(Eingabedaten!N6,Begriffe!$A$6:$E$442,Begriffe!$D$1+2))</f>
        <v/>
      </c>
      <c r="O7" s="838" t="str">
        <f>IF(O6=0,"",VLOOKUP(Eingabedaten!O6,Begriffe!$A$6:$E$442,Begriffe!$D$1+2))</f>
        <v>U-Wert opake Bauteile</v>
      </c>
      <c r="P7" s="175" t="str">
        <f>IF(P6=0,"",VLOOKUP(Eingabedaten!P6,Begriffe!$A$6:$E$442,Begriffe!$D$1+2))</f>
        <v/>
      </c>
      <c r="Q7" s="175" t="str">
        <f>IF(Q6=0,"",VLOOKUP(Eingabedaten!Q6,Begriffe!$A$6:$E$442,Begriffe!$D$1+2))</f>
        <v/>
      </c>
      <c r="R7" s="838" t="str">
        <f>IF(R6=0,"",VLOOKUP(Eingabedaten!R6,Begriffe!$A$6:$E$442,Begriffe!$D$1+2))</f>
        <v>Gesamtenergiedurchlassgrad Verglasung</v>
      </c>
      <c r="S7" s="175" t="str">
        <f>IF(S6=0,"",VLOOKUP(Eingabedaten!S6,Begriffe!$A$6:$E$442,Begriffe!$D$1+2))</f>
        <v/>
      </c>
      <c r="T7" s="175" t="str">
        <f>IF(T6=0,"",VLOOKUP(Eingabedaten!T6,Begriffe!$A$6:$E$442,Begriffe!$D$1+2))</f>
        <v/>
      </c>
      <c r="U7" s="838" t="str">
        <f>IF(U6=0,"",VLOOKUP(Eingabedaten!U6,Begriffe!$A$6:$E$442,Begriffe!$D$1+2))</f>
        <v>Gesamtenergiedurchlassgrad Verglasung und Sonnenschutz</v>
      </c>
      <c r="V7" s="175" t="str">
        <f>IF(V6=0,"",VLOOKUP(Eingabedaten!V6,Begriffe!$A$6:$E$442,Begriffe!$D$1+2))</f>
        <v/>
      </c>
      <c r="W7" s="175" t="str">
        <f>IF(W6=0,"",VLOOKUP(Eingabedaten!W6,Begriffe!$A$6:$E$442,Begriffe!$D$1+2))</f>
        <v/>
      </c>
      <c r="X7" s="838" t="str">
        <f>IF(X6=0,"",VLOOKUP(Eingabedaten!X6,Begriffe!$A$6:$E$442,Begriffe!$D$1+2))</f>
        <v>Lichttransmissionsgrad</v>
      </c>
      <c r="Y7" s="838" t="str">
        <f>IF(Y6=0,"",VLOOKUP(Eingabedaten!Y6,Begriffe!$A$6:$E$442,Begriffe!$D$1+2))</f>
        <v>Reduktionsfaktor solare Wärmeeinträge</v>
      </c>
      <c r="Z7" s="175" t="str">
        <f>IF(Z6=0,"",VLOOKUP(Eingabedaten!Z6,Begriffe!$A$6:$E$442,Begriffe!$D$1+2))</f>
        <v>Strahlungsleistung für Betätigung Sonnenschutz</v>
      </c>
      <c r="AA7" s="838" t="str">
        <f>IF(AA6=0,"",VLOOKUP(Eingabedaten!AA6,Begriffe!$A$6:$E$442,Begriffe!$D$1+2))</f>
        <v>Wärmespeicherfähigkeit des Raumes</v>
      </c>
      <c r="AB7" s="443" t="str">
        <f>IF(AB6=0,"",VLOOKUP(Eingabedaten!AB6,Begriffe!$A$6:$E$442,Begriffe!$D$1+2))</f>
        <v>Raumlufttemperatur</v>
      </c>
      <c r="AC7" s="838" t="str">
        <f>IF(AC6=0,"",VLOOKUP(Eingabedaten!AC6,Begriffe!$A$6:$E$442,Begriffe!$D$1+2))</f>
        <v/>
      </c>
      <c r="AD7" s="175" t="str">
        <f>IF(AD6=0,"",VLOOKUP(Eingabedaten!AD6,Begriffe!$A$6:$E$442,Begriffe!$D$1+2))</f>
        <v>Nutzung mit Klimatisierung</v>
      </c>
      <c r="AE7" s="175" t="str">
        <f>IF(AE6=0,"",VLOOKUP(Eingabedaten!AE6,Begriffe!$A$6:$E$442,Begriffe!$D$1+2))</f>
        <v>Klasse gemäss 384.201</v>
      </c>
      <c r="AF7" s="175" t="str">
        <f>IF(AF6=0,"",VLOOKUP(Eingabedaten!AF6,Begriffe!$A$6:$E$442,Begriffe!$D$1+2))</f>
        <v xml:space="preserve">Relative Raumluftfeuchte </v>
      </c>
      <c r="AG7" s="1302" t="str">
        <f>IF(AG6=0,"",VLOOKUP(Eingabedaten!AG6,Begriffe!$A$6:$E$442,Begriffe!$D$1+2))</f>
        <v/>
      </c>
      <c r="AH7" s="69" t="str">
        <f>IF(AH6=0,"",VLOOKUP(Eingabedaten!AH6,Begriffe!$A$6:$E$442,Begriffe!$D$1+2))</f>
        <v>Lärmempfindlichkeit</v>
      </c>
      <c r="AI7" s="838" t="str">
        <f>IF(AI6=0,"",VLOOKUP(Eingabedaten!AI6,Begriffe!$A$6:$E$442,Begriffe!$D$1+2))</f>
        <v>Beurteilungspegel für Geräusche haustechnischer Anlagen</v>
      </c>
      <c r="AJ7" s="1303" t="str">
        <f>IF(AJ6=0,"",VLOOKUP(Eingabedaten!AJ6,Begriffe!$A$6:$E$442,Begriffe!$D$1+2))</f>
        <v>Nachhallzeit</v>
      </c>
      <c r="AK7" s="69" t="str">
        <f>IF(AK6=0,"",VLOOKUP(Eingabedaten!AK6,Begriffe!$A$6:$E$442,Begriffe!$D$1+2))</f>
        <v>Personenfläche</v>
      </c>
      <c r="AL7" s="1304" t="str">
        <f>IF(AL6=0,"",VLOOKUP(Eingabedaten!AL6,Begriffe!$A$6:$E$442,Begriffe!$D$1+2))</f>
        <v>Aktivitätsgrad</v>
      </c>
      <c r="AM7" s="1302" t="str">
        <f>IF(AM6=0,"",VLOOKUP(Eingabedaten!AM6,Begriffe!$A$6:$E$442,Begriffe!$D$1+2))</f>
        <v>Wärmedämmwert der Bekleidung</v>
      </c>
      <c r="AN7" s="175" t="str">
        <f>IF(AN6=0,"",VLOOKUP(Eingabedaten!AN6,Begriffe!$A$6:$E$442,Begriffe!$D$1+2))</f>
        <v/>
      </c>
      <c r="AO7" s="1303" t="str">
        <f>IF(AO6=0,"",VLOOKUP(Eingabedaten!AO6,Begriffe!$A$6:$E$442,Begriffe!$D$1+2))</f>
        <v>Feuchtequellen (ohne Personen)</v>
      </c>
      <c r="AP7" s="443" t="str">
        <f>IF(AP6=0,"",VLOOKUP(Eingabedaten!AP6,Begriffe!$A$6:$E$442,Begriffe!$D$1+2))</f>
        <v>Elektrische Leistung der Geräte</v>
      </c>
      <c r="AQ7" s="175" t="str">
        <f>IF(AQ6=0,"",VLOOKUP(Eingabedaten!AQ6,Begriffe!$A$6:$E$442,Begriffe!$D$1+2))</f>
        <v/>
      </c>
      <c r="AR7" s="175" t="str">
        <f>IF(AR6=0,"",VLOOKUP(Eingabedaten!AR6,Begriffe!$A$6:$E$442,Begriffe!$D$1+2))</f>
        <v/>
      </c>
      <c r="AS7" s="838" t="str">
        <f>IF(AS6=0,"",VLOOKUP(Eingabedaten!AS6,Begriffe!$A$6:$E$442,Begriffe!$D$1+2))</f>
        <v>Wärmeeintragsleistung der Geräte</v>
      </c>
      <c r="AT7" s="175" t="str">
        <f>IF(AT6=0,"",VLOOKUP(Eingabedaten!AT6,Begriffe!$A$6:$E$442,Begriffe!$D$1+2))</f>
        <v/>
      </c>
      <c r="AU7" s="175" t="str">
        <f>IF(AU6=0,"",VLOOKUP(Eingabedaten!AU6,Begriffe!$A$6:$E$442,Begriffe!$D$1+2))</f>
        <v/>
      </c>
      <c r="AV7" s="1303" t="str">
        <f>IF(AV6=0,"",VLOOKUP(Eingabedaten!AV6,Begriffe!$A$6:$E$442,Begriffe!$D$1+2))</f>
        <v>Leistung ausserhalb der Nutzungszeit</v>
      </c>
      <c r="AW7" s="69" t="str">
        <f>IF(AW6=0,"",VLOOKUP(Eingabedaten!AW6,Begriffe!$A$6:$E$442,Begriffe!$D$1+2))</f>
        <v>Beleuchtungsstärke</v>
      </c>
      <c r="AX7" s="175" t="str">
        <f>IF(AX6=0,"",VLOOKUP(Eingabedaten!AX6,Begriffe!$A$6:$E$442,Begriffe!$D$1+2))</f>
        <v>Bewertungsebene</v>
      </c>
      <c r="AY7" s="838" t="str">
        <f>IF(AY6=0,"",VLOOKUP(Eingabedaten!AY6,Begriffe!$A$6:$E$442,Begriffe!$D$1+2))</f>
        <v>Blendziffer UGR</v>
      </c>
      <c r="AZ7" s="1305" t="str">
        <f>IF(AZ6=0,"",VLOOKUP(Eingabedaten!AZ6,Begriffe!$A$6:$E$442,Begriffe!$D$1+2))</f>
        <v>Nutzungsstunden pro Tag</v>
      </c>
      <c r="BA7" s="1305" t="str">
        <f>IF(BA6=0,"",VLOOKUP(Eingabedaten!BA6,Begriffe!$A$6:$E$442,Begriffe!$D$1+2))</f>
        <v>Nutzungsstunden pro Nacht</v>
      </c>
      <c r="BB7" s="1306" t="str">
        <f>IF(BB6=0,"",VLOOKUP(Eingabedaten!BB6,Begriffe!$A$6:$E$442,Begriffe!$D$1+2))</f>
        <v>Korrekturfaktor für Präsenzregelung</v>
      </c>
      <c r="BC7" s="1307" t="str">
        <f>IF(BC6=0,"",VLOOKUP(Eingabedaten!BC6,Begriffe!$A$6:$E$442,Begriffe!$D$1+2))</f>
        <v>Beleuchtungssteuerung (Stundenmodell)</v>
      </c>
      <c r="BD7" s="1307" t="str">
        <f>IF(BD6=0,"",VLOOKUP(Eingabedaten!BD6,Begriffe!$A$6:$E$442,Begriffe!$D$1+2))</f>
        <v/>
      </c>
      <c r="BE7" s="838" t="str">
        <f>IF(BE6=0,"",VLOOKUP(Eingabedaten!BE6,Begriffe!$A$6:$E$442,Begriffe!$D$1+2))</f>
        <v>Elektrische Leistung der Raumbeleuchtung</v>
      </c>
      <c r="BF7" s="175" t="str">
        <f>IF(BF6=0,"",VLOOKUP(Eingabedaten!BF6,Begriffe!$A$6:$E$442,Begriffe!$D$1+2))</f>
        <v/>
      </c>
      <c r="BG7" s="838" t="str">
        <f>IF(BG6=0,"",VLOOKUP(Eingabedaten!BG6,Begriffe!$A$6:$E$442,Begriffe!$D$1+2))</f>
        <v>Elektrische Leistung der Akzentbeleuchtung</v>
      </c>
      <c r="BH7" s="175" t="str">
        <f>IF(BH6=0,"",VLOOKUP(Eingabedaten!BH6,Begriffe!$A$6:$E$442,Begriffe!$D$1+2))</f>
        <v/>
      </c>
      <c r="BI7" s="443" t="str">
        <f>IF(BI6=0,"",VLOOKUP(Eingabedaten!BI6,Begriffe!$A$6:$E$442,Begriffe!$D$1+2))</f>
        <v>Spez. elektrische Leistung Bel. &amp; Betriebseinr.</v>
      </c>
      <c r="BJ7" s="838" t="str">
        <f>IF(BJ6=0,"",VLOOKUP(Eingabedaten!BJ6,Begriffe!$A$6:$E$442,Begriffe!$D$1+2))</f>
        <v>Spez. Anschlusswirkleistung</v>
      </c>
      <c r="BK7" s="838" t="str">
        <f>IF(BK6=0,"",VLOOKUP(Eingabedaten!BK6,Begriffe!$A$6:$E$442,Begriffe!$D$1+2))</f>
        <v>Gesamt-Gleichzeitigkeitsfaktor</v>
      </c>
      <c r="BL7" s="1308" t="str">
        <f>IF(BL6=0,"",VLOOKUP(Eingabedaten!BL6,Begriffe!$A$6:$E$442,Begriffe!$D$1+2))</f>
        <v>Aussenluft-Volumenstrom pro Person</v>
      </c>
      <c r="BM7" s="175" t="str">
        <f>IF(BM6=0,"",VLOOKUP(Eingabedaten!BM6,Begriffe!$A$6:$E$442,Begriffe!$D$1+2))</f>
        <v>Aussenluft-Volumenstrom pro Person Nacht</v>
      </c>
      <c r="BN7" s="838" t="str">
        <f>IF(BN6=0,"",VLOOKUP(Eingabedaten!BN6,Begriffe!$A$6:$E$442,Begriffe!$D$1+2))</f>
        <v>Aussenluft-Volumenstrom pro Personenfläche und Aktivitätsgrad</v>
      </c>
      <c r="BO7" s="838" t="str">
        <f>IF(BO6=0,"",VLOOKUP(Eingabedaten!BO6,Begriffe!$A$6:$E$442,Begriffe!$D$1+2))</f>
        <v>Aussenluft-Volumenstrom pro Nettofläche</v>
      </c>
      <c r="BP7" s="838" t="str">
        <f>IF(BP6=0,"",VLOOKUP(Eingabedaten!BP6,Begriffe!$A$6:$E$442,Begriffe!$D$1+2))</f>
        <v>Aussenluft-Volumenstrom</v>
      </c>
      <c r="BQ7" s="175" t="str">
        <f>IF(BQ6=0,"",VLOOKUP(Eingabedaten!BQ6,Begriffe!$A$6:$E$442,Begriffe!$D$1+2))</f>
        <v>Spez. Aussenluft-Volumenstrom Nacht</v>
      </c>
      <c r="BR7" s="838" t="str">
        <f>IF(BR6=0,"",VLOOKUP(Eingabedaten!BR6,Begriffe!$A$6:$E$442,Begriffe!$D$1+2))</f>
        <v>Aussenluft-Volumenstrom durch Infiltration</v>
      </c>
      <c r="BS7" s="838" t="str">
        <f>IF(BS6=0,"",VLOOKUP(Eingabedaten!BS6,Begriffe!$A$6:$E$442,Begriffe!$D$1+2))</f>
        <v/>
      </c>
      <c r="BT7" s="175" t="str">
        <f>IF(BT6=0,"",VLOOKUP(Eingabedaten!BT6,Begriffe!$A$6:$E$442,Begriffe!$D$1+2))</f>
        <v>Steuerung und Regelung des Luftvolumenstroms (einstufig, zweistufig, stufenlos)</v>
      </c>
      <c r="BU7" s="175" t="str">
        <f>IF(BU6=0,"",VLOOKUP(Eingabedaten!BU6,Begriffe!$A$6:$E$442,Begriffe!$D$1+2))</f>
        <v/>
      </c>
      <c r="BV7" s="175" t="str">
        <f>IF(BV6=0,"",VLOOKUP(Eingabedaten!BV6,Begriffe!$A$6:$E$442,Begriffe!$D$1+2))</f>
        <v/>
      </c>
      <c r="BW7" s="838" t="str">
        <f>IF(BW6=0,"",VLOOKUP(Eingabedaten!BW6,Begriffe!$A$6:$E$442,Begriffe!$D$1+2))</f>
        <v>Temperatur-Änderungsgrad der Wärmerückgewinnung</v>
      </c>
      <c r="BX7" s="175" t="str">
        <f>IF(BX6=0,"",VLOOKUP(Eingabedaten!BX6,Begriffe!$A$6:$E$442,Begriffe!$D$1+2))</f>
        <v/>
      </c>
      <c r="BY7" s="175" t="str">
        <f>IF(BY6=0,"",VLOOKUP(Eingabedaten!BY6,Begriffe!$A$6:$E$442,Begriffe!$D$1+2))</f>
        <v/>
      </c>
      <c r="BZ7" s="838" t="str">
        <f>IF(BZ6=0,"",VLOOKUP(Eingabedaten!BZ6,Begriffe!$A$6:$E$442,Begriffe!$D$1+2))</f>
        <v>Jahresnutzungsgrad der Wärmerückgewinnung</v>
      </c>
      <c r="CA7" s="175" t="str">
        <f>IF(CA6=0,"",VLOOKUP(Eingabedaten!CA6,Begriffe!$A$6:$E$442,Begriffe!$D$1+2))</f>
        <v/>
      </c>
      <c r="CB7" s="175" t="str">
        <f>IF(CB6=0,"",VLOOKUP(Eingabedaten!CB6,Begriffe!$A$6:$E$442,Begriffe!$D$1+2))</f>
        <v/>
      </c>
      <c r="CC7" s="1309" t="str">
        <f>IF(CC6=0,"",VLOOKUP(Eingabedaten!CC6,Begriffe!$A$6:$E$442,Begriffe!$D$1+2))</f>
        <v>Anlagentyp</v>
      </c>
      <c r="CD7" s="175" t="str">
        <f>IF(CD6=0,"",VLOOKUP(Eingabedaten!CD6,Begriffe!$A$6:$E$442,Begriffe!$D$1+2))</f>
        <v>Spezifische Ventilatorleistung</v>
      </c>
      <c r="CE7" s="175" t="str">
        <f>IF(CE6=0,"",VLOOKUP(Eingabedaten!CE6,Begriffe!$A$6:$E$442,Begriffe!$D$1+2))</f>
        <v/>
      </c>
      <c r="CF7" s="1303" t="str">
        <f>IF(CF6=0,"",VLOOKUP(Eingabedaten!CF6,Begriffe!$A$6:$E$442,Begriffe!$D$1+2))</f>
        <v/>
      </c>
      <c r="CG7" s="1303" t="str">
        <f>IF(CG6=0,"",VLOOKUP(Eingabedaten!CG6,Begriffe!$A$6:$E$442,Begriffe!$D$1+2))</f>
        <v>Notwendigkeit einer Kühlung</v>
      </c>
      <c r="CH7" s="1303"/>
      <c r="CI7" s="1303"/>
      <c r="CJ7" s="1303"/>
      <c r="CK7" s="1303"/>
      <c r="CL7" s="1303"/>
      <c r="CM7" s="1310" t="str">
        <f>IF(CM6=0,"",VLOOKUP(Eingabedaten!CM6,Begriffe!$A$6:$E$442,Begriffe!$D$1+2))</f>
        <v>Feuchtequellen (ohne Personen)</v>
      </c>
      <c r="CN7" s="1310" t="str">
        <f>IF(CN6=0,"",VLOOKUP(Eingabedaten!CN6,Begriffe!$A$6:$E$442,Begriffe!$D$1+2))</f>
        <v/>
      </c>
      <c r="CO7" s="1310" t="str">
        <f>IF(CO6=0,"",VLOOKUP(Eingabedaten!CO6,Begriffe!$A$6:$E$442,Begriffe!$D$1+2))</f>
        <v/>
      </c>
      <c r="CP7" s="1311" t="str">
        <f>IF(CP6=0,"",VLOOKUP(Eingabedaten!CP6,Begriffe!$A$6:$E$442,Begriffe!$D$1+2))</f>
        <v>Feuchtegehalt-Änderungsgrad der Lüftungsanlage</v>
      </c>
      <c r="CQ7" s="1311" t="str">
        <f>IF(CQ6=0,"",VLOOKUP(Eingabedaten!CQ6,Begriffe!$A$6:$E$442,Begriffe!$D$1+2))</f>
        <v/>
      </c>
      <c r="CR7" s="1311" t="str">
        <f>IF(CR6=0,"",VLOOKUP(Eingabedaten!CR6,Begriffe!$A$6:$E$442,Begriffe!$D$1+2))</f>
        <v/>
      </c>
      <c r="CS7" s="1311" t="str">
        <f>IF(CS6=0,"",VLOOKUP(Eingabedaten!CS6,Begriffe!$A$6:$E$442,Begriffe!$D$1+2))</f>
        <v/>
      </c>
      <c r="CT7" s="1308" t="str">
        <f>IF(CT6=0,"",VLOOKUP(Eingabedaten!CT6,Begriffe!$A$6:$E$442,Begriffe!$D$1+2))</f>
        <v>Bezugseinheit</v>
      </c>
      <c r="CU7" s="838" t="str">
        <f>IF(CU6=0,"",VLOOKUP(Eingabedaten!CU6,Begriffe!$A$6:$E$442,Begriffe!$D$1+2))</f>
        <v>Nutzwarmwasserbedarf pro Bezugseinheit</v>
      </c>
      <c r="CV7" s="838" t="str">
        <f>IF(CV6=0,"",VLOOKUP(Eingabedaten!CV6,Begriffe!$A$6:$E$442,Begriffe!$D$1+2))</f>
        <v>Anzahl Bezugseinheiten pro Person</v>
      </c>
      <c r="CW7" s="838" t="str">
        <f>IF(CW6=0,"",VLOOKUP(Eingabedaten!CW6,Begriffe!$A$6:$E$442,Begriffe!$D$1+2))</f>
        <v>Warmwasserbedarf pro Person</v>
      </c>
      <c r="CX7" s="1312" t="str">
        <f>IF(CX6=0,"",VLOOKUP(Eingabedaten!CX6,Begriffe!$A$6:$E$442,Begriffe!$D$1+2))</f>
        <v>Verhältnis Warmwasserbedarf zu Wasserbedarf</v>
      </c>
      <c r="CY7" s="1313" t="str">
        <f>IF(CY6=0,"",VLOOKUP(Eingabedaten!CY6,Begriffe!$A$6:$E$442,Begriffe!$D$1+2))</f>
        <v>Wasserbedarf pro Person</v>
      </c>
      <c r="CZ7" s="1314" t="str">
        <f>IF(CZ6=0,"",VLOOKUP(Eingabedaten!CZ6,Begriffe!$A$6:$E$442,Begriffe!$D$1+2))</f>
        <v/>
      </c>
      <c r="DA7" s="69">
        <v>1</v>
      </c>
      <c r="DB7" s="175">
        <v>2</v>
      </c>
      <c r="DC7" s="175">
        <v>3</v>
      </c>
      <c r="DD7" s="1302">
        <v>4</v>
      </c>
      <c r="DE7" s="1309">
        <v>5</v>
      </c>
      <c r="DF7" s="1315">
        <v>6</v>
      </c>
      <c r="DG7" s="175">
        <v>7</v>
      </c>
      <c r="DH7" s="175">
        <v>8</v>
      </c>
      <c r="DI7" s="175">
        <v>9</v>
      </c>
      <c r="DJ7" s="1302">
        <v>10</v>
      </c>
      <c r="DK7" s="1309">
        <v>11</v>
      </c>
      <c r="DL7" s="1315">
        <v>12</v>
      </c>
      <c r="DM7" s="175">
        <v>13</v>
      </c>
      <c r="DN7" s="175">
        <v>14</v>
      </c>
      <c r="DO7" s="175">
        <v>15</v>
      </c>
      <c r="DP7" s="1302">
        <v>16</v>
      </c>
      <c r="DQ7" s="1309">
        <v>17</v>
      </c>
      <c r="DR7" s="1315">
        <v>18</v>
      </c>
      <c r="DS7" s="175">
        <v>19</v>
      </c>
      <c r="DT7" s="175">
        <v>20</v>
      </c>
      <c r="DU7" s="175">
        <v>21</v>
      </c>
      <c r="DV7" s="1302">
        <v>22</v>
      </c>
      <c r="DW7" s="175">
        <v>23</v>
      </c>
      <c r="DX7" s="1303">
        <v>24</v>
      </c>
      <c r="DY7" s="69">
        <v>1</v>
      </c>
      <c r="DZ7" s="175">
        <v>2</v>
      </c>
      <c r="EA7" s="175">
        <v>3</v>
      </c>
      <c r="EB7" s="1302">
        <v>4</v>
      </c>
      <c r="EC7" s="1309">
        <v>5</v>
      </c>
      <c r="ED7" s="1315">
        <v>6</v>
      </c>
      <c r="EE7" s="175">
        <v>7</v>
      </c>
      <c r="EF7" s="175">
        <v>8</v>
      </c>
      <c r="EG7" s="175">
        <v>9</v>
      </c>
      <c r="EH7" s="1302">
        <v>10</v>
      </c>
      <c r="EI7" s="1309">
        <v>11</v>
      </c>
      <c r="EJ7" s="1315">
        <v>12</v>
      </c>
      <c r="EK7" s="175">
        <v>13</v>
      </c>
      <c r="EL7" s="175">
        <v>14</v>
      </c>
      <c r="EM7" s="175">
        <v>15</v>
      </c>
      <c r="EN7" s="1302">
        <v>16</v>
      </c>
      <c r="EO7" s="1309">
        <v>17</v>
      </c>
      <c r="EP7" s="1315">
        <v>18</v>
      </c>
      <c r="EQ7" s="175">
        <v>19</v>
      </c>
      <c r="ER7" s="175">
        <v>20</v>
      </c>
      <c r="ES7" s="175">
        <v>21</v>
      </c>
      <c r="ET7" s="1302">
        <v>22</v>
      </c>
      <c r="EU7" s="175">
        <v>23</v>
      </c>
      <c r="EV7" s="1303">
        <v>24</v>
      </c>
      <c r="EW7" s="69" t="str">
        <f>IF(EW6=0,"",VLOOKUP(Eingabedaten!EW6,Begriffe!$A$6:$E$442,Begriffe!$D$1+2))</f>
        <v>Typ</v>
      </c>
      <c r="EX7" s="69" t="str">
        <f>Begriffe!$F345</f>
        <v>Jan</v>
      </c>
      <c r="EY7" s="175" t="str">
        <f>Begriffe!$F346</f>
        <v>Feb</v>
      </c>
      <c r="EZ7" s="1316" t="str">
        <f>Begriffe!$F347</f>
        <v>Mrz</v>
      </c>
      <c r="FA7" s="175" t="str">
        <f>Begriffe!$F348</f>
        <v>Apr</v>
      </c>
      <c r="FB7" s="175" t="str">
        <f>Begriffe!$F349</f>
        <v>Mai</v>
      </c>
      <c r="FC7" s="1316" t="str">
        <f>Begriffe!$F350</f>
        <v>Jun</v>
      </c>
      <c r="FD7" s="175" t="str">
        <f>Begriffe!$F351</f>
        <v>Jul</v>
      </c>
      <c r="FE7" s="175" t="str">
        <f>Begriffe!$F352</f>
        <v>Aug</v>
      </c>
      <c r="FF7" s="1316" t="str">
        <f>Begriffe!$F353</f>
        <v>Sep</v>
      </c>
      <c r="FG7" s="175" t="str">
        <f>Begriffe!$F354</f>
        <v>Okt</v>
      </c>
      <c r="FH7" s="175" t="str">
        <f>Begriffe!$F355</f>
        <v>Nov</v>
      </c>
      <c r="FI7" s="1303" t="str">
        <f>Begriffe!$F356</f>
        <v>Dez</v>
      </c>
      <c r="FJ7" s="1317" t="str">
        <f>IF(FJ6=0,"",VLOOKUP(Eingabedaten!FJ6,Begriffe!$A$6:$E$442,Begriffe!$D$1+2))</f>
        <v>Ruhetage pro Woche</v>
      </c>
      <c r="FK7" s="1318" t="str">
        <f>IF(FK6=0,"",VLOOKUP(Eingabedaten!FK6,Begriffe!$A$6:$E$442,Begriffe!$D$1+2))</f>
        <v>Nutzungstage pro Jahr</v>
      </c>
      <c r="FL7" s="69" t="str">
        <f>IF(FL6=0,"",VLOOKUP(Eingabedaten!FL6,Begriffe!$A$6:$E$442,Begriffe!$D$1+2))</f>
        <v>Nutzungsstunden</v>
      </c>
      <c r="FM7" s="175" t="str">
        <f>IF(FM6=0,"",VLOOKUP(Eingabedaten!FM6,Begriffe!$A$6:$E$442,Begriffe!$D$1+2))</f>
        <v>Volllaststunden</v>
      </c>
      <c r="FN7" s="1319" t="str">
        <f>IF(FN6=0,"",VLOOKUP(Eingabedaten!FN6,Begriffe!$A$6:$E$442,Begriffe!$D$1+2))</f>
        <v>Volllaststunden (7-18h)</v>
      </c>
      <c r="FO7" s="1319" t="str">
        <f>IF(FO6=0,"",VLOOKUP(Eingabedaten!FO6,Begriffe!$A$6:$E$442,Begriffe!$D$1+2))</f>
        <v>Vollaststunden (18-7h)</v>
      </c>
      <c r="FP7" s="175" t="str">
        <f>IF(FP6=0,"",VLOOKUP(Eingabedaten!FP6,Begriffe!$A$6:$E$442,Begriffe!$D$1+2))</f>
        <v>Jahresgleichzeitigkeit</v>
      </c>
      <c r="FQ7" s="1303" t="str">
        <f>IF(FQ6=0,"",VLOOKUP(Eingabedaten!FQ6,Begriffe!$A$6:$E$442,Begriffe!$D$1+2))</f>
        <v>Volllaststunden pro Jahr</v>
      </c>
      <c r="FR7" s="69" t="str">
        <f>IF(FR6=0,"",VLOOKUP(Eingabedaten!FR6,Begriffe!$A$6:$E$442,Begriffe!$D$1+2))</f>
        <v>Nutzungsstunden</v>
      </c>
      <c r="FS7" s="175" t="str">
        <f>IF(FS6=0,"",VLOOKUP(Eingabedaten!FS6,Begriffe!$A$6:$E$442,Begriffe!$D$1+2))</f>
        <v>Volllaststunden</v>
      </c>
      <c r="FT7" s="175" t="str">
        <f>IF(FT6=0,"",VLOOKUP(Eingabedaten!FT6,Begriffe!$A$6:$E$442,Begriffe!$D$1+2))</f>
        <v>Volllaststunden Ruhetag</v>
      </c>
      <c r="FU7" s="1303" t="str">
        <f>IF(FU6=0,"",VLOOKUP(Eingabedaten!FU6,Begriffe!$A$6:$E$442,Begriffe!$D$1+2))</f>
        <v>Jährliche Geräte-Volllaststunden</v>
      </c>
      <c r="FV7" s="1317" t="s">
        <v>180</v>
      </c>
      <c r="FW7" s="1320" t="s">
        <v>181</v>
      </c>
      <c r="FX7" s="1320" t="s">
        <v>182</v>
      </c>
      <c r="FY7" s="1320" t="s">
        <v>183</v>
      </c>
      <c r="FZ7" s="1320" t="s">
        <v>184</v>
      </c>
      <c r="GA7" s="1318" t="s">
        <v>185</v>
      </c>
      <c r="GK7" s="1321" t="s">
        <v>195</v>
      </c>
      <c r="GL7" s="1321">
        <v>1</v>
      </c>
      <c r="GM7" s="1321">
        <v>2</v>
      </c>
      <c r="GN7" s="1321">
        <v>3</v>
      </c>
      <c r="GO7" s="1321">
        <v>4</v>
      </c>
      <c r="GP7" s="1321">
        <v>5</v>
      </c>
      <c r="GQ7" s="1321">
        <v>6</v>
      </c>
      <c r="GR7" s="1321">
        <v>7</v>
      </c>
      <c r="GS7" s="1321">
        <v>8</v>
      </c>
      <c r="GT7" s="1321">
        <v>9</v>
      </c>
      <c r="GU7" s="1321">
        <v>10</v>
      </c>
      <c r="GV7" s="1321">
        <v>11</v>
      </c>
      <c r="GW7" s="1321">
        <v>12</v>
      </c>
      <c r="GX7" s="1321" t="s">
        <v>213</v>
      </c>
      <c r="GZ7" s="1321" t="s">
        <v>105</v>
      </c>
      <c r="HB7" s="1322">
        <v>1</v>
      </c>
      <c r="HC7" s="1322">
        <v>2</v>
      </c>
      <c r="HD7" s="1322">
        <v>3</v>
      </c>
      <c r="HE7" s="1322">
        <v>4</v>
      </c>
      <c r="HF7" s="1322">
        <v>5</v>
      </c>
      <c r="HG7" s="1322">
        <v>6</v>
      </c>
      <c r="HH7" s="1322">
        <v>7</v>
      </c>
      <c r="HI7" s="1323" t="s">
        <v>343</v>
      </c>
      <c r="HJ7" s="1323" t="s">
        <v>344</v>
      </c>
      <c r="HK7" s="1323">
        <f>Begriffe!C298</f>
        <v>0</v>
      </c>
      <c r="HL7" s="1323" t="s">
        <v>626</v>
      </c>
      <c r="HM7" s="1323" t="s">
        <v>782</v>
      </c>
      <c r="HN7" s="1323" t="s">
        <v>781</v>
      </c>
    </row>
    <row r="8" spans="1:222" s="362" customFormat="1" ht="50.25" customHeight="1">
      <c r="A8" s="1324"/>
      <c r="B8" s="1325"/>
      <c r="C8" s="1326"/>
      <c r="D8" s="363"/>
      <c r="I8" s="1327"/>
      <c r="L8" s="363" t="str">
        <f>Begriffe!$F220</f>
        <v>Standard</v>
      </c>
      <c r="M8" s="362" t="str">
        <f>Begriffe!$F221</f>
        <v>Zielwert</v>
      </c>
      <c r="N8" s="362" t="str">
        <f>Begriffe!$F222</f>
        <v>Bestand</v>
      </c>
      <c r="O8" s="362" t="str">
        <f>Begriffe!$F220</f>
        <v>Standard</v>
      </c>
      <c r="P8" s="362" t="str">
        <f>Begriffe!$F221</f>
        <v>Zielwert</v>
      </c>
      <c r="Q8" s="362" t="str">
        <f>Begriffe!$F222</f>
        <v>Bestand</v>
      </c>
      <c r="R8" s="362" t="str">
        <f>Begriffe!$F220</f>
        <v>Standard</v>
      </c>
      <c r="S8" s="362" t="str">
        <f>Begriffe!$F221</f>
        <v>Zielwert</v>
      </c>
      <c r="T8" s="362" t="str">
        <f>Begriffe!$F222</f>
        <v>Bestand</v>
      </c>
      <c r="U8" s="362" t="str">
        <f>Begriffe!$F220</f>
        <v>Standard</v>
      </c>
      <c r="V8" s="362" t="str">
        <f>Begriffe!$F221</f>
        <v>Zielwert</v>
      </c>
      <c r="W8" s="362" t="str">
        <f>Begriffe!$F222</f>
        <v>Bestand</v>
      </c>
      <c r="AA8" s="512"/>
      <c r="AB8" s="513" t="str">
        <f>Begriffe!$F225</f>
        <v>Sommer</v>
      </c>
      <c r="AC8" s="512" t="str">
        <f>Begriffe!$F226</f>
        <v>Winter</v>
      </c>
      <c r="AF8" s="512" t="str">
        <f>Begriffe!$F225</f>
        <v>Sommer</v>
      </c>
      <c r="AG8" s="1328" t="str">
        <f>Begriffe!$F226</f>
        <v>Winter</v>
      </c>
      <c r="AH8" s="363"/>
      <c r="AJ8" s="1326"/>
      <c r="AK8" s="363"/>
      <c r="AM8" s="1328" t="str">
        <f>Begriffe!$F225</f>
        <v>Sommer</v>
      </c>
      <c r="AN8" s="512" t="str">
        <f>Begriffe!$F226</f>
        <v>Winter</v>
      </c>
      <c r="AO8" s="514"/>
      <c r="AP8" s="363" t="str">
        <f>Begriffe!$F220</f>
        <v>Standard</v>
      </c>
      <c r="AQ8" s="362" t="str">
        <f>Begriffe!$F221</f>
        <v>Zielwert</v>
      </c>
      <c r="AR8" s="512" t="str">
        <f>Begriffe!$F222</f>
        <v>Bestand</v>
      </c>
      <c r="AS8" s="362" t="str">
        <f>Begriffe!$F220</f>
        <v>Standard</v>
      </c>
      <c r="AT8" s="512" t="str">
        <f>Begriffe!$F221</f>
        <v>Zielwert</v>
      </c>
      <c r="AU8" s="512" t="str">
        <f>Begriffe!$F222</f>
        <v>Bestand</v>
      </c>
      <c r="AV8" s="1326"/>
      <c r="AW8" s="363"/>
      <c r="AY8" s="1304"/>
      <c r="AZ8" s="1329"/>
      <c r="BA8" s="1316"/>
      <c r="BB8" s="1330" t="str">
        <f>Begriffe!$F221</f>
        <v>Zielwert</v>
      </c>
      <c r="BC8" s="1331" t="str">
        <f>Begriffe!$F220</f>
        <v>Standard</v>
      </c>
      <c r="BD8" s="1304" t="str">
        <f>Begriffe!$F221</f>
        <v>Zielwert</v>
      </c>
      <c r="BE8" s="512" t="str">
        <f>Begriffe!$F220</f>
        <v>Standard</v>
      </c>
      <c r="BF8" s="362" t="str">
        <f>Begriffe!$F221</f>
        <v>Zielwert</v>
      </c>
      <c r="BG8" s="362" t="str">
        <f>Begriffe!$F224</f>
        <v>Standard, Bestand</v>
      </c>
      <c r="BH8" s="362" t="str">
        <f>Begriffe!$F221</f>
        <v>Zielwert</v>
      </c>
      <c r="BI8" s="363" t="str">
        <f>Begriffe!$F220</f>
        <v>Standard</v>
      </c>
      <c r="BJ8" s="512" t="str">
        <f>Begriffe!$F220</f>
        <v>Standard</v>
      </c>
      <c r="BL8" s="363"/>
      <c r="BM8" s="1316"/>
      <c r="BN8" s="1304"/>
      <c r="BP8" s="362" t="str">
        <f>Begriffe!$F220</f>
        <v>Standard</v>
      </c>
      <c r="BR8" s="512" t="str">
        <f>Begriffe!$F223</f>
        <v>Standard, Zielwert</v>
      </c>
      <c r="BS8" s="512" t="str">
        <f>Begriffe!$F222</f>
        <v>Bestand</v>
      </c>
      <c r="BT8" s="512" t="str">
        <f>Begriffe!$F220</f>
        <v>Standard</v>
      </c>
      <c r="BU8" s="362" t="str">
        <f>Begriffe!$F221</f>
        <v>Zielwert</v>
      </c>
      <c r="BV8" s="512" t="str">
        <f>Begriffe!$F222</f>
        <v>Bestand</v>
      </c>
      <c r="BW8" s="512" t="str">
        <f>Begriffe!$F220</f>
        <v>Standard</v>
      </c>
      <c r="BX8" s="512" t="str">
        <f>Begriffe!$F221</f>
        <v>Zielwert</v>
      </c>
      <c r="BY8" s="512" t="s">
        <v>356</v>
      </c>
      <c r="BZ8" s="512" t="str">
        <f>Begriffe!$F220</f>
        <v>Standard</v>
      </c>
      <c r="CA8" s="512" t="str">
        <f>Begriffe!$F221</f>
        <v>Zielwert</v>
      </c>
      <c r="CB8" s="512" t="str">
        <f>Begriffe!$F222</f>
        <v>Bestand</v>
      </c>
      <c r="CD8" s="512" t="str">
        <f>Begriffe!$F220</f>
        <v>Standard</v>
      </c>
      <c r="CE8" s="362" t="str">
        <f>Begriffe!$F221</f>
        <v>Zielwert</v>
      </c>
      <c r="CF8" s="514" t="str">
        <f>Begriffe!$F222</f>
        <v>Bestand</v>
      </c>
      <c r="CG8" s="514" t="str">
        <f>Begriffe!$F220</f>
        <v>Standard</v>
      </c>
      <c r="CH8" s="514" t="str">
        <f>Begriffe!$F220</f>
        <v>Standard</v>
      </c>
      <c r="CI8" s="514" t="str">
        <f>Begriffe!$F220</f>
        <v>Standard</v>
      </c>
      <c r="CJ8" s="514" t="str">
        <f>Begriffe!$F221</f>
        <v>Zielwert</v>
      </c>
      <c r="CK8" s="514" t="str">
        <f>Begriffe!$F221</f>
        <v>Zielwert</v>
      </c>
      <c r="CL8" s="514" t="str">
        <f>Begriffe!$F221</f>
        <v>Zielwert</v>
      </c>
      <c r="CM8" s="1332" t="str">
        <f>Begriffe!$F220</f>
        <v>Standard</v>
      </c>
      <c r="CN8" s="1333" t="str">
        <f>Begriffe!$F221</f>
        <v>Zielwert</v>
      </c>
      <c r="CO8" s="1333" t="str">
        <f>Begriffe!$F222</f>
        <v>Bestand</v>
      </c>
      <c r="CP8" s="1332"/>
      <c r="CQ8" s="1332"/>
      <c r="CR8" s="1332"/>
      <c r="CS8" s="1332"/>
      <c r="CT8" s="363"/>
      <c r="CY8" s="1326"/>
      <c r="CZ8" s="1334"/>
      <c r="DA8" s="363"/>
      <c r="DD8" s="1327"/>
      <c r="DF8" s="1335"/>
      <c r="DJ8" s="1327"/>
      <c r="DL8" s="1335"/>
      <c r="DP8" s="1327"/>
      <c r="DR8" s="1335"/>
      <c r="DV8" s="1327"/>
      <c r="DX8" s="1326"/>
      <c r="DY8" s="363"/>
      <c r="EB8" s="1327"/>
      <c r="ED8" s="1335"/>
      <c r="EH8" s="1327"/>
      <c r="EJ8" s="1335"/>
      <c r="EN8" s="1327"/>
      <c r="EP8" s="1335"/>
      <c r="ET8" s="1327"/>
      <c r="EV8" s="1326"/>
      <c r="EW8" s="1336"/>
      <c r="EX8" s="363"/>
      <c r="FA8" s="1327"/>
      <c r="FC8" s="1335"/>
      <c r="FG8" s="1327"/>
      <c r="FI8" s="1326"/>
      <c r="FJ8" s="1337"/>
      <c r="FK8" s="1338"/>
      <c r="FL8" s="363"/>
      <c r="FN8" s="1339"/>
      <c r="FO8" s="1339"/>
      <c r="FP8" s="1340"/>
      <c r="FQ8" s="1326"/>
      <c r="FR8" s="363"/>
      <c r="FU8" s="1326"/>
      <c r="FV8" s="1337"/>
      <c r="FW8" s="1339"/>
      <c r="FX8" s="1339"/>
      <c r="GA8" s="1326"/>
      <c r="HB8" s="1341"/>
      <c r="HC8" s="1341"/>
      <c r="HD8" s="1341"/>
      <c r="HE8" s="1341"/>
      <c r="HF8" s="1341"/>
      <c r="HG8" s="1341"/>
      <c r="HH8" s="1341"/>
    </row>
    <row r="9" spans="1:222" s="175" customFormat="1" ht="48" customHeight="1">
      <c r="A9" s="1342" t="s">
        <v>134</v>
      </c>
      <c r="B9" s="1343" t="s">
        <v>134</v>
      </c>
      <c r="C9" s="1344"/>
      <c r="D9" s="1345" t="s">
        <v>35</v>
      </c>
      <c r="E9" s="1346" t="s">
        <v>35</v>
      </c>
      <c r="F9" s="1346" t="s">
        <v>35</v>
      </c>
      <c r="G9" s="520" t="s">
        <v>273</v>
      </c>
      <c r="H9" s="520" t="s">
        <v>273</v>
      </c>
      <c r="I9" s="1347" t="s">
        <v>6</v>
      </c>
      <c r="J9" s="520" t="s">
        <v>18</v>
      </c>
      <c r="K9" s="1346" t="s">
        <v>6</v>
      </c>
      <c r="L9" s="1348" t="s">
        <v>913</v>
      </c>
      <c r="M9" s="520" t="s">
        <v>913</v>
      </c>
      <c r="N9" s="520" t="s">
        <v>913</v>
      </c>
      <c r="O9" s="520" t="s">
        <v>913</v>
      </c>
      <c r="P9" s="520" t="s">
        <v>913</v>
      </c>
      <c r="Q9" s="520" t="s">
        <v>913</v>
      </c>
      <c r="R9" s="1346" t="s">
        <v>18</v>
      </c>
      <c r="S9" s="1346"/>
      <c r="T9" s="1346"/>
      <c r="U9" s="1346"/>
      <c r="V9" s="1346"/>
      <c r="W9" s="1346"/>
      <c r="X9" s="1346" t="s">
        <v>18</v>
      </c>
      <c r="Y9" s="1349" t="s">
        <v>18</v>
      </c>
      <c r="Z9" s="1346" t="s">
        <v>65</v>
      </c>
      <c r="AA9" s="1346" t="s">
        <v>197</v>
      </c>
      <c r="AB9" s="1345" t="s">
        <v>3</v>
      </c>
      <c r="AC9" s="1346" t="s">
        <v>3</v>
      </c>
      <c r="AD9" s="1346"/>
      <c r="AE9" s="1346"/>
      <c r="AF9" s="1346" t="s">
        <v>6</v>
      </c>
      <c r="AG9" s="1347" t="s">
        <v>6</v>
      </c>
      <c r="AH9" s="1345"/>
      <c r="AI9" s="520" t="s">
        <v>9</v>
      </c>
      <c r="AJ9" s="1344" t="s">
        <v>11</v>
      </c>
      <c r="AK9" s="1348" t="s">
        <v>826</v>
      </c>
      <c r="AL9" s="1346" t="s">
        <v>14</v>
      </c>
      <c r="AM9" s="1347" t="s">
        <v>15</v>
      </c>
      <c r="AN9" s="1346" t="s">
        <v>15</v>
      </c>
      <c r="AO9" s="1350" t="s">
        <v>648</v>
      </c>
      <c r="AP9" s="1345" t="s">
        <v>188</v>
      </c>
      <c r="AQ9" s="1346" t="s">
        <v>188</v>
      </c>
      <c r="AR9" s="1346" t="s">
        <v>188</v>
      </c>
      <c r="AS9" s="1346" t="s">
        <v>188</v>
      </c>
      <c r="AT9" s="1346" t="s">
        <v>188</v>
      </c>
      <c r="AU9" s="1346" t="s">
        <v>188</v>
      </c>
      <c r="AV9" s="1350" t="s">
        <v>6</v>
      </c>
      <c r="AW9" s="1345" t="s">
        <v>141</v>
      </c>
      <c r="AX9" s="1346" t="s">
        <v>35</v>
      </c>
      <c r="AY9" s="1346"/>
      <c r="AZ9" s="1347" t="s">
        <v>17</v>
      </c>
      <c r="BA9" s="1351" t="s">
        <v>17</v>
      </c>
      <c r="BB9" s="1343" t="s">
        <v>18</v>
      </c>
      <c r="BC9" s="1346"/>
      <c r="BD9" s="1346"/>
      <c r="BE9" s="1346" t="s">
        <v>188</v>
      </c>
      <c r="BF9" s="1346" t="s">
        <v>188</v>
      </c>
      <c r="BG9" s="520" t="s">
        <v>188</v>
      </c>
      <c r="BH9" s="1346" t="s">
        <v>188</v>
      </c>
      <c r="BI9" s="1345" t="s">
        <v>188</v>
      </c>
      <c r="BJ9" s="520" t="s">
        <v>188</v>
      </c>
      <c r="BK9" s="520" t="s">
        <v>18</v>
      </c>
      <c r="BL9" s="1348" t="s">
        <v>827</v>
      </c>
      <c r="BM9" s="1352" t="s">
        <v>827</v>
      </c>
      <c r="BN9" s="1352" t="s">
        <v>827</v>
      </c>
      <c r="BO9" s="520" t="s">
        <v>914</v>
      </c>
      <c r="BP9" s="520" t="s">
        <v>914</v>
      </c>
      <c r="BQ9" s="1346" t="s">
        <v>6</v>
      </c>
      <c r="BR9" s="520" t="s">
        <v>914</v>
      </c>
      <c r="BS9" s="520" t="s">
        <v>914</v>
      </c>
      <c r="BT9" s="1346"/>
      <c r="BU9" s="1346"/>
      <c r="BV9" s="1346"/>
      <c r="BW9" s="1349" t="s">
        <v>18</v>
      </c>
      <c r="BX9" s="1349" t="s">
        <v>18</v>
      </c>
      <c r="BY9" s="1349" t="s">
        <v>18</v>
      </c>
      <c r="BZ9" s="1349" t="s">
        <v>18</v>
      </c>
      <c r="CA9" s="1349" t="s">
        <v>18</v>
      </c>
      <c r="CB9" s="1349" t="s">
        <v>18</v>
      </c>
      <c r="CC9" s="1346"/>
      <c r="CD9" s="1346" t="s">
        <v>208</v>
      </c>
      <c r="CE9" s="1346" t="s">
        <v>208</v>
      </c>
      <c r="CF9" s="1344" t="s">
        <v>208</v>
      </c>
      <c r="CG9" s="1344"/>
      <c r="CH9" s="1344"/>
      <c r="CI9" s="1344"/>
      <c r="CJ9" s="1344"/>
      <c r="CK9" s="1344"/>
      <c r="CL9" s="1344"/>
      <c r="CM9" s="1353" t="s">
        <v>270</v>
      </c>
      <c r="CN9" s="1353" t="s">
        <v>270</v>
      </c>
      <c r="CO9" s="1353" t="s">
        <v>270</v>
      </c>
      <c r="CP9" s="1354" t="s">
        <v>18</v>
      </c>
      <c r="CQ9" s="1354"/>
      <c r="CR9" s="1354"/>
      <c r="CS9" s="1354"/>
      <c r="CT9" s="1355"/>
      <c r="CU9" s="1346" t="s">
        <v>825</v>
      </c>
      <c r="CV9" s="1356" t="s">
        <v>18</v>
      </c>
      <c r="CW9" s="1346" t="s">
        <v>825</v>
      </c>
      <c r="CX9" s="1356" t="s">
        <v>18</v>
      </c>
      <c r="CY9" s="1350" t="s">
        <v>825</v>
      </c>
      <c r="CZ9" s="1357"/>
      <c r="DA9" s="1345">
        <v>1</v>
      </c>
      <c r="DB9" s="1346">
        <v>1</v>
      </c>
      <c r="DC9" s="1346">
        <v>1</v>
      </c>
      <c r="DD9" s="1347">
        <v>1</v>
      </c>
      <c r="DE9" s="1346">
        <v>1</v>
      </c>
      <c r="DF9" s="1351">
        <v>1</v>
      </c>
      <c r="DG9" s="1346">
        <v>1</v>
      </c>
      <c r="DH9" s="1346">
        <v>1</v>
      </c>
      <c r="DI9" s="1346">
        <v>1</v>
      </c>
      <c r="DJ9" s="1347">
        <v>1</v>
      </c>
      <c r="DK9" s="1346">
        <v>1</v>
      </c>
      <c r="DL9" s="1351">
        <v>1</v>
      </c>
      <c r="DM9" s="1346">
        <v>1</v>
      </c>
      <c r="DN9" s="1346">
        <v>1</v>
      </c>
      <c r="DO9" s="1346">
        <v>1</v>
      </c>
      <c r="DP9" s="1347">
        <v>1</v>
      </c>
      <c r="DQ9" s="1346">
        <v>1</v>
      </c>
      <c r="DR9" s="1351">
        <v>1</v>
      </c>
      <c r="DS9" s="1346">
        <v>1</v>
      </c>
      <c r="DT9" s="1346">
        <v>1</v>
      </c>
      <c r="DU9" s="1346">
        <v>1</v>
      </c>
      <c r="DV9" s="1347">
        <v>1</v>
      </c>
      <c r="DW9" s="1346">
        <v>1</v>
      </c>
      <c r="DX9" s="1344">
        <v>1</v>
      </c>
      <c r="DY9" s="1345">
        <v>1</v>
      </c>
      <c r="DZ9" s="1346">
        <v>1</v>
      </c>
      <c r="EA9" s="1346">
        <v>1</v>
      </c>
      <c r="EB9" s="1347">
        <v>1</v>
      </c>
      <c r="EC9" s="1346">
        <v>1</v>
      </c>
      <c r="ED9" s="1351">
        <v>1</v>
      </c>
      <c r="EE9" s="1346">
        <v>1</v>
      </c>
      <c r="EF9" s="1346">
        <v>1</v>
      </c>
      <c r="EG9" s="1346">
        <v>1</v>
      </c>
      <c r="EH9" s="1347">
        <v>1</v>
      </c>
      <c r="EI9" s="1346">
        <v>1</v>
      </c>
      <c r="EJ9" s="1351">
        <v>1</v>
      </c>
      <c r="EK9" s="1346">
        <v>1</v>
      </c>
      <c r="EL9" s="1346">
        <v>1</v>
      </c>
      <c r="EM9" s="1346">
        <v>1</v>
      </c>
      <c r="EN9" s="1347">
        <v>1</v>
      </c>
      <c r="EO9" s="1346">
        <v>1</v>
      </c>
      <c r="EP9" s="1351">
        <v>1</v>
      </c>
      <c r="EQ9" s="1346">
        <v>1</v>
      </c>
      <c r="ER9" s="1346">
        <v>1</v>
      </c>
      <c r="ES9" s="1346">
        <v>1</v>
      </c>
      <c r="ET9" s="1347">
        <v>1</v>
      </c>
      <c r="EU9" s="1346">
        <v>1</v>
      </c>
      <c r="EV9" s="1344">
        <v>1</v>
      </c>
      <c r="EW9" s="1358"/>
      <c r="EX9" s="1345">
        <v>31</v>
      </c>
      <c r="EY9" s="1346">
        <v>28</v>
      </c>
      <c r="EZ9" s="1346">
        <v>31</v>
      </c>
      <c r="FA9" s="1347">
        <v>30</v>
      </c>
      <c r="FB9" s="1346">
        <v>31</v>
      </c>
      <c r="FC9" s="1351">
        <v>30</v>
      </c>
      <c r="FD9" s="1346">
        <v>31</v>
      </c>
      <c r="FE9" s="1346">
        <v>31</v>
      </c>
      <c r="FF9" s="1346">
        <v>30</v>
      </c>
      <c r="FG9" s="1347">
        <v>31</v>
      </c>
      <c r="FH9" s="1346">
        <v>30</v>
      </c>
      <c r="FI9" s="1344">
        <v>31</v>
      </c>
      <c r="FJ9" s="1359" t="s">
        <v>48</v>
      </c>
      <c r="FK9" s="1360" t="s">
        <v>48</v>
      </c>
      <c r="FL9" s="1345" t="s">
        <v>16</v>
      </c>
      <c r="FM9" s="1346" t="s">
        <v>16</v>
      </c>
      <c r="FN9" s="1361" t="s">
        <v>16</v>
      </c>
      <c r="FO9" s="1361" t="s">
        <v>16</v>
      </c>
      <c r="FP9" s="1346" t="s">
        <v>18</v>
      </c>
      <c r="FQ9" s="1344" t="s">
        <v>101</v>
      </c>
      <c r="FR9" s="1345" t="s">
        <v>16</v>
      </c>
      <c r="FS9" s="1346" t="s">
        <v>16</v>
      </c>
      <c r="FT9" s="1346" t="s">
        <v>16</v>
      </c>
      <c r="FU9" s="1344" t="s">
        <v>101</v>
      </c>
      <c r="FV9" s="1345"/>
      <c r="FW9" s="1346"/>
      <c r="FX9" s="1346"/>
      <c r="FY9" s="1346"/>
      <c r="FZ9" s="1346"/>
      <c r="GA9" s="1344"/>
      <c r="GL9" s="175">
        <v>31</v>
      </c>
      <c r="GM9" s="175">
        <v>28</v>
      </c>
      <c r="GN9" s="175">
        <v>31</v>
      </c>
      <c r="GO9" s="175">
        <v>30</v>
      </c>
      <c r="GP9" s="175">
        <v>31</v>
      </c>
      <c r="GQ9" s="175">
        <v>30</v>
      </c>
      <c r="GR9" s="175">
        <v>31</v>
      </c>
      <c r="GS9" s="175">
        <v>31</v>
      </c>
      <c r="GT9" s="175">
        <v>30</v>
      </c>
      <c r="GU9" s="175">
        <v>31</v>
      </c>
      <c r="GV9" s="175">
        <v>30</v>
      </c>
      <c r="GW9" s="175">
        <v>31</v>
      </c>
      <c r="GZ9" s="175" t="s">
        <v>48</v>
      </c>
      <c r="HB9" s="1362"/>
      <c r="HC9" s="1362"/>
      <c r="HD9" s="1362"/>
      <c r="HE9" s="1362"/>
      <c r="HF9" s="1362"/>
      <c r="HG9" s="1362"/>
      <c r="HH9" s="1362"/>
      <c r="HI9" s="838" t="s">
        <v>168</v>
      </c>
      <c r="HJ9" s="838" t="s">
        <v>168</v>
      </c>
      <c r="HK9" s="838" t="s">
        <v>351</v>
      </c>
      <c r="HN9" s="838" t="s">
        <v>168</v>
      </c>
    </row>
    <row r="10" spans="1:222" s="55" customFormat="1">
      <c r="A10" s="878">
        <v>1.1000000000000001</v>
      </c>
      <c r="B10" s="1363"/>
      <c r="C10" s="1364" t="str">
        <f>Begriffe!F101</f>
        <v>Wohnen MFH</v>
      </c>
      <c r="D10" s="263">
        <v>4</v>
      </c>
      <c r="E10" s="240">
        <v>5</v>
      </c>
      <c r="F10" s="240">
        <v>2.5</v>
      </c>
      <c r="G10" s="1365">
        <f>D10*E10</f>
        <v>20</v>
      </c>
      <c r="H10" s="1365">
        <f>Hüllzahl!X10</f>
        <v>26.47058823529412</v>
      </c>
      <c r="I10" s="1366">
        <v>30</v>
      </c>
      <c r="J10" s="1367">
        <v>0.75</v>
      </c>
      <c r="K10" s="72">
        <f t="shared" ref="K10:K54" si="0">I10/(1-J10%)</f>
        <v>30.226700251889167</v>
      </c>
      <c r="L10" s="263">
        <v>1.2</v>
      </c>
      <c r="M10" s="240">
        <v>0.9</v>
      </c>
      <c r="N10" s="240">
        <v>1.5</v>
      </c>
      <c r="O10" s="1367">
        <v>0.17</v>
      </c>
      <c r="P10" s="240">
        <v>0.1</v>
      </c>
      <c r="Q10" s="240">
        <v>0.8</v>
      </c>
      <c r="R10" s="72">
        <v>0.5</v>
      </c>
      <c r="S10" s="1367">
        <v>0.5</v>
      </c>
      <c r="T10" s="1367">
        <v>0.65</v>
      </c>
      <c r="U10" s="1367">
        <v>0.14000000000000001</v>
      </c>
      <c r="V10" s="1367">
        <v>0.1</v>
      </c>
      <c r="W10" s="1367">
        <v>0.2</v>
      </c>
      <c r="X10" s="72">
        <v>0.7</v>
      </c>
      <c r="Y10" s="72">
        <v>0.9</v>
      </c>
      <c r="Z10" s="72">
        <v>90</v>
      </c>
      <c r="AA10" s="1365">
        <f>'Kälte_TEC-Tool'!J9</f>
        <v>120</v>
      </c>
      <c r="AB10" s="1368">
        <v>26</v>
      </c>
      <c r="AC10" s="1369">
        <v>21</v>
      </c>
      <c r="AD10" s="1370"/>
      <c r="AE10" s="1371" t="s">
        <v>155</v>
      </c>
      <c r="AF10" s="1371">
        <v>60</v>
      </c>
      <c r="AG10" s="1372">
        <v>30</v>
      </c>
      <c r="AH10" s="1373" t="str">
        <f>Begriffe!F$228</f>
        <v>mittel</v>
      </c>
      <c r="AI10" s="1371">
        <v>25</v>
      </c>
      <c r="AJ10" s="1374">
        <v>0.6</v>
      </c>
      <c r="AK10" s="73">
        <v>30</v>
      </c>
      <c r="AL10" s="72">
        <v>1.2</v>
      </c>
      <c r="AM10" s="1375">
        <v>0.5</v>
      </c>
      <c r="AN10" s="240">
        <v>1</v>
      </c>
      <c r="AO10" s="1376">
        <v>0.5</v>
      </c>
      <c r="AP10" s="73">
        <v>8</v>
      </c>
      <c r="AQ10" s="72">
        <v>4</v>
      </c>
      <c r="AR10" s="72">
        <v>10</v>
      </c>
      <c r="AS10" s="72">
        <f t="shared" ref="AS10:AU11" si="1">AP10</f>
        <v>8</v>
      </c>
      <c r="AT10" s="72">
        <f t="shared" si="1"/>
        <v>4</v>
      </c>
      <c r="AU10" s="72">
        <f t="shared" si="1"/>
        <v>10</v>
      </c>
      <c r="AV10" s="1377">
        <v>10</v>
      </c>
      <c r="AW10" s="72">
        <v>50</v>
      </c>
      <c r="AX10" s="1367">
        <v>0.75</v>
      </c>
      <c r="AY10" s="1365">
        <v>19</v>
      </c>
      <c r="AZ10" s="1378">
        <f>SUMIF(DH10:DR10,"&gt;0",DH$9:DR$9)</f>
        <v>4</v>
      </c>
      <c r="BA10" s="1379">
        <f t="shared" ref="BA10:BA52" si="2">IF(OR(A10=1.1,A10=1.2,A10=2.1,A10=8.1),SUMIF(DH10:DU10,"&gt;0",DH$9:DU$9),SUMIF(DA10:DX10,"&gt;0",DA$9:DX$9))-AZ10</f>
        <v>3</v>
      </c>
      <c r="BB10" s="1380">
        <v>1</v>
      </c>
      <c r="BC10" s="1365">
        <v>2</v>
      </c>
      <c r="BD10" s="1365">
        <v>3</v>
      </c>
      <c r="BE10" s="879">
        <v>10</v>
      </c>
      <c r="BF10" s="879">
        <v>5</v>
      </c>
      <c r="BG10" s="72"/>
      <c r="BH10" s="72"/>
      <c r="BI10" s="263">
        <f>AP10+Res_Std!T6+Res_Std!U6</f>
        <v>10.741564417177916</v>
      </c>
      <c r="BJ10" s="72">
        <v>60</v>
      </c>
      <c r="BK10" s="240">
        <f>BJ10/BI10</f>
        <v>5.5857785393017769</v>
      </c>
      <c r="BL10" s="73">
        <v>30</v>
      </c>
      <c r="BM10" s="1381">
        <v>15</v>
      </c>
      <c r="BN10" s="1367">
        <f>IF(BL10&lt;&gt;0,BL10/1.2*AL10/AK10,36/1.2*AL10/AK10)</f>
        <v>1</v>
      </c>
      <c r="BO10" s="1382"/>
      <c r="BP10" s="240">
        <f t="shared" ref="BP10:BP54" si="3">MAX(IF(AK10=0,0,BL10/AK10),BO10,BN10)</f>
        <v>1</v>
      </c>
      <c r="BQ10" s="72">
        <v>50</v>
      </c>
      <c r="BR10" s="1367">
        <v>0.15</v>
      </c>
      <c r="BS10" s="1367">
        <v>0.3</v>
      </c>
      <c r="BT10" s="1383" t="str">
        <f>Begriffe!$F$230</f>
        <v>1-stufig</v>
      </c>
      <c r="BU10" s="1383" t="str">
        <f>Begriffe!$F$231</f>
        <v>2-stufig</v>
      </c>
      <c r="BV10" s="1384"/>
      <c r="BW10" s="1367">
        <v>0.7</v>
      </c>
      <c r="BX10" s="1367">
        <v>0.8</v>
      </c>
      <c r="BY10" s="1367"/>
      <c r="BZ10" s="1367">
        <v>0.75</v>
      </c>
      <c r="CA10" s="1367">
        <v>0.85</v>
      </c>
      <c r="CB10" s="1367"/>
      <c r="CC10" s="1385" t="str">
        <f>Begriffe!$F$233</f>
        <v>Einfache Lüftungsanlage</v>
      </c>
      <c r="CD10" s="1386">
        <v>0.28000000000000003</v>
      </c>
      <c r="CE10" s="1386">
        <v>0.16600000000000001</v>
      </c>
      <c r="CF10" s="1387">
        <v>0.4</v>
      </c>
      <c r="CG10" s="1388" t="s">
        <v>18</v>
      </c>
      <c r="CH10" s="1388" t="s">
        <v>18</v>
      </c>
      <c r="CI10" s="1388" t="s">
        <v>18</v>
      </c>
      <c r="CJ10" s="1388" t="s">
        <v>18</v>
      </c>
      <c r="CK10" s="1388" t="s">
        <v>18</v>
      </c>
      <c r="CL10" s="1388" t="s">
        <v>18</v>
      </c>
      <c r="CM10" s="1389">
        <v>1</v>
      </c>
      <c r="CN10" s="1389">
        <v>2</v>
      </c>
      <c r="CO10" s="1389">
        <v>0</v>
      </c>
      <c r="CP10" s="1389">
        <v>0.5</v>
      </c>
      <c r="CQ10" s="1389"/>
      <c r="CR10" s="1389"/>
      <c r="CS10" s="1389"/>
      <c r="CT10" s="1390" t="str">
        <f>Begriffe!$F$242</f>
        <v>Person</v>
      </c>
      <c r="CU10" s="879">
        <v>35</v>
      </c>
      <c r="CV10" s="879">
        <v>1</v>
      </c>
      <c r="CW10" s="1365">
        <f>IF(CV10=0,CU10,CU10*CV10)</f>
        <v>35</v>
      </c>
      <c r="CX10" s="879">
        <v>4</v>
      </c>
      <c r="CY10" s="1377">
        <f>CW10*CX10</f>
        <v>140</v>
      </c>
      <c r="CZ10" s="1389" t="s">
        <v>133</v>
      </c>
      <c r="DA10" s="263">
        <v>1</v>
      </c>
      <c r="DB10" s="240">
        <v>1</v>
      </c>
      <c r="DC10" s="240">
        <v>1</v>
      </c>
      <c r="DD10" s="1375">
        <v>1</v>
      </c>
      <c r="DE10" s="240">
        <v>1</v>
      </c>
      <c r="DF10" s="1391">
        <v>1</v>
      </c>
      <c r="DG10" s="240">
        <v>0.6</v>
      </c>
      <c r="DH10" s="240">
        <v>0.4</v>
      </c>
      <c r="DI10" s="240">
        <v>0</v>
      </c>
      <c r="DJ10" s="1375">
        <v>0</v>
      </c>
      <c r="DK10" s="240">
        <v>0</v>
      </c>
      <c r="DL10" s="1391">
        <v>0</v>
      </c>
      <c r="DM10" s="240">
        <v>0.8</v>
      </c>
      <c r="DN10" s="240">
        <v>0.4</v>
      </c>
      <c r="DO10" s="240">
        <v>0</v>
      </c>
      <c r="DP10" s="1375">
        <v>0</v>
      </c>
      <c r="DQ10" s="240">
        <v>0</v>
      </c>
      <c r="DR10" s="1391">
        <v>0.4</v>
      </c>
      <c r="DS10" s="240">
        <v>0.8</v>
      </c>
      <c r="DT10" s="240">
        <v>0.8</v>
      </c>
      <c r="DU10" s="240">
        <v>0.8</v>
      </c>
      <c r="DV10" s="1375">
        <v>1</v>
      </c>
      <c r="DW10" s="240">
        <v>1</v>
      </c>
      <c r="DX10" s="1376">
        <v>1</v>
      </c>
      <c r="DY10" s="263">
        <v>0.1</v>
      </c>
      <c r="DZ10" s="240">
        <v>0.1</v>
      </c>
      <c r="EA10" s="240">
        <v>0.1</v>
      </c>
      <c r="EB10" s="1375">
        <v>0.1</v>
      </c>
      <c r="EC10" s="240">
        <v>0.1</v>
      </c>
      <c r="ED10" s="1391">
        <v>0.2</v>
      </c>
      <c r="EE10" s="240">
        <v>0.8</v>
      </c>
      <c r="EF10" s="240">
        <v>0.2</v>
      </c>
      <c r="EG10" s="240">
        <v>0.1</v>
      </c>
      <c r="EH10" s="1375">
        <v>0.1</v>
      </c>
      <c r="EI10" s="240">
        <v>0.1</v>
      </c>
      <c r="EJ10" s="1391">
        <v>0.1</v>
      </c>
      <c r="EK10" s="240">
        <v>0.8</v>
      </c>
      <c r="EL10" s="240">
        <v>0.2</v>
      </c>
      <c r="EM10" s="240">
        <v>0.1</v>
      </c>
      <c r="EN10" s="1375">
        <v>0.1</v>
      </c>
      <c r="EO10" s="240">
        <v>0.1</v>
      </c>
      <c r="EP10" s="1391">
        <v>0.2</v>
      </c>
      <c r="EQ10" s="240">
        <v>0.8</v>
      </c>
      <c r="ER10" s="240">
        <v>1</v>
      </c>
      <c r="ES10" s="240">
        <v>0.2</v>
      </c>
      <c r="ET10" s="1375">
        <v>0.2</v>
      </c>
      <c r="EU10" s="240">
        <v>0.2</v>
      </c>
      <c r="EV10" s="1376">
        <v>0.1</v>
      </c>
      <c r="EW10" s="1392" t="s">
        <v>862</v>
      </c>
      <c r="EX10" s="1393">
        <v>0.8</v>
      </c>
      <c r="EY10" s="1394">
        <v>0.8</v>
      </c>
      <c r="EZ10" s="1394">
        <v>0.8</v>
      </c>
      <c r="FA10" s="1395">
        <v>0.8</v>
      </c>
      <c r="FB10" s="1394">
        <v>0.8</v>
      </c>
      <c r="FC10" s="1396">
        <v>0.8</v>
      </c>
      <c r="FD10" s="1394">
        <v>0.8</v>
      </c>
      <c r="FE10" s="1394">
        <v>0.8</v>
      </c>
      <c r="FF10" s="1394">
        <v>0.8</v>
      </c>
      <c r="FG10" s="1395">
        <v>0.8</v>
      </c>
      <c r="FH10" s="1394">
        <v>0.8</v>
      </c>
      <c r="FI10" s="1397">
        <v>0.8</v>
      </c>
      <c r="FJ10" s="1398">
        <v>0</v>
      </c>
      <c r="FK10" s="1399">
        <f>365-(52*FJ10)</f>
        <v>365</v>
      </c>
      <c r="FL10" s="291">
        <f t="shared" ref="FL10:FL54" si="4">SUMIF(DA10:DX10,"&gt;0",DA$9:DX$9)</f>
        <v>17</v>
      </c>
      <c r="FM10" s="292">
        <f t="shared" ref="FM10:FM54" si="5">SUM(DA10:DX10)</f>
        <v>14.000000000000002</v>
      </c>
      <c r="FN10" s="292">
        <f t="shared" ref="FN10:FN54" si="6">SUM(DH10:DR10)</f>
        <v>2</v>
      </c>
      <c r="FO10" s="292">
        <f t="shared" ref="FO10:FO54" si="7">SUM(DA10:DG10,DS10:DX10)</f>
        <v>12</v>
      </c>
      <c r="FP10" s="1400">
        <f t="shared" ref="FP10:FP42" si="8">SUMPRODUCT(EX10:FI10,EX$9:FI$9)/365</f>
        <v>0.80000000000000016</v>
      </c>
      <c r="FQ10" s="288">
        <f>ROUND(FM10*FK10*FP10,-1)</f>
        <v>4090</v>
      </c>
      <c r="FR10" s="291">
        <f t="shared" ref="FR10:FR54" si="9">SUMIF(DY10:EV10,"&gt;0",DA$9:DX$9)</f>
        <v>24</v>
      </c>
      <c r="FS10" s="292">
        <f t="shared" ref="FS10:FS54" si="10">SUM(DY10:EV10)</f>
        <v>6.1000000000000014</v>
      </c>
      <c r="FT10" s="292">
        <f t="shared" ref="FT10:FT54" si="11">AV10%*24</f>
        <v>2.4000000000000004</v>
      </c>
      <c r="FU10" s="288">
        <f>ROUND((FS10*FK10+FT10*(365-FK10))*FP10,-1)</f>
        <v>1780</v>
      </c>
      <c r="FV10" s="1401" t="str">
        <f>Begriffe!F247</f>
        <v>- Im Schlafzimmer erhöhter Schallschutz</v>
      </c>
      <c r="FW10" s="1402"/>
      <c r="FX10" s="1403" t="str">
        <f>IF(BV10=0,Begriffe!$F$262,"")</f>
        <v>- Keine Lüftungsanlage im Bestand</v>
      </c>
      <c r="FY10" s="1403" t="str">
        <f>Begriffe!F264</f>
        <v>- Wasser- und Warmwasserbedarf pro Person</v>
      </c>
      <c r="FZ10" s="1404"/>
      <c r="GA10" s="74"/>
      <c r="GK10" s="55" t="s">
        <v>156</v>
      </c>
      <c r="GL10" s="55">
        <v>0.8</v>
      </c>
      <c r="GM10" s="55">
        <v>0.6</v>
      </c>
      <c r="GN10" s="55">
        <v>1</v>
      </c>
      <c r="GO10" s="55">
        <v>0.8</v>
      </c>
      <c r="GP10" s="55">
        <v>0.6</v>
      </c>
      <c r="GQ10" s="55">
        <v>1</v>
      </c>
      <c r="GR10" s="55">
        <v>0.6</v>
      </c>
      <c r="GS10" s="55">
        <v>0.6</v>
      </c>
      <c r="GT10" s="55">
        <v>1</v>
      </c>
      <c r="GU10" s="55">
        <v>0.8</v>
      </c>
      <c r="GV10" s="55">
        <v>1</v>
      </c>
      <c r="GW10" s="55">
        <v>0.6</v>
      </c>
      <c r="GX10" s="55">
        <f t="shared" ref="GX10:GX42" si="12">SUM(GL10:GW10)/12</f>
        <v>0.78333333333333333</v>
      </c>
      <c r="GZ10" s="55">
        <v>0</v>
      </c>
      <c r="HB10" s="1405">
        <v>1</v>
      </c>
      <c r="HC10" s="1405">
        <v>1</v>
      </c>
      <c r="HD10" s="1405">
        <v>1</v>
      </c>
      <c r="HE10" s="1405">
        <v>1</v>
      </c>
      <c r="HF10" s="1405">
        <v>1</v>
      </c>
      <c r="HG10" s="1405">
        <v>1</v>
      </c>
      <c r="HH10" s="1405">
        <v>1</v>
      </c>
      <c r="HI10" s="55">
        <v>13</v>
      </c>
      <c r="HJ10" s="55">
        <v>14</v>
      </c>
      <c r="HK10" s="55">
        <v>0.7</v>
      </c>
      <c r="HL10" s="55">
        <v>1</v>
      </c>
      <c r="HM10" s="1406">
        <f>Hüllzahl!Y10</f>
        <v>1.1911764705882355</v>
      </c>
      <c r="HN10" s="1407">
        <f>(HI10+HJ10*Hüllzahl!Y10)</f>
        <v>29.676470588235297</v>
      </c>
    </row>
    <row r="11" spans="1:222" s="55" customFormat="1">
      <c r="A11" s="880">
        <v>1.2</v>
      </c>
      <c r="B11" s="1408"/>
      <c r="C11" s="1409" t="str">
        <f>Begriffe!F102</f>
        <v>Wohnen EFH</v>
      </c>
      <c r="D11" s="1011">
        <v>4</v>
      </c>
      <c r="E11" s="289">
        <v>5</v>
      </c>
      <c r="F11" s="289">
        <v>2.5</v>
      </c>
      <c r="G11" s="1410">
        <f>D11*E11</f>
        <v>20</v>
      </c>
      <c r="H11" s="1410">
        <f>Hüllzahl!X11</f>
        <v>38.235294117647058</v>
      </c>
      <c r="I11" s="1411">
        <v>30</v>
      </c>
      <c r="J11" s="1412">
        <v>0.75</v>
      </c>
      <c r="K11" s="60">
        <f t="shared" ref="K11" si="13">I11/(1-J11%)</f>
        <v>30.226700251889167</v>
      </c>
      <c r="L11" s="1011">
        <v>1.2</v>
      </c>
      <c r="M11" s="289">
        <v>0.9</v>
      </c>
      <c r="N11" s="289">
        <v>1.5</v>
      </c>
      <c r="O11" s="1412">
        <v>0.17</v>
      </c>
      <c r="P11" s="289">
        <v>0.1</v>
      </c>
      <c r="Q11" s="289">
        <v>0.8</v>
      </c>
      <c r="R11" s="60">
        <v>0.5</v>
      </c>
      <c r="S11" s="1412">
        <v>0.5</v>
      </c>
      <c r="T11" s="1412">
        <v>0.65</v>
      </c>
      <c r="U11" s="1412">
        <v>0.14000000000000001</v>
      </c>
      <c r="V11" s="1412">
        <v>0.1</v>
      </c>
      <c r="W11" s="1412">
        <v>0.2</v>
      </c>
      <c r="X11" s="60">
        <v>0.7</v>
      </c>
      <c r="Y11" s="60">
        <v>0.9</v>
      </c>
      <c r="Z11" s="60">
        <v>90</v>
      </c>
      <c r="AA11" s="1410">
        <f>'Kälte_TEC-Tool'!J10</f>
        <v>120</v>
      </c>
      <c r="AB11" s="1413">
        <v>26</v>
      </c>
      <c r="AC11" s="1414">
        <v>21</v>
      </c>
      <c r="AD11" s="1415"/>
      <c r="AE11" s="1416" t="s">
        <v>155</v>
      </c>
      <c r="AF11" s="1416">
        <v>60</v>
      </c>
      <c r="AG11" s="1417">
        <v>30</v>
      </c>
      <c r="AH11" s="1418" t="str">
        <f>Begriffe!F$228</f>
        <v>mittel</v>
      </c>
      <c r="AI11" s="1416">
        <v>25</v>
      </c>
      <c r="AJ11" s="1419">
        <v>0.6</v>
      </c>
      <c r="AK11" s="56">
        <v>50</v>
      </c>
      <c r="AL11" s="60">
        <v>1.2</v>
      </c>
      <c r="AM11" s="1420">
        <v>0.5</v>
      </c>
      <c r="AN11" s="289">
        <v>1</v>
      </c>
      <c r="AO11" s="1421">
        <v>0.5</v>
      </c>
      <c r="AP11" s="56">
        <v>8</v>
      </c>
      <c r="AQ11" s="60">
        <v>4</v>
      </c>
      <c r="AR11" s="60">
        <v>10</v>
      </c>
      <c r="AS11" s="60">
        <f t="shared" si="1"/>
        <v>8</v>
      </c>
      <c r="AT11" s="60">
        <f t="shared" si="1"/>
        <v>4</v>
      </c>
      <c r="AU11" s="60">
        <f t="shared" si="1"/>
        <v>10</v>
      </c>
      <c r="AV11" s="1422">
        <v>10</v>
      </c>
      <c r="AW11" s="60">
        <v>50</v>
      </c>
      <c r="AX11" s="1412">
        <v>0.75</v>
      </c>
      <c r="AY11" s="1410">
        <v>19</v>
      </c>
      <c r="AZ11" s="1423">
        <f>SUMIF(DH11:DR11,"&gt;0",DH$9:DR$9)</f>
        <v>4</v>
      </c>
      <c r="BA11" s="1424">
        <f t="shared" si="2"/>
        <v>3</v>
      </c>
      <c r="BB11" s="1425">
        <v>1</v>
      </c>
      <c r="BC11" s="1410">
        <v>2</v>
      </c>
      <c r="BD11" s="1410">
        <v>3</v>
      </c>
      <c r="BE11" s="881">
        <v>10</v>
      </c>
      <c r="BF11" s="881">
        <v>5</v>
      </c>
      <c r="BG11" s="60"/>
      <c r="BH11" s="60"/>
      <c r="BI11" s="1011">
        <f>AP11+Res_Std!T7+Res_Std!U7</f>
        <v>10.741564417177916</v>
      </c>
      <c r="BJ11" s="60">
        <v>60</v>
      </c>
      <c r="BK11" s="289">
        <f>BJ11/BI11</f>
        <v>5.5857785393017769</v>
      </c>
      <c r="BL11" s="56">
        <v>30</v>
      </c>
      <c r="BM11" s="1426">
        <v>15</v>
      </c>
      <c r="BN11" s="1412">
        <f t="shared" ref="BN11:BN42" si="14">IF(BL11&lt;&gt;0,BL11/1.2*AL11/AK11,36/1.2*AL11/AK11)</f>
        <v>0.6</v>
      </c>
      <c r="BO11" s="1427"/>
      <c r="BP11" s="289">
        <f t="shared" si="3"/>
        <v>0.6</v>
      </c>
      <c r="BQ11" s="60">
        <v>50</v>
      </c>
      <c r="BR11" s="1412">
        <v>0.15</v>
      </c>
      <c r="BS11" s="1412">
        <v>0.3</v>
      </c>
      <c r="BT11" s="1428" t="str">
        <f>Begriffe!$F$230</f>
        <v>1-stufig</v>
      </c>
      <c r="BU11" s="1428" t="str">
        <f>Begriffe!$F$231</f>
        <v>2-stufig</v>
      </c>
      <c r="BV11" s="1428"/>
      <c r="BW11" s="1412">
        <v>0.7</v>
      </c>
      <c r="BX11" s="1412">
        <v>0.8</v>
      </c>
      <c r="BY11" s="1412"/>
      <c r="BZ11" s="1412">
        <v>0.75</v>
      </c>
      <c r="CA11" s="1412">
        <v>0.85</v>
      </c>
      <c r="CB11" s="1412"/>
      <c r="CC11" s="1429" t="str">
        <f>Begriffe!$F$233</f>
        <v>Einfache Lüftungsanlage</v>
      </c>
      <c r="CD11" s="1430">
        <v>0.28000000000000003</v>
      </c>
      <c r="CE11" s="1430">
        <v>0.16600000000000001</v>
      </c>
      <c r="CF11" s="1431">
        <v>0.4</v>
      </c>
      <c r="CG11" s="1432" t="s">
        <v>18</v>
      </c>
      <c r="CH11" s="1432" t="s">
        <v>18</v>
      </c>
      <c r="CI11" s="1432" t="s">
        <v>18</v>
      </c>
      <c r="CJ11" s="1432" t="s">
        <v>18</v>
      </c>
      <c r="CK11" s="1432" t="s">
        <v>18</v>
      </c>
      <c r="CL11" s="1432" t="s">
        <v>18</v>
      </c>
      <c r="CM11" s="1433">
        <v>1</v>
      </c>
      <c r="CN11" s="1433">
        <v>2</v>
      </c>
      <c r="CO11" s="1433">
        <v>0</v>
      </c>
      <c r="CP11" s="1433">
        <v>0.5</v>
      </c>
      <c r="CQ11" s="1433"/>
      <c r="CR11" s="1433"/>
      <c r="CS11" s="1433"/>
      <c r="CT11" s="1434" t="str">
        <f>Begriffe!$F$242</f>
        <v>Person</v>
      </c>
      <c r="CU11" s="881">
        <v>40</v>
      </c>
      <c r="CV11" s="881">
        <v>1</v>
      </c>
      <c r="CW11" s="1410">
        <f>IF(CV11=0,CU11,CU11*CV11)</f>
        <v>40</v>
      </c>
      <c r="CX11" s="881">
        <v>4</v>
      </c>
      <c r="CY11" s="1422">
        <f>CW11*CX11</f>
        <v>160</v>
      </c>
      <c r="CZ11" s="1433" t="s">
        <v>133</v>
      </c>
      <c r="DA11" s="1011">
        <v>1</v>
      </c>
      <c r="DB11" s="289">
        <v>1</v>
      </c>
      <c r="DC11" s="289">
        <v>1</v>
      </c>
      <c r="DD11" s="1420">
        <v>1</v>
      </c>
      <c r="DE11" s="289">
        <v>1</v>
      </c>
      <c r="DF11" s="1435">
        <v>1</v>
      </c>
      <c r="DG11" s="289">
        <v>0.6</v>
      </c>
      <c r="DH11" s="289">
        <v>0.4</v>
      </c>
      <c r="DI11" s="289">
        <v>0</v>
      </c>
      <c r="DJ11" s="1420">
        <v>0</v>
      </c>
      <c r="DK11" s="289">
        <v>0</v>
      </c>
      <c r="DL11" s="1435">
        <v>0</v>
      </c>
      <c r="DM11" s="289">
        <v>0.8</v>
      </c>
      <c r="DN11" s="289">
        <v>0.4</v>
      </c>
      <c r="DO11" s="289">
        <v>0</v>
      </c>
      <c r="DP11" s="1420">
        <v>0</v>
      </c>
      <c r="DQ11" s="289">
        <v>0</v>
      </c>
      <c r="DR11" s="1435">
        <v>0.4</v>
      </c>
      <c r="DS11" s="289">
        <v>0.8</v>
      </c>
      <c r="DT11" s="289">
        <v>0.8</v>
      </c>
      <c r="DU11" s="289">
        <v>0.8</v>
      </c>
      <c r="DV11" s="1420">
        <v>1</v>
      </c>
      <c r="DW11" s="289">
        <v>1</v>
      </c>
      <c r="DX11" s="1421">
        <v>1</v>
      </c>
      <c r="DY11" s="1011">
        <v>0.1</v>
      </c>
      <c r="DZ11" s="289">
        <v>0.1</v>
      </c>
      <c r="EA11" s="289">
        <v>0.1</v>
      </c>
      <c r="EB11" s="1420">
        <v>0.1</v>
      </c>
      <c r="EC11" s="289">
        <v>0.1</v>
      </c>
      <c r="ED11" s="1435">
        <v>0.2</v>
      </c>
      <c r="EE11" s="289">
        <v>0.8</v>
      </c>
      <c r="EF11" s="289">
        <v>0.2</v>
      </c>
      <c r="EG11" s="289">
        <v>0.1</v>
      </c>
      <c r="EH11" s="1420">
        <v>0.1</v>
      </c>
      <c r="EI11" s="289">
        <v>0.1</v>
      </c>
      <c r="EJ11" s="1435">
        <v>0.1</v>
      </c>
      <c r="EK11" s="289">
        <v>0.8</v>
      </c>
      <c r="EL11" s="289">
        <v>0.2</v>
      </c>
      <c r="EM11" s="289">
        <v>0.1</v>
      </c>
      <c r="EN11" s="1420">
        <v>0.1</v>
      </c>
      <c r="EO11" s="289">
        <v>0.1</v>
      </c>
      <c r="EP11" s="1435">
        <v>0.2</v>
      </c>
      <c r="EQ11" s="289">
        <v>0.8</v>
      </c>
      <c r="ER11" s="289">
        <v>1</v>
      </c>
      <c r="ES11" s="289">
        <v>0.2</v>
      </c>
      <c r="ET11" s="1420">
        <v>0.2</v>
      </c>
      <c r="EU11" s="289">
        <v>0.2</v>
      </c>
      <c r="EV11" s="1421">
        <v>0.1</v>
      </c>
      <c r="EW11" s="1436" t="s">
        <v>862</v>
      </c>
      <c r="EX11" s="1437">
        <v>0.8</v>
      </c>
      <c r="EY11" s="1438">
        <v>0.8</v>
      </c>
      <c r="EZ11" s="1438">
        <v>0.8</v>
      </c>
      <c r="FA11" s="1439">
        <v>0.8</v>
      </c>
      <c r="FB11" s="1438">
        <v>0.8</v>
      </c>
      <c r="FC11" s="1440">
        <v>0.8</v>
      </c>
      <c r="FD11" s="1438">
        <v>0.8</v>
      </c>
      <c r="FE11" s="1438">
        <v>0.8</v>
      </c>
      <c r="FF11" s="1438">
        <v>0.8</v>
      </c>
      <c r="FG11" s="1439">
        <v>0.8</v>
      </c>
      <c r="FH11" s="1438">
        <v>0.8</v>
      </c>
      <c r="FI11" s="1441">
        <v>0.8</v>
      </c>
      <c r="FJ11" s="1442">
        <v>0</v>
      </c>
      <c r="FK11" s="1443">
        <f>365-(52*FJ11)</f>
        <v>365</v>
      </c>
      <c r="FL11" s="281">
        <f t="shared" si="4"/>
        <v>17</v>
      </c>
      <c r="FM11" s="282">
        <f t="shared" si="5"/>
        <v>14.000000000000002</v>
      </c>
      <c r="FN11" s="282">
        <f t="shared" si="6"/>
        <v>2</v>
      </c>
      <c r="FO11" s="282">
        <f t="shared" si="7"/>
        <v>12</v>
      </c>
      <c r="FP11" s="1444">
        <f t="shared" ref="FP11" si="15">SUMPRODUCT(EX11:FI11,EX$9:FI$9)/365</f>
        <v>0.80000000000000016</v>
      </c>
      <c r="FQ11" s="357">
        <f>ROUND(FM11*FK11*FP11,-1)</f>
        <v>4090</v>
      </c>
      <c r="FR11" s="281">
        <f t="shared" si="9"/>
        <v>24</v>
      </c>
      <c r="FS11" s="282">
        <f t="shared" si="10"/>
        <v>6.1000000000000014</v>
      </c>
      <c r="FT11" s="282">
        <f t="shared" si="11"/>
        <v>2.4000000000000004</v>
      </c>
      <c r="FU11" s="357">
        <f>ROUND((FS11*FK11+FT11*(365-FK11))*FP11,-1)</f>
        <v>1780</v>
      </c>
      <c r="FV11" s="1445" t="str">
        <f>Begriffe!F247</f>
        <v>- Im Schlafzimmer erhöhter Schallschutz</v>
      </c>
      <c r="FW11" s="1446"/>
      <c r="FX11" s="1447" t="str">
        <f>IF(BV11=0,Begriffe!$F$262,"")</f>
        <v>- Keine Lüftungsanlage im Bestand</v>
      </c>
      <c r="FY11" s="1447" t="str">
        <f>Begriffe!F265</f>
        <v>- Wasser- und Warmwasserbedarf pro Person</v>
      </c>
      <c r="FZ11" s="1448"/>
      <c r="GA11" s="61"/>
      <c r="GK11" s="55" t="s">
        <v>156</v>
      </c>
      <c r="GL11" s="55">
        <v>0.8</v>
      </c>
      <c r="GM11" s="55">
        <v>0.6</v>
      </c>
      <c r="GN11" s="55">
        <v>1</v>
      </c>
      <c r="GO11" s="55">
        <v>0.8</v>
      </c>
      <c r="GP11" s="55">
        <v>0.6</v>
      </c>
      <c r="GQ11" s="55">
        <v>1</v>
      </c>
      <c r="GR11" s="55">
        <v>0.6</v>
      </c>
      <c r="GS11" s="55">
        <v>0.6</v>
      </c>
      <c r="GT11" s="55">
        <v>1</v>
      </c>
      <c r="GU11" s="55">
        <v>0.8</v>
      </c>
      <c r="GV11" s="55">
        <v>1</v>
      </c>
      <c r="GW11" s="55">
        <v>0.6</v>
      </c>
      <c r="GX11" s="55">
        <f t="shared" ref="GX11" si="16">SUM(GL11:GW11)/12</f>
        <v>0.78333333333333333</v>
      </c>
      <c r="GZ11" s="55">
        <v>0</v>
      </c>
      <c r="HB11" s="1405">
        <v>1</v>
      </c>
      <c r="HC11" s="1405">
        <v>1</v>
      </c>
      <c r="HD11" s="1405">
        <v>1</v>
      </c>
      <c r="HE11" s="1405">
        <v>1</v>
      </c>
      <c r="HF11" s="1405">
        <v>1</v>
      </c>
      <c r="HG11" s="1405">
        <v>1</v>
      </c>
      <c r="HH11" s="1405">
        <v>1</v>
      </c>
      <c r="HI11" s="55">
        <v>13</v>
      </c>
      <c r="HJ11" s="55">
        <v>14</v>
      </c>
      <c r="HK11" s="55">
        <v>0.7</v>
      </c>
      <c r="HL11" s="55">
        <v>2</v>
      </c>
      <c r="HM11" s="1406">
        <f>Hüllzahl!Y11</f>
        <v>1.7205882352941178</v>
      </c>
      <c r="HN11" s="1407">
        <f>(HI11+HJ11*Hüllzahl!Y11)</f>
        <v>37.088235294117652</v>
      </c>
    </row>
    <row r="12" spans="1:222" s="1488" customFormat="1">
      <c r="A12" s="892">
        <v>2.1</v>
      </c>
      <c r="B12" s="1449" t="s">
        <v>136</v>
      </c>
      <c r="C12" s="1450" t="str">
        <f>Begriffe!F103</f>
        <v xml:space="preserve">Hotelzimmer </v>
      </c>
      <c r="D12" s="241">
        <v>4</v>
      </c>
      <c r="E12" s="241">
        <v>5</v>
      </c>
      <c r="F12" s="241">
        <v>2.5</v>
      </c>
      <c r="G12" s="1451">
        <f t="shared" ref="G12:G54" si="17">D12*E12</f>
        <v>20</v>
      </c>
      <c r="H12" s="1451">
        <f>Hüllzahl!X12</f>
        <v>26.47058823529412</v>
      </c>
      <c r="I12" s="1452">
        <v>30</v>
      </c>
      <c r="J12" s="1406">
        <v>0.75</v>
      </c>
      <c r="K12" s="55">
        <f t="shared" si="0"/>
        <v>30.226700251889167</v>
      </c>
      <c r="L12" s="1453">
        <v>1.2</v>
      </c>
      <c r="M12" s="241">
        <v>0.9</v>
      </c>
      <c r="N12" s="241">
        <v>1.5</v>
      </c>
      <c r="O12" s="1406">
        <v>0.17</v>
      </c>
      <c r="P12" s="241">
        <v>0.1</v>
      </c>
      <c r="Q12" s="241">
        <v>0.8</v>
      </c>
      <c r="R12" s="55">
        <v>0.5</v>
      </c>
      <c r="S12" s="1406">
        <v>0.5</v>
      </c>
      <c r="T12" s="1406">
        <v>0.65</v>
      </c>
      <c r="U12" s="1406">
        <v>0.14000000000000001</v>
      </c>
      <c r="V12" s="1406">
        <v>0.1</v>
      </c>
      <c r="W12" s="1406">
        <v>0.2</v>
      </c>
      <c r="X12" s="55">
        <v>0.7</v>
      </c>
      <c r="Y12" s="55">
        <v>0.9</v>
      </c>
      <c r="Z12" s="55">
        <v>90</v>
      </c>
      <c r="AA12" s="1451">
        <f>'Kälte_TEC-Tool'!J11</f>
        <v>120</v>
      </c>
      <c r="AB12" s="1454">
        <v>26</v>
      </c>
      <c r="AC12" s="1455">
        <v>21</v>
      </c>
      <c r="AD12" s="1456" t="s">
        <v>26</v>
      </c>
      <c r="AE12" s="249" t="s">
        <v>155</v>
      </c>
      <c r="AF12" s="249">
        <v>60</v>
      </c>
      <c r="AG12" s="1457">
        <v>30</v>
      </c>
      <c r="AH12" s="1458" t="str">
        <f>Begriffe!F$228</f>
        <v>mittel</v>
      </c>
      <c r="AI12" s="249">
        <v>25</v>
      </c>
      <c r="AJ12" s="1459">
        <v>0.6</v>
      </c>
      <c r="AK12" s="1460">
        <v>15</v>
      </c>
      <c r="AL12" s="55">
        <v>1.2</v>
      </c>
      <c r="AM12" s="1461">
        <v>0.5</v>
      </c>
      <c r="AN12" s="241">
        <v>1</v>
      </c>
      <c r="AO12" s="1462">
        <v>0.5</v>
      </c>
      <c r="AP12" s="1460">
        <v>8</v>
      </c>
      <c r="AQ12" s="55">
        <v>4</v>
      </c>
      <c r="AR12" s="55">
        <v>10</v>
      </c>
      <c r="AS12" s="55">
        <f t="shared" ref="AS12:AS22" si="18">AP12</f>
        <v>8</v>
      </c>
      <c r="AT12" s="55">
        <f t="shared" ref="AT12:AT22" si="19">AQ12</f>
        <v>4</v>
      </c>
      <c r="AU12" s="55">
        <f t="shared" ref="AU12:AU22" si="20">AR12</f>
        <v>10</v>
      </c>
      <c r="AV12" s="1463">
        <v>10</v>
      </c>
      <c r="AW12" s="55">
        <v>50</v>
      </c>
      <c r="AX12" s="1406">
        <v>0.75</v>
      </c>
      <c r="AY12" s="1451">
        <v>19</v>
      </c>
      <c r="AZ12" s="1464">
        <f t="shared" ref="AZ12:AZ52" si="21">SUMIF(DH12:DR12,"&gt;0",DH$9:DR$9)</f>
        <v>3</v>
      </c>
      <c r="BA12" s="1465">
        <f t="shared" si="2"/>
        <v>3</v>
      </c>
      <c r="BB12" s="1466">
        <v>1</v>
      </c>
      <c r="BC12" s="1451">
        <v>2</v>
      </c>
      <c r="BD12" s="1451">
        <v>3</v>
      </c>
      <c r="BE12" s="918">
        <v>10</v>
      </c>
      <c r="BF12" s="918">
        <v>5</v>
      </c>
      <c r="BG12" s="55"/>
      <c r="BH12" s="55"/>
      <c r="BI12" s="1453">
        <f>AP12+Res_Std!T8+Res_Std!U8</f>
        <v>10.741564417177916</v>
      </c>
      <c r="BJ12" s="55">
        <v>60</v>
      </c>
      <c r="BK12" s="241">
        <f t="shared" ref="BK12:BK54" si="22">BJ12/BI12</f>
        <v>5.5857785393017769</v>
      </c>
      <c r="BL12" s="1460">
        <v>36</v>
      </c>
      <c r="BM12" s="1467">
        <v>18</v>
      </c>
      <c r="BN12" s="241">
        <f t="shared" si="14"/>
        <v>2.4</v>
      </c>
      <c r="BO12" s="55"/>
      <c r="BP12" s="241">
        <f t="shared" si="3"/>
        <v>2.4</v>
      </c>
      <c r="BQ12" s="55">
        <v>50</v>
      </c>
      <c r="BR12" s="1406">
        <v>0.15</v>
      </c>
      <c r="BS12" s="1406">
        <v>0.3</v>
      </c>
      <c r="BT12" s="1468" t="str">
        <f>Begriffe!$F$230</f>
        <v>1-stufig</v>
      </c>
      <c r="BU12" s="1468" t="str">
        <f>Begriffe!$F$231</f>
        <v>2-stufig</v>
      </c>
      <c r="BV12" s="1468" t="str">
        <f>Begriffe!$F$230</f>
        <v>1-stufig</v>
      </c>
      <c r="BW12" s="1406">
        <v>0.7</v>
      </c>
      <c r="BX12" s="1406">
        <v>0.8</v>
      </c>
      <c r="BY12" s="1406">
        <v>0.5</v>
      </c>
      <c r="BZ12" s="1406">
        <v>0.75</v>
      </c>
      <c r="CA12" s="1406">
        <v>0.85</v>
      </c>
      <c r="CB12" s="1406">
        <v>0.5</v>
      </c>
      <c r="CC12" s="1469" t="str">
        <f>Begriffe!$F$234</f>
        <v>Einfache Klimaanlage</v>
      </c>
      <c r="CD12" s="1470">
        <v>0.55000000000000004</v>
      </c>
      <c r="CE12" s="1470">
        <v>0.34</v>
      </c>
      <c r="CF12" s="1471">
        <v>0.91</v>
      </c>
      <c r="CG12" s="1472" t="str">
        <f>Begriffe!$F$239</f>
        <v>nicht notwend.</v>
      </c>
      <c r="CH12" s="1472" t="str">
        <f>Begriffe!$F$240</f>
        <v>erwünscht</v>
      </c>
      <c r="CI12" s="1472" t="str">
        <f>Begriffe!$F$240</f>
        <v>erwünscht</v>
      </c>
      <c r="CJ12" s="1472" t="str">
        <f>Begriffe!$F$239</f>
        <v>nicht notwend.</v>
      </c>
      <c r="CK12" s="1472" t="str">
        <f>Begriffe!$F$239</f>
        <v>nicht notwend.</v>
      </c>
      <c r="CL12" s="1472" t="str">
        <f>Begriffe!$F$240</f>
        <v>erwünscht</v>
      </c>
      <c r="CM12" s="1473">
        <v>1</v>
      </c>
      <c r="CN12" s="1473">
        <v>2</v>
      </c>
      <c r="CO12" s="1473">
        <v>0</v>
      </c>
      <c r="CP12" s="1473">
        <v>0.5</v>
      </c>
      <c r="CQ12" s="1473"/>
      <c r="CR12" s="1473"/>
      <c r="CS12" s="1473"/>
      <c r="CT12" s="1474" t="str">
        <f>Begriffe!$F$243</f>
        <v>Bett</v>
      </c>
      <c r="CU12" s="918">
        <v>40</v>
      </c>
      <c r="CV12" s="918">
        <v>1</v>
      </c>
      <c r="CW12" s="1451">
        <f>IF(CV12=0,CU12,CU12*CV12)</f>
        <v>40</v>
      </c>
      <c r="CX12" s="918">
        <v>4</v>
      </c>
      <c r="CY12" s="1463">
        <f>CW12*CX12</f>
        <v>160</v>
      </c>
      <c r="CZ12" s="1473" t="s">
        <v>158</v>
      </c>
      <c r="DA12" s="1453">
        <v>1</v>
      </c>
      <c r="DB12" s="241">
        <v>1</v>
      </c>
      <c r="DC12" s="241">
        <v>1</v>
      </c>
      <c r="DD12" s="1461">
        <v>1</v>
      </c>
      <c r="DE12" s="241">
        <v>1</v>
      </c>
      <c r="DF12" s="1475">
        <v>1</v>
      </c>
      <c r="DG12" s="241">
        <v>0.8</v>
      </c>
      <c r="DH12" s="241">
        <v>0.4</v>
      </c>
      <c r="DI12" s="241">
        <v>0.2</v>
      </c>
      <c r="DJ12" s="1461">
        <v>0</v>
      </c>
      <c r="DK12" s="241">
        <v>0</v>
      </c>
      <c r="DL12" s="1475">
        <v>0</v>
      </c>
      <c r="DM12" s="241">
        <v>0</v>
      </c>
      <c r="DN12" s="241">
        <v>0</v>
      </c>
      <c r="DO12" s="241">
        <v>0</v>
      </c>
      <c r="DP12" s="1461">
        <v>0</v>
      </c>
      <c r="DQ12" s="241">
        <v>0</v>
      </c>
      <c r="DR12" s="1475">
        <v>0.2</v>
      </c>
      <c r="DS12" s="241">
        <v>0.4</v>
      </c>
      <c r="DT12" s="241">
        <v>0.6</v>
      </c>
      <c r="DU12" s="241">
        <v>0.8</v>
      </c>
      <c r="DV12" s="1461">
        <v>0.8</v>
      </c>
      <c r="DW12" s="241">
        <v>1</v>
      </c>
      <c r="DX12" s="1462">
        <v>1</v>
      </c>
      <c r="DY12" s="1453">
        <v>0.2</v>
      </c>
      <c r="DZ12" s="241">
        <v>0.1</v>
      </c>
      <c r="EA12" s="241">
        <v>0.1</v>
      </c>
      <c r="EB12" s="1461">
        <v>0.1</v>
      </c>
      <c r="EC12" s="241">
        <v>0.1</v>
      </c>
      <c r="ED12" s="1475">
        <v>0.1</v>
      </c>
      <c r="EE12" s="241">
        <v>0.2</v>
      </c>
      <c r="EF12" s="241">
        <v>0.4</v>
      </c>
      <c r="EG12" s="241">
        <v>0.8</v>
      </c>
      <c r="EH12" s="1461">
        <v>0.2</v>
      </c>
      <c r="EI12" s="241">
        <v>0.1</v>
      </c>
      <c r="EJ12" s="241">
        <v>0.1</v>
      </c>
      <c r="EK12" s="241">
        <v>0.1</v>
      </c>
      <c r="EL12" s="241">
        <v>0.1</v>
      </c>
      <c r="EM12" s="241">
        <v>0.1</v>
      </c>
      <c r="EN12" s="241">
        <v>0.1</v>
      </c>
      <c r="EO12" s="241">
        <v>0.1</v>
      </c>
      <c r="EP12" s="1475">
        <v>0.2</v>
      </c>
      <c r="EQ12" s="241">
        <v>0.4</v>
      </c>
      <c r="ER12" s="241">
        <v>1</v>
      </c>
      <c r="ES12" s="241">
        <v>0.6</v>
      </c>
      <c r="ET12" s="1461">
        <v>0.4</v>
      </c>
      <c r="EU12" s="241">
        <v>0.2</v>
      </c>
      <c r="EV12" s="1462">
        <v>0.2</v>
      </c>
      <c r="EW12" s="1476" t="s">
        <v>711</v>
      </c>
      <c r="EX12" s="1477">
        <v>0.7</v>
      </c>
      <c r="EY12" s="1478">
        <v>0.7</v>
      </c>
      <c r="EZ12" s="1478">
        <v>0.7</v>
      </c>
      <c r="FA12" s="1479">
        <v>0.7</v>
      </c>
      <c r="FB12" s="1478">
        <v>0.7</v>
      </c>
      <c r="FC12" s="1480">
        <v>0.7</v>
      </c>
      <c r="FD12" s="1478">
        <v>0.7</v>
      </c>
      <c r="FE12" s="1478">
        <v>0.7</v>
      </c>
      <c r="FF12" s="1478">
        <v>0.7</v>
      </c>
      <c r="FG12" s="1479">
        <v>0.7</v>
      </c>
      <c r="FH12" s="1478">
        <v>0.7</v>
      </c>
      <c r="FI12" s="1481">
        <v>0.7</v>
      </c>
      <c r="FJ12" s="1482">
        <v>0</v>
      </c>
      <c r="FK12" s="1483">
        <f t="shared" ref="FK12:FK42" si="23">365-(52*FJ12)</f>
        <v>365</v>
      </c>
      <c r="FL12" s="280">
        <f t="shared" si="4"/>
        <v>16</v>
      </c>
      <c r="FM12" s="82">
        <f t="shared" si="5"/>
        <v>12.200000000000001</v>
      </c>
      <c r="FN12" s="82">
        <f t="shared" si="6"/>
        <v>0.8</v>
      </c>
      <c r="FO12" s="82">
        <f t="shared" si="7"/>
        <v>11.4</v>
      </c>
      <c r="FP12" s="1484">
        <f t="shared" si="8"/>
        <v>0.7</v>
      </c>
      <c r="FQ12" s="65">
        <f t="shared" ref="FQ12:FQ42" si="24">ROUND(FM12*FK12*FP12,-1)</f>
        <v>3120</v>
      </c>
      <c r="FR12" s="280">
        <f t="shared" si="9"/>
        <v>24</v>
      </c>
      <c r="FS12" s="82">
        <f t="shared" si="10"/>
        <v>6.0000000000000009</v>
      </c>
      <c r="FT12" s="82">
        <f t="shared" si="11"/>
        <v>2.4000000000000004</v>
      </c>
      <c r="FU12" s="65">
        <f t="shared" ref="FU12:FU42" si="25">ROUND((FS12*FK12+FT12*(365-FK12))*FP12,-1)</f>
        <v>1530</v>
      </c>
      <c r="FV12" s="1485"/>
      <c r="FW12" s="1486"/>
      <c r="FX12" s="1486" t="str">
        <f>IF(BV12=0,Begriffe!$F$262,"")</f>
        <v/>
      </c>
      <c r="FY12" s="1485" t="str">
        <f>Begriffe!F266</f>
        <v>- Wasser- und Warmwasserbedarf pro Bett, ohne Küche und Wäscherei</v>
      </c>
      <c r="FZ12" s="1487"/>
      <c r="GA12" s="1450"/>
      <c r="GK12" s="1488" t="s">
        <v>156</v>
      </c>
      <c r="GL12" s="1488">
        <v>0.8</v>
      </c>
      <c r="GM12" s="1488">
        <v>0.6</v>
      </c>
      <c r="GN12" s="1488">
        <v>1</v>
      </c>
      <c r="GO12" s="1488">
        <v>0.8</v>
      </c>
      <c r="GP12" s="1488">
        <v>0.6</v>
      </c>
      <c r="GQ12" s="1488">
        <v>1</v>
      </c>
      <c r="GR12" s="1488">
        <v>0.6</v>
      </c>
      <c r="GS12" s="1488">
        <v>0.6</v>
      </c>
      <c r="GT12" s="1488">
        <v>1</v>
      </c>
      <c r="GU12" s="1488">
        <v>0.8</v>
      </c>
      <c r="GV12" s="1488">
        <v>1</v>
      </c>
      <c r="GW12" s="1488">
        <v>0.6</v>
      </c>
      <c r="GX12" s="55">
        <f t="shared" si="12"/>
        <v>0.78333333333333333</v>
      </c>
      <c r="GZ12" s="1488">
        <v>0</v>
      </c>
      <c r="HB12" s="1405">
        <v>1</v>
      </c>
      <c r="HC12" s="1405">
        <v>1</v>
      </c>
      <c r="HD12" s="1405">
        <v>1</v>
      </c>
      <c r="HE12" s="1405">
        <v>1</v>
      </c>
      <c r="HF12" s="1405">
        <v>1</v>
      </c>
      <c r="HG12" s="1405">
        <v>1</v>
      </c>
      <c r="HH12" s="1405">
        <v>1</v>
      </c>
      <c r="HI12" s="55">
        <v>13</v>
      </c>
      <c r="HJ12" s="55">
        <v>14</v>
      </c>
      <c r="HK12" s="1488">
        <v>0.7</v>
      </c>
      <c r="HL12" s="1488">
        <v>1</v>
      </c>
      <c r="HM12" s="1406">
        <f>Hüllzahl!Y12</f>
        <v>1.1911764705882355</v>
      </c>
      <c r="HN12" s="1407">
        <f>(HI12+HJ12*Hüllzahl!Y12)</f>
        <v>29.676470588235297</v>
      </c>
    </row>
    <row r="13" spans="1:222" s="1488" customFormat="1">
      <c r="A13" s="880">
        <v>2.2000000000000002</v>
      </c>
      <c r="B13" s="1489"/>
      <c r="C13" s="61" t="str">
        <f>Begriffe!F104</f>
        <v>Empfang, Lobby</v>
      </c>
      <c r="D13" s="289">
        <v>12</v>
      </c>
      <c r="E13" s="289">
        <v>12</v>
      </c>
      <c r="F13" s="289">
        <v>4</v>
      </c>
      <c r="G13" s="1410">
        <f t="shared" si="17"/>
        <v>144</v>
      </c>
      <c r="H13" s="1410">
        <f>Hüllzahl!X13</f>
        <v>112.94117647058823</v>
      </c>
      <c r="I13" s="1411">
        <v>50</v>
      </c>
      <c r="J13" s="1412">
        <v>0.75</v>
      </c>
      <c r="K13" s="60">
        <f>I13/(1-J13%)</f>
        <v>50.377833753148614</v>
      </c>
      <c r="L13" s="1011">
        <v>1.2</v>
      </c>
      <c r="M13" s="289">
        <v>0.9</v>
      </c>
      <c r="N13" s="289">
        <v>1.5</v>
      </c>
      <c r="O13" s="1412">
        <v>0.17</v>
      </c>
      <c r="P13" s="289">
        <v>0.1</v>
      </c>
      <c r="Q13" s="289">
        <v>0.8</v>
      </c>
      <c r="R13" s="60">
        <v>0.5</v>
      </c>
      <c r="S13" s="1412">
        <v>0.5</v>
      </c>
      <c r="T13" s="1412">
        <v>0.65</v>
      </c>
      <c r="U13" s="1412">
        <v>0.14000000000000001</v>
      </c>
      <c r="V13" s="1412">
        <v>0.1</v>
      </c>
      <c r="W13" s="1412">
        <v>0.2</v>
      </c>
      <c r="X13" s="60">
        <v>0.7</v>
      </c>
      <c r="Y13" s="60">
        <v>0.9</v>
      </c>
      <c r="Z13" s="60">
        <v>90</v>
      </c>
      <c r="AA13" s="1410">
        <f>'Kälte_TEC-Tool'!J12</f>
        <v>101.6</v>
      </c>
      <c r="AB13" s="1413">
        <v>26</v>
      </c>
      <c r="AC13" s="1414">
        <v>21</v>
      </c>
      <c r="AD13" s="1415" t="s">
        <v>26</v>
      </c>
      <c r="AE13" s="1416" t="s">
        <v>155</v>
      </c>
      <c r="AF13" s="1416">
        <v>60</v>
      </c>
      <c r="AG13" s="1417">
        <v>30</v>
      </c>
      <c r="AH13" s="1418"/>
      <c r="AI13" s="1416">
        <v>35</v>
      </c>
      <c r="AJ13" s="1419">
        <v>0.9</v>
      </c>
      <c r="AK13" s="56">
        <v>5</v>
      </c>
      <c r="AL13" s="60">
        <v>1.2</v>
      </c>
      <c r="AM13" s="1420">
        <v>0.5</v>
      </c>
      <c r="AN13" s="289">
        <v>1</v>
      </c>
      <c r="AO13" s="1421">
        <v>0.5</v>
      </c>
      <c r="AP13" s="56">
        <v>7</v>
      </c>
      <c r="AQ13" s="60">
        <v>3</v>
      </c>
      <c r="AR13" s="60">
        <v>15</v>
      </c>
      <c r="AS13" s="60">
        <f t="shared" si="18"/>
        <v>7</v>
      </c>
      <c r="AT13" s="60">
        <f t="shared" si="19"/>
        <v>3</v>
      </c>
      <c r="AU13" s="60">
        <f t="shared" si="20"/>
        <v>15</v>
      </c>
      <c r="AV13" s="1422">
        <v>10</v>
      </c>
      <c r="AW13" s="60">
        <v>300</v>
      </c>
      <c r="AX13" s="1412">
        <v>0.75</v>
      </c>
      <c r="AY13" s="1410">
        <v>22</v>
      </c>
      <c r="AZ13" s="1423">
        <f>SUMIF(DH13:DR13,"&gt;0",DH$9:DR$9)</f>
        <v>11</v>
      </c>
      <c r="BA13" s="1424">
        <f t="shared" si="2"/>
        <v>9</v>
      </c>
      <c r="BB13" s="1425">
        <v>1</v>
      </c>
      <c r="BC13" s="1410">
        <v>2</v>
      </c>
      <c r="BD13" s="1410">
        <v>3</v>
      </c>
      <c r="BE13" s="1490"/>
      <c r="BF13" s="1490"/>
      <c r="BG13" s="60"/>
      <c r="BH13" s="60"/>
      <c r="BI13" s="1011">
        <f>AP13+Res_Std!T9+Res_Std!U9</f>
        <v>17.254988913525498</v>
      </c>
      <c r="BJ13" s="60">
        <v>50</v>
      </c>
      <c r="BK13" s="289">
        <f t="shared" si="22"/>
        <v>2.8977126702647138</v>
      </c>
      <c r="BL13" s="56">
        <v>36</v>
      </c>
      <c r="BM13" s="1426"/>
      <c r="BN13" s="241">
        <f t="shared" si="14"/>
        <v>7.2</v>
      </c>
      <c r="BO13" s="55"/>
      <c r="BP13" s="289">
        <f t="shared" si="3"/>
        <v>7.2</v>
      </c>
      <c r="BQ13" s="60">
        <v>0</v>
      </c>
      <c r="BR13" s="1412">
        <v>0.15</v>
      </c>
      <c r="BS13" s="1412">
        <v>0.3</v>
      </c>
      <c r="BT13" s="1428" t="str">
        <f>Begriffe!$F$231</f>
        <v>2-stufig</v>
      </c>
      <c r="BU13" s="1428" t="str">
        <f>Begriffe!$F$232</f>
        <v>stufenlos</v>
      </c>
      <c r="BV13" s="1428" t="str">
        <f>Begriffe!$F$230</f>
        <v>1-stufig</v>
      </c>
      <c r="BW13" s="1412">
        <v>0.7</v>
      </c>
      <c r="BX13" s="1412">
        <v>0.8</v>
      </c>
      <c r="BY13" s="1412">
        <v>0.5</v>
      </c>
      <c r="BZ13" s="1412">
        <v>0.75</v>
      </c>
      <c r="CA13" s="1412">
        <v>0.85</v>
      </c>
      <c r="CB13" s="1412">
        <v>0.5</v>
      </c>
      <c r="CC13" s="1429" t="str">
        <f>Begriffe!$F$234</f>
        <v>Einfache Klimaanlage</v>
      </c>
      <c r="CD13" s="1430">
        <v>0.55000000000000004</v>
      </c>
      <c r="CE13" s="1430">
        <v>0.34</v>
      </c>
      <c r="CF13" s="1431">
        <v>0.91</v>
      </c>
      <c r="CG13" s="1432" t="str">
        <f>Begriffe!$F$241</f>
        <v>notwendig</v>
      </c>
      <c r="CH13" s="1432" t="str">
        <f>Begriffe!$F$241</f>
        <v>notwendig</v>
      </c>
      <c r="CI13" s="1432" t="str">
        <f>Begriffe!$F$241</f>
        <v>notwendig</v>
      </c>
      <c r="CJ13" s="1432" t="str">
        <f>Begriffe!$F$241</f>
        <v>notwendig</v>
      </c>
      <c r="CK13" s="1432" t="str">
        <f>Begriffe!$F$241</f>
        <v>notwendig</v>
      </c>
      <c r="CL13" s="1432" t="str">
        <f>Begriffe!$F$241</f>
        <v>notwendig</v>
      </c>
      <c r="CM13" s="1433">
        <v>1</v>
      </c>
      <c r="CN13" s="1433">
        <v>2</v>
      </c>
      <c r="CO13" s="1433">
        <v>0</v>
      </c>
      <c r="CP13" s="1433">
        <v>0.5</v>
      </c>
      <c r="CQ13" s="1433"/>
      <c r="CR13" s="1433"/>
      <c r="CS13" s="1433"/>
      <c r="CT13" s="56"/>
      <c r="CU13" s="60"/>
      <c r="CV13" s="60"/>
      <c r="CW13" s="1410"/>
      <c r="CX13" s="60"/>
      <c r="CY13" s="1422"/>
      <c r="CZ13" s="1433" t="s">
        <v>107</v>
      </c>
      <c r="DA13" s="1011"/>
      <c r="DB13" s="289"/>
      <c r="DC13" s="289"/>
      <c r="DD13" s="1420"/>
      <c r="DE13" s="289">
        <v>0.1</v>
      </c>
      <c r="DF13" s="1435">
        <v>0.1</v>
      </c>
      <c r="DG13" s="289">
        <v>0.5</v>
      </c>
      <c r="DH13" s="289">
        <v>1</v>
      </c>
      <c r="DI13" s="289">
        <v>1</v>
      </c>
      <c r="DJ13" s="1420">
        <v>0.5</v>
      </c>
      <c r="DK13" s="289">
        <v>0.5</v>
      </c>
      <c r="DL13" s="1435">
        <v>0.5</v>
      </c>
      <c r="DM13" s="289">
        <v>0.5</v>
      </c>
      <c r="DN13" s="289">
        <v>0.5</v>
      </c>
      <c r="DO13" s="289">
        <v>0.5</v>
      </c>
      <c r="DP13" s="1420">
        <v>0.5</v>
      </c>
      <c r="DQ13" s="289">
        <v>0.5</v>
      </c>
      <c r="DR13" s="1435">
        <v>1</v>
      </c>
      <c r="DS13" s="289">
        <v>1</v>
      </c>
      <c r="DT13" s="289">
        <v>1</v>
      </c>
      <c r="DU13" s="289">
        <v>0.5</v>
      </c>
      <c r="DV13" s="1420">
        <v>0.5</v>
      </c>
      <c r="DW13" s="289">
        <v>0.5</v>
      </c>
      <c r="DX13" s="1421">
        <v>0.1</v>
      </c>
      <c r="DY13" s="1011">
        <v>0.1</v>
      </c>
      <c r="DZ13" s="289">
        <v>0.1</v>
      </c>
      <c r="EA13" s="289">
        <v>0.1</v>
      </c>
      <c r="EB13" s="1420">
        <v>0.1</v>
      </c>
      <c r="EC13" s="289">
        <v>0.1</v>
      </c>
      <c r="ED13" s="1435">
        <v>0.1</v>
      </c>
      <c r="EE13" s="289">
        <v>0.5</v>
      </c>
      <c r="EF13" s="289">
        <v>1</v>
      </c>
      <c r="EG13" s="289">
        <v>1</v>
      </c>
      <c r="EH13" s="1420">
        <v>0.5</v>
      </c>
      <c r="EI13" s="289">
        <v>0.5</v>
      </c>
      <c r="EJ13" s="1435">
        <v>0.5</v>
      </c>
      <c r="EK13" s="289">
        <v>0.5</v>
      </c>
      <c r="EL13" s="289">
        <v>0.5</v>
      </c>
      <c r="EM13" s="289">
        <v>0.5</v>
      </c>
      <c r="EN13" s="1420">
        <v>0.5</v>
      </c>
      <c r="EO13" s="289">
        <v>0.5</v>
      </c>
      <c r="EP13" s="1435">
        <v>1</v>
      </c>
      <c r="EQ13" s="289">
        <v>1</v>
      </c>
      <c r="ER13" s="289">
        <v>1</v>
      </c>
      <c r="ES13" s="289">
        <v>0.5</v>
      </c>
      <c r="ET13" s="1420">
        <v>0.5</v>
      </c>
      <c r="EU13" s="289">
        <v>0.5</v>
      </c>
      <c r="EV13" s="1421">
        <v>0.1</v>
      </c>
      <c r="EW13" s="1436" t="s">
        <v>711</v>
      </c>
      <c r="EX13" s="1437">
        <v>0.7</v>
      </c>
      <c r="EY13" s="1438">
        <v>0.7</v>
      </c>
      <c r="EZ13" s="1438">
        <v>0.7</v>
      </c>
      <c r="FA13" s="1439">
        <v>0.7</v>
      </c>
      <c r="FB13" s="1438">
        <v>0.7</v>
      </c>
      <c r="FC13" s="1440">
        <v>0.7</v>
      </c>
      <c r="FD13" s="1438">
        <v>0.7</v>
      </c>
      <c r="FE13" s="1438">
        <v>0.7</v>
      </c>
      <c r="FF13" s="1438">
        <v>0.7</v>
      </c>
      <c r="FG13" s="1439">
        <v>0.7</v>
      </c>
      <c r="FH13" s="1438">
        <v>0.7</v>
      </c>
      <c r="FI13" s="1441">
        <v>0.7</v>
      </c>
      <c r="FJ13" s="1442">
        <v>0</v>
      </c>
      <c r="FK13" s="1443">
        <f t="shared" si="23"/>
        <v>365</v>
      </c>
      <c r="FL13" s="281">
        <f t="shared" si="4"/>
        <v>20</v>
      </c>
      <c r="FM13" s="282">
        <f t="shared" si="5"/>
        <v>11.299999999999999</v>
      </c>
      <c r="FN13" s="282">
        <f t="shared" si="6"/>
        <v>7</v>
      </c>
      <c r="FO13" s="282">
        <f t="shared" si="7"/>
        <v>4.3</v>
      </c>
      <c r="FP13" s="1444">
        <f t="shared" si="8"/>
        <v>0.7</v>
      </c>
      <c r="FQ13" s="357">
        <f t="shared" si="24"/>
        <v>2890</v>
      </c>
      <c r="FR13" s="281">
        <f t="shared" si="9"/>
        <v>24</v>
      </c>
      <c r="FS13" s="282">
        <f t="shared" si="10"/>
        <v>11.7</v>
      </c>
      <c r="FT13" s="282">
        <f t="shared" si="11"/>
        <v>2.4000000000000004</v>
      </c>
      <c r="FU13" s="357">
        <f t="shared" si="25"/>
        <v>2990</v>
      </c>
      <c r="FW13" s="1486"/>
      <c r="FX13" s="1486" t="str">
        <f>IF(BV13=0,Begriffe!$F$262,"")</f>
        <v/>
      </c>
      <c r="FY13" s="1485" t="str">
        <f>Begriffe!F267</f>
        <v>- Wasser- und Warmwasserbedarf sind in der Raumnutzung 2.1 enthalten</v>
      </c>
      <c r="FZ13" s="1487"/>
      <c r="GA13" s="1450"/>
      <c r="GK13" s="1488" t="s">
        <v>156</v>
      </c>
      <c r="GL13" s="1488">
        <v>0.8</v>
      </c>
      <c r="GM13" s="1488">
        <v>0.6</v>
      </c>
      <c r="GN13" s="1488">
        <v>1</v>
      </c>
      <c r="GO13" s="1488">
        <v>0.8</v>
      </c>
      <c r="GP13" s="1488">
        <v>0.6</v>
      </c>
      <c r="GQ13" s="1488">
        <v>1</v>
      </c>
      <c r="GR13" s="1488">
        <v>0.6</v>
      </c>
      <c r="GS13" s="1488">
        <v>0.6</v>
      </c>
      <c r="GT13" s="1488">
        <v>1</v>
      </c>
      <c r="GU13" s="1488">
        <v>0.8</v>
      </c>
      <c r="GV13" s="1488">
        <v>1</v>
      </c>
      <c r="GW13" s="1488">
        <v>0.6</v>
      </c>
      <c r="GX13" s="55">
        <f t="shared" si="12"/>
        <v>0.78333333333333333</v>
      </c>
      <c r="GZ13" s="1488">
        <v>0</v>
      </c>
      <c r="HB13" s="1405">
        <v>1</v>
      </c>
      <c r="HC13" s="1405">
        <v>1</v>
      </c>
      <c r="HD13" s="1405">
        <v>1</v>
      </c>
      <c r="HE13" s="1405">
        <v>1</v>
      </c>
      <c r="HF13" s="1405">
        <v>1</v>
      </c>
      <c r="HG13" s="1405">
        <v>1</v>
      </c>
      <c r="HH13" s="1405">
        <v>1</v>
      </c>
      <c r="HI13" s="55">
        <v>13</v>
      </c>
      <c r="HJ13" s="55">
        <v>14</v>
      </c>
      <c r="HK13" s="1488">
        <v>0.7</v>
      </c>
      <c r="HL13" s="1488">
        <v>1</v>
      </c>
      <c r="HM13" s="1406">
        <f>Hüllzahl!Y13</f>
        <v>0.70588235294117641</v>
      </c>
      <c r="HN13" s="1407">
        <f>(HI13+HJ13*Hüllzahl!Y13)</f>
        <v>22.882352941176471</v>
      </c>
    </row>
    <row r="14" spans="1:222">
      <c r="A14" s="883">
        <v>3.1</v>
      </c>
      <c r="B14" s="1491" t="s">
        <v>137</v>
      </c>
      <c r="C14" s="288" t="str">
        <f>Begriffe!F105</f>
        <v>Einzel-, Gruppenbüro</v>
      </c>
      <c r="D14" s="291">
        <v>6</v>
      </c>
      <c r="E14" s="292">
        <v>6</v>
      </c>
      <c r="F14" s="292">
        <v>3</v>
      </c>
      <c r="G14" s="1492">
        <f t="shared" si="17"/>
        <v>36</v>
      </c>
      <c r="H14" s="1492">
        <f>Hüllzahl!X14</f>
        <v>42.352941176470587</v>
      </c>
      <c r="I14" s="1366">
        <v>50</v>
      </c>
      <c r="J14" s="1367">
        <v>0.75</v>
      </c>
      <c r="K14" s="72">
        <f t="shared" si="0"/>
        <v>50.377833753148614</v>
      </c>
      <c r="L14" s="263">
        <v>1.2</v>
      </c>
      <c r="M14" s="240">
        <v>0.9</v>
      </c>
      <c r="N14" s="240">
        <v>1.5</v>
      </c>
      <c r="O14" s="1367">
        <v>0.17</v>
      </c>
      <c r="P14" s="240">
        <v>0.1</v>
      </c>
      <c r="Q14" s="240">
        <v>0.8</v>
      </c>
      <c r="R14" s="72">
        <v>0.5</v>
      </c>
      <c r="S14" s="1367">
        <v>0.5</v>
      </c>
      <c r="T14" s="1367">
        <v>0.65</v>
      </c>
      <c r="U14" s="1367">
        <v>0.14000000000000001</v>
      </c>
      <c r="V14" s="1367">
        <v>0.1</v>
      </c>
      <c r="W14" s="1367">
        <v>0.2</v>
      </c>
      <c r="X14" s="72">
        <v>0.7</v>
      </c>
      <c r="Y14" s="72">
        <v>0.9</v>
      </c>
      <c r="Z14" s="72">
        <v>90</v>
      </c>
      <c r="AA14" s="1365">
        <f>'Kälte_TEC-Tool'!J13</f>
        <v>111.9</v>
      </c>
      <c r="AB14" s="1368">
        <v>26</v>
      </c>
      <c r="AC14" s="1369">
        <v>21</v>
      </c>
      <c r="AD14" s="1493" t="s">
        <v>26</v>
      </c>
      <c r="AE14" s="1371" t="s">
        <v>155</v>
      </c>
      <c r="AF14" s="1371">
        <v>60</v>
      </c>
      <c r="AG14" s="1372">
        <v>30</v>
      </c>
      <c r="AH14" s="1373" t="str">
        <f>Begriffe!F$228</f>
        <v>mittel</v>
      </c>
      <c r="AI14" s="1371">
        <v>25</v>
      </c>
      <c r="AJ14" s="1374">
        <v>0.6</v>
      </c>
      <c r="AK14" s="73">
        <v>14</v>
      </c>
      <c r="AL14" s="72">
        <v>1.2</v>
      </c>
      <c r="AM14" s="1375">
        <v>0.5</v>
      </c>
      <c r="AN14" s="240">
        <v>1</v>
      </c>
      <c r="AO14" s="1376">
        <v>0.5</v>
      </c>
      <c r="AP14" s="73">
        <v>7</v>
      </c>
      <c r="AQ14" s="72">
        <v>3</v>
      </c>
      <c r="AR14" s="72">
        <v>15</v>
      </c>
      <c r="AS14" s="72">
        <f t="shared" si="18"/>
        <v>7</v>
      </c>
      <c r="AT14" s="72">
        <f t="shared" si="19"/>
        <v>3</v>
      </c>
      <c r="AU14" s="72">
        <f t="shared" si="20"/>
        <v>15</v>
      </c>
      <c r="AV14" s="1494">
        <v>10</v>
      </c>
      <c r="AW14" s="72">
        <v>500</v>
      </c>
      <c r="AX14" s="1495">
        <v>0.75</v>
      </c>
      <c r="AY14" s="1496">
        <v>19</v>
      </c>
      <c r="AZ14" s="1378">
        <f t="shared" si="21"/>
        <v>11</v>
      </c>
      <c r="BA14" s="1379">
        <f t="shared" si="2"/>
        <v>0</v>
      </c>
      <c r="BB14" s="1380">
        <v>0.8</v>
      </c>
      <c r="BC14" s="1365">
        <v>2</v>
      </c>
      <c r="BD14" s="1365">
        <v>3</v>
      </c>
      <c r="BE14" s="1497"/>
      <c r="BF14" s="1497"/>
      <c r="BG14" s="72"/>
      <c r="BH14" s="72"/>
      <c r="BI14" s="263">
        <f>AP14+Res_Std!T10+Res_Std!U10</f>
        <v>22.880217785843922</v>
      </c>
      <c r="BJ14" s="72">
        <v>50</v>
      </c>
      <c r="BK14" s="240">
        <f t="shared" si="22"/>
        <v>2.1852938843499641</v>
      </c>
      <c r="BL14" s="73">
        <v>36</v>
      </c>
      <c r="BM14" s="1381"/>
      <c r="BN14" s="240">
        <f t="shared" si="14"/>
        <v>2.5714285714285716</v>
      </c>
      <c r="BO14" s="240"/>
      <c r="BP14" s="240">
        <f t="shared" si="3"/>
        <v>2.5714285714285716</v>
      </c>
      <c r="BQ14" s="72">
        <v>0</v>
      </c>
      <c r="BR14" s="1367">
        <v>0.15</v>
      </c>
      <c r="BS14" s="1367">
        <v>0.3</v>
      </c>
      <c r="BT14" s="1383" t="str">
        <f>Begriffe!$F$230</f>
        <v>1-stufig</v>
      </c>
      <c r="BU14" s="1383" t="str">
        <f>Begriffe!$F$231</f>
        <v>2-stufig</v>
      </c>
      <c r="BV14" s="1383" t="str">
        <f>Begriffe!$F$230</f>
        <v>1-stufig</v>
      </c>
      <c r="BW14" s="1367">
        <v>0.7</v>
      </c>
      <c r="BX14" s="1367">
        <v>0.8</v>
      </c>
      <c r="BY14" s="1367">
        <v>0.5</v>
      </c>
      <c r="BZ14" s="1367">
        <v>0.75</v>
      </c>
      <c r="CA14" s="1367">
        <v>0.85</v>
      </c>
      <c r="CB14" s="1367">
        <v>0.5</v>
      </c>
      <c r="CC14" s="1385" t="str">
        <f>Begriffe!$F$234</f>
        <v>Einfache Klimaanlage</v>
      </c>
      <c r="CD14" s="1498">
        <v>0.55000000000000004</v>
      </c>
      <c r="CE14" s="1498">
        <v>0.34</v>
      </c>
      <c r="CF14" s="1499">
        <v>0.91</v>
      </c>
      <c r="CG14" s="1500" t="str">
        <f>Begriffe!$F$239</f>
        <v>nicht notwend.</v>
      </c>
      <c r="CH14" s="1500" t="str">
        <f>Begriffe!$F$240</f>
        <v>erwünscht</v>
      </c>
      <c r="CI14" s="1500" t="str">
        <f>Begriffe!$F$240</f>
        <v>erwünscht</v>
      </c>
      <c r="CJ14" s="1500" t="str">
        <f>Begriffe!$F$239</f>
        <v>nicht notwend.</v>
      </c>
      <c r="CK14" s="1500" t="str">
        <f>Begriffe!$F$239</f>
        <v>nicht notwend.</v>
      </c>
      <c r="CL14" s="1500" t="str">
        <f>Begriffe!$F$239</f>
        <v>nicht notwend.</v>
      </c>
      <c r="CM14" s="1389">
        <v>1</v>
      </c>
      <c r="CN14" s="1389">
        <v>2</v>
      </c>
      <c r="CO14" s="1389">
        <v>0</v>
      </c>
      <c r="CP14" s="1389">
        <v>0.5</v>
      </c>
      <c r="CQ14" s="1389"/>
      <c r="CR14" s="1389"/>
      <c r="CS14" s="1389"/>
      <c r="CT14" s="1390" t="str">
        <f>Begriffe!$F$242</f>
        <v>Person</v>
      </c>
      <c r="CU14" s="879">
        <v>3</v>
      </c>
      <c r="CV14" s="879">
        <v>1</v>
      </c>
      <c r="CW14" s="1365">
        <f>IF(CV14=0,CU14,CU14*CV14)</f>
        <v>3</v>
      </c>
      <c r="CX14" s="879">
        <v>20</v>
      </c>
      <c r="CY14" s="1377">
        <f>CW14*CX14</f>
        <v>60</v>
      </c>
      <c r="CZ14" s="1389" t="s">
        <v>159</v>
      </c>
      <c r="DA14" s="1393"/>
      <c r="DB14" s="1394"/>
      <c r="DC14" s="1394"/>
      <c r="DD14" s="1395"/>
      <c r="DE14" s="1394"/>
      <c r="DF14" s="1396"/>
      <c r="DG14" s="1394"/>
      <c r="DH14" s="1394">
        <v>0.2</v>
      </c>
      <c r="DI14" s="1394">
        <v>0.6</v>
      </c>
      <c r="DJ14" s="1395">
        <v>1</v>
      </c>
      <c r="DK14" s="1394">
        <v>1</v>
      </c>
      <c r="DL14" s="1396">
        <v>0.8</v>
      </c>
      <c r="DM14" s="1394">
        <v>0.4</v>
      </c>
      <c r="DN14" s="1394">
        <v>0.6</v>
      </c>
      <c r="DO14" s="1394">
        <v>1</v>
      </c>
      <c r="DP14" s="1395">
        <v>0.8</v>
      </c>
      <c r="DQ14" s="1394">
        <v>0.6</v>
      </c>
      <c r="DR14" s="1396">
        <v>0.2</v>
      </c>
      <c r="DS14" s="1394"/>
      <c r="DT14" s="1394"/>
      <c r="DU14" s="1394"/>
      <c r="DV14" s="1395"/>
      <c r="DW14" s="1394"/>
      <c r="DX14" s="1397"/>
      <c r="DY14" s="1393">
        <v>0.1</v>
      </c>
      <c r="DZ14" s="1394">
        <v>0.1</v>
      </c>
      <c r="EA14" s="1394">
        <v>0.1</v>
      </c>
      <c r="EB14" s="1395">
        <v>0.1</v>
      </c>
      <c r="EC14" s="1394">
        <v>0.1</v>
      </c>
      <c r="ED14" s="1396">
        <v>0.1</v>
      </c>
      <c r="EE14" s="1394">
        <v>0.1</v>
      </c>
      <c r="EF14" s="1394">
        <v>0.2</v>
      </c>
      <c r="EG14" s="1394">
        <v>0.6</v>
      </c>
      <c r="EH14" s="1395">
        <v>0.8</v>
      </c>
      <c r="EI14" s="1394">
        <v>1</v>
      </c>
      <c r="EJ14" s="1396">
        <v>0.8</v>
      </c>
      <c r="EK14" s="1394">
        <v>0.4</v>
      </c>
      <c r="EL14" s="1394">
        <v>0.6</v>
      </c>
      <c r="EM14" s="1394">
        <v>1</v>
      </c>
      <c r="EN14" s="1395">
        <v>0.8</v>
      </c>
      <c r="EO14" s="1394">
        <v>0.6</v>
      </c>
      <c r="EP14" s="1396">
        <v>0.2</v>
      </c>
      <c r="EQ14" s="1394">
        <v>0.1</v>
      </c>
      <c r="ER14" s="1394">
        <v>0.1</v>
      </c>
      <c r="ES14" s="1394">
        <v>0.1</v>
      </c>
      <c r="ET14" s="1395">
        <v>0.1</v>
      </c>
      <c r="EU14" s="1394">
        <v>0.1</v>
      </c>
      <c r="EV14" s="1397">
        <v>0.1</v>
      </c>
      <c r="EW14" s="1392" t="s">
        <v>862</v>
      </c>
      <c r="EX14" s="1393">
        <v>0.8</v>
      </c>
      <c r="EY14" s="1394">
        <v>0.8</v>
      </c>
      <c r="EZ14" s="1394">
        <v>0.8</v>
      </c>
      <c r="FA14" s="1395">
        <v>0.8</v>
      </c>
      <c r="FB14" s="1394">
        <v>0.8</v>
      </c>
      <c r="FC14" s="1396">
        <v>0.8</v>
      </c>
      <c r="FD14" s="1394">
        <v>0.8</v>
      </c>
      <c r="FE14" s="1394">
        <v>0.8</v>
      </c>
      <c r="FF14" s="1394">
        <v>0.8</v>
      </c>
      <c r="FG14" s="1395">
        <v>0.8</v>
      </c>
      <c r="FH14" s="1394">
        <v>0.8</v>
      </c>
      <c r="FI14" s="1397">
        <v>0.8</v>
      </c>
      <c r="FJ14" s="1501">
        <v>2</v>
      </c>
      <c r="FK14" s="1483">
        <f t="shared" si="23"/>
        <v>261</v>
      </c>
      <c r="FL14" s="280">
        <f t="shared" si="4"/>
        <v>11</v>
      </c>
      <c r="FM14" s="82">
        <f t="shared" si="5"/>
        <v>7.1999999999999993</v>
      </c>
      <c r="FN14" s="82">
        <f t="shared" si="6"/>
        <v>7.1999999999999993</v>
      </c>
      <c r="FO14" s="82">
        <f t="shared" si="7"/>
        <v>0</v>
      </c>
      <c r="FP14" s="1484">
        <f t="shared" si="8"/>
        <v>0.80000000000000016</v>
      </c>
      <c r="FQ14" s="65">
        <f t="shared" si="24"/>
        <v>1500</v>
      </c>
      <c r="FR14" s="280">
        <f t="shared" si="9"/>
        <v>24</v>
      </c>
      <c r="FS14" s="82">
        <f t="shared" si="10"/>
        <v>8.2999999999999972</v>
      </c>
      <c r="FT14" s="82">
        <f t="shared" si="11"/>
        <v>2.4000000000000004</v>
      </c>
      <c r="FU14" s="65">
        <f>ROUND((FS14*FK14+FT14*(365-FK14))*FP14,-1)</f>
        <v>1930</v>
      </c>
      <c r="FV14" s="1502" t="str">
        <f>Begriffe!F248</f>
        <v>- Im Direktionsbüro erhöhter Schallschutz</v>
      </c>
      <c r="FX14" s="1503" t="str">
        <f>IF(BV14=0,Begriffe!$F$262,"")</f>
        <v/>
      </c>
      <c r="FY14" s="1485" t="str">
        <f>Begriffe!F268</f>
        <v>- Wasser- und Warmwasserbedarf pro Person, ohne Personalrestaurant</v>
      </c>
      <c r="FZ14" s="1487"/>
      <c r="GA14" s="1504"/>
      <c r="GK14" s="8" t="s">
        <v>156</v>
      </c>
      <c r="GL14" s="8">
        <v>0.8</v>
      </c>
      <c r="GM14" s="8">
        <v>0.6</v>
      </c>
      <c r="GN14" s="8">
        <v>1</v>
      </c>
      <c r="GO14" s="8">
        <v>0.8</v>
      </c>
      <c r="GP14" s="8">
        <v>0.6</v>
      </c>
      <c r="GQ14" s="8">
        <v>1</v>
      </c>
      <c r="GR14" s="8">
        <v>0.6</v>
      </c>
      <c r="GS14" s="8">
        <v>0.6</v>
      </c>
      <c r="GT14" s="8">
        <v>1</v>
      </c>
      <c r="GU14" s="8">
        <v>0.8</v>
      </c>
      <c r="GV14" s="8">
        <v>1</v>
      </c>
      <c r="GW14" s="8">
        <v>0.6</v>
      </c>
      <c r="GX14" s="55">
        <f t="shared" si="12"/>
        <v>0.78333333333333333</v>
      </c>
      <c r="GZ14" s="1488">
        <v>2</v>
      </c>
      <c r="HB14" s="1256">
        <v>0</v>
      </c>
      <c r="HC14" s="1256">
        <v>0</v>
      </c>
      <c r="HD14" s="1405">
        <v>1</v>
      </c>
      <c r="HE14" s="1405">
        <v>1</v>
      </c>
      <c r="HF14" s="1405">
        <v>1</v>
      </c>
      <c r="HG14" s="1405">
        <v>1</v>
      </c>
      <c r="HH14" s="1405">
        <v>1</v>
      </c>
      <c r="HI14" s="8">
        <v>12</v>
      </c>
      <c r="HJ14" s="8">
        <v>14</v>
      </c>
      <c r="HK14" s="8">
        <v>0.7</v>
      </c>
      <c r="HL14" s="8">
        <v>3</v>
      </c>
      <c r="HM14" s="1406">
        <f>Hüllzahl!Y14</f>
        <v>1.0588235294117647</v>
      </c>
      <c r="HN14" s="1407">
        <f>(HI14+HJ14*Hüllzahl!Y14)</f>
        <v>26.823529411764707</v>
      </c>
    </row>
    <row r="15" spans="1:222">
      <c r="A15" s="882">
        <v>3.2</v>
      </c>
      <c r="B15" s="1505" t="s">
        <v>138</v>
      </c>
      <c r="C15" s="65" t="str">
        <f>Begriffe!F106</f>
        <v>Grossraumbüro</v>
      </c>
      <c r="D15" s="280">
        <v>12</v>
      </c>
      <c r="E15" s="82">
        <v>12</v>
      </c>
      <c r="F15" s="82">
        <v>3</v>
      </c>
      <c r="G15" s="255">
        <f t="shared" si="17"/>
        <v>144</v>
      </c>
      <c r="H15" s="255">
        <f>Hüllzahl!X15</f>
        <v>127.05882352941177</v>
      </c>
      <c r="I15" s="1452">
        <v>50</v>
      </c>
      <c r="J15" s="1406">
        <v>0.75</v>
      </c>
      <c r="K15" s="55">
        <f t="shared" si="0"/>
        <v>50.377833753148614</v>
      </c>
      <c r="L15" s="1453">
        <v>1.2</v>
      </c>
      <c r="M15" s="241">
        <v>0.9</v>
      </c>
      <c r="N15" s="241">
        <v>1.5</v>
      </c>
      <c r="O15" s="1406">
        <v>0.17</v>
      </c>
      <c r="P15" s="241">
        <v>0.1</v>
      </c>
      <c r="Q15" s="241">
        <v>0.8</v>
      </c>
      <c r="R15" s="55">
        <v>0.5</v>
      </c>
      <c r="S15" s="1406">
        <v>0.5</v>
      </c>
      <c r="T15" s="1406">
        <v>0.65</v>
      </c>
      <c r="U15" s="1406">
        <v>0.14000000000000001</v>
      </c>
      <c r="V15" s="1406">
        <v>0.1</v>
      </c>
      <c r="W15" s="1406">
        <v>0.2</v>
      </c>
      <c r="X15" s="55">
        <v>0.7</v>
      </c>
      <c r="Y15" s="55">
        <v>0.9</v>
      </c>
      <c r="Z15" s="55">
        <v>90</v>
      </c>
      <c r="AA15" s="1451">
        <f>'Kälte_TEC-Tool'!J14</f>
        <v>98.7</v>
      </c>
      <c r="AB15" s="1454">
        <v>26</v>
      </c>
      <c r="AC15" s="1455">
        <v>21</v>
      </c>
      <c r="AD15" s="1506" t="s">
        <v>26</v>
      </c>
      <c r="AE15" s="249" t="s">
        <v>155</v>
      </c>
      <c r="AF15" s="249">
        <v>60</v>
      </c>
      <c r="AG15" s="1457">
        <v>30</v>
      </c>
      <c r="AH15" s="1507" t="str">
        <f>Begriffe!F$229</f>
        <v>gering</v>
      </c>
      <c r="AI15" s="249">
        <v>33</v>
      </c>
      <c r="AJ15" s="1459">
        <v>0.8</v>
      </c>
      <c r="AK15" s="1460">
        <v>10</v>
      </c>
      <c r="AL15" s="55">
        <v>1.2</v>
      </c>
      <c r="AM15" s="1461">
        <v>0.5</v>
      </c>
      <c r="AN15" s="241">
        <v>1</v>
      </c>
      <c r="AO15" s="1462">
        <v>0.5</v>
      </c>
      <c r="AP15" s="1460">
        <v>10</v>
      </c>
      <c r="AQ15" s="55">
        <v>4</v>
      </c>
      <c r="AR15" s="55">
        <v>19</v>
      </c>
      <c r="AS15" s="55">
        <f t="shared" si="18"/>
        <v>10</v>
      </c>
      <c r="AT15" s="55">
        <f t="shared" si="19"/>
        <v>4</v>
      </c>
      <c r="AU15" s="55">
        <f t="shared" si="20"/>
        <v>19</v>
      </c>
      <c r="AV15" s="1508">
        <v>10</v>
      </c>
      <c r="AW15" s="55">
        <v>500</v>
      </c>
      <c r="AX15" s="1509">
        <v>0.75</v>
      </c>
      <c r="AY15" s="1510">
        <v>19</v>
      </c>
      <c r="AZ15" s="1464">
        <f t="shared" si="21"/>
        <v>11</v>
      </c>
      <c r="BA15" s="1465">
        <f t="shared" si="2"/>
        <v>0</v>
      </c>
      <c r="BB15" s="1466">
        <v>0.8</v>
      </c>
      <c r="BC15" s="1451">
        <v>2</v>
      </c>
      <c r="BD15" s="1451">
        <v>3</v>
      </c>
      <c r="BE15" s="1511"/>
      <c r="BF15" s="1511"/>
      <c r="BG15" s="55"/>
      <c r="BH15" s="55"/>
      <c r="BI15" s="1453">
        <f>AP15+Res_Std!T11+Res_Std!U11</f>
        <v>22.477313974591652</v>
      </c>
      <c r="BJ15" s="55">
        <v>50</v>
      </c>
      <c r="BK15" s="241">
        <f t="shared" si="22"/>
        <v>2.224465078724263</v>
      </c>
      <c r="BL15" s="1460">
        <v>36</v>
      </c>
      <c r="BM15" s="1467"/>
      <c r="BN15" s="241">
        <f t="shared" si="14"/>
        <v>3.6</v>
      </c>
      <c r="BO15" s="241"/>
      <c r="BP15" s="241">
        <f t="shared" si="3"/>
        <v>3.6</v>
      </c>
      <c r="BQ15" s="55">
        <v>0</v>
      </c>
      <c r="BR15" s="1406">
        <v>0.15</v>
      </c>
      <c r="BS15" s="1406">
        <v>0.3</v>
      </c>
      <c r="BT15" s="1468" t="str">
        <f>Begriffe!$F$230</f>
        <v>1-stufig</v>
      </c>
      <c r="BU15" s="1468" t="str">
        <f>Begriffe!$F$231</f>
        <v>2-stufig</v>
      </c>
      <c r="BV15" s="1468" t="str">
        <f>Begriffe!$F$230</f>
        <v>1-stufig</v>
      </c>
      <c r="BW15" s="1406">
        <v>0.7</v>
      </c>
      <c r="BX15" s="1406">
        <v>0.8</v>
      </c>
      <c r="BY15" s="1406">
        <v>0.5</v>
      </c>
      <c r="BZ15" s="1406">
        <v>0.75</v>
      </c>
      <c r="CA15" s="1406">
        <v>0.85</v>
      </c>
      <c r="CB15" s="1406">
        <v>0.5</v>
      </c>
      <c r="CC15" s="1512" t="str">
        <f>Begriffe!$F$234</f>
        <v>Einfache Klimaanlage</v>
      </c>
      <c r="CD15" s="1513">
        <v>0.55000000000000004</v>
      </c>
      <c r="CE15" s="1513">
        <v>0.34</v>
      </c>
      <c r="CF15" s="1514">
        <v>0.91</v>
      </c>
      <c r="CG15" s="1515" t="str">
        <f>Begriffe!$F$241</f>
        <v>notwendig</v>
      </c>
      <c r="CH15" s="1515" t="str">
        <f>Begriffe!$F$241</f>
        <v>notwendig</v>
      </c>
      <c r="CI15" s="1515" t="str">
        <f>Begriffe!$F$241</f>
        <v>notwendig</v>
      </c>
      <c r="CJ15" s="1515" t="str">
        <f>Begriffe!$F$240</f>
        <v>erwünscht</v>
      </c>
      <c r="CK15" s="1515" t="str">
        <f>Begriffe!$F$241</f>
        <v>notwendig</v>
      </c>
      <c r="CL15" s="1515" t="str">
        <f>Begriffe!$F$241</f>
        <v>notwendig</v>
      </c>
      <c r="CM15" s="1473">
        <v>1</v>
      </c>
      <c r="CN15" s="1473">
        <v>2</v>
      </c>
      <c r="CO15" s="1473">
        <v>0</v>
      </c>
      <c r="CP15" s="1473">
        <v>0.5</v>
      </c>
      <c r="CQ15" s="1473"/>
      <c r="CR15" s="1473"/>
      <c r="CS15" s="1473"/>
      <c r="CT15" s="1474" t="str">
        <f>Begriffe!$F$242</f>
        <v>Person</v>
      </c>
      <c r="CU15" s="918">
        <v>3</v>
      </c>
      <c r="CV15" s="918">
        <v>1</v>
      </c>
      <c r="CW15" s="1451">
        <f>IF(CV15=0,CU15,CU15*CV15)</f>
        <v>3</v>
      </c>
      <c r="CX15" s="918">
        <v>20</v>
      </c>
      <c r="CY15" s="1463">
        <f>CW15*CX15</f>
        <v>60</v>
      </c>
      <c r="CZ15" s="1473" t="s">
        <v>159</v>
      </c>
      <c r="DA15" s="1477"/>
      <c r="DB15" s="1478"/>
      <c r="DC15" s="1478"/>
      <c r="DD15" s="1479"/>
      <c r="DE15" s="1478"/>
      <c r="DF15" s="1480"/>
      <c r="DG15" s="1478"/>
      <c r="DH15" s="1478">
        <v>0.2</v>
      </c>
      <c r="DI15" s="1478">
        <v>0.6</v>
      </c>
      <c r="DJ15" s="1479">
        <v>1</v>
      </c>
      <c r="DK15" s="1478">
        <v>1</v>
      </c>
      <c r="DL15" s="1480">
        <v>0.8</v>
      </c>
      <c r="DM15" s="1478">
        <v>0.4</v>
      </c>
      <c r="DN15" s="1478">
        <v>0.6</v>
      </c>
      <c r="DO15" s="1478">
        <v>1</v>
      </c>
      <c r="DP15" s="1479">
        <v>0.8</v>
      </c>
      <c r="DQ15" s="1478">
        <v>0.6</v>
      </c>
      <c r="DR15" s="1480">
        <v>0.2</v>
      </c>
      <c r="DS15" s="1478"/>
      <c r="DT15" s="1478"/>
      <c r="DU15" s="1478"/>
      <c r="DV15" s="1479"/>
      <c r="DW15" s="1478"/>
      <c r="DX15" s="1481"/>
      <c r="DY15" s="1477">
        <v>0.1</v>
      </c>
      <c r="DZ15" s="1478">
        <v>0.1</v>
      </c>
      <c r="EA15" s="1478">
        <v>0.1</v>
      </c>
      <c r="EB15" s="1479">
        <v>0.1</v>
      </c>
      <c r="EC15" s="1478">
        <v>0.1</v>
      </c>
      <c r="ED15" s="1480">
        <v>0.1</v>
      </c>
      <c r="EE15" s="1478">
        <v>0.1</v>
      </c>
      <c r="EF15" s="1478">
        <v>0.2</v>
      </c>
      <c r="EG15" s="1478">
        <v>0.6</v>
      </c>
      <c r="EH15" s="1479">
        <v>0.8</v>
      </c>
      <c r="EI15" s="1478">
        <v>1</v>
      </c>
      <c r="EJ15" s="1480">
        <v>0.8</v>
      </c>
      <c r="EK15" s="1478">
        <v>0.4</v>
      </c>
      <c r="EL15" s="1478">
        <v>0.6</v>
      </c>
      <c r="EM15" s="1478">
        <v>1</v>
      </c>
      <c r="EN15" s="1479">
        <v>0.8</v>
      </c>
      <c r="EO15" s="1478">
        <v>0.6</v>
      </c>
      <c r="EP15" s="1480">
        <v>0.2</v>
      </c>
      <c r="EQ15" s="1478">
        <v>0.1</v>
      </c>
      <c r="ER15" s="1478">
        <v>0.1</v>
      </c>
      <c r="ES15" s="1478">
        <v>0.1</v>
      </c>
      <c r="ET15" s="1479">
        <v>0.1</v>
      </c>
      <c r="EU15" s="1478">
        <v>0.1</v>
      </c>
      <c r="EV15" s="1481">
        <v>0.1</v>
      </c>
      <c r="EW15" s="280" t="s">
        <v>862</v>
      </c>
      <c r="EX15" s="1477">
        <v>0.8</v>
      </c>
      <c r="EY15" s="1478">
        <v>0.8</v>
      </c>
      <c r="EZ15" s="1478">
        <v>0.8</v>
      </c>
      <c r="FA15" s="1479">
        <v>0.8</v>
      </c>
      <c r="FB15" s="1478">
        <v>0.8</v>
      </c>
      <c r="FC15" s="1480">
        <v>0.8</v>
      </c>
      <c r="FD15" s="1478">
        <v>0.8</v>
      </c>
      <c r="FE15" s="1478">
        <v>0.8</v>
      </c>
      <c r="FF15" s="1478">
        <v>0.8</v>
      </c>
      <c r="FG15" s="1479">
        <v>0.8</v>
      </c>
      <c r="FH15" s="1478">
        <v>0.8</v>
      </c>
      <c r="FI15" s="1481">
        <v>0.8</v>
      </c>
      <c r="FJ15" s="1516">
        <v>2</v>
      </c>
      <c r="FK15" s="1483">
        <f t="shared" si="23"/>
        <v>261</v>
      </c>
      <c r="FL15" s="280">
        <f t="shared" si="4"/>
        <v>11</v>
      </c>
      <c r="FM15" s="82">
        <f t="shared" si="5"/>
        <v>7.1999999999999993</v>
      </c>
      <c r="FN15" s="82">
        <f t="shared" si="6"/>
        <v>7.1999999999999993</v>
      </c>
      <c r="FO15" s="82">
        <f t="shared" si="7"/>
        <v>0</v>
      </c>
      <c r="FP15" s="1484">
        <f t="shared" si="8"/>
        <v>0.80000000000000016</v>
      </c>
      <c r="FQ15" s="65">
        <f t="shared" si="24"/>
        <v>1500</v>
      </c>
      <c r="FR15" s="280">
        <f t="shared" si="9"/>
        <v>24</v>
      </c>
      <c r="FS15" s="82">
        <f t="shared" si="10"/>
        <v>8.2999999999999972</v>
      </c>
      <c r="FT15" s="82">
        <f t="shared" si="11"/>
        <v>2.4000000000000004</v>
      </c>
      <c r="FU15" s="65">
        <f t="shared" si="25"/>
        <v>1930</v>
      </c>
      <c r="FW15" s="1503"/>
      <c r="FX15" s="1503" t="str">
        <f>IF(BV15=0,Begriffe!$F$262,"")</f>
        <v/>
      </c>
      <c r="FY15" s="1485" t="str">
        <f>Begriffe!F269</f>
        <v>- Wasser- und Warmwasserbedarf pro Person, ohne Personalrestaurant</v>
      </c>
      <c r="FZ15" s="1487"/>
      <c r="GA15" s="1504"/>
      <c r="GK15" s="8" t="s">
        <v>156</v>
      </c>
      <c r="GL15" s="8">
        <v>0.8</v>
      </c>
      <c r="GM15" s="8">
        <v>0.6</v>
      </c>
      <c r="GN15" s="8">
        <v>1</v>
      </c>
      <c r="GO15" s="8">
        <v>0.8</v>
      </c>
      <c r="GP15" s="8">
        <v>0.6</v>
      </c>
      <c r="GQ15" s="8">
        <v>1</v>
      </c>
      <c r="GR15" s="8">
        <v>0.6</v>
      </c>
      <c r="GS15" s="8">
        <v>0.6</v>
      </c>
      <c r="GT15" s="8">
        <v>1</v>
      </c>
      <c r="GU15" s="8">
        <v>0.8</v>
      </c>
      <c r="GV15" s="8">
        <v>1</v>
      </c>
      <c r="GW15" s="8">
        <v>0.6</v>
      </c>
      <c r="GX15" s="55">
        <f t="shared" si="12"/>
        <v>0.78333333333333333</v>
      </c>
      <c r="GZ15" s="1488">
        <v>2</v>
      </c>
      <c r="HB15" s="1256">
        <v>0</v>
      </c>
      <c r="HC15" s="1256">
        <v>0</v>
      </c>
      <c r="HD15" s="1405">
        <v>1</v>
      </c>
      <c r="HE15" s="1405">
        <v>1</v>
      </c>
      <c r="HF15" s="1405">
        <v>1</v>
      </c>
      <c r="HG15" s="1405">
        <v>1</v>
      </c>
      <c r="HH15" s="1405">
        <v>1</v>
      </c>
      <c r="HI15" s="8">
        <v>12</v>
      </c>
      <c r="HJ15" s="8">
        <v>14</v>
      </c>
      <c r="HK15" s="8">
        <v>0.7</v>
      </c>
      <c r="HL15" s="8">
        <v>3</v>
      </c>
      <c r="HM15" s="1406">
        <f>Hüllzahl!Y15</f>
        <v>0.79411764705882359</v>
      </c>
      <c r="HN15" s="1407">
        <f>(HI15+HJ15*Hüllzahl!Y15)</f>
        <v>23.117647058823529</v>
      </c>
    </row>
    <row r="16" spans="1:222">
      <c r="A16" s="882">
        <v>3.3</v>
      </c>
      <c r="B16" s="1505">
        <v>3</v>
      </c>
      <c r="C16" s="65" t="str">
        <f>Begriffe!F107</f>
        <v>Sitzungszimmer</v>
      </c>
      <c r="D16" s="280">
        <v>6</v>
      </c>
      <c r="E16" s="82">
        <v>6</v>
      </c>
      <c r="F16" s="82">
        <v>3</v>
      </c>
      <c r="G16" s="255">
        <f t="shared" si="17"/>
        <v>36</v>
      </c>
      <c r="H16" s="255">
        <f>Hüllzahl!X16</f>
        <v>42.352941176470587</v>
      </c>
      <c r="I16" s="1452">
        <v>50</v>
      </c>
      <c r="J16" s="1406">
        <v>0.75</v>
      </c>
      <c r="K16" s="55">
        <f t="shared" si="0"/>
        <v>50.377833753148614</v>
      </c>
      <c r="L16" s="1453">
        <v>1.2</v>
      </c>
      <c r="M16" s="241">
        <v>0.9</v>
      </c>
      <c r="N16" s="241">
        <v>1.5</v>
      </c>
      <c r="O16" s="1406">
        <v>0.17</v>
      </c>
      <c r="P16" s="241">
        <v>0.1</v>
      </c>
      <c r="Q16" s="241">
        <v>0.8</v>
      </c>
      <c r="R16" s="55">
        <v>0.5</v>
      </c>
      <c r="S16" s="1406">
        <v>0.5</v>
      </c>
      <c r="T16" s="1406">
        <v>0.65</v>
      </c>
      <c r="U16" s="1406">
        <v>0.14000000000000001</v>
      </c>
      <c r="V16" s="1406">
        <v>0.1</v>
      </c>
      <c r="W16" s="1406">
        <v>0.2</v>
      </c>
      <c r="X16" s="55">
        <v>0.7</v>
      </c>
      <c r="Y16" s="55">
        <v>0.9</v>
      </c>
      <c r="Z16" s="55">
        <v>90</v>
      </c>
      <c r="AA16" s="1451">
        <f>'Kälte_TEC-Tool'!J15</f>
        <v>111.9</v>
      </c>
      <c r="AB16" s="1454">
        <v>26</v>
      </c>
      <c r="AC16" s="1455">
        <v>21</v>
      </c>
      <c r="AD16" s="1456" t="s">
        <v>26</v>
      </c>
      <c r="AE16" s="249" t="s">
        <v>155</v>
      </c>
      <c r="AF16" s="249">
        <v>60</v>
      </c>
      <c r="AG16" s="1457">
        <v>30</v>
      </c>
      <c r="AH16" s="1507" t="str">
        <f>Begriffe!F$229</f>
        <v>gering</v>
      </c>
      <c r="AI16" s="249">
        <v>30</v>
      </c>
      <c r="AJ16" s="1459">
        <v>0.6</v>
      </c>
      <c r="AK16" s="1460">
        <v>3</v>
      </c>
      <c r="AL16" s="55">
        <v>1.2</v>
      </c>
      <c r="AM16" s="1461">
        <v>0.5</v>
      </c>
      <c r="AN16" s="241">
        <v>1</v>
      </c>
      <c r="AO16" s="1462">
        <v>0.5</v>
      </c>
      <c r="AP16" s="1460">
        <v>2</v>
      </c>
      <c r="AQ16" s="55">
        <v>1</v>
      </c>
      <c r="AR16" s="55">
        <v>3</v>
      </c>
      <c r="AS16" s="55">
        <f t="shared" si="18"/>
        <v>2</v>
      </c>
      <c r="AT16" s="55">
        <f t="shared" si="19"/>
        <v>1</v>
      </c>
      <c r="AU16" s="55">
        <f t="shared" si="20"/>
        <v>3</v>
      </c>
      <c r="AV16" s="1508">
        <v>10</v>
      </c>
      <c r="AW16" s="55">
        <v>500</v>
      </c>
      <c r="AX16" s="1509">
        <v>0.75</v>
      </c>
      <c r="AY16" s="1510">
        <v>19</v>
      </c>
      <c r="AZ16" s="1464">
        <f t="shared" si="21"/>
        <v>6</v>
      </c>
      <c r="BA16" s="1465">
        <f t="shared" si="2"/>
        <v>0</v>
      </c>
      <c r="BB16" s="1466">
        <v>0.8</v>
      </c>
      <c r="BC16" s="1451">
        <v>2</v>
      </c>
      <c r="BD16" s="1451">
        <v>3</v>
      </c>
      <c r="BE16" s="1511"/>
      <c r="BF16" s="1511"/>
      <c r="BG16" s="55"/>
      <c r="BH16" s="55"/>
      <c r="BI16" s="1453">
        <f>AP16+Res_Std!T12+Res_Std!U12</f>
        <v>17.880217785843922</v>
      </c>
      <c r="BJ16" s="55">
        <v>50</v>
      </c>
      <c r="BK16" s="241">
        <f t="shared" si="22"/>
        <v>2.796386520503451</v>
      </c>
      <c r="BL16" s="1460">
        <v>36</v>
      </c>
      <c r="BM16" s="1467"/>
      <c r="BN16" s="241">
        <f t="shared" si="14"/>
        <v>12</v>
      </c>
      <c r="BO16" s="241"/>
      <c r="BP16" s="241">
        <f t="shared" si="3"/>
        <v>12</v>
      </c>
      <c r="BQ16" s="55">
        <v>0</v>
      </c>
      <c r="BR16" s="1406">
        <v>0.15</v>
      </c>
      <c r="BS16" s="1406">
        <v>0.3</v>
      </c>
      <c r="BT16" s="1468" t="str">
        <f>Begriffe!$F$232</f>
        <v>stufenlos</v>
      </c>
      <c r="BU16" s="1468" t="str">
        <f>Begriffe!$F$232</f>
        <v>stufenlos</v>
      </c>
      <c r="BV16" s="1468" t="str">
        <f>Begriffe!$F$231</f>
        <v>2-stufig</v>
      </c>
      <c r="BW16" s="1406">
        <v>0.7</v>
      </c>
      <c r="BX16" s="1406">
        <v>0.8</v>
      </c>
      <c r="BY16" s="1406">
        <v>0.5</v>
      </c>
      <c r="BZ16" s="1406">
        <v>0.75</v>
      </c>
      <c r="CA16" s="1406">
        <v>0.85</v>
      </c>
      <c r="CB16" s="1406">
        <v>0.5</v>
      </c>
      <c r="CC16" s="1512" t="str">
        <f>Begriffe!$F$234</f>
        <v>Einfache Klimaanlage</v>
      </c>
      <c r="CD16" s="1513">
        <v>0.55000000000000004</v>
      </c>
      <c r="CE16" s="1513">
        <v>0.34</v>
      </c>
      <c r="CF16" s="1514">
        <v>0.91</v>
      </c>
      <c r="CG16" s="1515" t="str">
        <f>Begriffe!$F$239</f>
        <v>nicht notwend.</v>
      </c>
      <c r="CH16" s="1515" t="str">
        <f>Begriffe!$F$240</f>
        <v>erwünscht</v>
      </c>
      <c r="CI16" s="1515" t="str">
        <f>Begriffe!$F$240</f>
        <v>erwünscht</v>
      </c>
      <c r="CJ16" s="1515" t="str">
        <f>Begriffe!$F$239</f>
        <v>nicht notwend.</v>
      </c>
      <c r="CK16" s="1515" t="str">
        <f>Begriffe!$F$240</f>
        <v>erwünscht</v>
      </c>
      <c r="CL16" s="1515" t="str">
        <f>Begriffe!$F$240</f>
        <v>erwünscht</v>
      </c>
      <c r="CM16" s="1473">
        <v>1</v>
      </c>
      <c r="CN16" s="1473">
        <v>2</v>
      </c>
      <c r="CO16" s="1473">
        <v>0</v>
      </c>
      <c r="CP16" s="1473">
        <v>0.5</v>
      </c>
      <c r="CQ16" s="1473"/>
      <c r="CR16" s="1473"/>
      <c r="CS16" s="1473"/>
      <c r="CT16" s="1460"/>
      <c r="CU16" s="55"/>
      <c r="CV16" s="55"/>
      <c r="CW16" s="1451"/>
      <c r="CX16" s="55"/>
      <c r="CY16" s="1463"/>
      <c r="CZ16" s="1473" t="s">
        <v>160</v>
      </c>
      <c r="DA16" s="1477"/>
      <c r="DB16" s="1478"/>
      <c r="DC16" s="1478"/>
      <c r="DD16" s="1479"/>
      <c r="DE16" s="1478"/>
      <c r="DF16" s="1480"/>
      <c r="DG16" s="1478"/>
      <c r="DH16" s="1478"/>
      <c r="DI16" s="1478"/>
      <c r="DJ16" s="1479">
        <v>0.6</v>
      </c>
      <c r="DK16" s="1478">
        <v>1</v>
      </c>
      <c r="DL16" s="1480">
        <v>0.4</v>
      </c>
      <c r="DM16" s="1478"/>
      <c r="DN16" s="1478"/>
      <c r="DO16" s="1478">
        <v>0.6</v>
      </c>
      <c r="DP16" s="1479">
        <v>1</v>
      </c>
      <c r="DQ16" s="1478">
        <v>0.4</v>
      </c>
      <c r="DR16" s="1480"/>
      <c r="DS16" s="1478"/>
      <c r="DT16" s="1478"/>
      <c r="DU16" s="1478"/>
      <c r="DV16" s="1479"/>
      <c r="DW16" s="1478"/>
      <c r="DX16" s="1481"/>
      <c r="DY16" s="1477">
        <v>0.1</v>
      </c>
      <c r="DZ16" s="1478">
        <v>0.1</v>
      </c>
      <c r="EA16" s="1478">
        <v>0.1</v>
      </c>
      <c r="EB16" s="1479">
        <v>0.1</v>
      </c>
      <c r="EC16" s="1478">
        <v>0.1</v>
      </c>
      <c r="ED16" s="1480">
        <v>0.1</v>
      </c>
      <c r="EE16" s="1478">
        <v>0.1</v>
      </c>
      <c r="EF16" s="1478">
        <v>0.1</v>
      </c>
      <c r="EG16" s="1478">
        <v>0.1</v>
      </c>
      <c r="EH16" s="1479">
        <v>0.6</v>
      </c>
      <c r="EI16" s="1478">
        <v>1</v>
      </c>
      <c r="EJ16" s="1480">
        <v>0.4</v>
      </c>
      <c r="EK16" s="1478">
        <v>0.1</v>
      </c>
      <c r="EL16" s="1478">
        <v>0.1</v>
      </c>
      <c r="EM16" s="1478">
        <v>0.6</v>
      </c>
      <c r="EN16" s="1479">
        <v>1</v>
      </c>
      <c r="EO16" s="1478">
        <v>0.4</v>
      </c>
      <c r="EP16" s="1480">
        <v>0.1</v>
      </c>
      <c r="EQ16" s="1478">
        <v>0.1</v>
      </c>
      <c r="ER16" s="1478">
        <v>0.1</v>
      </c>
      <c r="ES16" s="1478">
        <v>0.1</v>
      </c>
      <c r="ET16" s="1479">
        <v>0.1</v>
      </c>
      <c r="EU16" s="1478">
        <v>0.1</v>
      </c>
      <c r="EV16" s="1481">
        <v>0.1</v>
      </c>
      <c r="EW16" s="280" t="s">
        <v>862</v>
      </c>
      <c r="EX16" s="1477">
        <v>0.8</v>
      </c>
      <c r="EY16" s="1478">
        <v>0.8</v>
      </c>
      <c r="EZ16" s="1478">
        <v>0.8</v>
      </c>
      <c r="FA16" s="1479">
        <v>0.8</v>
      </c>
      <c r="FB16" s="1478">
        <v>0.8</v>
      </c>
      <c r="FC16" s="1480">
        <v>0.8</v>
      </c>
      <c r="FD16" s="1478">
        <v>0.8</v>
      </c>
      <c r="FE16" s="1478">
        <v>0.8</v>
      </c>
      <c r="FF16" s="1478">
        <v>0.8</v>
      </c>
      <c r="FG16" s="1479">
        <v>0.8</v>
      </c>
      <c r="FH16" s="1478">
        <v>0.8</v>
      </c>
      <c r="FI16" s="1481">
        <v>0.8</v>
      </c>
      <c r="FJ16" s="1516">
        <v>2</v>
      </c>
      <c r="FK16" s="1483">
        <f t="shared" si="23"/>
        <v>261</v>
      </c>
      <c r="FL16" s="280">
        <f t="shared" si="4"/>
        <v>6</v>
      </c>
      <c r="FM16" s="82">
        <f t="shared" si="5"/>
        <v>4</v>
      </c>
      <c r="FN16" s="82">
        <f t="shared" si="6"/>
        <v>4</v>
      </c>
      <c r="FO16" s="82">
        <f t="shared" si="7"/>
        <v>0</v>
      </c>
      <c r="FP16" s="1484">
        <f t="shared" si="8"/>
        <v>0.80000000000000016</v>
      </c>
      <c r="FQ16" s="65">
        <f t="shared" si="24"/>
        <v>840</v>
      </c>
      <c r="FR16" s="280">
        <f t="shared" si="9"/>
        <v>24</v>
      </c>
      <c r="FS16" s="82">
        <f t="shared" si="10"/>
        <v>5.799999999999998</v>
      </c>
      <c r="FT16" s="82">
        <f t="shared" si="11"/>
        <v>2.4000000000000004</v>
      </c>
      <c r="FU16" s="65">
        <f t="shared" si="25"/>
        <v>1410</v>
      </c>
      <c r="FW16" s="1503"/>
      <c r="FX16" s="1503" t="str">
        <f>IF(BV16=0,Begriffe!$F$262,"")</f>
        <v/>
      </c>
      <c r="FY16" s="1485" t="str">
        <f>Begriffe!F270</f>
        <v>- Wasser- und Warmwasserbedarf sind in den Raumnutzungen 3.1 und 3.2 enthalten</v>
      </c>
      <c r="FZ16" s="1487"/>
      <c r="GA16" s="1504"/>
      <c r="GK16" s="8" t="s">
        <v>156</v>
      </c>
      <c r="GL16" s="8">
        <v>0.8</v>
      </c>
      <c r="GM16" s="8">
        <v>0.6</v>
      </c>
      <c r="GN16" s="8">
        <v>1</v>
      </c>
      <c r="GO16" s="8">
        <v>0.8</v>
      </c>
      <c r="GP16" s="8">
        <v>0.6</v>
      </c>
      <c r="GQ16" s="8">
        <v>1</v>
      </c>
      <c r="GR16" s="8">
        <v>0.6</v>
      </c>
      <c r="GS16" s="8">
        <v>0.6</v>
      </c>
      <c r="GT16" s="8">
        <v>1</v>
      </c>
      <c r="GU16" s="8">
        <v>0.8</v>
      </c>
      <c r="GV16" s="8">
        <v>1</v>
      </c>
      <c r="GW16" s="8">
        <v>0.6</v>
      </c>
      <c r="GX16" s="55">
        <f t="shared" si="12"/>
        <v>0.78333333333333333</v>
      </c>
      <c r="GZ16" s="1488">
        <v>2</v>
      </c>
      <c r="HB16" s="1256">
        <v>0</v>
      </c>
      <c r="HC16" s="1256">
        <v>0</v>
      </c>
      <c r="HD16" s="1405">
        <v>1</v>
      </c>
      <c r="HE16" s="1405">
        <v>1</v>
      </c>
      <c r="HF16" s="1405">
        <v>1</v>
      </c>
      <c r="HG16" s="1405">
        <v>1</v>
      </c>
      <c r="HH16" s="1405">
        <v>1</v>
      </c>
      <c r="HI16" s="8">
        <v>12</v>
      </c>
      <c r="HJ16" s="8">
        <v>14</v>
      </c>
      <c r="HK16" s="8">
        <v>0.7</v>
      </c>
      <c r="HL16" s="8">
        <v>3</v>
      </c>
      <c r="HM16" s="1406">
        <f>Hüllzahl!Y16</f>
        <v>1.0588235294117647</v>
      </c>
      <c r="HN16" s="1407">
        <f>(HI16+HJ16*Hüllzahl!Y16)</f>
        <v>26.823529411764707</v>
      </c>
    </row>
    <row r="17" spans="1:222">
      <c r="A17" s="885">
        <v>3.4</v>
      </c>
      <c r="B17" s="1517">
        <v>4</v>
      </c>
      <c r="C17" s="357" t="str">
        <f>Begriffe!F108</f>
        <v>Schalterhalle, Empfang</v>
      </c>
      <c r="D17" s="281">
        <v>12</v>
      </c>
      <c r="E17" s="282">
        <v>12</v>
      </c>
      <c r="F17" s="282">
        <v>4</v>
      </c>
      <c r="G17" s="1518">
        <f t="shared" si="17"/>
        <v>144</v>
      </c>
      <c r="H17" s="1518">
        <f>Hüllzahl!X17</f>
        <v>112.94117647058823</v>
      </c>
      <c r="I17" s="1411">
        <v>50</v>
      </c>
      <c r="J17" s="1412">
        <v>0.75</v>
      </c>
      <c r="K17" s="60">
        <f t="shared" si="0"/>
        <v>50.377833753148614</v>
      </c>
      <c r="L17" s="1011">
        <v>1.2</v>
      </c>
      <c r="M17" s="289">
        <v>0.9</v>
      </c>
      <c r="N17" s="289">
        <v>1.5</v>
      </c>
      <c r="O17" s="1412">
        <v>0.17</v>
      </c>
      <c r="P17" s="289">
        <v>0.1</v>
      </c>
      <c r="Q17" s="289">
        <v>0.8</v>
      </c>
      <c r="R17" s="289">
        <v>0.5</v>
      </c>
      <c r="S17" s="1412">
        <v>0.5</v>
      </c>
      <c r="T17" s="1412">
        <v>0.65</v>
      </c>
      <c r="U17" s="1412">
        <v>0.14000000000000001</v>
      </c>
      <c r="V17" s="1412">
        <v>0.1</v>
      </c>
      <c r="W17" s="1412">
        <v>0.2</v>
      </c>
      <c r="X17" s="60">
        <v>0.7</v>
      </c>
      <c r="Y17" s="60">
        <v>0.9</v>
      </c>
      <c r="Z17" s="60">
        <v>90</v>
      </c>
      <c r="AA17" s="1410">
        <f>'Kälte_TEC-Tool'!J16</f>
        <v>101.6</v>
      </c>
      <c r="AB17" s="1413">
        <v>26</v>
      </c>
      <c r="AC17" s="1414">
        <v>20</v>
      </c>
      <c r="AD17" s="1519" t="s">
        <v>26</v>
      </c>
      <c r="AE17" s="1416" t="s">
        <v>157</v>
      </c>
      <c r="AF17" s="1416">
        <v>60</v>
      </c>
      <c r="AG17" s="1417">
        <v>30</v>
      </c>
      <c r="AH17" s="1418"/>
      <c r="AI17" s="1416">
        <v>35</v>
      </c>
      <c r="AJ17" s="1419">
        <v>0.9</v>
      </c>
      <c r="AK17" s="56">
        <v>12</v>
      </c>
      <c r="AL17" s="60">
        <v>1.2</v>
      </c>
      <c r="AM17" s="1420">
        <v>0.5</v>
      </c>
      <c r="AN17" s="289">
        <v>1</v>
      </c>
      <c r="AO17" s="1421">
        <v>0.5</v>
      </c>
      <c r="AP17" s="56">
        <v>4</v>
      </c>
      <c r="AQ17" s="60">
        <v>1.5</v>
      </c>
      <c r="AR17" s="60">
        <v>9.5</v>
      </c>
      <c r="AS17" s="60">
        <f t="shared" si="18"/>
        <v>4</v>
      </c>
      <c r="AT17" s="60">
        <f t="shared" si="19"/>
        <v>1.5</v>
      </c>
      <c r="AU17" s="60">
        <f t="shared" si="20"/>
        <v>9.5</v>
      </c>
      <c r="AV17" s="1520">
        <v>10</v>
      </c>
      <c r="AW17" s="60">
        <v>300</v>
      </c>
      <c r="AX17" s="1521">
        <v>0.05</v>
      </c>
      <c r="AY17" s="1522">
        <v>22</v>
      </c>
      <c r="AZ17" s="1423">
        <f t="shared" si="21"/>
        <v>11</v>
      </c>
      <c r="BA17" s="1424">
        <f t="shared" si="2"/>
        <v>0</v>
      </c>
      <c r="BB17" s="1425">
        <v>1</v>
      </c>
      <c r="BC17" s="1410">
        <v>2</v>
      </c>
      <c r="BD17" s="1410">
        <v>3</v>
      </c>
      <c r="BE17" s="1490"/>
      <c r="BF17" s="1490"/>
      <c r="BG17" s="60"/>
      <c r="BH17" s="60"/>
      <c r="BI17" s="1011">
        <f>AP17+Res_Std!T13+Res_Std!U13</f>
        <v>15.031042128603106</v>
      </c>
      <c r="BJ17" s="60">
        <v>50</v>
      </c>
      <c r="BK17" s="289">
        <f t="shared" si="22"/>
        <v>3.3264493288095585</v>
      </c>
      <c r="BL17" s="56">
        <v>30</v>
      </c>
      <c r="BM17" s="1426"/>
      <c r="BN17" s="289">
        <f t="shared" si="14"/>
        <v>2.5</v>
      </c>
      <c r="BO17" s="289"/>
      <c r="BP17" s="289">
        <f t="shared" si="3"/>
        <v>2.5</v>
      </c>
      <c r="BQ17" s="60">
        <v>0</v>
      </c>
      <c r="BR17" s="1412">
        <v>0.15</v>
      </c>
      <c r="BS17" s="1412">
        <v>0.3</v>
      </c>
      <c r="BT17" s="1428" t="str">
        <f>Begriffe!$F$230</f>
        <v>1-stufig</v>
      </c>
      <c r="BU17" s="1428" t="str">
        <f>Begriffe!$F$231</f>
        <v>2-stufig</v>
      </c>
      <c r="BV17" s="1428" t="str">
        <f>Begriffe!$F$230</f>
        <v>1-stufig</v>
      </c>
      <c r="BW17" s="1412">
        <v>0.7</v>
      </c>
      <c r="BX17" s="1412">
        <v>0.8</v>
      </c>
      <c r="BY17" s="1412">
        <v>0.5</v>
      </c>
      <c r="BZ17" s="1412">
        <v>0.75</v>
      </c>
      <c r="CA17" s="1412">
        <v>0.85</v>
      </c>
      <c r="CB17" s="1412">
        <v>0.5</v>
      </c>
      <c r="CC17" s="1523" t="str">
        <f>Begriffe!$F$234</f>
        <v>Einfache Klimaanlage</v>
      </c>
      <c r="CD17" s="1524">
        <v>0.55000000000000004</v>
      </c>
      <c r="CE17" s="1524">
        <v>0.34</v>
      </c>
      <c r="CF17" s="1525">
        <v>0.91</v>
      </c>
      <c r="CG17" s="1526" t="str">
        <f>Begriffe!$F$239</f>
        <v>nicht notwend.</v>
      </c>
      <c r="CH17" s="1526" t="str">
        <f>Begriffe!$F$239</f>
        <v>nicht notwend.</v>
      </c>
      <c r="CI17" s="1526" t="str">
        <f>Begriffe!$F$240</f>
        <v>erwünscht</v>
      </c>
      <c r="CJ17" s="1526" t="str">
        <f>Begriffe!$F$239</f>
        <v>nicht notwend.</v>
      </c>
      <c r="CK17" s="1526" t="str">
        <f>Begriffe!$F$239</f>
        <v>nicht notwend.</v>
      </c>
      <c r="CL17" s="1526" t="str">
        <f>Begriffe!$F$239</f>
        <v>nicht notwend.</v>
      </c>
      <c r="CM17" s="1433">
        <v>1</v>
      </c>
      <c r="CN17" s="1433">
        <v>2</v>
      </c>
      <c r="CO17" s="1433">
        <v>0</v>
      </c>
      <c r="CP17" s="1433">
        <v>0.5</v>
      </c>
      <c r="CQ17" s="1433"/>
      <c r="CR17" s="1433"/>
      <c r="CS17" s="1433"/>
      <c r="CT17" s="56"/>
      <c r="CU17" s="60"/>
      <c r="CV17" s="60"/>
      <c r="CW17" s="1410"/>
      <c r="CX17" s="60"/>
      <c r="CY17" s="1422"/>
      <c r="CZ17" s="1527" t="s">
        <v>159</v>
      </c>
      <c r="DA17" s="1437"/>
      <c r="DB17" s="1438"/>
      <c r="DC17" s="1438"/>
      <c r="DD17" s="1439"/>
      <c r="DE17" s="1438"/>
      <c r="DF17" s="1440"/>
      <c r="DG17" s="1438"/>
      <c r="DH17" s="1438">
        <v>0.2</v>
      </c>
      <c r="DI17" s="1438">
        <v>0.6</v>
      </c>
      <c r="DJ17" s="1439">
        <v>1</v>
      </c>
      <c r="DK17" s="1438">
        <v>1</v>
      </c>
      <c r="DL17" s="1440">
        <v>0.8</v>
      </c>
      <c r="DM17" s="1438">
        <v>0.4</v>
      </c>
      <c r="DN17" s="1438">
        <v>0.6</v>
      </c>
      <c r="DO17" s="1438">
        <v>1</v>
      </c>
      <c r="DP17" s="1439">
        <v>0.8</v>
      </c>
      <c r="DQ17" s="1438">
        <v>0.6</v>
      </c>
      <c r="DR17" s="1440">
        <v>0.2</v>
      </c>
      <c r="DS17" s="1438"/>
      <c r="DT17" s="1438"/>
      <c r="DU17" s="1438"/>
      <c r="DV17" s="1439"/>
      <c r="DW17" s="1438"/>
      <c r="DX17" s="1441"/>
      <c r="DY17" s="1437">
        <v>0.1</v>
      </c>
      <c r="DZ17" s="1438">
        <v>0.1</v>
      </c>
      <c r="EA17" s="1438">
        <v>0.1</v>
      </c>
      <c r="EB17" s="1439">
        <v>0.1</v>
      </c>
      <c r="EC17" s="1438">
        <v>0.1</v>
      </c>
      <c r="ED17" s="1440">
        <v>0.1</v>
      </c>
      <c r="EE17" s="1438">
        <v>0.1</v>
      </c>
      <c r="EF17" s="1438">
        <v>0.2</v>
      </c>
      <c r="EG17" s="1438">
        <v>0.6</v>
      </c>
      <c r="EH17" s="1439">
        <v>0.8</v>
      </c>
      <c r="EI17" s="1438">
        <v>1</v>
      </c>
      <c r="EJ17" s="1440">
        <v>0.8</v>
      </c>
      <c r="EK17" s="1438">
        <v>0.4</v>
      </c>
      <c r="EL17" s="1438">
        <v>0.6</v>
      </c>
      <c r="EM17" s="1438">
        <v>1</v>
      </c>
      <c r="EN17" s="1439">
        <v>0.8</v>
      </c>
      <c r="EO17" s="1438">
        <v>0.6</v>
      </c>
      <c r="EP17" s="1440">
        <v>0.2</v>
      </c>
      <c r="EQ17" s="1438">
        <v>0.1</v>
      </c>
      <c r="ER17" s="1438">
        <v>0.1</v>
      </c>
      <c r="ES17" s="1438">
        <v>0.1</v>
      </c>
      <c r="ET17" s="1439">
        <v>0.1</v>
      </c>
      <c r="EU17" s="1438">
        <v>0.1</v>
      </c>
      <c r="EV17" s="1441">
        <v>0.1</v>
      </c>
      <c r="EW17" s="281" t="s">
        <v>862</v>
      </c>
      <c r="EX17" s="1437">
        <v>0.8</v>
      </c>
      <c r="EY17" s="1438">
        <v>0.8</v>
      </c>
      <c r="EZ17" s="1438">
        <v>0.8</v>
      </c>
      <c r="FA17" s="1439">
        <v>0.8</v>
      </c>
      <c r="FB17" s="1438">
        <v>0.8</v>
      </c>
      <c r="FC17" s="1440">
        <v>0.8</v>
      </c>
      <c r="FD17" s="1438">
        <v>0.8</v>
      </c>
      <c r="FE17" s="1438">
        <v>0.8</v>
      </c>
      <c r="FF17" s="1438">
        <v>0.8</v>
      </c>
      <c r="FG17" s="1439">
        <v>0.8</v>
      </c>
      <c r="FH17" s="1438">
        <v>0.8</v>
      </c>
      <c r="FI17" s="1441">
        <v>0.8</v>
      </c>
      <c r="FJ17" s="1528">
        <v>2</v>
      </c>
      <c r="FK17" s="1443">
        <f t="shared" si="23"/>
        <v>261</v>
      </c>
      <c r="FL17" s="281">
        <f t="shared" si="4"/>
        <v>11</v>
      </c>
      <c r="FM17" s="282">
        <f t="shared" si="5"/>
        <v>7.1999999999999993</v>
      </c>
      <c r="FN17" s="282">
        <f t="shared" si="6"/>
        <v>7.1999999999999993</v>
      </c>
      <c r="FO17" s="282">
        <f t="shared" si="7"/>
        <v>0</v>
      </c>
      <c r="FP17" s="1444">
        <f t="shared" si="8"/>
        <v>0.80000000000000016</v>
      </c>
      <c r="FQ17" s="357">
        <f t="shared" si="24"/>
        <v>1500</v>
      </c>
      <c r="FR17" s="281">
        <f t="shared" si="9"/>
        <v>24</v>
      </c>
      <c r="FS17" s="282">
        <f t="shared" si="10"/>
        <v>8.2999999999999972</v>
      </c>
      <c r="FT17" s="282">
        <f t="shared" si="11"/>
        <v>2.4000000000000004</v>
      </c>
      <c r="FU17" s="357">
        <f t="shared" si="25"/>
        <v>1930</v>
      </c>
      <c r="FW17" s="1468"/>
      <c r="FX17" s="1468" t="str">
        <f>IF(BV17=0,Begriffe!$F$262,"")</f>
        <v/>
      </c>
      <c r="FY17" s="1529" t="str">
        <f>Begriffe!F271</f>
        <v>- Wasser- und Warmwasserbedarf sind in den Raumnutzungen 3.1 und 3.2 enthalten</v>
      </c>
      <c r="FZ17" s="1487"/>
      <c r="GA17" s="1504"/>
      <c r="GK17" s="8" t="s">
        <v>156</v>
      </c>
      <c r="GL17" s="8">
        <v>0.8</v>
      </c>
      <c r="GM17" s="8">
        <v>0.6</v>
      </c>
      <c r="GN17" s="8">
        <v>1</v>
      </c>
      <c r="GO17" s="8">
        <v>0.8</v>
      </c>
      <c r="GP17" s="8">
        <v>0.6</v>
      </c>
      <c r="GQ17" s="8">
        <v>1</v>
      </c>
      <c r="GR17" s="8">
        <v>0.6</v>
      </c>
      <c r="GS17" s="8">
        <v>0.6</v>
      </c>
      <c r="GT17" s="8">
        <v>1</v>
      </c>
      <c r="GU17" s="8">
        <v>0.8</v>
      </c>
      <c r="GV17" s="8">
        <v>1</v>
      </c>
      <c r="GW17" s="8">
        <v>0.6</v>
      </c>
      <c r="GX17" s="55">
        <f t="shared" si="12"/>
        <v>0.78333333333333333</v>
      </c>
      <c r="GZ17" s="1488">
        <v>2</v>
      </c>
      <c r="HB17" s="1256">
        <v>0</v>
      </c>
      <c r="HC17" s="1256">
        <v>0</v>
      </c>
      <c r="HD17" s="1405">
        <v>1</v>
      </c>
      <c r="HE17" s="1405">
        <v>1</v>
      </c>
      <c r="HF17" s="1405">
        <v>1</v>
      </c>
      <c r="HG17" s="1405">
        <v>1</v>
      </c>
      <c r="HH17" s="1405">
        <v>1</v>
      </c>
      <c r="HI17" s="8">
        <v>12</v>
      </c>
      <c r="HJ17" s="8">
        <v>14</v>
      </c>
      <c r="HK17" s="8">
        <v>0.7</v>
      </c>
      <c r="HL17" s="8">
        <v>3</v>
      </c>
      <c r="HM17" s="1406">
        <f>Hüllzahl!Y17</f>
        <v>0.70588235294117641</v>
      </c>
      <c r="HN17" s="1407">
        <f>(HI17+HJ17*Hüllzahl!Y17)</f>
        <v>21.882352941176471</v>
      </c>
    </row>
    <row r="18" spans="1:222">
      <c r="A18" s="883">
        <v>4.0999999999999996</v>
      </c>
      <c r="B18" s="1491">
        <v>8</v>
      </c>
      <c r="C18" s="288" t="str">
        <f>Begriffe!F109</f>
        <v>Schulzimmer</v>
      </c>
      <c r="D18" s="291">
        <v>10</v>
      </c>
      <c r="E18" s="292">
        <v>7</v>
      </c>
      <c r="F18" s="292">
        <v>3</v>
      </c>
      <c r="G18" s="1492">
        <f t="shared" si="17"/>
        <v>70</v>
      </c>
      <c r="H18" s="1492">
        <f>Hüllzahl!X18</f>
        <v>95.294117647058826</v>
      </c>
      <c r="I18" s="1366">
        <v>50</v>
      </c>
      <c r="J18" s="1367">
        <v>0.75</v>
      </c>
      <c r="K18" s="72">
        <f t="shared" si="0"/>
        <v>50.377833753148614</v>
      </c>
      <c r="L18" s="263">
        <v>1.2</v>
      </c>
      <c r="M18" s="240">
        <v>0.9</v>
      </c>
      <c r="N18" s="240">
        <v>1.5</v>
      </c>
      <c r="O18" s="1367">
        <v>0.17</v>
      </c>
      <c r="P18" s="240">
        <v>0.1</v>
      </c>
      <c r="Q18" s="240">
        <v>0.8</v>
      </c>
      <c r="R18" s="72">
        <v>0.5</v>
      </c>
      <c r="S18" s="1367">
        <v>0.5</v>
      </c>
      <c r="T18" s="1367">
        <v>0.65</v>
      </c>
      <c r="U18" s="1367">
        <v>0.14000000000000001</v>
      </c>
      <c r="V18" s="1367">
        <v>0.1</v>
      </c>
      <c r="W18" s="1367">
        <v>0.2</v>
      </c>
      <c r="X18" s="72">
        <v>0.7</v>
      </c>
      <c r="Y18" s="72">
        <v>0.9</v>
      </c>
      <c r="Z18" s="72">
        <v>90</v>
      </c>
      <c r="AA18" s="1365">
        <f>'Kälte_TEC-Tool'!J17</f>
        <v>106.4</v>
      </c>
      <c r="AB18" s="1368">
        <v>26</v>
      </c>
      <c r="AC18" s="1369">
        <v>21</v>
      </c>
      <c r="AD18" s="1493" t="s">
        <v>26</v>
      </c>
      <c r="AE18" s="1371" t="s">
        <v>155</v>
      </c>
      <c r="AF18" s="1371">
        <v>60</v>
      </c>
      <c r="AG18" s="1372">
        <v>30</v>
      </c>
      <c r="AH18" s="1530" t="str">
        <f>Begriffe!F$229</f>
        <v>gering</v>
      </c>
      <c r="AI18" s="1371">
        <v>30</v>
      </c>
      <c r="AJ18" s="1374">
        <v>0.6</v>
      </c>
      <c r="AK18" s="73">
        <v>3</v>
      </c>
      <c r="AL18" s="72">
        <v>1.2</v>
      </c>
      <c r="AM18" s="1375">
        <v>0.5</v>
      </c>
      <c r="AN18" s="240">
        <v>1</v>
      </c>
      <c r="AO18" s="1376">
        <v>0.5</v>
      </c>
      <c r="AP18" s="73">
        <v>4</v>
      </c>
      <c r="AQ18" s="72">
        <v>2</v>
      </c>
      <c r="AR18" s="72">
        <v>6</v>
      </c>
      <c r="AS18" s="72">
        <f t="shared" si="18"/>
        <v>4</v>
      </c>
      <c r="AT18" s="72">
        <f t="shared" si="19"/>
        <v>2</v>
      </c>
      <c r="AU18" s="72">
        <f t="shared" si="20"/>
        <v>6</v>
      </c>
      <c r="AV18" s="1494">
        <v>10</v>
      </c>
      <c r="AW18" s="72">
        <v>500</v>
      </c>
      <c r="AX18" s="1495">
        <v>0.75</v>
      </c>
      <c r="AY18" s="1496">
        <v>19</v>
      </c>
      <c r="AZ18" s="1378">
        <f t="shared" si="21"/>
        <v>11</v>
      </c>
      <c r="BA18" s="1379">
        <f t="shared" si="2"/>
        <v>0</v>
      </c>
      <c r="BB18" s="1380">
        <v>0.8</v>
      </c>
      <c r="BC18" s="1365">
        <v>2</v>
      </c>
      <c r="BD18" s="1365">
        <v>3</v>
      </c>
      <c r="BE18" s="1497"/>
      <c r="BF18" s="1497"/>
      <c r="BG18" s="72"/>
      <c r="BH18" s="72"/>
      <c r="BI18" s="263">
        <f>AP18+Res_Std!T14+Res_Std!U14</f>
        <v>18.032927145449833</v>
      </c>
      <c r="BJ18" s="72">
        <v>50</v>
      </c>
      <c r="BK18" s="240">
        <f t="shared" si="22"/>
        <v>2.7727057064396932</v>
      </c>
      <c r="BL18" s="73">
        <v>25</v>
      </c>
      <c r="BM18" s="1381"/>
      <c r="BN18" s="240">
        <f t="shared" si="14"/>
        <v>8.3333333333333339</v>
      </c>
      <c r="BO18" s="72"/>
      <c r="BP18" s="240">
        <f t="shared" si="3"/>
        <v>8.3333333333333339</v>
      </c>
      <c r="BQ18" s="72">
        <v>0</v>
      </c>
      <c r="BR18" s="1367">
        <v>0.15</v>
      </c>
      <c r="BS18" s="1367">
        <v>0.3</v>
      </c>
      <c r="BT18" s="1383" t="str">
        <f>Begriffe!$F$231</f>
        <v>2-stufig</v>
      </c>
      <c r="BU18" s="1383" t="str">
        <f>Begriffe!$F$232</f>
        <v>stufenlos</v>
      </c>
      <c r="BV18" s="1383"/>
      <c r="BW18" s="1367">
        <v>0.7</v>
      </c>
      <c r="BX18" s="1367">
        <v>0.8</v>
      </c>
      <c r="BY18" s="1367"/>
      <c r="BZ18" s="1406">
        <v>0.75</v>
      </c>
      <c r="CA18" s="1406">
        <v>0.85</v>
      </c>
      <c r="CB18" s="1367"/>
      <c r="CC18" s="1512" t="str">
        <f>Begriffe!$F$235</f>
        <v>LA mit Lufterwärmung</v>
      </c>
      <c r="CD18" s="1513">
        <v>0.34</v>
      </c>
      <c r="CE18" s="1513">
        <v>0.22300000000000003</v>
      </c>
      <c r="CF18" s="1514">
        <v>0.55000000000000004</v>
      </c>
      <c r="CG18" s="1515" t="str">
        <f>Begriffe!$F$241</f>
        <v>notwendig</v>
      </c>
      <c r="CH18" s="1515" t="str">
        <f>Begriffe!$F$241</f>
        <v>notwendig</v>
      </c>
      <c r="CI18" s="1515" t="str">
        <f>Begriffe!$F$241</f>
        <v>notwendig</v>
      </c>
      <c r="CJ18" s="1515" t="str">
        <f>Begriffe!$F$241</f>
        <v>notwendig</v>
      </c>
      <c r="CK18" s="1515" t="str">
        <f>Begriffe!$F$241</f>
        <v>notwendig</v>
      </c>
      <c r="CL18" s="1515" t="str">
        <f>Begriffe!$F$241</f>
        <v>notwendig</v>
      </c>
      <c r="CM18" s="1389">
        <v>1</v>
      </c>
      <c r="CN18" s="1389">
        <v>2</v>
      </c>
      <c r="CO18" s="1389">
        <v>0</v>
      </c>
      <c r="CP18" s="1389">
        <v>0.5</v>
      </c>
      <c r="CQ18" s="1389"/>
      <c r="CR18" s="1389"/>
      <c r="CS18" s="1389"/>
      <c r="CT18" s="1390" t="str">
        <f>Begriffe!$F$242</f>
        <v>Person</v>
      </c>
      <c r="CU18" s="879">
        <v>1.5</v>
      </c>
      <c r="CV18" s="879">
        <v>1</v>
      </c>
      <c r="CW18" s="240">
        <f>IF(CV18=0,CU18,CU18*CV18)</f>
        <v>1.5</v>
      </c>
      <c r="CX18" s="879">
        <v>20</v>
      </c>
      <c r="CY18" s="1377">
        <f>CW18*CX18</f>
        <v>30</v>
      </c>
      <c r="CZ18" s="1389" t="s">
        <v>75</v>
      </c>
      <c r="DA18" s="1393"/>
      <c r="DB18" s="1394"/>
      <c r="DC18" s="1394"/>
      <c r="DD18" s="1395"/>
      <c r="DE18" s="1394"/>
      <c r="DF18" s="1396"/>
      <c r="DG18" s="1394"/>
      <c r="DH18" s="1394">
        <v>0.4</v>
      </c>
      <c r="DI18" s="1394">
        <v>0.6</v>
      </c>
      <c r="DJ18" s="1395">
        <v>1</v>
      </c>
      <c r="DK18" s="1394">
        <v>1</v>
      </c>
      <c r="DL18" s="1396">
        <v>0.8</v>
      </c>
      <c r="DM18" s="1394">
        <v>0.2</v>
      </c>
      <c r="DN18" s="1394">
        <v>0.6</v>
      </c>
      <c r="DO18" s="1394">
        <v>1</v>
      </c>
      <c r="DP18" s="1395">
        <v>0.8</v>
      </c>
      <c r="DQ18" s="1394">
        <v>0.8</v>
      </c>
      <c r="DR18" s="1396">
        <v>0.4</v>
      </c>
      <c r="DS18" s="1394"/>
      <c r="DT18" s="1394"/>
      <c r="DU18" s="1394"/>
      <c r="DV18" s="1395"/>
      <c r="DW18" s="1394"/>
      <c r="DX18" s="1397"/>
      <c r="DY18" s="1393">
        <v>0.1</v>
      </c>
      <c r="DZ18" s="1394">
        <v>0.1</v>
      </c>
      <c r="EA18" s="1394">
        <v>0.1</v>
      </c>
      <c r="EB18" s="1395">
        <v>0.1</v>
      </c>
      <c r="EC18" s="1394">
        <v>0.1</v>
      </c>
      <c r="ED18" s="1396">
        <v>0.1</v>
      </c>
      <c r="EE18" s="1394">
        <v>0.1</v>
      </c>
      <c r="EF18" s="1394">
        <v>0.4</v>
      </c>
      <c r="EG18" s="1394">
        <v>0.6</v>
      </c>
      <c r="EH18" s="1395">
        <v>0.8</v>
      </c>
      <c r="EI18" s="1394">
        <v>1</v>
      </c>
      <c r="EJ18" s="1396">
        <v>0.8</v>
      </c>
      <c r="EK18" s="1394">
        <v>0.2</v>
      </c>
      <c r="EL18" s="1394">
        <v>0.6</v>
      </c>
      <c r="EM18" s="1394">
        <v>1</v>
      </c>
      <c r="EN18" s="1395">
        <v>0.8</v>
      </c>
      <c r="EO18" s="1394">
        <v>0.8</v>
      </c>
      <c r="EP18" s="1396">
        <v>0.4</v>
      </c>
      <c r="EQ18" s="1394">
        <v>0.1</v>
      </c>
      <c r="ER18" s="1394">
        <v>0.1</v>
      </c>
      <c r="ES18" s="1394">
        <v>0.1</v>
      </c>
      <c r="ET18" s="1395">
        <v>0.1</v>
      </c>
      <c r="EU18" s="1394">
        <v>0.1</v>
      </c>
      <c r="EV18" s="1397">
        <v>0.1</v>
      </c>
      <c r="EW18" s="291" t="s">
        <v>161</v>
      </c>
      <c r="EX18" s="1393">
        <v>0.8</v>
      </c>
      <c r="EY18" s="1394">
        <v>0.6</v>
      </c>
      <c r="EZ18" s="1394">
        <v>0.9</v>
      </c>
      <c r="FA18" s="1395">
        <v>0.6</v>
      </c>
      <c r="FB18" s="1394">
        <v>0.8</v>
      </c>
      <c r="FC18" s="1396">
        <v>1</v>
      </c>
      <c r="FD18" s="1394">
        <v>0</v>
      </c>
      <c r="FE18" s="1394">
        <v>0.6</v>
      </c>
      <c r="FF18" s="1394">
        <v>1</v>
      </c>
      <c r="FG18" s="1395">
        <v>0.6</v>
      </c>
      <c r="FH18" s="1394">
        <v>0.9</v>
      </c>
      <c r="FI18" s="1397">
        <v>0.6</v>
      </c>
      <c r="FJ18" s="1501">
        <v>2</v>
      </c>
      <c r="FK18" s="1483">
        <f t="shared" si="23"/>
        <v>261</v>
      </c>
      <c r="FL18" s="280">
        <f t="shared" si="4"/>
        <v>11</v>
      </c>
      <c r="FM18" s="82">
        <f t="shared" si="5"/>
        <v>7.6</v>
      </c>
      <c r="FN18" s="82">
        <f t="shared" si="6"/>
        <v>7.6</v>
      </c>
      <c r="FO18" s="82">
        <f t="shared" si="7"/>
        <v>0</v>
      </c>
      <c r="FP18" s="1484">
        <f>SUMPRODUCT(EX18:FI18,EX$9:FI$9)/365</f>
        <v>0.69890410958904103</v>
      </c>
      <c r="FQ18" s="65">
        <f t="shared" si="24"/>
        <v>1390</v>
      </c>
      <c r="FR18" s="280">
        <f t="shared" si="9"/>
        <v>24</v>
      </c>
      <c r="FS18" s="82">
        <f t="shared" si="10"/>
        <v>8.6999999999999975</v>
      </c>
      <c r="FT18" s="82">
        <f t="shared" si="11"/>
        <v>2.4000000000000004</v>
      </c>
      <c r="FU18" s="65">
        <f t="shared" si="25"/>
        <v>1760</v>
      </c>
      <c r="FV18" s="1531" t="str">
        <f>Begriffe!F249</f>
        <v>- Im Kindergarten Beleuchtungsstärke 300 lx</v>
      </c>
      <c r="FW18" s="1532"/>
      <c r="FX18" s="1529" t="str">
        <f>IF(BV18=0,Begriffe!$F$262,"")</f>
        <v>- Keine Lüftungsanlage im Bestand</v>
      </c>
      <c r="FY18" s="1529" t="str">
        <f>Begriffe!F272</f>
        <v>- Wasser- und Warmwasserbedarf pro Person (Schüler), ohne Mensa und Sportanlagen</v>
      </c>
      <c r="FZ18" s="1468"/>
      <c r="GA18" s="1504"/>
      <c r="GK18" s="8" t="s">
        <v>161</v>
      </c>
      <c r="GL18" s="8">
        <v>0.8</v>
      </c>
      <c r="GM18" s="8">
        <v>0.4</v>
      </c>
      <c r="GN18" s="8">
        <v>1</v>
      </c>
      <c r="GO18" s="8">
        <v>0.8</v>
      </c>
      <c r="GP18" s="8">
        <v>0.4</v>
      </c>
      <c r="GQ18" s="8">
        <v>1</v>
      </c>
      <c r="GR18" s="8">
        <v>0</v>
      </c>
      <c r="GS18" s="8">
        <v>0.6</v>
      </c>
      <c r="GT18" s="8">
        <v>1</v>
      </c>
      <c r="GU18" s="8">
        <v>0.4</v>
      </c>
      <c r="GV18" s="8">
        <v>1</v>
      </c>
      <c r="GW18" s="8">
        <v>0.6</v>
      </c>
      <c r="GX18" s="55">
        <f t="shared" si="12"/>
        <v>0.66666666666666663</v>
      </c>
      <c r="GZ18" s="1488">
        <v>2</v>
      </c>
      <c r="HB18" s="1256">
        <v>0</v>
      </c>
      <c r="HC18" s="1256">
        <v>0</v>
      </c>
      <c r="HD18" s="1405">
        <v>1</v>
      </c>
      <c r="HE18" s="1405">
        <v>1</v>
      </c>
      <c r="HF18" s="1405">
        <v>1</v>
      </c>
      <c r="HG18" s="1405">
        <v>1</v>
      </c>
      <c r="HH18" s="1405">
        <v>1</v>
      </c>
      <c r="HI18" s="8">
        <v>16</v>
      </c>
      <c r="HJ18" s="8">
        <v>14</v>
      </c>
      <c r="HK18" s="8">
        <v>0.7</v>
      </c>
      <c r="HL18" s="8">
        <v>4</v>
      </c>
      <c r="HM18" s="1406">
        <f>Hüllzahl!Y18</f>
        <v>1.2252100840336135</v>
      </c>
      <c r="HN18" s="1407">
        <f>(HI18+HJ18*Hüllzahl!Y18)</f>
        <v>33.152941176470591</v>
      </c>
    </row>
    <row r="19" spans="1:222">
      <c r="A19" s="882">
        <v>4.2</v>
      </c>
      <c r="B19" s="1505"/>
      <c r="C19" s="65" t="str">
        <f>Begriffe!F110</f>
        <v>Lehrerzimmer</v>
      </c>
      <c r="D19" s="280">
        <v>6</v>
      </c>
      <c r="E19" s="82">
        <v>6</v>
      </c>
      <c r="F19" s="82">
        <v>3</v>
      </c>
      <c r="G19" s="255">
        <f t="shared" si="17"/>
        <v>36</v>
      </c>
      <c r="H19" s="255">
        <f>Hüllzahl!X19</f>
        <v>63.529411764705884</v>
      </c>
      <c r="I19" s="1452">
        <v>50</v>
      </c>
      <c r="J19" s="1406">
        <v>0.75</v>
      </c>
      <c r="K19" s="55">
        <f t="shared" si="0"/>
        <v>50.377833753148614</v>
      </c>
      <c r="L19" s="1453">
        <v>1.2</v>
      </c>
      <c r="M19" s="241">
        <v>0.9</v>
      </c>
      <c r="N19" s="241">
        <v>1.5</v>
      </c>
      <c r="O19" s="1406">
        <v>0.17</v>
      </c>
      <c r="P19" s="241">
        <v>0.1</v>
      </c>
      <c r="Q19" s="241">
        <v>0.8</v>
      </c>
      <c r="R19" s="55">
        <v>0.5</v>
      </c>
      <c r="S19" s="1406">
        <v>0.5</v>
      </c>
      <c r="T19" s="1406">
        <v>0.65</v>
      </c>
      <c r="U19" s="1406">
        <v>0.14000000000000001</v>
      </c>
      <c r="V19" s="1406">
        <v>0.1</v>
      </c>
      <c r="W19" s="1406">
        <v>0.2</v>
      </c>
      <c r="X19" s="55">
        <v>0.7</v>
      </c>
      <c r="Y19" s="55">
        <v>0.9</v>
      </c>
      <c r="Z19" s="55">
        <v>90</v>
      </c>
      <c r="AA19" s="1451">
        <f>'Kälte_TEC-Tool'!J18</f>
        <v>116.4</v>
      </c>
      <c r="AB19" s="1454">
        <v>26</v>
      </c>
      <c r="AC19" s="1455">
        <v>21</v>
      </c>
      <c r="AD19" s="1456" t="s">
        <v>26</v>
      </c>
      <c r="AE19" s="249" t="s">
        <v>155</v>
      </c>
      <c r="AF19" s="249">
        <v>60</v>
      </c>
      <c r="AG19" s="1457">
        <v>30</v>
      </c>
      <c r="AH19" s="1507" t="str">
        <f>Begriffe!F$229</f>
        <v>gering</v>
      </c>
      <c r="AI19" s="249">
        <v>30</v>
      </c>
      <c r="AJ19" s="1459">
        <v>0.6</v>
      </c>
      <c r="AK19" s="1460">
        <v>3</v>
      </c>
      <c r="AL19" s="55">
        <v>1.2</v>
      </c>
      <c r="AM19" s="1461">
        <v>0.5</v>
      </c>
      <c r="AN19" s="241">
        <v>1</v>
      </c>
      <c r="AO19" s="1462">
        <v>0.5</v>
      </c>
      <c r="AP19" s="1460">
        <v>4</v>
      </c>
      <c r="AQ19" s="55">
        <v>2</v>
      </c>
      <c r="AR19" s="55">
        <v>6</v>
      </c>
      <c r="AS19" s="55">
        <f t="shared" si="18"/>
        <v>4</v>
      </c>
      <c r="AT19" s="55">
        <f t="shared" si="19"/>
        <v>2</v>
      </c>
      <c r="AU19" s="55">
        <f t="shared" si="20"/>
        <v>6</v>
      </c>
      <c r="AV19" s="1508">
        <v>10</v>
      </c>
      <c r="AW19" s="55">
        <v>300</v>
      </c>
      <c r="AX19" s="1509">
        <v>0.75</v>
      </c>
      <c r="AY19" s="1510">
        <v>19</v>
      </c>
      <c r="AZ19" s="1464">
        <f t="shared" si="21"/>
        <v>11</v>
      </c>
      <c r="BA19" s="1465">
        <f t="shared" si="2"/>
        <v>0</v>
      </c>
      <c r="BB19" s="1466">
        <v>0.8</v>
      </c>
      <c r="BC19" s="1451">
        <v>2</v>
      </c>
      <c r="BD19" s="1451">
        <v>3</v>
      </c>
      <c r="BE19" s="1511"/>
      <c r="BF19" s="1511"/>
      <c r="BG19" s="55"/>
      <c r="BH19" s="55"/>
      <c r="BI19" s="1453">
        <f>AP19+Res_Std!T15+Res_Std!U15</f>
        <v>15.640798226164081</v>
      </c>
      <c r="BJ19" s="55">
        <v>50</v>
      </c>
      <c r="BK19" s="241">
        <f t="shared" si="22"/>
        <v>3.1967677913240711</v>
      </c>
      <c r="BL19" s="1460">
        <v>36</v>
      </c>
      <c r="BM19" s="1467"/>
      <c r="BN19" s="241">
        <f t="shared" si="14"/>
        <v>12</v>
      </c>
      <c r="BO19" s="55"/>
      <c r="BP19" s="241">
        <f t="shared" si="3"/>
        <v>12</v>
      </c>
      <c r="BQ19" s="55">
        <v>0</v>
      </c>
      <c r="BR19" s="1406">
        <v>0.15</v>
      </c>
      <c r="BS19" s="1406">
        <v>0.3</v>
      </c>
      <c r="BT19" s="1468" t="str">
        <f>Begriffe!$F$232</f>
        <v>stufenlos</v>
      </c>
      <c r="BU19" s="1468" t="str">
        <f>Begriffe!$F$232</f>
        <v>stufenlos</v>
      </c>
      <c r="BV19" s="1468"/>
      <c r="BW19" s="1406">
        <v>0.7</v>
      </c>
      <c r="BX19" s="1406">
        <v>0.8</v>
      </c>
      <c r="BY19" s="1406"/>
      <c r="BZ19" s="1406">
        <v>0.75</v>
      </c>
      <c r="CA19" s="1406">
        <v>0.85</v>
      </c>
      <c r="CB19" s="1406"/>
      <c r="CC19" s="1512" t="str">
        <f>Begriffe!$F$235</f>
        <v>LA mit Lufterwärmung</v>
      </c>
      <c r="CD19" s="1513">
        <v>0.34</v>
      </c>
      <c r="CE19" s="1513">
        <v>0.22300000000000003</v>
      </c>
      <c r="CF19" s="1514">
        <v>0.55000000000000004</v>
      </c>
      <c r="CG19" s="1515" t="str">
        <f>Begriffe!$F$240</f>
        <v>erwünscht</v>
      </c>
      <c r="CH19" s="1515" t="str">
        <f>Begriffe!$F$241</f>
        <v>notwendig</v>
      </c>
      <c r="CI19" s="1515" t="str">
        <f>Begriffe!$F$241</f>
        <v>notwendig</v>
      </c>
      <c r="CJ19" s="1515" t="str">
        <f>Begriffe!$F$240</f>
        <v>erwünscht</v>
      </c>
      <c r="CK19" s="1515" t="str">
        <f>Begriffe!$F$241</f>
        <v>notwendig</v>
      </c>
      <c r="CL19" s="1515" t="str">
        <f>Begriffe!$F$241</f>
        <v>notwendig</v>
      </c>
      <c r="CM19" s="1473">
        <v>1</v>
      </c>
      <c r="CN19" s="1473">
        <v>2</v>
      </c>
      <c r="CO19" s="1473">
        <v>0</v>
      </c>
      <c r="CP19" s="1473">
        <v>0.5</v>
      </c>
      <c r="CQ19" s="1473"/>
      <c r="CR19" s="1473"/>
      <c r="CS19" s="1473"/>
      <c r="CT19" s="1474"/>
      <c r="CU19" s="918"/>
      <c r="CV19" s="918"/>
      <c r="CW19" s="241"/>
      <c r="CX19" s="918"/>
      <c r="CY19" s="1463"/>
      <c r="CZ19" s="1533" t="s">
        <v>201</v>
      </c>
      <c r="DA19" s="1477"/>
      <c r="DB19" s="1478"/>
      <c r="DC19" s="1478"/>
      <c r="DD19" s="1479"/>
      <c r="DE19" s="1478"/>
      <c r="DF19" s="1480"/>
      <c r="DG19" s="1478"/>
      <c r="DH19" s="1478">
        <v>0.5</v>
      </c>
      <c r="DI19" s="1478">
        <v>0.5</v>
      </c>
      <c r="DJ19" s="1479">
        <v>0.5</v>
      </c>
      <c r="DK19" s="1478">
        <v>0.5</v>
      </c>
      <c r="DL19" s="1480">
        <v>0.5</v>
      </c>
      <c r="DM19" s="1478">
        <v>1</v>
      </c>
      <c r="DN19" s="1478">
        <v>0.5</v>
      </c>
      <c r="DO19" s="1478">
        <v>0.5</v>
      </c>
      <c r="DP19" s="1479">
        <v>0.5</v>
      </c>
      <c r="DQ19" s="1478">
        <v>0.5</v>
      </c>
      <c r="DR19" s="1480">
        <v>0.5</v>
      </c>
      <c r="DS19" s="1478"/>
      <c r="DT19" s="1478"/>
      <c r="DU19" s="1478"/>
      <c r="DV19" s="1479"/>
      <c r="DW19" s="1478"/>
      <c r="DX19" s="1481"/>
      <c r="DY19" s="1477">
        <v>0.1</v>
      </c>
      <c r="DZ19" s="1478">
        <v>0.1</v>
      </c>
      <c r="EA19" s="1478">
        <v>0.1</v>
      </c>
      <c r="EB19" s="1479">
        <v>0.1</v>
      </c>
      <c r="EC19" s="1478">
        <v>0.1</v>
      </c>
      <c r="ED19" s="1480">
        <v>0.1</v>
      </c>
      <c r="EE19" s="1478">
        <v>0.1</v>
      </c>
      <c r="EF19" s="1478">
        <v>0.5</v>
      </c>
      <c r="EG19" s="1478">
        <v>0.5</v>
      </c>
      <c r="EH19" s="1479">
        <v>0.5</v>
      </c>
      <c r="EI19" s="1478">
        <v>0.5</v>
      </c>
      <c r="EJ19" s="1480">
        <v>0.5</v>
      </c>
      <c r="EK19" s="1478">
        <v>1</v>
      </c>
      <c r="EL19" s="1478">
        <v>0.5</v>
      </c>
      <c r="EM19" s="1478">
        <v>0.5</v>
      </c>
      <c r="EN19" s="1479">
        <v>0.5</v>
      </c>
      <c r="EO19" s="1478">
        <v>0.5</v>
      </c>
      <c r="EP19" s="1480">
        <v>0.5</v>
      </c>
      <c r="EQ19" s="1478">
        <v>0.1</v>
      </c>
      <c r="ER19" s="1478">
        <v>0.1</v>
      </c>
      <c r="ES19" s="1478">
        <v>0.1</v>
      </c>
      <c r="ET19" s="1479">
        <v>0.1</v>
      </c>
      <c r="EU19" s="1478">
        <v>0.1</v>
      </c>
      <c r="EV19" s="1481">
        <v>0.1</v>
      </c>
      <c r="EW19" s="280" t="s">
        <v>161</v>
      </c>
      <c r="EX19" s="1477">
        <v>0.8</v>
      </c>
      <c r="EY19" s="1478">
        <v>0.6</v>
      </c>
      <c r="EZ19" s="1478">
        <v>0.9</v>
      </c>
      <c r="FA19" s="1479">
        <v>0.6</v>
      </c>
      <c r="FB19" s="1478">
        <v>0.8</v>
      </c>
      <c r="FC19" s="1480">
        <v>1</v>
      </c>
      <c r="FD19" s="1478">
        <v>0</v>
      </c>
      <c r="FE19" s="1478">
        <v>0.6</v>
      </c>
      <c r="FF19" s="1478">
        <v>1</v>
      </c>
      <c r="FG19" s="1479">
        <v>0.6</v>
      </c>
      <c r="FH19" s="1478">
        <v>0.9</v>
      </c>
      <c r="FI19" s="1481">
        <v>0.6</v>
      </c>
      <c r="FJ19" s="1516">
        <v>2</v>
      </c>
      <c r="FK19" s="1483">
        <f t="shared" si="23"/>
        <v>261</v>
      </c>
      <c r="FL19" s="280">
        <f t="shared" si="4"/>
        <v>11</v>
      </c>
      <c r="FM19" s="82">
        <f t="shared" si="5"/>
        <v>6</v>
      </c>
      <c r="FN19" s="82">
        <f t="shared" si="6"/>
        <v>6</v>
      </c>
      <c r="FO19" s="82">
        <f t="shared" si="7"/>
        <v>0</v>
      </c>
      <c r="FP19" s="1484">
        <f t="shared" si="8"/>
        <v>0.69890410958904103</v>
      </c>
      <c r="FQ19" s="65">
        <f t="shared" si="24"/>
        <v>1090</v>
      </c>
      <c r="FR19" s="280">
        <f t="shared" si="9"/>
        <v>24</v>
      </c>
      <c r="FS19" s="82">
        <f t="shared" si="10"/>
        <v>7.299999999999998</v>
      </c>
      <c r="FT19" s="82">
        <f t="shared" si="11"/>
        <v>2.4000000000000004</v>
      </c>
      <c r="FU19" s="65">
        <f t="shared" si="25"/>
        <v>1510</v>
      </c>
      <c r="FW19" s="1468"/>
      <c r="FX19" s="1529" t="str">
        <f>IF(BV19=0,Begriffe!$F$262,"")</f>
        <v>- Keine Lüftungsanlage im Bestand</v>
      </c>
      <c r="FY19" s="1529" t="str">
        <f>Begriffe!F273</f>
        <v>- Wasser- und Warmwasserbedarf sind in der Raumnutzung 4.1 enthalten</v>
      </c>
      <c r="FZ19" s="1487"/>
      <c r="GA19" s="1504"/>
      <c r="GK19" s="8" t="s">
        <v>161</v>
      </c>
      <c r="GL19" s="8">
        <v>0.8</v>
      </c>
      <c r="GM19" s="8">
        <v>0.4</v>
      </c>
      <c r="GN19" s="8">
        <v>1</v>
      </c>
      <c r="GO19" s="8">
        <v>0.8</v>
      </c>
      <c r="GP19" s="8">
        <v>0.4</v>
      </c>
      <c r="GQ19" s="8">
        <v>1</v>
      </c>
      <c r="GR19" s="8">
        <v>0</v>
      </c>
      <c r="GS19" s="8">
        <v>0.6</v>
      </c>
      <c r="GT19" s="8">
        <v>1</v>
      </c>
      <c r="GU19" s="8">
        <v>0.4</v>
      </c>
      <c r="GV19" s="8">
        <v>1</v>
      </c>
      <c r="GW19" s="8">
        <v>0.6</v>
      </c>
      <c r="GX19" s="55">
        <f t="shared" si="12"/>
        <v>0.66666666666666663</v>
      </c>
      <c r="GZ19" s="1488">
        <v>2</v>
      </c>
      <c r="HB19" s="1256">
        <v>0</v>
      </c>
      <c r="HC19" s="1256">
        <v>0</v>
      </c>
      <c r="HD19" s="1405">
        <v>1</v>
      </c>
      <c r="HE19" s="1405">
        <v>1</v>
      </c>
      <c r="HF19" s="1405">
        <v>1</v>
      </c>
      <c r="HG19" s="1405">
        <v>1</v>
      </c>
      <c r="HH19" s="1405">
        <v>1</v>
      </c>
      <c r="HI19" s="8">
        <v>16</v>
      </c>
      <c r="HJ19" s="8">
        <v>14</v>
      </c>
      <c r="HK19" s="8">
        <v>0.7</v>
      </c>
      <c r="HL19" s="8">
        <v>4</v>
      </c>
      <c r="HM19" s="1406">
        <f>Hüllzahl!Y19</f>
        <v>1.5882352941176472</v>
      </c>
      <c r="HN19" s="1407">
        <f>(HI19+HJ19*Hüllzahl!Y19)</f>
        <v>38.235294117647058</v>
      </c>
    </row>
    <row r="20" spans="1:222">
      <c r="A20" s="882">
        <v>4.3</v>
      </c>
      <c r="B20" s="1505"/>
      <c r="C20" s="65" t="str">
        <f>Begriffe!F111</f>
        <v>Bibliothek</v>
      </c>
      <c r="D20" s="280">
        <v>12</v>
      </c>
      <c r="E20" s="82">
        <v>12</v>
      </c>
      <c r="F20" s="82">
        <v>3</v>
      </c>
      <c r="G20" s="255">
        <f t="shared" si="17"/>
        <v>144</v>
      </c>
      <c r="H20" s="255">
        <f>Hüllzahl!X20</f>
        <v>127.05882352941177</v>
      </c>
      <c r="I20" s="1452">
        <v>50</v>
      </c>
      <c r="J20" s="1406">
        <v>0.75</v>
      </c>
      <c r="K20" s="55">
        <f t="shared" si="0"/>
        <v>50.377833753148614</v>
      </c>
      <c r="L20" s="1453">
        <v>1.2</v>
      </c>
      <c r="M20" s="241">
        <v>0.9</v>
      </c>
      <c r="N20" s="241">
        <v>1.5</v>
      </c>
      <c r="O20" s="1406">
        <v>0.17</v>
      </c>
      <c r="P20" s="241">
        <v>0.1</v>
      </c>
      <c r="Q20" s="241">
        <v>0.8</v>
      </c>
      <c r="R20" s="55">
        <v>0.5</v>
      </c>
      <c r="S20" s="1406">
        <v>0.5</v>
      </c>
      <c r="T20" s="1406">
        <v>0.65</v>
      </c>
      <c r="U20" s="1406">
        <v>0.14000000000000001</v>
      </c>
      <c r="V20" s="1406">
        <v>0.1</v>
      </c>
      <c r="W20" s="1406">
        <v>0.2</v>
      </c>
      <c r="X20" s="55">
        <v>0.7</v>
      </c>
      <c r="Y20" s="55">
        <v>0.9</v>
      </c>
      <c r="Z20" s="55">
        <v>90</v>
      </c>
      <c r="AA20" s="1451">
        <f>'Kälte_TEC-Tool'!J19</f>
        <v>98.7</v>
      </c>
      <c r="AB20" s="1454">
        <v>26</v>
      </c>
      <c r="AC20" s="1455">
        <v>21</v>
      </c>
      <c r="AD20" s="1456" t="s">
        <v>26</v>
      </c>
      <c r="AE20" s="249" t="s">
        <v>155</v>
      </c>
      <c r="AF20" s="249">
        <v>60</v>
      </c>
      <c r="AG20" s="1457">
        <v>40</v>
      </c>
      <c r="AH20" s="1507" t="str">
        <f>Begriffe!F$228</f>
        <v>mittel</v>
      </c>
      <c r="AI20" s="249">
        <v>28</v>
      </c>
      <c r="AJ20" s="1459">
        <v>0.8</v>
      </c>
      <c r="AK20" s="425">
        <v>5</v>
      </c>
      <c r="AL20" s="55">
        <v>1.2</v>
      </c>
      <c r="AM20" s="1461">
        <v>0.5</v>
      </c>
      <c r="AN20" s="241">
        <v>1</v>
      </c>
      <c r="AO20" s="1462">
        <v>0.5</v>
      </c>
      <c r="AP20" s="1534">
        <v>2</v>
      </c>
      <c r="AQ20" s="10">
        <v>1</v>
      </c>
      <c r="AR20" s="10">
        <v>3</v>
      </c>
      <c r="AS20" s="10">
        <f t="shared" si="18"/>
        <v>2</v>
      </c>
      <c r="AT20" s="10">
        <f t="shared" si="19"/>
        <v>1</v>
      </c>
      <c r="AU20" s="10">
        <f t="shared" si="20"/>
        <v>3</v>
      </c>
      <c r="AV20" s="1508">
        <v>10</v>
      </c>
      <c r="AW20" s="55">
        <v>200</v>
      </c>
      <c r="AX20" s="1509">
        <v>0.75</v>
      </c>
      <c r="AY20" s="1510">
        <v>19</v>
      </c>
      <c r="AZ20" s="1464">
        <f t="shared" si="21"/>
        <v>11</v>
      </c>
      <c r="BA20" s="1465">
        <f t="shared" si="2"/>
        <v>0</v>
      </c>
      <c r="BB20" s="1466">
        <v>0.8</v>
      </c>
      <c r="BC20" s="1451">
        <v>2</v>
      </c>
      <c r="BD20" s="1451">
        <v>3</v>
      </c>
      <c r="BE20" s="1535"/>
      <c r="BF20" s="1535"/>
      <c r="BG20" s="4"/>
      <c r="BH20" s="4"/>
      <c r="BI20" s="280">
        <f>AP20+Res_Std!T16+Res_Std!U16</f>
        <v>8.8578553615960089</v>
      </c>
      <c r="BJ20" s="918">
        <v>50</v>
      </c>
      <c r="BK20" s="82">
        <f t="shared" si="22"/>
        <v>5.6447072072072082</v>
      </c>
      <c r="BL20" s="1460">
        <v>36</v>
      </c>
      <c r="BM20" s="1467"/>
      <c r="BN20" s="241">
        <f t="shared" si="14"/>
        <v>7.2</v>
      </c>
      <c r="BO20" s="55"/>
      <c r="BP20" s="241">
        <f t="shared" si="3"/>
        <v>7.2</v>
      </c>
      <c r="BQ20" s="55">
        <v>0</v>
      </c>
      <c r="BR20" s="1406">
        <v>0.15</v>
      </c>
      <c r="BS20" s="1406">
        <v>0.3</v>
      </c>
      <c r="BT20" s="1468" t="str">
        <f>Begriffe!$F$231</f>
        <v>2-stufig</v>
      </c>
      <c r="BU20" s="1468" t="str">
        <f>Begriffe!$F$232</f>
        <v>stufenlos</v>
      </c>
      <c r="BV20" s="1468"/>
      <c r="BW20" s="1406">
        <v>0.7</v>
      </c>
      <c r="BX20" s="1406">
        <v>0.8</v>
      </c>
      <c r="BY20" s="1406"/>
      <c r="BZ20" s="1406">
        <v>0.75</v>
      </c>
      <c r="CA20" s="1406">
        <v>0.85</v>
      </c>
      <c r="CB20" s="1406"/>
      <c r="CC20" s="1512" t="str">
        <f>Begriffe!$F$235</f>
        <v>LA mit Lufterwärmung</v>
      </c>
      <c r="CD20" s="1513">
        <v>0.34</v>
      </c>
      <c r="CE20" s="1513">
        <v>0.22300000000000003</v>
      </c>
      <c r="CF20" s="1514">
        <v>0.55000000000000004</v>
      </c>
      <c r="CG20" s="1515" t="str">
        <f>Begriffe!$F$239</f>
        <v>nicht notwend.</v>
      </c>
      <c r="CH20" s="1515" t="str">
        <f>Begriffe!$F$240</f>
        <v>erwünscht</v>
      </c>
      <c r="CI20" s="1515" t="str">
        <f>Begriffe!$F$241</f>
        <v>notwendig</v>
      </c>
      <c r="CJ20" s="1515" t="str">
        <f>Begriffe!$F$239</f>
        <v>nicht notwend.</v>
      </c>
      <c r="CK20" s="1515" t="str">
        <f>Begriffe!$F$240</f>
        <v>erwünscht</v>
      </c>
      <c r="CL20" s="1515" t="str">
        <f>Begriffe!$F$240</f>
        <v>erwünscht</v>
      </c>
      <c r="CM20" s="1473">
        <v>1</v>
      </c>
      <c r="CN20" s="1473">
        <v>2</v>
      </c>
      <c r="CO20" s="1473">
        <v>0</v>
      </c>
      <c r="CP20" s="1473">
        <v>0.5</v>
      </c>
      <c r="CQ20" s="1473"/>
      <c r="CR20" s="1473"/>
      <c r="CS20" s="1473"/>
      <c r="CT20" s="1474"/>
      <c r="CU20" s="918"/>
      <c r="CV20" s="918"/>
      <c r="CW20" s="241"/>
      <c r="CX20" s="918"/>
      <c r="CY20" s="1463"/>
      <c r="CZ20" s="1533" t="s">
        <v>201</v>
      </c>
      <c r="DA20" s="1477"/>
      <c r="DB20" s="1478"/>
      <c r="DC20" s="1478"/>
      <c r="DD20" s="1479"/>
      <c r="DE20" s="1478"/>
      <c r="DF20" s="1480"/>
      <c r="DG20" s="1478"/>
      <c r="DH20" s="1478">
        <v>0.5</v>
      </c>
      <c r="DI20" s="1478">
        <v>0.5</v>
      </c>
      <c r="DJ20" s="1479">
        <v>0.5</v>
      </c>
      <c r="DK20" s="1478">
        <v>0.5</v>
      </c>
      <c r="DL20" s="1480">
        <v>0.5</v>
      </c>
      <c r="DM20" s="1478">
        <v>1</v>
      </c>
      <c r="DN20" s="1478">
        <v>0.5</v>
      </c>
      <c r="DO20" s="1478">
        <v>0.5</v>
      </c>
      <c r="DP20" s="1479">
        <v>0.5</v>
      </c>
      <c r="DQ20" s="1478">
        <v>0.5</v>
      </c>
      <c r="DR20" s="1480">
        <v>0.5</v>
      </c>
      <c r="DS20" s="1478"/>
      <c r="DT20" s="1478"/>
      <c r="DU20" s="1478"/>
      <c r="DV20" s="1479"/>
      <c r="DW20" s="1478"/>
      <c r="DX20" s="1481"/>
      <c r="DY20" s="1477">
        <v>0.1</v>
      </c>
      <c r="DZ20" s="1478">
        <v>0.1</v>
      </c>
      <c r="EA20" s="1478">
        <v>0.1</v>
      </c>
      <c r="EB20" s="1479">
        <v>0.1</v>
      </c>
      <c r="EC20" s="1478">
        <v>0.1</v>
      </c>
      <c r="ED20" s="1480">
        <v>0.1</v>
      </c>
      <c r="EE20" s="1478">
        <v>0.1</v>
      </c>
      <c r="EF20" s="1478">
        <v>0.5</v>
      </c>
      <c r="EG20" s="1478">
        <v>0.5</v>
      </c>
      <c r="EH20" s="1479">
        <v>0.5</v>
      </c>
      <c r="EI20" s="1478">
        <v>0.5</v>
      </c>
      <c r="EJ20" s="1480">
        <v>0.5</v>
      </c>
      <c r="EK20" s="1478">
        <v>1</v>
      </c>
      <c r="EL20" s="1478">
        <v>0.5</v>
      </c>
      <c r="EM20" s="1478">
        <v>0.5</v>
      </c>
      <c r="EN20" s="1479">
        <v>0.5</v>
      </c>
      <c r="EO20" s="1478">
        <v>0.5</v>
      </c>
      <c r="EP20" s="1480">
        <v>0.5</v>
      </c>
      <c r="EQ20" s="1478">
        <v>0.1</v>
      </c>
      <c r="ER20" s="1478">
        <v>0.1</v>
      </c>
      <c r="ES20" s="1478">
        <v>0.1</v>
      </c>
      <c r="ET20" s="1479">
        <v>0.1</v>
      </c>
      <c r="EU20" s="1478">
        <v>0.1</v>
      </c>
      <c r="EV20" s="1481">
        <v>0.1</v>
      </c>
      <c r="EW20" s="280" t="s">
        <v>161</v>
      </c>
      <c r="EX20" s="1477">
        <v>0.8</v>
      </c>
      <c r="EY20" s="1478">
        <v>0.6</v>
      </c>
      <c r="EZ20" s="1478">
        <v>0.9</v>
      </c>
      <c r="FA20" s="1479">
        <v>0.6</v>
      </c>
      <c r="FB20" s="1478">
        <v>0.8</v>
      </c>
      <c r="FC20" s="1480">
        <v>1</v>
      </c>
      <c r="FD20" s="1478">
        <v>0</v>
      </c>
      <c r="FE20" s="1478">
        <v>0.6</v>
      </c>
      <c r="FF20" s="1478">
        <v>1</v>
      </c>
      <c r="FG20" s="1479">
        <v>0.6</v>
      </c>
      <c r="FH20" s="1478">
        <v>0.9</v>
      </c>
      <c r="FI20" s="1481">
        <v>0.6</v>
      </c>
      <c r="FJ20" s="1516">
        <v>2</v>
      </c>
      <c r="FK20" s="1483">
        <f t="shared" si="23"/>
        <v>261</v>
      </c>
      <c r="FL20" s="280">
        <f t="shared" si="4"/>
        <v>11</v>
      </c>
      <c r="FM20" s="82">
        <f t="shared" si="5"/>
        <v>6</v>
      </c>
      <c r="FN20" s="82">
        <f t="shared" si="6"/>
        <v>6</v>
      </c>
      <c r="FO20" s="82">
        <f t="shared" si="7"/>
        <v>0</v>
      </c>
      <c r="FP20" s="1484">
        <f t="shared" si="8"/>
        <v>0.69890410958904103</v>
      </c>
      <c r="FQ20" s="65">
        <f t="shared" si="24"/>
        <v>1090</v>
      </c>
      <c r="FR20" s="280">
        <f t="shared" si="9"/>
        <v>24</v>
      </c>
      <c r="FS20" s="82">
        <f t="shared" si="10"/>
        <v>7.299999999999998</v>
      </c>
      <c r="FT20" s="82">
        <f t="shared" si="11"/>
        <v>2.4000000000000004</v>
      </c>
      <c r="FU20" s="65">
        <f t="shared" si="25"/>
        <v>1510</v>
      </c>
      <c r="FV20" s="1502" t="str">
        <f>Begriffe!F250</f>
        <v>- Im Lesebereich Beleuchtungsstärke 500 lx</v>
      </c>
      <c r="FW20" s="10"/>
      <c r="FX20" s="1529" t="str">
        <f>IF(BV20=0,Begriffe!$F$262,"")</f>
        <v>- Keine Lüftungsanlage im Bestand</v>
      </c>
      <c r="FY20" s="1529" t="str">
        <f>Begriffe!F274</f>
        <v>- Wasser- und Warmwasserbedarf sind in der Raumnutzung 4.1 enthalten</v>
      </c>
      <c r="FZ20" s="1487"/>
      <c r="GA20" s="1504"/>
      <c r="GK20" s="8" t="s">
        <v>161</v>
      </c>
      <c r="GL20" s="8">
        <v>0.8</v>
      </c>
      <c r="GM20" s="8">
        <v>0.4</v>
      </c>
      <c r="GN20" s="8">
        <v>1</v>
      </c>
      <c r="GO20" s="8">
        <v>0.8</v>
      </c>
      <c r="GP20" s="8">
        <v>0.4</v>
      </c>
      <c r="GQ20" s="8">
        <v>1</v>
      </c>
      <c r="GR20" s="8">
        <v>0</v>
      </c>
      <c r="GS20" s="8">
        <v>0.6</v>
      </c>
      <c r="GT20" s="8">
        <v>1</v>
      </c>
      <c r="GU20" s="8">
        <v>0.4</v>
      </c>
      <c r="GV20" s="8">
        <v>1</v>
      </c>
      <c r="GW20" s="8">
        <v>0.6</v>
      </c>
      <c r="GX20" s="55">
        <f t="shared" si="12"/>
        <v>0.66666666666666663</v>
      </c>
      <c r="GZ20" s="1488">
        <v>2</v>
      </c>
      <c r="HB20" s="1256">
        <v>0</v>
      </c>
      <c r="HC20" s="1256">
        <v>0</v>
      </c>
      <c r="HD20" s="1405">
        <v>1</v>
      </c>
      <c r="HE20" s="1405">
        <v>1</v>
      </c>
      <c r="HF20" s="1405">
        <v>1</v>
      </c>
      <c r="HG20" s="1405">
        <v>1</v>
      </c>
      <c r="HH20" s="1405">
        <v>1</v>
      </c>
      <c r="HI20" s="8">
        <v>16</v>
      </c>
      <c r="HJ20" s="8">
        <v>14</v>
      </c>
      <c r="HK20" s="8">
        <v>0.7</v>
      </c>
      <c r="HL20" s="8">
        <v>4</v>
      </c>
      <c r="HM20" s="1406">
        <f>Hüllzahl!Y20</f>
        <v>0.79411764705882359</v>
      </c>
      <c r="HN20" s="1407">
        <f>(HI20+HJ20*Hüllzahl!Y20)</f>
        <v>27.117647058823529</v>
      </c>
    </row>
    <row r="21" spans="1:222">
      <c r="A21" s="882">
        <v>4.4000000000000004</v>
      </c>
      <c r="B21" s="1505">
        <v>10</v>
      </c>
      <c r="C21" s="65" t="str">
        <f>Begriffe!F112</f>
        <v>Hörsaal</v>
      </c>
      <c r="D21" s="280">
        <v>12</v>
      </c>
      <c r="E21" s="82">
        <v>12</v>
      </c>
      <c r="F21" s="82">
        <v>3</v>
      </c>
      <c r="G21" s="255">
        <f t="shared" si="17"/>
        <v>144</v>
      </c>
      <c r="H21" s="255">
        <f>Hüllzahl!X21</f>
        <v>127.05882352941177</v>
      </c>
      <c r="I21" s="1452">
        <v>50</v>
      </c>
      <c r="J21" s="1406">
        <v>0.75</v>
      </c>
      <c r="K21" s="55">
        <f t="shared" si="0"/>
        <v>50.377833753148614</v>
      </c>
      <c r="L21" s="1453">
        <v>1.2</v>
      </c>
      <c r="M21" s="241">
        <v>0.9</v>
      </c>
      <c r="N21" s="241">
        <v>1.5</v>
      </c>
      <c r="O21" s="1406">
        <v>0.17</v>
      </c>
      <c r="P21" s="241">
        <v>0.1</v>
      </c>
      <c r="Q21" s="241">
        <v>0.8</v>
      </c>
      <c r="R21" s="55">
        <v>0.5</v>
      </c>
      <c r="S21" s="1406">
        <v>0.5</v>
      </c>
      <c r="T21" s="1406">
        <v>0.65</v>
      </c>
      <c r="U21" s="1406">
        <v>0.14000000000000001</v>
      </c>
      <c r="V21" s="1406">
        <v>0.1</v>
      </c>
      <c r="W21" s="1406">
        <v>0.2</v>
      </c>
      <c r="X21" s="55">
        <v>0.7</v>
      </c>
      <c r="Y21" s="55">
        <v>0.9</v>
      </c>
      <c r="Z21" s="55">
        <v>90</v>
      </c>
      <c r="AA21" s="1451">
        <f>'Kälte_TEC-Tool'!J20</f>
        <v>98.7</v>
      </c>
      <c r="AB21" s="1454">
        <v>26</v>
      </c>
      <c r="AC21" s="1455">
        <v>21</v>
      </c>
      <c r="AD21" s="1506" t="s">
        <v>26</v>
      </c>
      <c r="AE21" s="249" t="s">
        <v>155</v>
      </c>
      <c r="AF21" s="249">
        <v>60</v>
      </c>
      <c r="AG21" s="1457">
        <v>30</v>
      </c>
      <c r="AH21" s="1507" t="str">
        <f>Begriffe!F$229</f>
        <v>gering</v>
      </c>
      <c r="AI21" s="249">
        <v>30</v>
      </c>
      <c r="AJ21" s="1459">
        <v>0.7</v>
      </c>
      <c r="AK21" s="1460">
        <v>2</v>
      </c>
      <c r="AL21" s="55">
        <v>1.2</v>
      </c>
      <c r="AM21" s="1461">
        <v>0.5</v>
      </c>
      <c r="AN21" s="241">
        <v>1</v>
      </c>
      <c r="AO21" s="1462">
        <v>0.5</v>
      </c>
      <c r="AP21" s="1460">
        <v>4</v>
      </c>
      <c r="AQ21" s="55">
        <v>2</v>
      </c>
      <c r="AR21" s="55">
        <v>6</v>
      </c>
      <c r="AS21" s="55">
        <f t="shared" si="18"/>
        <v>4</v>
      </c>
      <c r="AT21" s="55">
        <f t="shared" si="19"/>
        <v>2</v>
      </c>
      <c r="AU21" s="55">
        <f t="shared" si="20"/>
        <v>6</v>
      </c>
      <c r="AV21" s="1508">
        <v>10</v>
      </c>
      <c r="AW21" s="55">
        <v>500</v>
      </c>
      <c r="AX21" s="1509">
        <v>0.75</v>
      </c>
      <c r="AY21" s="1510">
        <v>19</v>
      </c>
      <c r="AZ21" s="1464">
        <f t="shared" si="21"/>
        <v>11</v>
      </c>
      <c r="BA21" s="1465">
        <f t="shared" si="2"/>
        <v>0</v>
      </c>
      <c r="BB21" s="1466">
        <v>0.8</v>
      </c>
      <c r="BC21" s="1451">
        <v>2</v>
      </c>
      <c r="BD21" s="1451">
        <v>3</v>
      </c>
      <c r="BE21" s="1511"/>
      <c r="BF21" s="1511"/>
      <c r="BG21" s="4"/>
      <c r="BH21" s="4"/>
      <c r="BI21" s="280">
        <f>AP21+Res_Std!T17+Res_Std!U17</f>
        <v>16.477313974591652</v>
      </c>
      <c r="BJ21" s="918">
        <v>50</v>
      </c>
      <c r="BK21" s="82">
        <f t="shared" si="22"/>
        <v>3.0344751624628263</v>
      </c>
      <c r="BL21" s="1460">
        <v>30</v>
      </c>
      <c r="BM21" s="1467"/>
      <c r="BN21" s="241">
        <f t="shared" si="14"/>
        <v>15</v>
      </c>
      <c r="BO21" s="55"/>
      <c r="BP21" s="241">
        <f t="shared" si="3"/>
        <v>15</v>
      </c>
      <c r="BQ21" s="55">
        <v>0</v>
      </c>
      <c r="BR21" s="1406">
        <v>0.15</v>
      </c>
      <c r="BS21" s="1406">
        <v>0.3</v>
      </c>
      <c r="BT21" s="1468" t="str">
        <f>Begriffe!$F$232</f>
        <v>stufenlos</v>
      </c>
      <c r="BU21" s="1468" t="str">
        <f>Begriffe!$F$232</f>
        <v>stufenlos</v>
      </c>
      <c r="BV21" s="1468" t="str">
        <f>Begriffe!$F$231</f>
        <v>2-stufig</v>
      </c>
      <c r="BW21" s="1406">
        <v>0.7</v>
      </c>
      <c r="BX21" s="1406">
        <v>0.8</v>
      </c>
      <c r="BY21" s="1406">
        <v>0.5</v>
      </c>
      <c r="BZ21" s="1406">
        <v>0.75</v>
      </c>
      <c r="CA21" s="1406">
        <v>0.85</v>
      </c>
      <c r="CB21" s="1406">
        <v>0.5</v>
      </c>
      <c r="CC21" s="1512" t="str">
        <f>Begriffe!$F$234</f>
        <v>Einfache Klimaanlage</v>
      </c>
      <c r="CD21" s="1513">
        <v>0.55000000000000004</v>
      </c>
      <c r="CE21" s="1513">
        <v>0.34</v>
      </c>
      <c r="CF21" s="1514">
        <v>0.91</v>
      </c>
      <c r="CG21" s="1515" t="str">
        <f>Begriffe!$F$241</f>
        <v>notwendig</v>
      </c>
      <c r="CH21" s="1515" t="str">
        <f>Begriffe!$F$241</f>
        <v>notwendig</v>
      </c>
      <c r="CI21" s="1515" t="str">
        <f>Begriffe!$F$241</f>
        <v>notwendig</v>
      </c>
      <c r="CJ21" s="1515" t="str">
        <f>Begriffe!$F$241</f>
        <v>notwendig</v>
      </c>
      <c r="CK21" s="1515" t="str">
        <f>Begriffe!$F$241</f>
        <v>notwendig</v>
      </c>
      <c r="CL21" s="1515" t="str">
        <f>Begriffe!$F$241</f>
        <v>notwendig</v>
      </c>
      <c r="CM21" s="1473">
        <v>1</v>
      </c>
      <c r="CN21" s="1473">
        <v>2</v>
      </c>
      <c r="CO21" s="1473">
        <v>0</v>
      </c>
      <c r="CP21" s="1473">
        <v>0.5</v>
      </c>
      <c r="CQ21" s="1473"/>
      <c r="CR21" s="1473"/>
      <c r="CS21" s="1473"/>
      <c r="CT21" s="1474" t="str">
        <f>Begriffe!$F$242</f>
        <v>Person</v>
      </c>
      <c r="CU21" s="918">
        <v>1.5</v>
      </c>
      <c r="CV21" s="918">
        <v>1</v>
      </c>
      <c r="CW21" s="241">
        <f t="shared" ref="CW21:CW27" si="26">IF(CV21=0,CU21,CU21*CV21)</f>
        <v>1.5</v>
      </c>
      <c r="CX21" s="918">
        <v>20</v>
      </c>
      <c r="CY21" s="1463">
        <f t="shared" ref="CY21:CY27" si="27">CW21*CX21</f>
        <v>30</v>
      </c>
      <c r="CZ21" s="1473" t="s">
        <v>75</v>
      </c>
      <c r="DA21" s="1477"/>
      <c r="DB21" s="1478"/>
      <c r="DC21" s="1478"/>
      <c r="DD21" s="1479"/>
      <c r="DE21" s="1478"/>
      <c r="DF21" s="1480"/>
      <c r="DG21" s="1478"/>
      <c r="DH21" s="1478">
        <v>0.4</v>
      </c>
      <c r="DI21" s="1478">
        <v>0.6</v>
      </c>
      <c r="DJ21" s="1478">
        <v>1</v>
      </c>
      <c r="DK21" s="1478">
        <v>1</v>
      </c>
      <c r="DL21" s="1478">
        <v>0.8</v>
      </c>
      <c r="DM21" s="1478">
        <v>0.2</v>
      </c>
      <c r="DN21" s="1478">
        <v>0.6</v>
      </c>
      <c r="DO21" s="1478">
        <v>1</v>
      </c>
      <c r="DP21" s="1478">
        <v>0.8</v>
      </c>
      <c r="DQ21" s="1478">
        <v>0.8</v>
      </c>
      <c r="DR21" s="1478">
        <v>0.4</v>
      </c>
      <c r="DS21" s="1478"/>
      <c r="DT21" s="1478"/>
      <c r="DU21" s="1478"/>
      <c r="DV21" s="1479"/>
      <c r="DW21" s="1478"/>
      <c r="DX21" s="1481"/>
      <c r="DY21" s="1477">
        <v>0.1</v>
      </c>
      <c r="DZ21" s="1478">
        <v>0.1</v>
      </c>
      <c r="EA21" s="1478">
        <v>0.1</v>
      </c>
      <c r="EB21" s="1479">
        <v>0.1</v>
      </c>
      <c r="EC21" s="1478">
        <v>0.1</v>
      </c>
      <c r="ED21" s="1480">
        <v>0.1</v>
      </c>
      <c r="EE21" s="1478">
        <v>0.1</v>
      </c>
      <c r="EF21" s="1478">
        <v>0.4</v>
      </c>
      <c r="EG21" s="1478">
        <v>0.6</v>
      </c>
      <c r="EH21" s="1478">
        <v>0.8</v>
      </c>
      <c r="EI21" s="1478">
        <v>1</v>
      </c>
      <c r="EJ21" s="1478">
        <v>0.8</v>
      </c>
      <c r="EK21" s="1478">
        <v>0.2</v>
      </c>
      <c r="EL21" s="1478">
        <v>0.6</v>
      </c>
      <c r="EM21" s="1478">
        <v>1</v>
      </c>
      <c r="EN21" s="1478">
        <v>0.8</v>
      </c>
      <c r="EO21" s="1478">
        <v>0.8</v>
      </c>
      <c r="EP21" s="1478">
        <v>0.4</v>
      </c>
      <c r="EQ21" s="1478">
        <v>0.1</v>
      </c>
      <c r="ER21" s="1478">
        <v>0.1</v>
      </c>
      <c r="ES21" s="1478">
        <v>0.1</v>
      </c>
      <c r="ET21" s="1479">
        <v>0.1</v>
      </c>
      <c r="EU21" s="1478">
        <v>0.1</v>
      </c>
      <c r="EV21" s="1481">
        <v>0.1</v>
      </c>
      <c r="EW21" s="280" t="s">
        <v>161</v>
      </c>
      <c r="EX21" s="1477">
        <v>0.8</v>
      </c>
      <c r="EY21" s="1478">
        <v>0.6</v>
      </c>
      <c r="EZ21" s="1478">
        <v>0.9</v>
      </c>
      <c r="FA21" s="1479">
        <v>0.6</v>
      </c>
      <c r="FB21" s="1478">
        <v>0.8</v>
      </c>
      <c r="FC21" s="1480">
        <v>1</v>
      </c>
      <c r="FD21" s="1478">
        <v>0</v>
      </c>
      <c r="FE21" s="1478">
        <v>0.6</v>
      </c>
      <c r="FF21" s="1478">
        <v>1</v>
      </c>
      <c r="FG21" s="1479">
        <v>0.6</v>
      </c>
      <c r="FH21" s="1478">
        <v>0.9</v>
      </c>
      <c r="FI21" s="1481">
        <v>0.6</v>
      </c>
      <c r="FJ21" s="1516">
        <v>2</v>
      </c>
      <c r="FK21" s="1483">
        <f t="shared" si="23"/>
        <v>261</v>
      </c>
      <c r="FL21" s="280">
        <f t="shared" si="4"/>
        <v>11</v>
      </c>
      <c r="FM21" s="82">
        <f t="shared" si="5"/>
        <v>7.6</v>
      </c>
      <c r="FN21" s="82">
        <f t="shared" si="6"/>
        <v>7.6</v>
      </c>
      <c r="FO21" s="82">
        <f t="shared" si="7"/>
        <v>0</v>
      </c>
      <c r="FP21" s="1484">
        <f t="shared" si="8"/>
        <v>0.69890410958904103</v>
      </c>
      <c r="FQ21" s="65">
        <f t="shared" si="24"/>
        <v>1390</v>
      </c>
      <c r="FR21" s="280">
        <f t="shared" si="9"/>
        <v>24</v>
      </c>
      <c r="FS21" s="82">
        <f t="shared" si="10"/>
        <v>8.6999999999999975</v>
      </c>
      <c r="FT21" s="82">
        <f t="shared" si="11"/>
        <v>2.4000000000000004</v>
      </c>
      <c r="FU21" s="65">
        <f t="shared" si="25"/>
        <v>1760</v>
      </c>
      <c r="FW21" s="1468"/>
      <c r="FX21" s="1468" t="str">
        <f>IF(BV21=0,Begriffe!$F$262,"")</f>
        <v/>
      </c>
      <c r="FY21" s="1529" t="str">
        <f>Begriffe!F275</f>
        <v>- Wasser- und Warmwasserbedarf pro Person (Schüler), ohne Mensa und Sportanlagen</v>
      </c>
      <c r="FZ21" s="1487"/>
      <c r="GA21" s="1504"/>
      <c r="GK21" s="8" t="s">
        <v>161</v>
      </c>
      <c r="GL21" s="8">
        <v>0.8</v>
      </c>
      <c r="GM21" s="8">
        <v>0.4</v>
      </c>
      <c r="GN21" s="8">
        <v>1</v>
      </c>
      <c r="GO21" s="8">
        <v>0.8</v>
      </c>
      <c r="GP21" s="8">
        <v>0.4</v>
      </c>
      <c r="GQ21" s="8">
        <v>1</v>
      </c>
      <c r="GR21" s="8">
        <v>0</v>
      </c>
      <c r="GS21" s="8">
        <v>0.6</v>
      </c>
      <c r="GT21" s="8">
        <v>1</v>
      </c>
      <c r="GU21" s="8">
        <v>0.4</v>
      </c>
      <c r="GV21" s="8">
        <v>1</v>
      </c>
      <c r="GW21" s="8">
        <v>0.6</v>
      </c>
      <c r="GX21" s="55">
        <f t="shared" si="12"/>
        <v>0.66666666666666663</v>
      </c>
      <c r="GZ21" s="1488">
        <v>2</v>
      </c>
      <c r="HB21" s="1256">
        <v>0</v>
      </c>
      <c r="HC21" s="1256">
        <v>0</v>
      </c>
      <c r="HD21" s="1405">
        <v>1</v>
      </c>
      <c r="HE21" s="1405">
        <v>1</v>
      </c>
      <c r="HF21" s="1405">
        <v>1</v>
      </c>
      <c r="HG21" s="1405">
        <v>1</v>
      </c>
      <c r="HH21" s="1405">
        <v>1</v>
      </c>
      <c r="HI21" s="8">
        <v>16</v>
      </c>
      <c r="HJ21" s="8">
        <v>14</v>
      </c>
      <c r="HK21" s="8">
        <v>0.7</v>
      </c>
      <c r="HL21" s="8">
        <v>4</v>
      </c>
      <c r="HM21" s="1406">
        <f>Hüllzahl!Y21</f>
        <v>0.79411764705882359</v>
      </c>
      <c r="HN21" s="1407">
        <f>(HI21+HJ21*Hüllzahl!Y21)</f>
        <v>27.117647058823529</v>
      </c>
    </row>
    <row r="22" spans="1:222">
      <c r="A22" s="885">
        <v>4.5</v>
      </c>
      <c r="B22" s="1517"/>
      <c r="C22" s="1536" t="str">
        <f>Begriffe!F113</f>
        <v>Schulfachraum (Spezialraum)</v>
      </c>
      <c r="D22" s="281">
        <v>10</v>
      </c>
      <c r="E22" s="282">
        <v>7</v>
      </c>
      <c r="F22" s="282">
        <v>3</v>
      </c>
      <c r="G22" s="1518">
        <f t="shared" si="17"/>
        <v>70</v>
      </c>
      <c r="H22" s="1518">
        <f>Hüllzahl!X22</f>
        <v>95.294117647058826</v>
      </c>
      <c r="I22" s="1411">
        <v>50</v>
      </c>
      <c r="J22" s="1412">
        <v>0.75</v>
      </c>
      <c r="K22" s="60">
        <f t="shared" si="0"/>
        <v>50.377833753148614</v>
      </c>
      <c r="L22" s="1011">
        <v>1.2</v>
      </c>
      <c r="M22" s="289">
        <v>0.9</v>
      </c>
      <c r="N22" s="289">
        <v>1.5</v>
      </c>
      <c r="O22" s="1412">
        <v>0.17</v>
      </c>
      <c r="P22" s="289">
        <v>0.1</v>
      </c>
      <c r="Q22" s="289">
        <v>0.8</v>
      </c>
      <c r="R22" s="60">
        <v>0.5</v>
      </c>
      <c r="S22" s="1412">
        <v>0.5</v>
      </c>
      <c r="T22" s="1412">
        <v>0.65</v>
      </c>
      <c r="U22" s="1412">
        <v>0.14000000000000001</v>
      </c>
      <c r="V22" s="1412">
        <v>0.1</v>
      </c>
      <c r="W22" s="1412">
        <v>0.2</v>
      </c>
      <c r="X22" s="60">
        <v>0.7</v>
      </c>
      <c r="Y22" s="60">
        <v>0.9</v>
      </c>
      <c r="Z22" s="60">
        <v>90</v>
      </c>
      <c r="AA22" s="1410">
        <f>'Kälte_TEC-Tool'!J21</f>
        <v>106.4</v>
      </c>
      <c r="AB22" s="1413">
        <v>26</v>
      </c>
      <c r="AC22" s="1414">
        <v>21</v>
      </c>
      <c r="AD22" s="1519" t="s">
        <v>26</v>
      </c>
      <c r="AE22" s="1416" t="s">
        <v>155</v>
      </c>
      <c r="AF22" s="1416">
        <v>60</v>
      </c>
      <c r="AG22" s="1417">
        <v>30</v>
      </c>
      <c r="AH22" s="1537" t="str">
        <f>Begriffe!F$229</f>
        <v>gering</v>
      </c>
      <c r="AI22" s="1416">
        <v>30</v>
      </c>
      <c r="AJ22" s="1419">
        <v>0.8</v>
      </c>
      <c r="AK22" s="56">
        <v>5</v>
      </c>
      <c r="AL22" s="60">
        <v>1.2</v>
      </c>
      <c r="AM22" s="1420">
        <v>0.5</v>
      </c>
      <c r="AN22" s="289">
        <v>1</v>
      </c>
      <c r="AO22" s="1421">
        <v>0.5</v>
      </c>
      <c r="AP22" s="1538">
        <v>4</v>
      </c>
      <c r="AQ22" s="1539">
        <v>1.5</v>
      </c>
      <c r="AR22" s="1539">
        <v>9.5</v>
      </c>
      <c r="AS22" s="1539">
        <f t="shared" si="18"/>
        <v>4</v>
      </c>
      <c r="AT22" s="1539">
        <f t="shared" si="19"/>
        <v>1.5</v>
      </c>
      <c r="AU22" s="1539">
        <f t="shared" si="20"/>
        <v>9.5</v>
      </c>
      <c r="AV22" s="1520">
        <v>10</v>
      </c>
      <c r="AW22" s="60">
        <v>500</v>
      </c>
      <c r="AX22" s="1521">
        <v>0.75</v>
      </c>
      <c r="AY22" s="1522">
        <v>19</v>
      </c>
      <c r="AZ22" s="1423">
        <f t="shared" si="21"/>
        <v>11</v>
      </c>
      <c r="BA22" s="1424">
        <f t="shared" si="2"/>
        <v>0</v>
      </c>
      <c r="BB22" s="1425">
        <v>0.8</v>
      </c>
      <c r="BC22" s="1410">
        <v>2</v>
      </c>
      <c r="BD22" s="1410">
        <v>3</v>
      </c>
      <c r="BE22" s="1540"/>
      <c r="BF22" s="1540"/>
      <c r="BG22" s="283"/>
      <c r="BH22" s="283"/>
      <c r="BI22" s="281">
        <f>AP22+Res_Std!T18+Res_Std!U18</f>
        <v>18.032927145449833</v>
      </c>
      <c r="BJ22" s="283">
        <v>50</v>
      </c>
      <c r="BK22" s="282">
        <f t="shared" si="22"/>
        <v>2.7727057064396932</v>
      </c>
      <c r="BL22" s="56">
        <v>30</v>
      </c>
      <c r="BM22" s="1426"/>
      <c r="BN22" s="289">
        <f t="shared" si="14"/>
        <v>6</v>
      </c>
      <c r="BO22" s="60"/>
      <c r="BP22" s="289">
        <f t="shared" si="3"/>
        <v>6</v>
      </c>
      <c r="BQ22" s="60">
        <v>0</v>
      </c>
      <c r="BR22" s="1412">
        <v>0.15</v>
      </c>
      <c r="BS22" s="1412">
        <v>0.3</v>
      </c>
      <c r="BT22" s="1428" t="str">
        <f>Begriffe!$F$231</f>
        <v>2-stufig</v>
      </c>
      <c r="BU22" s="1428" t="str">
        <f>Begriffe!$F$232</f>
        <v>stufenlos</v>
      </c>
      <c r="BV22" s="1428" t="str">
        <f>Begriffe!$F$230</f>
        <v>1-stufig</v>
      </c>
      <c r="BW22" s="1412">
        <v>0.7</v>
      </c>
      <c r="BX22" s="1412">
        <v>0.8</v>
      </c>
      <c r="BY22" s="1412">
        <v>0.5</v>
      </c>
      <c r="BZ22" s="1412">
        <v>0.75</v>
      </c>
      <c r="CA22" s="1412">
        <v>0.85</v>
      </c>
      <c r="CB22" s="1412">
        <v>0.5</v>
      </c>
      <c r="CC22" s="1523" t="str">
        <f>Begriffe!$F$235</f>
        <v>LA mit Lufterwärmung</v>
      </c>
      <c r="CD22" s="1524">
        <v>0.34</v>
      </c>
      <c r="CE22" s="1524">
        <v>0.22300000000000003</v>
      </c>
      <c r="CF22" s="1525">
        <v>0.55000000000000004</v>
      </c>
      <c r="CG22" s="1526" t="str">
        <f>Begriffe!$F$240</f>
        <v>erwünscht</v>
      </c>
      <c r="CH22" s="1526" t="str">
        <f>Begriffe!$F$241</f>
        <v>notwendig</v>
      </c>
      <c r="CI22" s="1526" t="str">
        <f>Begriffe!$F$241</f>
        <v>notwendig</v>
      </c>
      <c r="CJ22" s="1526" t="str">
        <f>Begriffe!$F$239</f>
        <v>nicht notwend.</v>
      </c>
      <c r="CK22" s="1526" t="str">
        <f>Begriffe!$F$240</f>
        <v>erwünscht</v>
      </c>
      <c r="CL22" s="1526" t="str">
        <f>Begriffe!$F$241</f>
        <v>notwendig</v>
      </c>
      <c r="CM22" s="1433">
        <v>1</v>
      </c>
      <c r="CN22" s="1433">
        <v>2</v>
      </c>
      <c r="CO22" s="1433">
        <v>0</v>
      </c>
      <c r="CP22" s="1433">
        <v>0.5</v>
      </c>
      <c r="CQ22" s="1433"/>
      <c r="CR22" s="1433"/>
      <c r="CS22" s="1433"/>
      <c r="CT22" s="1434" t="str">
        <f>Begriffe!$F$242</f>
        <v>Person</v>
      </c>
      <c r="CU22" s="881">
        <v>1.5</v>
      </c>
      <c r="CV22" s="881">
        <v>1</v>
      </c>
      <c r="CW22" s="289">
        <f t="shared" si="26"/>
        <v>1.5</v>
      </c>
      <c r="CX22" s="881">
        <v>20</v>
      </c>
      <c r="CY22" s="1422">
        <f t="shared" si="27"/>
        <v>30</v>
      </c>
      <c r="CZ22" s="1433" t="s">
        <v>75</v>
      </c>
      <c r="DA22" s="1437"/>
      <c r="DB22" s="1438"/>
      <c r="DC22" s="1438"/>
      <c r="DD22" s="1439"/>
      <c r="DE22" s="1438"/>
      <c r="DF22" s="1440"/>
      <c r="DG22" s="1438"/>
      <c r="DH22" s="1438">
        <v>0.4</v>
      </c>
      <c r="DI22" s="1438">
        <v>0.6</v>
      </c>
      <c r="DJ22" s="1439">
        <v>1</v>
      </c>
      <c r="DK22" s="1438">
        <v>1</v>
      </c>
      <c r="DL22" s="1440">
        <v>0.8</v>
      </c>
      <c r="DM22" s="1438">
        <v>0.2</v>
      </c>
      <c r="DN22" s="1438">
        <v>0.6</v>
      </c>
      <c r="DO22" s="1438">
        <v>1</v>
      </c>
      <c r="DP22" s="1439">
        <v>0.8</v>
      </c>
      <c r="DQ22" s="1438">
        <v>0.8</v>
      </c>
      <c r="DR22" s="1440">
        <v>0.4</v>
      </c>
      <c r="DS22" s="1438"/>
      <c r="DT22" s="1438"/>
      <c r="DU22" s="1438"/>
      <c r="DV22" s="1439"/>
      <c r="DW22" s="1438"/>
      <c r="DX22" s="1441"/>
      <c r="DY22" s="1437">
        <v>0.1</v>
      </c>
      <c r="DZ22" s="1438">
        <v>0.1</v>
      </c>
      <c r="EA22" s="1438">
        <v>0.1</v>
      </c>
      <c r="EB22" s="1439">
        <v>0.1</v>
      </c>
      <c r="EC22" s="1438">
        <v>0.1</v>
      </c>
      <c r="ED22" s="1440">
        <v>0.1</v>
      </c>
      <c r="EE22" s="1438">
        <v>0.1</v>
      </c>
      <c r="EF22" s="1438">
        <v>0.4</v>
      </c>
      <c r="EG22" s="1438">
        <v>0.6</v>
      </c>
      <c r="EH22" s="1439">
        <v>0.8</v>
      </c>
      <c r="EI22" s="1438">
        <v>1</v>
      </c>
      <c r="EJ22" s="1440">
        <v>0.8</v>
      </c>
      <c r="EK22" s="1438">
        <v>0.2</v>
      </c>
      <c r="EL22" s="1438">
        <v>0.6</v>
      </c>
      <c r="EM22" s="1438">
        <v>1</v>
      </c>
      <c r="EN22" s="1439">
        <v>0.8</v>
      </c>
      <c r="EO22" s="1438">
        <v>0.8</v>
      </c>
      <c r="EP22" s="1440">
        <v>0.4</v>
      </c>
      <c r="EQ22" s="1438">
        <v>0.1</v>
      </c>
      <c r="ER22" s="1438">
        <v>0.1</v>
      </c>
      <c r="ES22" s="1438">
        <v>0.1</v>
      </c>
      <c r="ET22" s="1439">
        <v>0.1</v>
      </c>
      <c r="EU22" s="1438">
        <v>0.1</v>
      </c>
      <c r="EV22" s="1441">
        <v>0.1</v>
      </c>
      <c r="EW22" s="281" t="s">
        <v>161</v>
      </c>
      <c r="EX22" s="1437">
        <v>0.8</v>
      </c>
      <c r="EY22" s="1438">
        <v>0.6</v>
      </c>
      <c r="EZ22" s="1438">
        <v>0.9</v>
      </c>
      <c r="FA22" s="1439">
        <v>0.6</v>
      </c>
      <c r="FB22" s="1438">
        <v>0.8</v>
      </c>
      <c r="FC22" s="1440">
        <v>1</v>
      </c>
      <c r="FD22" s="1438">
        <v>0</v>
      </c>
      <c r="FE22" s="1438">
        <v>0.6</v>
      </c>
      <c r="FF22" s="1438">
        <v>1</v>
      </c>
      <c r="FG22" s="1439">
        <v>0.6</v>
      </c>
      <c r="FH22" s="1438">
        <v>0.9</v>
      </c>
      <c r="FI22" s="1441">
        <v>0.6</v>
      </c>
      <c r="FJ22" s="1528">
        <v>2</v>
      </c>
      <c r="FK22" s="1443">
        <f t="shared" si="23"/>
        <v>261</v>
      </c>
      <c r="FL22" s="281">
        <f t="shared" si="4"/>
        <v>11</v>
      </c>
      <c r="FM22" s="282">
        <f t="shared" si="5"/>
        <v>7.6</v>
      </c>
      <c r="FN22" s="282">
        <f t="shared" si="6"/>
        <v>7.6</v>
      </c>
      <c r="FO22" s="282">
        <f t="shared" si="7"/>
        <v>0</v>
      </c>
      <c r="FP22" s="1444">
        <f t="shared" si="8"/>
        <v>0.69890410958904103</v>
      </c>
      <c r="FQ22" s="357">
        <f t="shared" si="24"/>
        <v>1390</v>
      </c>
      <c r="FR22" s="281">
        <f t="shared" si="9"/>
        <v>24</v>
      </c>
      <c r="FS22" s="282">
        <f t="shared" si="10"/>
        <v>8.6999999999999975</v>
      </c>
      <c r="FT22" s="282">
        <f t="shared" si="11"/>
        <v>2.4000000000000004</v>
      </c>
      <c r="FU22" s="357">
        <f t="shared" si="25"/>
        <v>1760</v>
      </c>
      <c r="FV22" s="1531" t="str">
        <f>Begriffe!F251</f>
        <v>- Im Musikzimmer erhöhter Schallschutz</v>
      </c>
      <c r="FW22" s="1468"/>
      <c r="FX22" s="1468" t="str">
        <f>IF(BV22=0,Begriffe!$F$262,"")</f>
        <v/>
      </c>
      <c r="FY22" s="1529" t="str">
        <f>Begriffe!F276</f>
        <v>- Wasser- und Warmwasserbedarf pro Person (Schüler), ohne Mensa und Sportanlagen</v>
      </c>
      <c r="FZ22" s="1487"/>
      <c r="GA22" s="1504"/>
      <c r="GK22" s="8" t="s">
        <v>161</v>
      </c>
      <c r="GL22" s="8">
        <v>0.8</v>
      </c>
      <c r="GM22" s="8">
        <v>0.4</v>
      </c>
      <c r="GN22" s="8">
        <v>1</v>
      </c>
      <c r="GO22" s="8">
        <v>0.8</v>
      </c>
      <c r="GP22" s="8">
        <v>0.4</v>
      </c>
      <c r="GQ22" s="8">
        <v>1</v>
      </c>
      <c r="GR22" s="8">
        <v>0</v>
      </c>
      <c r="GS22" s="8">
        <v>0.6</v>
      </c>
      <c r="GT22" s="8">
        <v>1</v>
      </c>
      <c r="GU22" s="8">
        <v>0.4</v>
      </c>
      <c r="GV22" s="8">
        <v>1</v>
      </c>
      <c r="GW22" s="8">
        <v>0.6</v>
      </c>
      <c r="GX22" s="55">
        <f t="shared" si="12"/>
        <v>0.66666666666666663</v>
      </c>
      <c r="GZ22" s="1488">
        <v>2</v>
      </c>
      <c r="HB22" s="1256">
        <v>0</v>
      </c>
      <c r="HC22" s="1256">
        <v>0</v>
      </c>
      <c r="HD22" s="1405">
        <v>1</v>
      </c>
      <c r="HE22" s="1405">
        <v>1</v>
      </c>
      <c r="HF22" s="1405">
        <v>1</v>
      </c>
      <c r="HG22" s="1405">
        <v>1</v>
      </c>
      <c r="HH22" s="1405">
        <v>1</v>
      </c>
      <c r="HI22" s="8">
        <v>16</v>
      </c>
      <c r="HJ22" s="8">
        <v>14</v>
      </c>
      <c r="HK22" s="8">
        <v>0.7</v>
      </c>
      <c r="HL22" s="8">
        <v>4</v>
      </c>
      <c r="HM22" s="1406">
        <f>Hüllzahl!Y22</f>
        <v>1.2252100840336135</v>
      </c>
      <c r="HN22" s="1407">
        <f>(HI22+HJ22*Hüllzahl!Y22)</f>
        <v>33.152941176470591</v>
      </c>
    </row>
    <row r="23" spans="1:222">
      <c r="A23" s="883">
        <v>5.0999999999999996</v>
      </c>
      <c r="B23" s="1541" t="s">
        <v>139</v>
      </c>
      <c r="C23" s="65" t="str">
        <f>Begriffe!F114</f>
        <v>Lebensmittelverkauf</v>
      </c>
      <c r="D23" s="280">
        <v>20</v>
      </c>
      <c r="E23" s="82">
        <v>20</v>
      </c>
      <c r="F23" s="82">
        <v>4</v>
      </c>
      <c r="G23" s="255">
        <f t="shared" si="17"/>
        <v>400</v>
      </c>
      <c r="H23" s="255">
        <f>Hüllzahl!X23</f>
        <v>376.47058823529414</v>
      </c>
      <c r="I23" s="1452">
        <v>50</v>
      </c>
      <c r="J23" s="1406">
        <v>0.75</v>
      </c>
      <c r="K23" s="55">
        <f t="shared" si="0"/>
        <v>50.377833753148614</v>
      </c>
      <c r="L23" s="1453">
        <v>1.2</v>
      </c>
      <c r="M23" s="241">
        <v>0.9</v>
      </c>
      <c r="N23" s="241">
        <v>1.5</v>
      </c>
      <c r="O23" s="1406">
        <v>0.17</v>
      </c>
      <c r="P23" s="241">
        <v>0.1</v>
      </c>
      <c r="Q23" s="241">
        <v>0.8</v>
      </c>
      <c r="R23" s="55">
        <v>0.5</v>
      </c>
      <c r="S23" s="1406">
        <v>0.5</v>
      </c>
      <c r="T23" s="1406">
        <v>0.65</v>
      </c>
      <c r="U23" s="1406">
        <v>0.14000000000000001</v>
      </c>
      <c r="V23" s="1406">
        <v>0.1</v>
      </c>
      <c r="W23" s="1406">
        <v>0.2</v>
      </c>
      <c r="X23" s="55">
        <v>0.7</v>
      </c>
      <c r="Y23" s="55">
        <v>0.9</v>
      </c>
      <c r="Z23" s="55">
        <v>90</v>
      </c>
      <c r="AA23" s="1451">
        <f>'Kälte_TEC-Tool'!J22</f>
        <v>96.9</v>
      </c>
      <c r="AB23" s="1454">
        <v>26</v>
      </c>
      <c r="AC23" s="1455">
        <v>20</v>
      </c>
      <c r="AD23" s="1506" t="s">
        <v>26</v>
      </c>
      <c r="AE23" s="249" t="s">
        <v>155</v>
      </c>
      <c r="AF23" s="249">
        <v>60</v>
      </c>
      <c r="AG23" s="1457">
        <v>30</v>
      </c>
      <c r="AH23" s="1458"/>
      <c r="AI23" s="249">
        <v>40</v>
      </c>
      <c r="AJ23" s="1459">
        <v>1</v>
      </c>
      <c r="AK23" s="1460">
        <v>8</v>
      </c>
      <c r="AL23" s="55">
        <v>1.2</v>
      </c>
      <c r="AM23" s="1461">
        <v>0.5</v>
      </c>
      <c r="AN23" s="241">
        <v>1</v>
      </c>
      <c r="AO23" s="1462">
        <v>0.5</v>
      </c>
      <c r="AP23" s="1474">
        <v>100</v>
      </c>
      <c r="AQ23" s="918">
        <v>80</v>
      </c>
      <c r="AR23" s="918">
        <v>120</v>
      </c>
      <c r="AS23" s="918">
        <v>-10</v>
      </c>
      <c r="AT23" s="918">
        <v>-8</v>
      </c>
      <c r="AU23" s="918">
        <v>-12</v>
      </c>
      <c r="AV23" s="1508">
        <v>20</v>
      </c>
      <c r="AW23" s="55">
        <v>300</v>
      </c>
      <c r="AX23" s="1509">
        <v>0.05</v>
      </c>
      <c r="AY23" s="1510">
        <v>22</v>
      </c>
      <c r="AZ23" s="1464">
        <f t="shared" ref="AZ23:AZ24" si="28">SUMIF(DH23:DR23,"&gt;0",DH$9:DR$9)</f>
        <v>11</v>
      </c>
      <c r="BA23" s="1465">
        <f t="shared" si="2"/>
        <v>2</v>
      </c>
      <c r="BB23" s="1466">
        <v>1</v>
      </c>
      <c r="BC23" s="1451">
        <v>2</v>
      </c>
      <c r="BD23" s="1451">
        <v>3</v>
      </c>
      <c r="BE23" s="1511"/>
      <c r="BF23" s="1511"/>
      <c r="BG23" s="1451">
        <v>12</v>
      </c>
      <c r="BH23" s="1451">
        <v>6</v>
      </c>
      <c r="BI23" s="1453">
        <f>AP23+Res_Std!T19+Res_Std!U19</f>
        <v>121.27937915742794</v>
      </c>
      <c r="BJ23" s="1451">
        <v>300</v>
      </c>
      <c r="BK23" s="241">
        <f t="shared" si="22"/>
        <v>2.4736274384335522</v>
      </c>
      <c r="BL23" s="1460">
        <v>30</v>
      </c>
      <c r="BM23" s="1467"/>
      <c r="BN23" s="241">
        <f t="shared" si="14"/>
        <v>3.75</v>
      </c>
      <c r="BO23" s="918"/>
      <c r="BP23" s="241">
        <f t="shared" si="3"/>
        <v>3.75</v>
      </c>
      <c r="BQ23" s="55">
        <v>0</v>
      </c>
      <c r="BR23" s="1406">
        <v>0.15</v>
      </c>
      <c r="BS23" s="1406">
        <v>0.3</v>
      </c>
      <c r="BT23" s="1468" t="str">
        <f>Begriffe!$F$230</f>
        <v>1-stufig</v>
      </c>
      <c r="BU23" s="1468" t="str">
        <f>Begriffe!$F$231</f>
        <v>2-stufig</v>
      </c>
      <c r="BV23" s="1468" t="str">
        <f>Begriffe!$F$230</f>
        <v>1-stufig</v>
      </c>
      <c r="BW23" s="1406">
        <v>0.7</v>
      </c>
      <c r="BX23" s="1406">
        <v>0.8</v>
      </c>
      <c r="BY23" s="1406">
        <v>0.5</v>
      </c>
      <c r="BZ23" s="1406">
        <v>0.75</v>
      </c>
      <c r="CA23" s="1406">
        <v>0.85</v>
      </c>
      <c r="CB23" s="1406">
        <v>0.5</v>
      </c>
      <c r="CC23" s="1512" t="str">
        <f>Begriffe!$F$234</f>
        <v>Einfache Klimaanlage</v>
      </c>
      <c r="CD23" s="1513">
        <v>0.55000000000000004</v>
      </c>
      <c r="CE23" s="1513">
        <v>0.34</v>
      </c>
      <c r="CF23" s="1514">
        <v>0.91</v>
      </c>
      <c r="CG23" s="1515" t="str">
        <f>Begriffe!$F$240</f>
        <v>erwünscht</v>
      </c>
      <c r="CH23" s="1515" t="str">
        <f>Begriffe!$F$241</f>
        <v>notwendig</v>
      </c>
      <c r="CI23" s="1515" t="str">
        <f>Begriffe!$F$241</f>
        <v>notwendig</v>
      </c>
      <c r="CJ23" s="1515" t="str">
        <f>Begriffe!$F$239</f>
        <v>nicht notwend.</v>
      </c>
      <c r="CK23" s="1515" t="str">
        <f>Begriffe!$F$239</f>
        <v>nicht notwend.</v>
      </c>
      <c r="CL23" s="1515" t="str">
        <f>Begriffe!$F$239</f>
        <v>nicht notwend.</v>
      </c>
      <c r="CM23" s="1473">
        <v>1</v>
      </c>
      <c r="CN23" s="1473">
        <v>2</v>
      </c>
      <c r="CO23" s="1473">
        <v>0</v>
      </c>
      <c r="CP23" s="1473">
        <v>0.5</v>
      </c>
      <c r="CQ23" s="1473"/>
      <c r="CR23" s="1473"/>
      <c r="CS23" s="1473"/>
      <c r="CT23" s="1474" t="str">
        <f>Begriffe!$F$242</f>
        <v>Person</v>
      </c>
      <c r="CU23" s="918">
        <v>1.5</v>
      </c>
      <c r="CV23" s="918">
        <v>1</v>
      </c>
      <c r="CW23" s="241">
        <f t="shared" si="26"/>
        <v>1.5</v>
      </c>
      <c r="CX23" s="918">
        <v>20</v>
      </c>
      <c r="CY23" s="1463">
        <f t="shared" si="27"/>
        <v>30</v>
      </c>
      <c r="CZ23" s="1542" t="s">
        <v>627</v>
      </c>
      <c r="DA23" s="1453"/>
      <c r="DB23" s="241"/>
      <c r="DC23" s="241"/>
      <c r="DD23" s="1461"/>
      <c r="DE23" s="241"/>
      <c r="DF23" s="1475"/>
      <c r="DG23" s="241"/>
      <c r="DH23" s="241">
        <v>0.2</v>
      </c>
      <c r="DI23" s="241">
        <v>0.4</v>
      </c>
      <c r="DJ23" s="1461">
        <v>0.4</v>
      </c>
      <c r="DK23" s="241">
        <v>0.4</v>
      </c>
      <c r="DL23" s="1475">
        <v>0.6</v>
      </c>
      <c r="DM23" s="241">
        <v>0.6</v>
      </c>
      <c r="DN23" s="241">
        <v>0.6</v>
      </c>
      <c r="DO23" s="241">
        <v>0.4</v>
      </c>
      <c r="DP23" s="1461">
        <v>0.4</v>
      </c>
      <c r="DQ23" s="241">
        <v>0.6</v>
      </c>
      <c r="DR23" s="1475">
        <v>1</v>
      </c>
      <c r="DS23" s="241">
        <v>0.6</v>
      </c>
      <c r="DT23" s="241">
        <v>0.4</v>
      </c>
      <c r="DU23" s="241"/>
      <c r="DV23" s="1461"/>
      <c r="DW23" s="241"/>
      <c r="DX23" s="1462"/>
      <c r="DY23" s="1477">
        <v>0.2</v>
      </c>
      <c r="DZ23" s="1478">
        <v>0.2</v>
      </c>
      <c r="EA23" s="1478">
        <v>0.2</v>
      </c>
      <c r="EB23" s="1478">
        <v>0.2</v>
      </c>
      <c r="EC23" s="1478">
        <v>0.2</v>
      </c>
      <c r="ED23" s="1478">
        <v>0.2</v>
      </c>
      <c r="EE23" s="1478">
        <v>0.2</v>
      </c>
      <c r="EF23" s="241">
        <v>1</v>
      </c>
      <c r="EG23" s="241">
        <v>1</v>
      </c>
      <c r="EH23" s="1461">
        <v>1</v>
      </c>
      <c r="EI23" s="241">
        <v>1</v>
      </c>
      <c r="EJ23" s="1475">
        <v>1</v>
      </c>
      <c r="EK23" s="241">
        <v>1</v>
      </c>
      <c r="EL23" s="241">
        <v>1</v>
      </c>
      <c r="EM23" s="241">
        <v>1</v>
      </c>
      <c r="EN23" s="1461">
        <v>1</v>
      </c>
      <c r="EO23" s="241">
        <v>1</v>
      </c>
      <c r="EP23" s="1475">
        <v>1</v>
      </c>
      <c r="EQ23" s="241">
        <v>1</v>
      </c>
      <c r="ER23" s="1478">
        <v>1</v>
      </c>
      <c r="ES23" s="1478">
        <v>0.2</v>
      </c>
      <c r="ET23" s="1478">
        <v>0.2</v>
      </c>
      <c r="EU23" s="1478">
        <v>0.2</v>
      </c>
      <c r="EV23" s="1481">
        <v>0.2</v>
      </c>
      <c r="EW23" s="280" t="s">
        <v>862</v>
      </c>
      <c r="EX23" s="1477">
        <v>0.8</v>
      </c>
      <c r="EY23" s="1478">
        <v>0.8</v>
      </c>
      <c r="EZ23" s="1478">
        <v>0.8</v>
      </c>
      <c r="FA23" s="1479">
        <v>0.8</v>
      </c>
      <c r="FB23" s="1478">
        <v>0.8</v>
      </c>
      <c r="FC23" s="1480">
        <v>0.8</v>
      </c>
      <c r="FD23" s="1478">
        <v>0.8</v>
      </c>
      <c r="FE23" s="1478">
        <v>0.8</v>
      </c>
      <c r="FF23" s="1478">
        <v>0.8</v>
      </c>
      <c r="FG23" s="1479">
        <v>0.8</v>
      </c>
      <c r="FH23" s="1478">
        <v>0.8</v>
      </c>
      <c r="FI23" s="1481">
        <v>0.8</v>
      </c>
      <c r="FJ23" s="1482">
        <v>1</v>
      </c>
      <c r="FK23" s="1399">
        <f t="shared" ref="FK23:FK24" si="29">365-(52*FJ23)</f>
        <v>313</v>
      </c>
      <c r="FL23" s="291">
        <f t="shared" si="4"/>
        <v>13</v>
      </c>
      <c r="FM23" s="292">
        <f t="shared" si="5"/>
        <v>6.6</v>
      </c>
      <c r="FN23" s="292">
        <f t="shared" si="6"/>
        <v>5.6</v>
      </c>
      <c r="FO23" s="292">
        <f t="shared" si="7"/>
        <v>1</v>
      </c>
      <c r="FP23" s="1400">
        <f t="shared" ref="FP23:FP24" si="30">SUMPRODUCT(EX23:FI23,EX$9:FI$9)/365</f>
        <v>0.80000000000000016</v>
      </c>
      <c r="FQ23" s="288">
        <f t="shared" ref="FQ23:FQ24" si="31">ROUND(FM23*FK23*FP23,-1)</f>
        <v>1650</v>
      </c>
      <c r="FR23" s="291">
        <f t="shared" si="9"/>
        <v>24</v>
      </c>
      <c r="FS23" s="292">
        <f t="shared" si="10"/>
        <v>15.199999999999998</v>
      </c>
      <c r="FT23" s="292">
        <f t="shared" si="11"/>
        <v>4.8000000000000007</v>
      </c>
      <c r="FU23" s="288">
        <f t="shared" ref="FU23:FU24" si="32">ROUND((FS23*FK23+FT23*(365-FK23))*FP23,-1)</f>
        <v>4010</v>
      </c>
      <c r="FV23" s="8" t="str">
        <f>Begriffe!F252</f>
        <v>- Gewerbliche Kälte ist unter Geräte verbucht</v>
      </c>
      <c r="FW23" s="1543" t="str">
        <f>Begriffe!F260</f>
        <v>- Berechnung Klimakältebedarf: negative Wärmeeinträge durch Kühlmöbel (Standard: -10, Zielwert: -8, Bestand: -12 W/m2)</v>
      </c>
      <c r="FX23" s="1468" t="str">
        <f>IF(BV23=0,Begriffe!$F$262,"")</f>
        <v/>
      </c>
      <c r="FY23" s="1529" t="str">
        <f>Begriffe!F277</f>
        <v>- Wasser- und Warmwasserbedarf pro Person (Kunden)</v>
      </c>
      <c r="FZ23" s="1487"/>
      <c r="GA23" s="1504"/>
      <c r="GK23" s="8" t="s">
        <v>76</v>
      </c>
      <c r="GL23" s="8">
        <v>0.8</v>
      </c>
      <c r="GM23" s="8">
        <v>0.6</v>
      </c>
      <c r="GN23" s="8">
        <v>0.8</v>
      </c>
      <c r="GO23" s="8">
        <v>0.6</v>
      </c>
      <c r="GP23" s="8">
        <v>0.8</v>
      </c>
      <c r="GQ23" s="8">
        <v>0.8</v>
      </c>
      <c r="GR23" s="8">
        <v>0.6</v>
      </c>
      <c r="GS23" s="8">
        <v>0.6</v>
      </c>
      <c r="GT23" s="8">
        <v>0.8</v>
      </c>
      <c r="GU23" s="8">
        <v>0.6</v>
      </c>
      <c r="GV23" s="8">
        <v>0.8</v>
      </c>
      <c r="GW23" s="8">
        <v>1</v>
      </c>
      <c r="GX23" s="55">
        <f t="shared" ref="GX23:GX24" si="33">SUM(GL23:GW23)/12</f>
        <v>0.73333333333333328</v>
      </c>
      <c r="GZ23" s="1488">
        <v>1</v>
      </c>
      <c r="HB23" s="1256">
        <v>1</v>
      </c>
      <c r="HC23" s="1256">
        <v>0</v>
      </c>
      <c r="HD23" s="1405">
        <v>1</v>
      </c>
      <c r="HE23" s="1405">
        <v>1</v>
      </c>
      <c r="HF23" s="1405">
        <v>1</v>
      </c>
      <c r="HG23" s="1405">
        <v>1</v>
      </c>
      <c r="HH23" s="1405">
        <v>1</v>
      </c>
      <c r="HI23" s="8">
        <v>8</v>
      </c>
      <c r="HJ23" s="8">
        <v>13</v>
      </c>
      <c r="HK23" s="8">
        <v>0.7</v>
      </c>
      <c r="HL23" s="8">
        <v>5</v>
      </c>
      <c r="HM23" s="1406">
        <f>Hüllzahl!Y23</f>
        <v>0.84705882352941175</v>
      </c>
      <c r="HN23" s="1407">
        <f>(HI23+HJ23*Hüllzahl!Y23)</f>
        <v>19.011764705882353</v>
      </c>
    </row>
    <row r="24" spans="1:222">
      <c r="A24" s="889">
        <v>5.2</v>
      </c>
      <c r="B24" s="1544" t="s">
        <v>140</v>
      </c>
      <c r="C24" s="1013" t="str">
        <f>Begriffe!F115</f>
        <v>Fachgeschäft</v>
      </c>
      <c r="D24" s="280">
        <v>20</v>
      </c>
      <c r="E24" s="82">
        <v>20</v>
      </c>
      <c r="F24" s="82">
        <v>4</v>
      </c>
      <c r="G24" s="255">
        <f t="shared" si="17"/>
        <v>400</v>
      </c>
      <c r="H24" s="255">
        <f>Hüllzahl!X24</f>
        <v>376.47058823529414</v>
      </c>
      <c r="I24" s="1452">
        <v>50</v>
      </c>
      <c r="J24" s="1406">
        <v>0.75</v>
      </c>
      <c r="K24" s="55">
        <f t="shared" si="0"/>
        <v>50.377833753148614</v>
      </c>
      <c r="L24" s="1453">
        <v>1.2</v>
      </c>
      <c r="M24" s="241">
        <v>0.9</v>
      </c>
      <c r="N24" s="241">
        <v>1.5</v>
      </c>
      <c r="O24" s="1406">
        <v>0.17</v>
      </c>
      <c r="P24" s="241">
        <v>0.1</v>
      </c>
      <c r="Q24" s="241">
        <v>0.8</v>
      </c>
      <c r="R24" s="55">
        <v>0.5</v>
      </c>
      <c r="S24" s="1406">
        <v>0.5</v>
      </c>
      <c r="T24" s="1406">
        <v>0.65</v>
      </c>
      <c r="U24" s="1406">
        <v>0.14000000000000001</v>
      </c>
      <c r="V24" s="1406">
        <v>0.1</v>
      </c>
      <c r="W24" s="1406">
        <v>0.2</v>
      </c>
      <c r="X24" s="55">
        <v>0.7</v>
      </c>
      <c r="Y24" s="55">
        <v>0.9</v>
      </c>
      <c r="Z24" s="55">
        <v>90</v>
      </c>
      <c r="AA24" s="1451">
        <f>'Kälte_TEC-Tool'!J23</f>
        <v>96.9</v>
      </c>
      <c r="AB24" s="1454">
        <v>26</v>
      </c>
      <c r="AC24" s="1455">
        <v>20</v>
      </c>
      <c r="AD24" s="1506" t="s">
        <v>26</v>
      </c>
      <c r="AE24" s="249" t="s">
        <v>155</v>
      </c>
      <c r="AF24" s="249">
        <v>60</v>
      </c>
      <c r="AG24" s="1457">
        <v>30</v>
      </c>
      <c r="AH24" s="1458"/>
      <c r="AI24" s="249">
        <v>40</v>
      </c>
      <c r="AJ24" s="1459">
        <v>1</v>
      </c>
      <c r="AK24" s="1460">
        <v>8</v>
      </c>
      <c r="AL24" s="55">
        <v>1.2</v>
      </c>
      <c r="AM24" s="1461">
        <v>0.5</v>
      </c>
      <c r="AN24" s="241">
        <v>1</v>
      </c>
      <c r="AO24" s="1462">
        <v>0.5</v>
      </c>
      <c r="AP24" s="1460">
        <v>2</v>
      </c>
      <c r="AQ24" s="55">
        <v>1</v>
      </c>
      <c r="AR24" s="55">
        <v>3</v>
      </c>
      <c r="AS24" s="55">
        <f t="shared" ref="AS24:AS42" si="34">AP24</f>
        <v>2</v>
      </c>
      <c r="AT24" s="55">
        <f t="shared" ref="AT24:AT42" si="35">AQ24</f>
        <v>1</v>
      </c>
      <c r="AU24" s="55">
        <f t="shared" ref="AU24:AU42" si="36">AR24</f>
        <v>3</v>
      </c>
      <c r="AV24" s="1508">
        <v>10</v>
      </c>
      <c r="AW24" s="55">
        <v>300</v>
      </c>
      <c r="AX24" s="1509">
        <v>0.05</v>
      </c>
      <c r="AY24" s="1510">
        <v>22</v>
      </c>
      <c r="AZ24" s="1464">
        <f t="shared" si="28"/>
        <v>11</v>
      </c>
      <c r="BA24" s="1465">
        <f t="shared" si="2"/>
        <v>2</v>
      </c>
      <c r="BB24" s="1466">
        <v>1</v>
      </c>
      <c r="BC24" s="1451">
        <v>2</v>
      </c>
      <c r="BD24" s="1451">
        <v>3</v>
      </c>
      <c r="BE24" s="1511"/>
      <c r="BF24" s="1511"/>
      <c r="BG24" s="1451">
        <v>24</v>
      </c>
      <c r="BH24" s="1451">
        <v>12</v>
      </c>
      <c r="BI24" s="1453">
        <f>AP24+Res_Std!T20+Res_Std!U20</f>
        <v>35.27937915742794</v>
      </c>
      <c r="BJ24" s="1451">
        <v>100</v>
      </c>
      <c r="BK24" s="241">
        <f t="shared" si="22"/>
        <v>2.8345170008170446</v>
      </c>
      <c r="BL24" s="1460">
        <v>30</v>
      </c>
      <c r="BM24" s="1467"/>
      <c r="BN24" s="241">
        <f t="shared" si="14"/>
        <v>3.75</v>
      </c>
      <c r="BO24" s="918"/>
      <c r="BP24" s="241">
        <f t="shared" si="3"/>
        <v>3.75</v>
      </c>
      <c r="BQ24" s="55">
        <v>0</v>
      </c>
      <c r="BR24" s="1406">
        <v>0.15</v>
      </c>
      <c r="BS24" s="1406">
        <v>0.3</v>
      </c>
      <c r="BT24" s="1468" t="str">
        <f>Begriffe!$F$230</f>
        <v>1-stufig</v>
      </c>
      <c r="BU24" s="1468" t="str">
        <f>Begriffe!$F$231</f>
        <v>2-stufig</v>
      </c>
      <c r="BV24" s="1468" t="str">
        <f>Begriffe!$F$230</f>
        <v>1-stufig</v>
      </c>
      <c r="BW24" s="1406">
        <v>0.7</v>
      </c>
      <c r="BX24" s="1406">
        <v>0.8</v>
      </c>
      <c r="BY24" s="1406">
        <v>0.5</v>
      </c>
      <c r="BZ24" s="1406">
        <v>0.75</v>
      </c>
      <c r="CA24" s="1406">
        <v>0.85</v>
      </c>
      <c r="CB24" s="1406">
        <v>0.5</v>
      </c>
      <c r="CC24" s="1512" t="str">
        <f>Begriffe!$F$234</f>
        <v>Einfache Klimaanlage</v>
      </c>
      <c r="CD24" s="1513">
        <v>0.55000000000000004</v>
      </c>
      <c r="CE24" s="1513">
        <v>0.34</v>
      </c>
      <c r="CF24" s="1514">
        <v>0.91</v>
      </c>
      <c r="CG24" s="1515" t="str">
        <f>Begriffe!$F$241</f>
        <v>notwendig</v>
      </c>
      <c r="CH24" s="1515" t="str">
        <f>Begriffe!$F$241</f>
        <v>notwendig</v>
      </c>
      <c r="CI24" s="1515" t="str">
        <f>Begriffe!$F$241</f>
        <v>notwendig</v>
      </c>
      <c r="CJ24" s="1515" t="str">
        <f>Begriffe!$F$241</f>
        <v>notwendig</v>
      </c>
      <c r="CK24" s="1515" t="str">
        <f>Begriffe!$F$241</f>
        <v>notwendig</v>
      </c>
      <c r="CL24" s="1515" t="str">
        <f>Begriffe!$F$241</f>
        <v>notwendig</v>
      </c>
      <c r="CM24" s="1473">
        <v>1</v>
      </c>
      <c r="CN24" s="1473">
        <v>2</v>
      </c>
      <c r="CO24" s="1473">
        <v>0</v>
      </c>
      <c r="CP24" s="1473">
        <v>0.5</v>
      </c>
      <c r="CQ24" s="1473"/>
      <c r="CR24" s="1473"/>
      <c r="CS24" s="1473"/>
      <c r="CT24" s="1474" t="str">
        <f>Begriffe!$F$242</f>
        <v>Person</v>
      </c>
      <c r="CU24" s="918">
        <v>1.5</v>
      </c>
      <c r="CV24" s="918">
        <v>1</v>
      </c>
      <c r="CW24" s="241">
        <f t="shared" si="26"/>
        <v>1.5</v>
      </c>
      <c r="CX24" s="918">
        <v>20</v>
      </c>
      <c r="CY24" s="1463">
        <f t="shared" si="27"/>
        <v>30</v>
      </c>
      <c r="CZ24" s="1542" t="s">
        <v>627</v>
      </c>
      <c r="DA24" s="1453"/>
      <c r="DB24" s="241"/>
      <c r="DC24" s="241"/>
      <c r="DD24" s="1461"/>
      <c r="DE24" s="241"/>
      <c r="DF24" s="1475"/>
      <c r="DG24" s="241"/>
      <c r="DH24" s="241">
        <v>0.2</v>
      </c>
      <c r="DI24" s="241">
        <v>0.4</v>
      </c>
      <c r="DJ24" s="1461">
        <v>0.4</v>
      </c>
      <c r="DK24" s="241">
        <v>0.4</v>
      </c>
      <c r="DL24" s="1475">
        <v>0.6</v>
      </c>
      <c r="DM24" s="241">
        <v>0.6</v>
      </c>
      <c r="DN24" s="241">
        <v>0.6</v>
      </c>
      <c r="DO24" s="241">
        <v>0.4</v>
      </c>
      <c r="DP24" s="1461">
        <v>0.4</v>
      </c>
      <c r="DQ24" s="241">
        <v>0.6</v>
      </c>
      <c r="DR24" s="1475">
        <v>1</v>
      </c>
      <c r="DS24" s="241">
        <v>0.6</v>
      </c>
      <c r="DT24" s="1478">
        <v>0.4</v>
      </c>
      <c r="DU24" s="241"/>
      <c r="DV24" s="1461"/>
      <c r="DW24" s="241"/>
      <c r="DX24" s="1462"/>
      <c r="DY24" s="1477">
        <v>0.1</v>
      </c>
      <c r="DZ24" s="1478">
        <v>0.1</v>
      </c>
      <c r="EA24" s="1478">
        <v>0.1</v>
      </c>
      <c r="EB24" s="1479">
        <v>0.1</v>
      </c>
      <c r="EC24" s="1478">
        <v>0.1</v>
      </c>
      <c r="ED24" s="1480">
        <v>0.1</v>
      </c>
      <c r="EE24" s="1478">
        <v>0.1</v>
      </c>
      <c r="EF24" s="241">
        <v>1</v>
      </c>
      <c r="EG24" s="241">
        <v>1</v>
      </c>
      <c r="EH24" s="1461">
        <v>1</v>
      </c>
      <c r="EI24" s="241">
        <v>1</v>
      </c>
      <c r="EJ24" s="1475">
        <v>1</v>
      </c>
      <c r="EK24" s="241">
        <v>1</v>
      </c>
      <c r="EL24" s="241">
        <v>1</v>
      </c>
      <c r="EM24" s="241">
        <v>1</v>
      </c>
      <c r="EN24" s="1461">
        <v>1</v>
      </c>
      <c r="EO24" s="241">
        <v>1</v>
      </c>
      <c r="EP24" s="1475">
        <v>1</v>
      </c>
      <c r="EQ24" s="241">
        <v>1</v>
      </c>
      <c r="ER24" s="1478">
        <v>1</v>
      </c>
      <c r="ES24" s="1478">
        <v>0.1</v>
      </c>
      <c r="ET24" s="1479">
        <v>0.1</v>
      </c>
      <c r="EU24" s="1478">
        <v>0.1</v>
      </c>
      <c r="EV24" s="1481">
        <v>0.1</v>
      </c>
      <c r="EW24" s="280" t="s">
        <v>862</v>
      </c>
      <c r="EX24" s="1477">
        <v>0.8</v>
      </c>
      <c r="EY24" s="1478">
        <v>0.8</v>
      </c>
      <c r="EZ24" s="1478">
        <v>0.8</v>
      </c>
      <c r="FA24" s="1479">
        <v>0.8</v>
      </c>
      <c r="FB24" s="1478">
        <v>0.8</v>
      </c>
      <c r="FC24" s="1480">
        <v>0.8</v>
      </c>
      <c r="FD24" s="1478">
        <v>0.8</v>
      </c>
      <c r="FE24" s="1478">
        <v>0.8</v>
      </c>
      <c r="FF24" s="1478">
        <v>0.8</v>
      </c>
      <c r="FG24" s="1479">
        <v>0.8</v>
      </c>
      <c r="FH24" s="1478">
        <v>0.8</v>
      </c>
      <c r="FI24" s="1481">
        <v>0.8</v>
      </c>
      <c r="FJ24" s="1482">
        <v>1</v>
      </c>
      <c r="FK24" s="1483">
        <f t="shared" si="29"/>
        <v>313</v>
      </c>
      <c r="FL24" s="280">
        <f t="shared" si="4"/>
        <v>13</v>
      </c>
      <c r="FM24" s="82">
        <f t="shared" si="5"/>
        <v>6.6</v>
      </c>
      <c r="FN24" s="82">
        <f t="shared" si="6"/>
        <v>5.6</v>
      </c>
      <c r="FO24" s="82">
        <f t="shared" si="7"/>
        <v>1</v>
      </c>
      <c r="FP24" s="1484">
        <f t="shared" si="30"/>
        <v>0.80000000000000016</v>
      </c>
      <c r="FQ24" s="65">
        <f t="shared" si="31"/>
        <v>1650</v>
      </c>
      <c r="FR24" s="280">
        <f t="shared" si="9"/>
        <v>24</v>
      </c>
      <c r="FS24" s="82">
        <f t="shared" si="10"/>
        <v>14.099999999999998</v>
      </c>
      <c r="FT24" s="82">
        <f t="shared" si="11"/>
        <v>2.4000000000000004</v>
      </c>
      <c r="FU24" s="65">
        <f t="shared" si="32"/>
        <v>3630</v>
      </c>
      <c r="FW24" s="1503"/>
      <c r="FX24" s="1503" t="str">
        <f>IF(BV24=0,Begriffe!$F$262,"")</f>
        <v/>
      </c>
      <c r="FY24" s="1485" t="str">
        <f>Begriffe!F278</f>
        <v>- Wasser- und Warmwasserbedarf pro Person (Kunden)</v>
      </c>
      <c r="FZ24" s="1487"/>
      <c r="GA24" s="1504"/>
      <c r="GK24" s="8" t="s">
        <v>76</v>
      </c>
      <c r="GL24" s="8">
        <v>0.8</v>
      </c>
      <c r="GM24" s="8">
        <v>0.6</v>
      </c>
      <c r="GN24" s="8">
        <v>0.8</v>
      </c>
      <c r="GO24" s="8">
        <v>0.6</v>
      </c>
      <c r="GP24" s="8">
        <v>0.8</v>
      </c>
      <c r="GQ24" s="8">
        <v>0.8</v>
      </c>
      <c r="GR24" s="8">
        <v>0.6</v>
      </c>
      <c r="GS24" s="8">
        <v>0.6</v>
      </c>
      <c r="GT24" s="8">
        <v>0.8</v>
      </c>
      <c r="GU24" s="8">
        <v>0.6</v>
      </c>
      <c r="GV24" s="8">
        <v>0.8</v>
      </c>
      <c r="GW24" s="8">
        <v>1</v>
      </c>
      <c r="GX24" s="55">
        <f t="shared" si="33"/>
        <v>0.73333333333333328</v>
      </c>
      <c r="GZ24" s="1488">
        <v>1</v>
      </c>
      <c r="HB24" s="1256">
        <v>1</v>
      </c>
      <c r="HC24" s="1256">
        <v>0</v>
      </c>
      <c r="HD24" s="1405">
        <v>1</v>
      </c>
      <c r="HE24" s="1405">
        <v>1</v>
      </c>
      <c r="HF24" s="1405">
        <v>1</v>
      </c>
      <c r="HG24" s="1405">
        <v>1</v>
      </c>
      <c r="HH24" s="1405">
        <v>1</v>
      </c>
      <c r="HI24" s="8">
        <v>8</v>
      </c>
      <c r="HJ24" s="8">
        <v>13</v>
      </c>
      <c r="HK24" s="8">
        <v>0.7</v>
      </c>
      <c r="HL24" s="8">
        <v>5</v>
      </c>
      <c r="HM24" s="1406">
        <f>Hüllzahl!Y24</f>
        <v>0.84705882352941175</v>
      </c>
      <c r="HN24" s="1407">
        <f>(HI24+HJ24*Hüllzahl!Y24)</f>
        <v>19.011764705882353</v>
      </c>
    </row>
    <row r="25" spans="1:222">
      <c r="A25" s="1545">
        <v>5.3</v>
      </c>
      <c r="B25" s="1546" t="s">
        <v>142</v>
      </c>
      <c r="C25" s="1013" t="str">
        <f>Begriffe!F116</f>
        <v>Verkauf Möbel, Bau, Garten</v>
      </c>
      <c r="D25" s="280">
        <v>20</v>
      </c>
      <c r="E25" s="82">
        <v>20</v>
      </c>
      <c r="F25" s="82">
        <v>4</v>
      </c>
      <c r="G25" s="255">
        <f t="shared" si="17"/>
        <v>400</v>
      </c>
      <c r="H25" s="255">
        <f>Hüllzahl!X25</f>
        <v>376.47058823529414</v>
      </c>
      <c r="I25" s="1452">
        <v>50</v>
      </c>
      <c r="J25" s="1406">
        <v>0.75</v>
      </c>
      <c r="K25" s="55">
        <f t="shared" si="0"/>
        <v>50.377833753148614</v>
      </c>
      <c r="L25" s="1453">
        <v>1.2</v>
      </c>
      <c r="M25" s="241">
        <v>0.9</v>
      </c>
      <c r="N25" s="241">
        <v>1.5</v>
      </c>
      <c r="O25" s="1406">
        <v>0.17</v>
      </c>
      <c r="P25" s="241">
        <v>0.1</v>
      </c>
      <c r="Q25" s="241">
        <v>0.8</v>
      </c>
      <c r="R25" s="55">
        <v>0.5</v>
      </c>
      <c r="S25" s="1406">
        <v>0.5</v>
      </c>
      <c r="T25" s="1406">
        <v>0.65</v>
      </c>
      <c r="U25" s="1406">
        <v>0.14000000000000001</v>
      </c>
      <c r="V25" s="1406">
        <v>0.1</v>
      </c>
      <c r="W25" s="1406">
        <v>0.2</v>
      </c>
      <c r="X25" s="55">
        <v>0.7</v>
      </c>
      <c r="Y25" s="55">
        <v>0.9</v>
      </c>
      <c r="Z25" s="55">
        <v>90</v>
      </c>
      <c r="AA25" s="1451">
        <f>'Kälte_TEC-Tool'!J24</f>
        <v>96.9</v>
      </c>
      <c r="AB25" s="1454">
        <v>26</v>
      </c>
      <c r="AC25" s="1455">
        <v>20</v>
      </c>
      <c r="AD25" s="1506" t="s">
        <v>26</v>
      </c>
      <c r="AE25" s="249" t="s">
        <v>155</v>
      </c>
      <c r="AF25" s="249">
        <v>60</v>
      </c>
      <c r="AG25" s="1457">
        <v>30</v>
      </c>
      <c r="AH25" s="1458"/>
      <c r="AI25" s="249">
        <v>35</v>
      </c>
      <c r="AJ25" s="1459">
        <v>1</v>
      </c>
      <c r="AK25" s="425">
        <v>15</v>
      </c>
      <c r="AL25" s="55">
        <v>1.2</v>
      </c>
      <c r="AM25" s="1461">
        <v>0.5</v>
      </c>
      <c r="AN25" s="241">
        <v>1</v>
      </c>
      <c r="AO25" s="1462">
        <v>0.5</v>
      </c>
      <c r="AP25" s="1534">
        <v>2</v>
      </c>
      <c r="AQ25" s="10">
        <v>1</v>
      </c>
      <c r="AR25" s="10">
        <v>3</v>
      </c>
      <c r="AS25" s="10">
        <f t="shared" si="34"/>
        <v>2</v>
      </c>
      <c r="AT25" s="10">
        <f t="shared" si="35"/>
        <v>1</v>
      </c>
      <c r="AU25" s="10">
        <f t="shared" si="36"/>
        <v>3</v>
      </c>
      <c r="AV25" s="1508">
        <v>10</v>
      </c>
      <c r="AW25" s="55">
        <v>300</v>
      </c>
      <c r="AX25" s="1509">
        <v>0.05</v>
      </c>
      <c r="AY25" s="1510">
        <v>22</v>
      </c>
      <c r="AZ25" s="1464">
        <f t="shared" si="21"/>
        <v>11</v>
      </c>
      <c r="BA25" s="1465">
        <f t="shared" si="2"/>
        <v>1</v>
      </c>
      <c r="BB25" s="1466">
        <v>1</v>
      </c>
      <c r="BC25" s="1451">
        <v>2</v>
      </c>
      <c r="BD25" s="1451">
        <v>3</v>
      </c>
      <c r="BE25" s="1535"/>
      <c r="BF25" s="1535"/>
      <c r="BG25" s="255">
        <v>12</v>
      </c>
      <c r="BH25" s="255">
        <v>6</v>
      </c>
      <c r="BI25" s="280">
        <f>AP25+Res_Std!T21+Res_Std!U21</f>
        <v>23.27937915742794</v>
      </c>
      <c r="BJ25" s="255">
        <v>100</v>
      </c>
      <c r="BK25" s="82">
        <f t="shared" si="22"/>
        <v>4.2956472044956655</v>
      </c>
      <c r="BL25" s="1460">
        <v>30</v>
      </c>
      <c r="BM25" s="1467"/>
      <c r="BN25" s="241">
        <f t="shared" si="14"/>
        <v>2</v>
      </c>
      <c r="BO25" s="1547"/>
      <c r="BP25" s="241">
        <f t="shared" si="3"/>
        <v>2</v>
      </c>
      <c r="BQ25" s="55">
        <v>0</v>
      </c>
      <c r="BR25" s="1406">
        <v>0.15</v>
      </c>
      <c r="BS25" s="1406">
        <v>0.3</v>
      </c>
      <c r="BT25" s="1468" t="str">
        <f>Begriffe!$F$230</f>
        <v>1-stufig</v>
      </c>
      <c r="BU25" s="1468" t="str">
        <f>Begriffe!$F$231</f>
        <v>2-stufig</v>
      </c>
      <c r="BV25" s="1468" t="str">
        <f>Begriffe!$F$230</f>
        <v>1-stufig</v>
      </c>
      <c r="BW25" s="1406">
        <v>0.7</v>
      </c>
      <c r="BX25" s="1406">
        <v>0.8</v>
      </c>
      <c r="BY25" s="1406">
        <v>0.5</v>
      </c>
      <c r="BZ25" s="1406">
        <v>0.75</v>
      </c>
      <c r="CA25" s="1406">
        <v>0.85</v>
      </c>
      <c r="CB25" s="1406">
        <v>0.5</v>
      </c>
      <c r="CC25" s="1512" t="str">
        <f>Begriffe!$F$234</f>
        <v>Einfache Klimaanlage</v>
      </c>
      <c r="CD25" s="1513">
        <v>0.55000000000000004</v>
      </c>
      <c r="CE25" s="1513">
        <v>0.34</v>
      </c>
      <c r="CF25" s="1514">
        <v>0.91</v>
      </c>
      <c r="CG25" s="1515" t="str">
        <f>Begriffe!$F$241</f>
        <v>notwendig</v>
      </c>
      <c r="CH25" s="1515" t="str">
        <f>Begriffe!$F$241</f>
        <v>notwendig</v>
      </c>
      <c r="CI25" s="1515" t="str">
        <f>Begriffe!$F$241</f>
        <v>notwendig</v>
      </c>
      <c r="CJ25" s="1515" t="str">
        <f>Begriffe!$F$240</f>
        <v>erwünscht</v>
      </c>
      <c r="CK25" s="1515" t="str">
        <f>Begriffe!$F$241</f>
        <v>notwendig</v>
      </c>
      <c r="CL25" s="1515" t="str">
        <f>Begriffe!$F$241</f>
        <v>notwendig</v>
      </c>
      <c r="CM25" s="1473">
        <v>1</v>
      </c>
      <c r="CN25" s="1473">
        <v>2</v>
      </c>
      <c r="CO25" s="1473">
        <v>0</v>
      </c>
      <c r="CP25" s="1473">
        <v>0.5</v>
      </c>
      <c r="CQ25" s="1473"/>
      <c r="CR25" s="1473"/>
      <c r="CS25" s="1473"/>
      <c r="CT25" s="1474" t="str">
        <f>Begriffe!$F$242</f>
        <v>Person</v>
      </c>
      <c r="CU25" s="918">
        <v>1.5</v>
      </c>
      <c r="CV25" s="918">
        <v>1</v>
      </c>
      <c r="CW25" s="241">
        <f t="shared" si="26"/>
        <v>1.5</v>
      </c>
      <c r="CX25" s="918">
        <v>20</v>
      </c>
      <c r="CY25" s="1463">
        <f t="shared" si="27"/>
        <v>30</v>
      </c>
      <c r="CZ25" s="1473" t="s">
        <v>76</v>
      </c>
      <c r="DA25" s="1477"/>
      <c r="DB25" s="1478"/>
      <c r="DC25" s="1478"/>
      <c r="DD25" s="1479"/>
      <c r="DE25" s="1478"/>
      <c r="DF25" s="1480"/>
      <c r="DG25" s="1478"/>
      <c r="DH25" s="241">
        <v>0.2</v>
      </c>
      <c r="DI25" s="241">
        <v>0.4</v>
      </c>
      <c r="DJ25" s="1461">
        <v>0.4</v>
      </c>
      <c r="DK25" s="241">
        <v>0.4</v>
      </c>
      <c r="DL25" s="1475">
        <v>0.6</v>
      </c>
      <c r="DM25" s="241">
        <v>0.6</v>
      </c>
      <c r="DN25" s="241">
        <v>0.6</v>
      </c>
      <c r="DO25" s="241">
        <v>0.4</v>
      </c>
      <c r="DP25" s="1461">
        <v>0.4</v>
      </c>
      <c r="DQ25" s="241">
        <v>0.6</v>
      </c>
      <c r="DR25" s="1475">
        <v>1</v>
      </c>
      <c r="DS25" s="241">
        <v>0.6</v>
      </c>
      <c r="DT25" s="1478"/>
      <c r="DU25" s="1478"/>
      <c r="DV25" s="1479"/>
      <c r="DW25" s="1478"/>
      <c r="DX25" s="1481"/>
      <c r="DY25" s="1477">
        <v>0.1</v>
      </c>
      <c r="DZ25" s="1478">
        <v>0.1</v>
      </c>
      <c r="EA25" s="1478">
        <v>0.1</v>
      </c>
      <c r="EB25" s="1479">
        <v>0.1</v>
      </c>
      <c r="EC25" s="1478">
        <v>0.1</v>
      </c>
      <c r="ED25" s="1480">
        <v>0.1</v>
      </c>
      <c r="EE25" s="1478">
        <v>0.1</v>
      </c>
      <c r="EF25" s="241">
        <v>1</v>
      </c>
      <c r="EG25" s="241">
        <v>1</v>
      </c>
      <c r="EH25" s="1461">
        <v>1</v>
      </c>
      <c r="EI25" s="241">
        <v>1</v>
      </c>
      <c r="EJ25" s="1475">
        <v>1</v>
      </c>
      <c r="EK25" s="241">
        <v>1</v>
      </c>
      <c r="EL25" s="241">
        <v>1</v>
      </c>
      <c r="EM25" s="241">
        <v>1</v>
      </c>
      <c r="EN25" s="1461">
        <v>1</v>
      </c>
      <c r="EO25" s="241">
        <v>1</v>
      </c>
      <c r="EP25" s="1475">
        <v>1</v>
      </c>
      <c r="EQ25" s="241">
        <v>1</v>
      </c>
      <c r="ER25" s="1478">
        <v>0.1</v>
      </c>
      <c r="ES25" s="1478">
        <v>0.1</v>
      </c>
      <c r="ET25" s="1479">
        <v>0.1</v>
      </c>
      <c r="EU25" s="1478">
        <v>0.1</v>
      </c>
      <c r="EV25" s="1481">
        <v>0.1</v>
      </c>
      <c r="EW25" s="280" t="s">
        <v>862</v>
      </c>
      <c r="EX25" s="1477">
        <v>0.8</v>
      </c>
      <c r="EY25" s="1478">
        <v>0.8</v>
      </c>
      <c r="EZ25" s="1478">
        <v>0.8</v>
      </c>
      <c r="FA25" s="1479">
        <v>0.8</v>
      </c>
      <c r="FB25" s="1478">
        <v>0.8</v>
      </c>
      <c r="FC25" s="1480">
        <v>0.8</v>
      </c>
      <c r="FD25" s="1478">
        <v>0.8</v>
      </c>
      <c r="FE25" s="1478">
        <v>0.8</v>
      </c>
      <c r="FF25" s="1478">
        <v>0.8</v>
      </c>
      <c r="FG25" s="1479">
        <v>0.8</v>
      </c>
      <c r="FH25" s="1478">
        <v>0.8</v>
      </c>
      <c r="FI25" s="1481">
        <v>0.8</v>
      </c>
      <c r="FJ25" s="1516">
        <v>1</v>
      </c>
      <c r="FK25" s="1443">
        <f t="shared" si="23"/>
        <v>313</v>
      </c>
      <c r="FL25" s="281">
        <f t="shared" si="4"/>
        <v>12</v>
      </c>
      <c r="FM25" s="282">
        <f t="shared" si="5"/>
        <v>6.1999999999999993</v>
      </c>
      <c r="FN25" s="282">
        <f t="shared" si="6"/>
        <v>5.6</v>
      </c>
      <c r="FO25" s="282">
        <f t="shared" si="7"/>
        <v>0.6</v>
      </c>
      <c r="FP25" s="1444">
        <f t="shared" si="8"/>
        <v>0.80000000000000016</v>
      </c>
      <c r="FQ25" s="357">
        <f t="shared" si="24"/>
        <v>1550</v>
      </c>
      <c r="FR25" s="281">
        <f t="shared" si="9"/>
        <v>24</v>
      </c>
      <c r="FS25" s="282">
        <f t="shared" si="10"/>
        <v>13.199999999999998</v>
      </c>
      <c r="FT25" s="282">
        <f t="shared" si="11"/>
        <v>2.4000000000000004</v>
      </c>
      <c r="FU25" s="357">
        <f t="shared" si="25"/>
        <v>3410</v>
      </c>
      <c r="FW25" s="1503"/>
      <c r="FX25" s="1503" t="str">
        <f>IF(BV25=0,Begriffe!$F$262,"")</f>
        <v/>
      </c>
      <c r="FY25" s="1485" t="str">
        <f>Begriffe!F279</f>
        <v>- Wasser- und Warmwasserbedarf pro Person (Kunden)</v>
      </c>
      <c r="FZ25" s="1487"/>
      <c r="GA25" s="1504"/>
      <c r="GK25" s="8" t="s">
        <v>76</v>
      </c>
      <c r="GL25" s="8">
        <v>0.8</v>
      </c>
      <c r="GM25" s="8">
        <v>0.6</v>
      </c>
      <c r="GN25" s="8">
        <v>0.8</v>
      </c>
      <c r="GO25" s="8">
        <v>0.6</v>
      </c>
      <c r="GP25" s="8">
        <v>0.8</v>
      </c>
      <c r="GQ25" s="8">
        <v>0.8</v>
      </c>
      <c r="GR25" s="8">
        <v>0.6</v>
      </c>
      <c r="GS25" s="8">
        <v>0.6</v>
      </c>
      <c r="GT25" s="8">
        <v>0.8</v>
      </c>
      <c r="GU25" s="8">
        <v>0.6</v>
      </c>
      <c r="GV25" s="8">
        <v>0.8</v>
      </c>
      <c r="GW25" s="8">
        <v>1</v>
      </c>
      <c r="GX25" s="55">
        <f t="shared" si="12"/>
        <v>0.73333333333333328</v>
      </c>
      <c r="GZ25" s="1488">
        <v>1</v>
      </c>
      <c r="HB25" s="1256">
        <v>1</v>
      </c>
      <c r="HC25" s="1256">
        <v>0</v>
      </c>
      <c r="HD25" s="1405">
        <v>1</v>
      </c>
      <c r="HE25" s="1405">
        <v>1</v>
      </c>
      <c r="HF25" s="1405">
        <v>1</v>
      </c>
      <c r="HG25" s="1405">
        <v>1</v>
      </c>
      <c r="HH25" s="1405">
        <v>1</v>
      </c>
      <c r="HI25" s="8">
        <v>8</v>
      </c>
      <c r="HJ25" s="8">
        <v>13</v>
      </c>
      <c r="HK25" s="8">
        <v>0.7</v>
      </c>
      <c r="HL25" s="8">
        <v>5</v>
      </c>
      <c r="HM25" s="1406">
        <f>Hüllzahl!Y25</f>
        <v>0.84705882352941175</v>
      </c>
      <c r="HN25" s="1407">
        <f>(HI25+HJ25*Hüllzahl!Y25)</f>
        <v>19.011764705882353</v>
      </c>
    </row>
    <row r="26" spans="1:222">
      <c r="A26" s="1548">
        <v>6.1</v>
      </c>
      <c r="B26" s="1549">
        <v>14</v>
      </c>
      <c r="C26" s="288" t="str">
        <f>Begriffe!F117</f>
        <v>Restaurant</v>
      </c>
      <c r="D26" s="291">
        <v>12</v>
      </c>
      <c r="E26" s="292">
        <v>12</v>
      </c>
      <c r="F26" s="292">
        <v>3</v>
      </c>
      <c r="G26" s="1492">
        <f t="shared" si="17"/>
        <v>144</v>
      </c>
      <c r="H26" s="1492">
        <f>Hüllzahl!X26</f>
        <v>169.41176470588235</v>
      </c>
      <c r="I26" s="1366">
        <v>50</v>
      </c>
      <c r="J26" s="1367">
        <v>0.75</v>
      </c>
      <c r="K26" s="72">
        <f t="shared" si="0"/>
        <v>50.377833753148614</v>
      </c>
      <c r="L26" s="263">
        <v>1.2</v>
      </c>
      <c r="M26" s="240">
        <v>0.9</v>
      </c>
      <c r="N26" s="240">
        <v>1.5</v>
      </c>
      <c r="O26" s="1367">
        <v>0.17</v>
      </c>
      <c r="P26" s="240">
        <v>0.1</v>
      </c>
      <c r="Q26" s="240">
        <v>0.8</v>
      </c>
      <c r="R26" s="72">
        <v>0.5</v>
      </c>
      <c r="S26" s="1367">
        <v>0.5</v>
      </c>
      <c r="T26" s="1367">
        <v>0.65</v>
      </c>
      <c r="U26" s="1367">
        <v>0.14000000000000001</v>
      </c>
      <c r="V26" s="1367">
        <v>0.1</v>
      </c>
      <c r="W26" s="1367">
        <v>0.2</v>
      </c>
      <c r="X26" s="72">
        <v>0.7</v>
      </c>
      <c r="Y26" s="72">
        <v>0.9</v>
      </c>
      <c r="Z26" s="72">
        <v>90</v>
      </c>
      <c r="AA26" s="1365">
        <f>'Kälte_TEC-Tool'!J25</f>
        <v>101</v>
      </c>
      <c r="AB26" s="1368">
        <v>26</v>
      </c>
      <c r="AC26" s="1369">
        <v>21</v>
      </c>
      <c r="AD26" s="1370" t="s">
        <v>26</v>
      </c>
      <c r="AE26" s="1371" t="s">
        <v>155</v>
      </c>
      <c r="AF26" s="1371">
        <v>70</v>
      </c>
      <c r="AG26" s="1372">
        <v>30</v>
      </c>
      <c r="AH26" s="1373"/>
      <c r="AI26" s="1371">
        <v>35</v>
      </c>
      <c r="AJ26" s="1374">
        <v>0.9</v>
      </c>
      <c r="AK26" s="73">
        <v>2</v>
      </c>
      <c r="AL26" s="72">
        <v>1.2</v>
      </c>
      <c r="AM26" s="1375">
        <v>0.5</v>
      </c>
      <c r="AN26" s="240">
        <v>1</v>
      </c>
      <c r="AO26" s="1376">
        <v>0.5</v>
      </c>
      <c r="AP26" s="73">
        <v>2</v>
      </c>
      <c r="AQ26" s="72">
        <v>1</v>
      </c>
      <c r="AR26" s="72">
        <v>3</v>
      </c>
      <c r="AS26" s="72">
        <f t="shared" si="34"/>
        <v>2</v>
      </c>
      <c r="AT26" s="72">
        <f t="shared" si="35"/>
        <v>1</v>
      </c>
      <c r="AU26" s="72">
        <f t="shared" si="36"/>
        <v>3</v>
      </c>
      <c r="AV26" s="1494">
        <v>10</v>
      </c>
      <c r="AW26" s="72">
        <v>200</v>
      </c>
      <c r="AX26" s="1495">
        <v>0.75</v>
      </c>
      <c r="AY26" s="1496">
        <v>22</v>
      </c>
      <c r="AZ26" s="1378">
        <f t="shared" si="21"/>
        <v>6</v>
      </c>
      <c r="BA26" s="1379">
        <f t="shared" si="2"/>
        <v>6</v>
      </c>
      <c r="BB26" s="1380">
        <v>0.8</v>
      </c>
      <c r="BC26" s="1365">
        <v>2</v>
      </c>
      <c r="BD26" s="1365">
        <v>3</v>
      </c>
      <c r="BE26" s="1497"/>
      <c r="BF26" s="1497"/>
      <c r="BG26" s="72"/>
      <c r="BH26" s="72"/>
      <c r="BI26" s="263">
        <f>AP26+Res_Std!T22+Res_Std!U22</f>
        <v>8.8578553615960089</v>
      </c>
      <c r="BJ26" s="72">
        <v>50</v>
      </c>
      <c r="BK26" s="240">
        <f t="shared" si="22"/>
        <v>5.6447072072072082</v>
      </c>
      <c r="BL26" s="73">
        <v>36</v>
      </c>
      <c r="BM26" s="1381"/>
      <c r="BN26" s="240">
        <f t="shared" si="14"/>
        <v>18</v>
      </c>
      <c r="BO26" s="240"/>
      <c r="BP26" s="240">
        <f t="shared" si="3"/>
        <v>18</v>
      </c>
      <c r="BQ26" s="72">
        <v>0</v>
      </c>
      <c r="BR26" s="1367">
        <v>0.15</v>
      </c>
      <c r="BS26" s="1367">
        <v>0.3</v>
      </c>
      <c r="BT26" s="1383" t="str">
        <f>Begriffe!$F$232</f>
        <v>stufenlos</v>
      </c>
      <c r="BU26" s="1383" t="str">
        <f>Begriffe!$F$232</f>
        <v>stufenlos</v>
      </c>
      <c r="BV26" s="1383" t="str">
        <f>Begriffe!$F$231</f>
        <v>2-stufig</v>
      </c>
      <c r="BW26" s="1367">
        <v>0.7</v>
      </c>
      <c r="BX26" s="1367">
        <v>0.8</v>
      </c>
      <c r="BY26" s="1367">
        <v>0.5</v>
      </c>
      <c r="BZ26" s="1367">
        <v>0.75</v>
      </c>
      <c r="CA26" s="1367">
        <v>0.85</v>
      </c>
      <c r="CB26" s="1367">
        <v>0.5</v>
      </c>
      <c r="CC26" s="1550" t="str">
        <f>Begriffe!$F$234</f>
        <v>Einfache Klimaanlage</v>
      </c>
      <c r="CD26" s="1498">
        <v>0.55000000000000004</v>
      </c>
      <c r="CE26" s="1498">
        <v>0.34</v>
      </c>
      <c r="CF26" s="1499">
        <v>0.91</v>
      </c>
      <c r="CG26" s="1500" t="str">
        <f>Begriffe!$F$241</f>
        <v>notwendig</v>
      </c>
      <c r="CH26" s="1500" t="str">
        <f>Begriffe!$F$241</f>
        <v>notwendig</v>
      </c>
      <c r="CI26" s="1500" t="str">
        <f>Begriffe!$F$241</f>
        <v>notwendig</v>
      </c>
      <c r="CJ26" s="1500" t="str">
        <f>Begriffe!$F$241</f>
        <v>notwendig</v>
      </c>
      <c r="CK26" s="1500" t="str">
        <f>Begriffe!$F$241</f>
        <v>notwendig</v>
      </c>
      <c r="CL26" s="1500" t="str">
        <f>Begriffe!$F$241</f>
        <v>notwendig</v>
      </c>
      <c r="CM26" s="1389">
        <v>1</v>
      </c>
      <c r="CN26" s="1389">
        <v>2</v>
      </c>
      <c r="CO26" s="1389">
        <v>0</v>
      </c>
      <c r="CP26" s="1389">
        <v>0.5</v>
      </c>
      <c r="CQ26" s="1389"/>
      <c r="CR26" s="1389"/>
      <c r="CS26" s="1389"/>
      <c r="CT26" s="1390" t="str">
        <f>Begriffe!$F$244</f>
        <v>Sitzplatz</v>
      </c>
      <c r="CU26" s="1551">
        <v>15</v>
      </c>
      <c r="CV26" s="879">
        <v>1</v>
      </c>
      <c r="CW26" s="1365">
        <f t="shared" si="26"/>
        <v>15</v>
      </c>
      <c r="CX26" s="879">
        <v>3</v>
      </c>
      <c r="CY26" s="1377">
        <f t="shared" si="27"/>
        <v>45</v>
      </c>
      <c r="CZ26" s="1389" t="s">
        <v>112</v>
      </c>
      <c r="DA26" s="263"/>
      <c r="DB26" s="240"/>
      <c r="DC26" s="240"/>
      <c r="DD26" s="1375"/>
      <c r="DE26" s="240"/>
      <c r="DF26" s="1391"/>
      <c r="DG26" s="240"/>
      <c r="DH26" s="240"/>
      <c r="DI26" s="240">
        <v>0.2</v>
      </c>
      <c r="DJ26" s="1375">
        <v>0.2</v>
      </c>
      <c r="DK26" s="240">
        <v>0.2</v>
      </c>
      <c r="DL26" s="1391">
        <v>0.6</v>
      </c>
      <c r="DM26" s="240">
        <v>1</v>
      </c>
      <c r="DN26" s="240">
        <v>0.6</v>
      </c>
      <c r="DO26" s="240">
        <v>0</v>
      </c>
      <c r="DP26" s="1375">
        <v>0</v>
      </c>
      <c r="DQ26" s="240">
        <v>0</v>
      </c>
      <c r="DR26" s="1391">
        <v>0</v>
      </c>
      <c r="DS26" s="240">
        <v>0.2</v>
      </c>
      <c r="DT26" s="240">
        <v>0.2</v>
      </c>
      <c r="DU26" s="240">
        <v>0.6</v>
      </c>
      <c r="DV26" s="1375">
        <v>1</v>
      </c>
      <c r="DW26" s="240">
        <v>0.2</v>
      </c>
      <c r="DX26" s="1376">
        <v>0.2</v>
      </c>
      <c r="DY26" s="1393">
        <v>0.1</v>
      </c>
      <c r="DZ26" s="1394">
        <v>0.1</v>
      </c>
      <c r="EA26" s="1394">
        <v>0.1</v>
      </c>
      <c r="EB26" s="1395">
        <v>0.1</v>
      </c>
      <c r="EC26" s="1394">
        <v>0.1</v>
      </c>
      <c r="ED26" s="1396">
        <v>0.1</v>
      </c>
      <c r="EE26" s="1394">
        <v>0.1</v>
      </c>
      <c r="EF26" s="1394">
        <v>0.1</v>
      </c>
      <c r="EG26" s="240">
        <v>0.4</v>
      </c>
      <c r="EH26" s="1375">
        <v>0.4</v>
      </c>
      <c r="EI26" s="240">
        <v>0.4</v>
      </c>
      <c r="EJ26" s="1391">
        <v>0.6</v>
      </c>
      <c r="EK26" s="240">
        <v>1</v>
      </c>
      <c r="EL26" s="240">
        <v>1</v>
      </c>
      <c r="EM26" s="240">
        <v>0.1</v>
      </c>
      <c r="EN26" s="1375">
        <v>0.1</v>
      </c>
      <c r="EO26" s="240">
        <v>0.1</v>
      </c>
      <c r="EP26" s="1391">
        <v>0.1</v>
      </c>
      <c r="EQ26" s="240">
        <v>0.4</v>
      </c>
      <c r="ER26" s="240">
        <v>0.4</v>
      </c>
      <c r="ES26" s="240">
        <v>0.6</v>
      </c>
      <c r="ET26" s="1375">
        <v>1</v>
      </c>
      <c r="EU26" s="240">
        <v>0.8</v>
      </c>
      <c r="EV26" s="1376">
        <v>0.4</v>
      </c>
      <c r="EW26" s="291" t="s">
        <v>862</v>
      </c>
      <c r="EX26" s="1393">
        <v>0.8</v>
      </c>
      <c r="EY26" s="1394">
        <v>0.8</v>
      </c>
      <c r="EZ26" s="1394">
        <v>0.8</v>
      </c>
      <c r="FA26" s="1395">
        <v>0.8</v>
      </c>
      <c r="FB26" s="1394">
        <v>0.8</v>
      </c>
      <c r="FC26" s="1396">
        <v>0.8</v>
      </c>
      <c r="FD26" s="1394">
        <v>0.8</v>
      </c>
      <c r="FE26" s="1394">
        <v>0.8</v>
      </c>
      <c r="FF26" s="1394">
        <v>0.8</v>
      </c>
      <c r="FG26" s="1395">
        <v>0.8</v>
      </c>
      <c r="FH26" s="1394">
        <v>0.8</v>
      </c>
      <c r="FI26" s="1397">
        <v>0.8</v>
      </c>
      <c r="FJ26" s="1398">
        <v>1</v>
      </c>
      <c r="FK26" s="1483">
        <f t="shared" si="23"/>
        <v>313</v>
      </c>
      <c r="FL26" s="280">
        <f t="shared" si="4"/>
        <v>12</v>
      </c>
      <c r="FM26" s="82">
        <f t="shared" si="5"/>
        <v>5.2000000000000011</v>
      </c>
      <c r="FN26" s="82">
        <f t="shared" si="6"/>
        <v>2.8000000000000003</v>
      </c>
      <c r="FO26" s="82">
        <f t="shared" si="7"/>
        <v>2.4000000000000004</v>
      </c>
      <c r="FP26" s="1484">
        <f t="shared" si="8"/>
        <v>0.80000000000000016</v>
      </c>
      <c r="FQ26" s="65">
        <f t="shared" si="24"/>
        <v>1300</v>
      </c>
      <c r="FR26" s="280">
        <f t="shared" si="9"/>
        <v>24</v>
      </c>
      <c r="FS26" s="82">
        <f t="shared" si="10"/>
        <v>8.6</v>
      </c>
      <c r="FT26" s="82">
        <f t="shared" si="11"/>
        <v>2.4000000000000004</v>
      </c>
      <c r="FU26" s="65">
        <f t="shared" si="25"/>
        <v>2250</v>
      </c>
      <c r="FW26" s="1503"/>
      <c r="FX26" s="1503" t="str">
        <f>IF(BV26=0,Begriffe!$F$262,"")</f>
        <v/>
      </c>
      <c r="FY26" s="1485" t="str">
        <f>Begriffe!F280</f>
        <v>- Wasser- und Warmwasserbedarf für Restaurants inkl. Küche pro Sitzplatz</v>
      </c>
      <c r="FZ26" s="1487"/>
      <c r="GA26" s="1504"/>
      <c r="GK26" s="8" t="s">
        <v>156</v>
      </c>
      <c r="GL26" s="8">
        <v>0.8</v>
      </c>
      <c r="GM26" s="8">
        <v>0.6</v>
      </c>
      <c r="GN26" s="8">
        <v>1</v>
      </c>
      <c r="GO26" s="8">
        <v>0.8</v>
      </c>
      <c r="GP26" s="8">
        <v>0.6</v>
      </c>
      <c r="GQ26" s="8">
        <v>1</v>
      </c>
      <c r="GR26" s="8">
        <v>0.6</v>
      </c>
      <c r="GS26" s="8">
        <v>0.6</v>
      </c>
      <c r="GT26" s="8">
        <v>1</v>
      </c>
      <c r="GU26" s="8">
        <v>0.8</v>
      </c>
      <c r="GV26" s="8">
        <v>1</v>
      </c>
      <c r="GW26" s="8">
        <v>0.6</v>
      </c>
      <c r="GX26" s="55">
        <f t="shared" si="12"/>
        <v>0.78333333333333333</v>
      </c>
      <c r="GZ26" s="1488">
        <v>1</v>
      </c>
      <c r="HB26" s="1256">
        <v>1</v>
      </c>
      <c r="HC26" s="1256">
        <v>0</v>
      </c>
      <c r="HD26" s="1405">
        <v>1</v>
      </c>
      <c r="HE26" s="1405">
        <v>1</v>
      </c>
      <c r="HF26" s="1405">
        <v>1</v>
      </c>
      <c r="HG26" s="1405">
        <v>1</v>
      </c>
      <c r="HH26" s="1405">
        <v>1</v>
      </c>
      <c r="HI26" s="8">
        <v>16</v>
      </c>
      <c r="HJ26" s="8">
        <v>14</v>
      </c>
      <c r="HK26" s="8">
        <v>1.2</v>
      </c>
      <c r="HL26" s="8">
        <v>6</v>
      </c>
      <c r="HM26" s="1406">
        <f>Hüllzahl!Y26</f>
        <v>1.0588235294117647</v>
      </c>
      <c r="HN26" s="1407">
        <f>(HI26+HJ26*Hüllzahl!Y26)</f>
        <v>30.823529411764707</v>
      </c>
    </row>
    <row r="27" spans="1:222">
      <c r="A27" s="1545">
        <v>6.2</v>
      </c>
      <c r="B27" s="1544">
        <v>13</v>
      </c>
      <c r="C27" s="65" t="str">
        <f>Begriffe!F118</f>
        <v>Selbstbedienungsrestaurant</v>
      </c>
      <c r="D27" s="280">
        <v>20</v>
      </c>
      <c r="E27" s="82">
        <v>20</v>
      </c>
      <c r="F27" s="82">
        <v>3</v>
      </c>
      <c r="G27" s="255">
        <f t="shared" si="17"/>
        <v>400</v>
      </c>
      <c r="H27" s="255">
        <f>Hüllzahl!X27</f>
        <v>282.35294117647061</v>
      </c>
      <c r="I27" s="1452">
        <v>50</v>
      </c>
      <c r="J27" s="1406">
        <v>0.75</v>
      </c>
      <c r="K27" s="55">
        <f t="shared" si="0"/>
        <v>50.377833753148614</v>
      </c>
      <c r="L27" s="1453">
        <v>1.2</v>
      </c>
      <c r="M27" s="241">
        <v>0.9</v>
      </c>
      <c r="N27" s="241">
        <v>1.5</v>
      </c>
      <c r="O27" s="1406">
        <v>0.17</v>
      </c>
      <c r="P27" s="241">
        <v>0.1</v>
      </c>
      <c r="Q27" s="241">
        <v>0.8</v>
      </c>
      <c r="R27" s="55">
        <v>0.5</v>
      </c>
      <c r="S27" s="1406">
        <v>0.5</v>
      </c>
      <c r="T27" s="1406">
        <v>0.65</v>
      </c>
      <c r="U27" s="1406">
        <v>0.14000000000000001</v>
      </c>
      <c r="V27" s="1406">
        <v>0.1</v>
      </c>
      <c r="W27" s="1406">
        <v>0.2</v>
      </c>
      <c r="X27" s="55">
        <v>0.7</v>
      </c>
      <c r="Y27" s="55">
        <v>0.9</v>
      </c>
      <c r="Z27" s="55">
        <v>90</v>
      </c>
      <c r="AA27" s="1552">
        <f>'Kälte_TEC-Tool'!J26</f>
        <v>93</v>
      </c>
      <c r="AB27" s="1454">
        <v>26</v>
      </c>
      <c r="AC27" s="1455">
        <v>21</v>
      </c>
      <c r="AD27" s="1456" t="s">
        <v>26</v>
      </c>
      <c r="AE27" s="249" t="s">
        <v>157</v>
      </c>
      <c r="AF27" s="249">
        <v>70</v>
      </c>
      <c r="AG27" s="1457">
        <v>30</v>
      </c>
      <c r="AH27" s="1458"/>
      <c r="AI27" s="249">
        <v>40</v>
      </c>
      <c r="AJ27" s="1459">
        <v>1.1000000000000001</v>
      </c>
      <c r="AK27" s="1460">
        <v>2</v>
      </c>
      <c r="AL27" s="55">
        <v>1.2</v>
      </c>
      <c r="AM27" s="1461">
        <v>0.5</v>
      </c>
      <c r="AN27" s="241">
        <v>1</v>
      </c>
      <c r="AO27" s="1462">
        <v>0.5</v>
      </c>
      <c r="AP27" s="1460">
        <v>2</v>
      </c>
      <c r="AQ27" s="55">
        <v>1</v>
      </c>
      <c r="AR27" s="55">
        <v>3</v>
      </c>
      <c r="AS27" s="55">
        <f t="shared" si="34"/>
        <v>2</v>
      </c>
      <c r="AT27" s="55">
        <f t="shared" si="35"/>
        <v>1</v>
      </c>
      <c r="AU27" s="55">
        <f t="shared" si="36"/>
        <v>3</v>
      </c>
      <c r="AV27" s="1508">
        <v>10</v>
      </c>
      <c r="AW27" s="55">
        <v>200</v>
      </c>
      <c r="AX27" s="1509">
        <v>0.75</v>
      </c>
      <c r="AY27" s="1510">
        <v>22</v>
      </c>
      <c r="AZ27" s="1464">
        <f t="shared" si="21"/>
        <v>7</v>
      </c>
      <c r="BA27" s="1465">
        <f t="shared" si="2"/>
        <v>0</v>
      </c>
      <c r="BB27" s="1466">
        <v>0.8</v>
      </c>
      <c r="BC27" s="1451">
        <v>2</v>
      </c>
      <c r="BD27" s="1451">
        <v>3</v>
      </c>
      <c r="BE27" s="1511"/>
      <c r="BF27" s="1511"/>
      <c r="BG27" s="55"/>
      <c r="BH27" s="55"/>
      <c r="BI27" s="1453">
        <f>AP27+Res_Std!T23+Res_Std!U23</f>
        <v>8.1097256857855378</v>
      </c>
      <c r="BJ27" s="55">
        <v>50</v>
      </c>
      <c r="BK27" s="241">
        <f t="shared" si="22"/>
        <v>6.1654366543665429</v>
      </c>
      <c r="BL27" s="1460">
        <v>36</v>
      </c>
      <c r="BM27" s="1467"/>
      <c r="BN27" s="241">
        <f t="shared" si="14"/>
        <v>18</v>
      </c>
      <c r="BO27" s="241"/>
      <c r="BP27" s="241">
        <f t="shared" si="3"/>
        <v>18</v>
      </c>
      <c r="BQ27" s="55">
        <v>0</v>
      </c>
      <c r="BR27" s="1406">
        <v>0.15</v>
      </c>
      <c r="BS27" s="1406">
        <v>0.3</v>
      </c>
      <c r="BT27" s="1468" t="str">
        <f>Begriffe!$F$232</f>
        <v>stufenlos</v>
      </c>
      <c r="BU27" s="1468" t="str">
        <f>Begriffe!$F$232</f>
        <v>stufenlos</v>
      </c>
      <c r="BV27" s="1468" t="str">
        <f>Begriffe!$F$231</f>
        <v>2-stufig</v>
      </c>
      <c r="BW27" s="1406">
        <v>0.7</v>
      </c>
      <c r="BX27" s="1406">
        <v>0.8</v>
      </c>
      <c r="BY27" s="1406">
        <v>0.5</v>
      </c>
      <c r="BZ27" s="1406">
        <v>0.75</v>
      </c>
      <c r="CA27" s="1406">
        <v>0.85</v>
      </c>
      <c r="CB27" s="1406">
        <v>0.5</v>
      </c>
      <c r="CC27" s="1512" t="str">
        <f>Begriffe!$F$234</f>
        <v>Einfache Klimaanlage</v>
      </c>
      <c r="CD27" s="1513">
        <v>0.55000000000000004</v>
      </c>
      <c r="CE27" s="1513">
        <v>0.34</v>
      </c>
      <c r="CF27" s="1514">
        <v>0.91</v>
      </c>
      <c r="CG27" s="1515" t="str">
        <f>Begriffe!$F$240</f>
        <v>erwünscht</v>
      </c>
      <c r="CH27" s="1515" t="str">
        <f>Begriffe!$F$241</f>
        <v>notwendig</v>
      </c>
      <c r="CI27" s="1515" t="str">
        <f>Begriffe!$F$241</f>
        <v>notwendig</v>
      </c>
      <c r="CJ27" s="1515" t="str">
        <f>Begriffe!$F$239</f>
        <v>nicht notwend.</v>
      </c>
      <c r="CK27" s="1515" t="str">
        <f>Begriffe!$F$240</f>
        <v>erwünscht</v>
      </c>
      <c r="CL27" s="1515" t="str">
        <f>Begriffe!$F$241</f>
        <v>notwendig</v>
      </c>
      <c r="CM27" s="1473">
        <v>1</v>
      </c>
      <c r="CN27" s="1473">
        <v>2</v>
      </c>
      <c r="CO27" s="1473">
        <v>0</v>
      </c>
      <c r="CP27" s="1473">
        <v>0.5</v>
      </c>
      <c r="CQ27" s="1473"/>
      <c r="CR27" s="1473"/>
      <c r="CS27" s="1473"/>
      <c r="CT27" s="1474" t="str">
        <f>Begriffe!$F$244</f>
        <v>Sitzplatz</v>
      </c>
      <c r="CU27" s="1552">
        <v>15</v>
      </c>
      <c r="CV27" s="918">
        <v>1</v>
      </c>
      <c r="CW27" s="1451">
        <f t="shared" si="26"/>
        <v>15</v>
      </c>
      <c r="CX27" s="918">
        <v>3</v>
      </c>
      <c r="CY27" s="1463">
        <f t="shared" si="27"/>
        <v>45</v>
      </c>
      <c r="CZ27" s="1533" t="s">
        <v>202</v>
      </c>
      <c r="DA27" s="1453"/>
      <c r="DB27" s="241"/>
      <c r="DC27" s="241"/>
      <c r="DD27" s="1461"/>
      <c r="DE27" s="241"/>
      <c r="DF27" s="1475"/>
      <c r="DG27" s="241"/>
      <c r="DH27" s="241"/>
      <c r="DI27" s="241">
        <v>0.4</v>
      </c>
      <c r="DJ27" s="1461">
        <v>0.2</v>
      </c>
      <c r="DK27" s="241">
        <v>0.4</v>
      </c>
      <c r="DL27" s="1475">
        <v>1</v>
      </c>
      <c r="DM27" s="241">
        <v>0.4</v>
      </c>
      <c r="DN27" s="241">
        <v>0.2</v>
      </c>
      <c r="DO27" s="241">
        <v>0.4</v>
      </c>
      <c r="DP27" s="1461"/>
      <c r="DQ27" s="241"/>
      <c r="DR27" s="1475"/>
      <c r="DS27" s="241"/>
      <c r="DT27" s="241"/>
      <c r="DU27" s="241"/>
      <c r="DV27" s="1461"/>
      <c r="DW27" s="241"/>
      <c r="DX27" s="1462"/>
      <c r="DY27" s="1477">
        <v>0.1</v>
      </c>
      <c r="DZ27" s="1478">
        <v>0.1</v>
      </c>
      <c r="EA27" s="1478">
        <v>0.1</v>
      </c>
      <c r="EB27" s="1479">
        <v>0.1</v>
      </c>
      <c r="EC27" s="1478">
        <v>0.1</v>
      </c>
      <c r="ED27" s="1480">
        <v>0.1</v>
      </c>
      <c r="EE27" s="1478">
        <v>0.1</v>
      </c>
      <c r="EF27" s="241">
        <v>0.4</v>
      </c>
      <c r="EG27" s="241">
        <v>0.4</v>
      </c>
      <c r="EH27" s="1461">
        <v>0.4</v>
      </c>
      <c r="EI27" s="241">
        <v>0.6</v>
      </c>
      <c r="EJ27" s="1475">
        <v>1</v>
      </c>
      <c r="EK27" s="241">
        <v>1</v>
      </c>
      <c r="EL27" s="241">
        <v>0.8</v>
      </c>
      <c r="EM27" s="241">
        <v>0.4</v>
      </c>
      <c r="EN27" s="1461">
        <v>0.1</v>
      </c>
      <c r="EO27" s="241">
        <v>0.1</v>
      </c>
      <c r="EP27" s="1475">
        <v>0.1</v>
      </c>
      <c r="EQ27" s="241">
        <v>0.1</v>
      </c>
      <c r="ER27" s="241">
        <v>0.1</v>
      </c>
      <c r="ES27" s="241">
        <v>0.1</v>
      </c>
      <c r="ET27" s="1461">
        <v>0.1</v>
      </c>
      <c r="EU27" s="241">
        <v>0.1</v>
      </c>
      <c r="EV27" s="1462">
        <v>0.1</v>
      </c>
      <c r="EW27" s="280" t="s">
        <v>862</v>
      </c>
      <c r="EX27" s="1477">
        <v>0.8</v>
      </c>
      <c r="EY27" s="1478">
        <v>0.8</v>
      </c>
      <c r="EZ27" s="1478">
        <v>0.8</v>
      </c>
      <c r="FA27" s="1479">
        <v>0.8</v>
      </c>
      <c r="FB27" s="1478">
        <v>0.8</v>
      </c>
      <c r="FC27" s="1480">
        <v>0.8</v>
      </c>
      <c r="FD27" s="1478">
        <v>0.8</v>
      </c>
      <c r="FE27" s="1478">
        <v>0.8</v>
      </c>
      <c r="FF27" s="1478">
        <v>0.8</v>
      </c>
      <c r="FG27" s="1479">
        <v>0.8</v>
      </c>
      <c r="FH27" s="1478">
        <v>0.8</v>
      </c>
      <c r="FI27" s="1481">
        <v>0.8</v>
      </c>
      <c r="FJ27" s="1482">
        <v>1</v>
      </c>
      <c r="FK27" s="1483">
        <f t="shared" si="23"/>
        <v>313</v>
      </c>
      <c r="FL27" s="280">
        <f t="shared" si="4"/>
        <v>7</v>
      </c>
      <c r="FM27" s="82">
        <f t="shared" si="5"/>
        <v>3</v>
      </c>
      <c r="FN27" s="82">
        <f t="shared" si="6"/>
        <v>3</v>
      </c>
      <c r="FO27" s="82">
        <f t="shared" si="7"/>
        <v>0</v>
      </c>
      <c r="FP27" s="1484">
        <f t="shared" si="8"/>
        <v>0.80000000000000016</v>
      </c>
      <c r="FQ27" s="65">
        <f t="shared" si="24"/>
        <v>750</v>
      </c>
      <c r="FR27" s="280">
        <f t="shared" si="9"/>
        <v>24</v>
      </c>
      <c r="FS27" s="82">
        <f t="shared" si="10"/>
        <v>6.599999999999997</v>
      </c>
      <c r="FT27" s="82">
        <f t="shared" si="11"/>
        <v>2.4000000000000004</v>
      </c>
      <c r="FU27" s="65">
        <f t="shared" si="25"/>
        <v>1750</v>
      </c>
      <c r="FW27" s="1503"/>
      <c r="FX27" s="1503" t="str">
        <f>IF(BV27=0,Begriffe!$F$262,"")</f>
        <v/>
      </c>
      <c r="FY27" s="1485" t="str">
        <f>Begriffe!F281</f>
        <v>- Wasser- und Warmwasserbedarf für Restaurants inkl. Küche pro Sitzplatz</v>
      </c>
      <c r="FZ27" s="1487"/>
      <c r="GA27" s="1504"/>
      <c r="GK27" s="8" t="s">
        <v>156</v>
      </c>
      <c r="GL27" s="8">
        <v>0.8</v>
      </c>
      <c r="GM27" s="8">
        <v>0.6</v>
      </c>
      <c r="GN27" s="8">
        <v>1</v>
      </c>
      <c r="GO27" s="8">
        <v>0.8</v>
      </c>
      <c r="GP27" s="8">
        <v>0.6</v>
      </c>
      <c r="GQ27" s="8">
        <v>1</v>
      </c>
      <c r="GR27" s="8">
        <v>0.6</v>
      </c>
      <c r="GS27" s="8">
        <v>0.6</v>
      </c>
      <c r="GT27" s="8">
        <v>1</v>
      </c>
      <c r="GU27" s="8">
        <v>0.8</v>
      </c>
      <c r="GV27" s="8">
        <v>1</v>
      </c>
      <c r="GW27" s="8">
        <v>0.6</v>
      </c>
      <c r="GX27" s="55">
        <f t="shared" si="12"/>
        <v>0.78333333333333333</v>
      </c>
      <c r="GZ27" s="1488">
        <v>1</v>
      </c>
      <c r="HB27" s="1256">
        <v>1</v>
      </c>
      <c r="HC27" s="1256">
        <v>0</v>
      </c>
      <c r="HD27" s="1405">
        <v>1</v>
      </c>
      <c r="HE27" s="1405">
        <v>1</v>
      </c>
      <c r="HF27" s="1405">
        <v>1</v>
      </c>
      <c r="HG27" s="1405">
        <v>1</v>
      </c>
      <c r="HH27" s="1405">
        <v>1</v>
      </c>
      <c r="HI27" s="8">
        <v>16</v>
      </c>
      <c r="HJ27" s="8">
        <v>14</v>
      </c>
      <c r="HK27" s="8">
        <v>1.2</v>
      </c>
      <c r="HL27" s="8">
        <v>6</v>
      </c>
      <c r="HM27" s="1406">
        <f>Hüllzahl!Y27</f>
        <v>0.6352941176470589</v>
      </c>
      <c r="HN27" s="1407">
        <f>(HI27+HJ27*Hüllzahl!Y27)</f>
        <v>24.894117647058824</v>
      </c>
    </row>
    <row r="28" spans="1:222">
      <c r="A28" s="1545">
        <v>6.3</v>
      </c>
      <c r="B28" s="1544">
        <v>16</v>
      </c>
      <c r="C28" s="65" t="str">
        <f>Begriffe!F119</f>
        <v>Küche zu Restaurant</v>
      </c>
      <c r="D28" s="280">
        <v>6</v>
      </c>
      <c r="E28" s="82">
        <v>6</v>
      </c>
      <c r="F28" s="82">
        <v>3</v>
      </c>
      <c r="G28" s="255">
        <f t="shared" si="17"/>
        <v>36</v>
      </c>
      <c r="H28" s="255">
        <f>Hüllzahl!X28</f>
        <v>63.529411764705884</v>
      </c>
      <c r="I28" s="1452">
        <v>50</v>
      </c>
      <c r="J28" s="1406">
        <v>0.75</v>
      </c>
      <c r="K28" s="55">
        <f t="shared" si="0"/>
        <v>50.377833753148614</v>
      </c>
      <c r="L28" s="1453">
        <v>1.2</v>
      </c>
      <c r="M28" s="241">
        <v>0.9</v>
      </c>
      <c r="N28" s="241">
        <v>1.5</v>
      </c>
      <c r="O28" s="1406">
        <v>0.17</v>
      </c>
      <c r="P28" s="241">
        <v>0.1</v>
      </c>
      <c r="Q28" s="241">
        <v>0.8</v>
      </c>
      <c r="R28" s="55">
        <v>0.5</v>
      </c>
      <c r="S28" s="1406">
        <v>0.5</v>
      </c>
      <c r="T28" s="1406">
        <v>0.65</v>
      </c>
      <c r="U28" s="1406">
        <v>0.14000000000000001</v>
      </c>
      <c r="V28" s="1406">
        <v>0.1</v>
      </c>
      <c r="W28" s="1406">
        <v>0.2</v>
      </c>
      <c r="X28" s="55">
        <v>0.7</v>
      </c>
      <c r="Y28" s="55">
        <v>0.9</v>
      </c>
      <c r="Z28" s="55">
        <v>90</v>
      </c>
      <c r="AA28" s="1451">
        <f>'Kälte_TEC-Tool'!J27</f>
        <v>116.4</v>
      </c>
      <c r="AB28" s="1454">
        <v>28</v>
      </c>
      <c r="AC28" s="1455">
        <v>20</v>
      </c>
      <c r="AD28" s="1506" t="s">
        <v>26</v>
      </c>
      <c r="AE28" s="249" t="s">
        <v>157</v>
      </c>
      <c r="AF28" s="249"/>
      <c r="AG28" s="1457"/>
      <c r="AH28" s="1458"/>
      <c r="AI28" s="249">
        <v>50</v>
      </c>
      <c r="AJ28" s="1459">
        <v>0.7</v>
      </c>
      <c r="AK28" s="1460">
        <v>5</v>
      </c>
      <c r="AL28" s="55">
        <v>2</v>
      </c>
      <c r="AM28" s="1461">
        <v>0.5</v>
      </c>
      <c r="AN28" s="241">
        <v>1</v>
      </c>
      <c r="AO28" s="1463">
        <v>10</v>
      </c>
      <c r="AP28" s="1460">
        <v>200</v>
      </c>
      <c r="AQ28" s="55">
        <v>150</v>
      </c>
      <c r="AR28" s="55">
        <v>250</v>
      </c>
      <c r="AS28" s="55">
        <f t="shared" si="34"/>
        <v>200</v>
      </c>
      <c r="AT28" s="55">
        <f t="shared" si="35"/>
        <v>150</v>
      </c>
      <c r="AU28" s="55">
        <f t="shared" si="36"/>
        <v>250</v>
      </c>
      <c r="AV28" s="1508">
        <v>10</v>
      </c>
      <c r="AW28" s="55">
        <v>500</v>
      </c>
      <c r="AX28" s="1509">
        <v>0.75</v>
      </c>
      <c r="AY28" s="1510">
        <v>22</v>
      </c>
      <c r="AZ28" s="1464">
        <f t="shared" si="21"/>
        <v>8</v>
      </c>
      <c r="BA28" s="1465">
        <f t="shared" si="2"/>
        <v>5</v>
      </c>
      <c r="BB28" s="1466">
        <v>1</v>
      </c>
      <c r="BC28" s="1451">
        <v>2</v>
      </c>
      <c r="BD28" s="1451">
        <v>3</v>
      </c>
      <c r="BE28" s="1511"/>
      <c r="BF28" s="1511"/>
      <c r="BG28" s="55"/>
      <c r="BH28" s="55"/>
      <c r="BI28" s="1453">
        <f>AP28+Res_Std!T24+Res_Std!U24</f>
        <v>215.88021778584391</v>
      </c>
      <c r="BJ28" s="55">
        <v>400</v>
      </c>
      <c r="BK28" s="241">
        <f t="shared" si="22"/>
        <v>1.8528793610760825</v>
      </c>
      <c r="BL28" s="1474"/>
      <c r="BM28" s="1467"/>
      <c r="BN28" s="241">
        <f t="shared" si="14"/>
        <v>12</v>
      </c>
      <c r="BO28" s="241">
        <v>20</v>
      </c>
      <c r="BP28" s="241">
        <f t="shared" si="3"/>
        <v>20</v>
      </c>
      <c r="BQ28" s="55">
        <v>0</v>
      </c>
      <c r="BR28" s="1406">
        <v>0.15</v>
      </c>
      <c r="BS28" s="1406">
        <v>0.3</v>
      </c>
      <c r="BT28" s="1468" t="str">
        <f>Begriffe!$F$232</f>
        <v>stufenlos</v>
      </c>
      <c r="BU28" s="1468" t="str">
        <f>Begriffe!$F$232</f>
        <v>stufenlos</v>
      </c>
      <c r="BV28" s="1468" t="str">
        <f>Begriffe!$F$231</f>
        <v>2-stufig</v>
      </c>
      <c r="BW28" s="1406">
        <v>0.7</v>
      </c>
      <c r="BX28" s="1406">
        <v>0.8</v>
      </c>
      <c r="BY28" s="1406">
        <v>0.5</v>
      </c>
      <c r="BZ28" s="1406">
        <v>0.75</v>
      </c>
      <c r="CA28" s="1406">
        <v>0.85</v>
      </c>
      <c r="CB28" s="1406">
        <v>0.5</v>
      </c>
      <c r="CC28" s="1512" t="str">
        <f>Begriffe!$F$234</f>
        <v>Einfache Klimaanlage</v>
      </c>
      <c r="CD28" s="1513">
        <v>0.55000000000000004</v>
      </c>
      <c r="CE28" s="1513">
        <v>0.34</v>
      </c>
      <c r="CF28" s="1514">
        <v>0.91</v>
      </c>
      <c r="CG28" s="1515" t="str">
        <f>Begriffe!$F$241</f>
        <v>notwendig</v>
      </c>
      <c r="CH28" s="1515" t="str">
        <f>Begriffe!$F$241</f>
        <v>notwendig</v>
      </c>
      <c r="CI28" s="1515" t="str">
        <f>Begriffe!$F$241</f>
        <v>notwendig</v>
      </c>
      <c r="CJ28" s="1515" t="str">
        <f>Begriffe!$F$241</f>
        <v>notwendig</v>
      </c>
      <c r="CK28" s="1515" t="str">
        <f>Begriffe!$F$241</f>
        <v>notwendig</v>
      </c>
      <c r="CL28" s="1515" t="str">
        <f>Begriffe!$F$241</f>
        <v>notwendig</v>
      </c>
      <c r="CM28" s="1473">
        <v>500</v>
      </c>
      <c r="CN28" s="1473">
        <v>700</v>
      </c>
      <c r="CO28" s="1473">
        <v>300</v>
      </c>
      <c r="CP28" s="1473">
        <v>0</v>
      </c>
      <c r="CQ28" s="1473"/>
      <c r="CR28" s="1473"/>
      <c r="CS28" s="1473"/>
      <c r="CT28" s="1460"/>
      <c r="CU28" s="55"/>
      <c r="CV28" s="55"/>
      <c r="CW28" s="1451"/>
      <c r="CX28" s="55"/>
      <c r="CY28" s="1463"/>
      <c r="CZ28" s="1533" t="s">
        <v>114</v>
      </c>
      <c r="DA28" s="1453"/>
      <c r="DB28" s="241"/>
      <c r="DC28" s="241"/>
      <c r="DD28" s="1461"/>
      <c r="DE28" s="241"/>
      <c r="DF28" s="1475"/>
      <c r="DG28" s="241"/>
      <c r="DH28" s="241"/>
      <c r="DI28" s="241">
        <v>0.4</v>
      </c>
      <c r="DJ28" s="1461">
        <v>0.6</v>
      </c>
      <c r="DK28" s="241">
        <v>0.8</v>
      </c>
      <c r="DL28" s="1475">
        <v>1</v>
      </c>
      <c r="DM28" s="241">
        <v>1</v>
      </c>
      <c r="DN28" s="241">
        <v>0.6</v>
      </c>
      <c r="DO28" s="241">
        <v>0.4</v>
      </c>
      <c r="DP28" s="1461"/>
      <c r="DQ28" s="241"/>
      <c r="DR28" s="1475">
        <v>0.4</v>
      </c>
      <c r="DS28" s="241">
        <v>0.8</v>
      </c>
      <c r="DT28" s="241">
        <v>1</v>
      </c>
      <c r="DU28" s="241">
        <v>1</v>
      </c>
      <c r="DV28" s="1461">
        <v>0.4</v>
      </c>
      <c r="DW28" s="241">
        <v>0.2</v>
      </c>
      <c r="DX28" s="1462"/>
      <c r="DY28" s="1477">
        <v>0.1</v>
      </c>
      <c r="DZ28" s="1478">
        <v>0.1</v>
      </c>
      <c r="EA28" s="1478">
        <v>0.1</v>
      </c>
      <c r="EB28" s="1479">
        <v>0.1</v>
      </c>
      <c r="EC28" s="1478">
        <v>0.1</v>
      </c>
      <c r="ED28" s="1480">
        <v>0.1</v>
      </c>
      <c r="EE28" s="1478">
        <v>0.1</v>
      </c>
      <c r="EF28" s="1478">
        <v>0.1</v>
      </c>
      <c r="EG28" s="241">
        <v>0.4</v>
      </c>
      <c r="EH28" s="1461">
        <v>0.6</v>
      </c>
      <c r="EI28" s="241">
        <v>0.8</v>
      </c>
      <c r="EJ28" s="1475">
        <v>1</v>
      </c>
      <c r="EK28" s="241">
        <v>1</v>
      </c>
      <c r="EL28" s="241">
        <v>0.6</v>
      </c>
      <c r="EM28" s="241">
        <v>0.4</v>
      </c>
      <c r="EN28" s="1461">
        <v>0.1</v>
      </c>
      <c r="EO28" s="241">
        <v>0.1</v>
      </c>
      <c r="EP28" s="1475">
        <v>0.4</v>
      </c>
      <c r="EQ28" s="241">
        <v>0.8</v>
      </c>
      <c r="ER28" s="241">
        <v>1</v>
      </c>
      <c r="ES28" s="241">
        <v>1</v>
      </c>
      <c r="ET28" s="1461">
        <v>0.4</v>
      </c>
      <c r="EU28" s="241">
        <v>0.2</v>
      </c>
      <c r="EV28" s="1462">
        <v>0.1</v>
      </c>
      <c r="EW28" s="280" t="s">
        <v>862</v>
      </c>
      <c r="EX28" s="1477">
        <v>0.8</v>
      </c>
      <c r="EY28" s="1478">
        <v>0.8</v>
      </c>
      <c r="EZ28" s="1478">
        <v>0.8</v>
      </c>
      <c r="FA28" s="1479">
        <v>0.8</v>
      </c>
      <c r="FB28" s="1478">
        <v>0.8</v>
      </c>
      <c r="FC28" s="1480">
        <v>0.8</v>
      </c>
      <c r="FD28" s="1478">
        <v>0.8</v>
      </c>
      <c r="FE28" s="1478">
        <v>0.8</v>
      </c>
      <c r="FF28" s="1478">
        <v>0.8</v>
      </c>
      <c r="FG28" s="1479">
        <v>0.8</v>
      </c>
      <c r="FH28" s="1478">
        <v>0.8</v>
      </c>
      <c r="FI28" s="1481">
        <v>0.8</v>
      </c>
      <c r="FJ28" s="1482">
        <v>1</v>
      </c>
      <c r="FK28" s="1483">
        <f t="shared" si="23"/>
        <v>313</v>
      </c>
      <c r="FL28" s="280">
        <f t="shared" si="4"/>
        <v>13</v>
      </c>
      <c r="FM28" s="82">
        <f t="shared" si="5"/>
        <v>8.6</v>
      </c>
      <c r="FN28" s="82">
        <f t="shared" si="6"/>
        <v>5.2</v>
      </c>
      <c r="FO28" s="82">
        <f t="shared" si="7"/>
        <v>3.4</v>
      </c>
      <c r="FP28" s="1484">
        <f t="shared" si="8"/>
        <v>0.80000000000000016</v>
      </c>
      <c r="FQ28" s="65">
        <f t="shared" si="24"/>
        <v>2150</v>
      </c>
      <c r="FR28" s="280">
        <f t="shared" si="9"/>
        <v>24</v>
      </c>
      <c r="FS28" s="82">
        <f t="shared" si="10"/>
        <v>9.6999999999999993</v>
      </c>
      <c r="FT28" s="82">
        <f t="shared" si="11"/>
        <v>2.4000000000000004</v>
      </c>
      <c r="FU28" s="65">
        <f t="shared" si="25"/>
        <v>2530</v>
      </c>
      <c r="FW28" s="1503"/>
      <c r="FX28" s="1503" t="str">
        <f>IF(BV28=0,Begriffe!$F$262,"")</f>
        <v/>
      </c>
      <c r="FY28" s="1485" t="str">
        <f>Begriffe!F282</f>
        <v>- Wasser- und Warmwasserbedarf sind in der Raumnutzung 6.1 enthalten</v>
      </c>
      <c r="FZ28" s="1487"/>
      <c r="GA28" s="1504"/>
      <c r="GK28" s="8" t="s">
        <v>156</v>
      </c>
      <c r="GL28" s="8">
        <v>0.8</v>
      </c>
      <c r="GM28" s="8">
        <v>0.6</v>
      </c>
      <c r="GN28" s="8">
        <v>1</v>
      </c>
      <c r="GO28" s="8">
        <v>0.8</v>
      </c>
      <c r="GP28" s="8">
        <v>0.6</v>
      </c>
      <c r="GQ28" s="8">
        <v>1</v>
      </c>
      <c r="GR28" s="8">
        <v>0.6</v>
      </c>
      <c r="GS28" s="8">
        <v>0.6</v>
      </c>
      <c r="GT28" s="8">
        <v>1</v>
      </c>
      <c r="GU28" s="8">
        <v>0.8</v>
      </c>
      <c r="GV28" s="8">
        <v>1</v>
      </c>
      <c r="GW28" s="8">
        <v>0.6</v>
      </c>
      <c r="GX28" s="55">
        <f t="shared" si="12"/>
        <v>0.78333333333333333</v>
      </c>
      <c r="GZ28" s="1488">
        <v>1</v>
      </c>
      <c r="HB28" s="1256">
        <v>1</v>
      </c>
      <c r="HC28" s="1256">
        <v>0</v>
      </c>
      <c r="HD28" s="1405">
        <v>1</v>
      </c>
      <c r="HE28" s="1405">
        <v>1</v>
      </c>
      <c r="HF28" s="1405">
        <v>1</v>
      </c>
      <c r="HG28" s="1405">
        <v>1</v>
      </c>
      <c r="HH28" s="1405">
        <v>1</v>
      </c>
      <c r="HI28" s="8">
        <v>16</v>
      </c>
      <c r="HJ28" s="8">
        <v>14</v>
      </c>
      <c r="HK28" s="8">
        <v>1.2</v>
      </c>
      <c r="HL28" s="8">
        <v>6</v>
      </c>
      <c r="HM28" s="1406">
        <f>Hüllzahl!Y28</f>
        <v>1.5882352941176472</v>
      </c>
      <c r="HN28" s="1407">
        <f>(HI28+HJ28*Hüllzahl!Y28)</f>
        <v>38.235294117647058</v>
      </c>
    </row>
    <row r="29" spans="1:222">
      <c r="A29" s="1553">
        <v>6.4</v>
      </c>
      <c r="B29" s="1554">
        <v>15</v>
      </c>
      <c r="C29" s="357" t="str">
        <f>Begriffe!F120</f>
        <v>Küche zu Selbstbedienungsrest.</v>
      </c>
      <c r="D29" s="281">
        <v>12</v>
      </c>
      <c r="E29" s="282">
        <v>12</v>
      </c>
      <c r="F29" s="282">
        <v>3</v>
      </c>
      <c r="G29" s="1518">
        <f t="shared" si="17"/>
        <v>144</v>
      </c>
      <c r="H29" s="1518">
        <f>Hüllzahl!X29</f>
        <v>127.05882352941177</v>
      </c>
      <c r="I29" s="1411">
        <v>50</v>
      </c>
      <c r="J29" s="1412">
        <v>0.75</v>
      </c>
      <c r="K29" s="60">
        <f t="shared" si="0"/>
        <v>50.377833753148614</v>
      </c>
      <c r="L29" s="1011">
        <v>1.2</v>
      </c>
      <c r="M29" s="289">
        <v>0.9</v>
      </c>
      <c r="N29" s="289">
        <v>1.5</v>
      </c>
      <c r="O29" s="1412">
        <v>0.17</v>
      </c>
      <c r="P29" s="289">
        <v>0.1</v>
      </c>
      <c r="Q29" s="289">
        <v>0.8</v>
      </c>
      <c r="R29" s="60">
        <v>0.5</v>
      </c>
      <c r="S29" s="1412">
        <v>0.5</v>
      </c>
      <c r="T29" s="1412">
        <v>0.65</v>
      </c>
      <c r="U29" s="1412">
        <v>0.14000000000000001</v>
      </c>
      <c r="V29" s="1412">
        <v>0.1</v>
      </c>
      <c r="W29" s="1412">
        <v>0.2</v>
      </c>
      <c r="X29" s="60">
        <v>0.7</v>
      </c>
      <c r="Y29" s="60">
        <v>0.9</v>
      </c>
      <c r="Z29" s="60">
        <v>90</v>
      </c>
      <c r="AA29" s="1410">
        <f>'Kälte_TEC-Tool'!J28</f>
        <v>98.7</v>
      </c>
      <c r="AB29" s="1413">
        <v>28</v>
      </c>
      <c r="AC29" s="1414">
        <v>20</v>
      </c>
      <c r="AD29" s="1415" t="s">
        <v>26</v>
      </c>
      <c r="AE29" s="1416" t="s">
        <v>157</v>
      </c>
      <c r="AF29" s="1416"/>
      <c r="AG29" s="1417"/>
      <c r="AH29" s="1418"/>
      <c r="AI29" s="1416">
        <v>50</v>
      </c>
      <c r="AJ29" s="1419">
        <v>0.8</v>
      </c>
      <c r="AK29" s="56">
        <v>5</v>
      </c>
      <c r="AL29" s="60">
        <v>2</v>
      </c>
      <c r="AM29" s="1420">
        <v>0.5</v>
      </c>
      <c r="AN29" s="289">
        <v>1</v>
      </c>
      <c r="AO29" s="1422">
        <v>10</v>
      </c>
      <c r="AP29" s="56">
        <v>200</v>
      </c>
      <c r="AQ29" s="60">
        <v>150</v>
      </c>
      <c r="AR29" s="60">
        <v>250</v>
      </c>
      <c r="AS29" s="60">
        <f t="shared" si="34"/>
        <v>200</v>
      </c>
      <c r="AT29" s="60">
        <f t="shared" si="35"/>
        <v>150</v>
      </c>
      <c r="AU29" s="60">
        <f t="shared" si="36"/>
        <v>250</v>
      </c>
      <c r="AV29" s="1520">
        <v>10</v>
      </c>
      <c r="AW29" s="60">
        <v>500</v>
      </c>
      <c r="AX29" s="1521">
        <v>0.75</v>
      </c>
      <c r="AY29" s="1522">
        <v>22</v>
      </c>
      <c r="AZ29" s="1423">
        <f t="shared" si="21"/>
        <v>9</v>
      </c>
      <c r="BA29" s="1424">
        <f t="shared" si="2"/>
        <v>0</v>
      </c>
      <c r="BB29" s="1425">
        <v>1</v>
      </c>
      <c r="BC29" s="1410">
        <v>2</v>
      </c>
      <c r="BD29" s="1410">
        <v>3</v>
      </c>
      <c r="BE29" s="1490"/>
      <c r="BF29" s="1490"/>
      <c r="BG29" s="60"/>
      <c r="BH29" s="60"/>
      <c r="BI29" s="1011">
        <f>AP29+Res_Std!T25+Res_Std!U25</f>
        <v>212.47731397459165</v>
      </c>
      <c r="BJ29" s="60">
        <v>400</v>
      </c>
      <c r="BK29" s="289">
        <f t="shared" si="22"/>
        <v>1.882553918428358</v>
      </c>
      <c r="BL29" s="1474"/>
      <c r="BM29" s="1426"/>
      <c r="BN29" s="289">
        <f t="shared" si="14"/>
        <v>12</v>
      </c>
      <c r="BO29" s="289">
        <v>20</v>
      </c>
      <c r="BP29" s="289">
        <f t="shared" si="3"/>
        <v>20</v>
      </c>
      <c r="BQ29" s="60">
        <v>0</v>
      </c>
      <c r="BR29" s="1412">
        <v>0.15</v>
      </c>
      <c r="BS29" s="1412">
        <v>0.3</v>
      </c>
      <c r="BT29" s="1428" t="str">
        <f>Begriffe!$F$232</f>
        <v>stufenlos</v>
      </c>
      <c r="BU29" s="1428" t="str">
        <f>Begriffe!$F$232</f>
        <v>stufenlos</v>
      </c>
      <c r="BV29" s="1428" t="str">
        <f>Begriffe!$F$231</f>
        <v>2-stufig</v>
      </c>
      <c r="BW29" s="1412">
        <v>0.7</v>
      </c>
      <c r="BX29" s="1412">
        <v>0.8</v>
      </c>
      <c r="BY29" s="1412">
        <v>0.5</v>
      </c>
      <c r="BZ29" s="1412">
        <v>0.75</v>
      </c>
      <c r="CA29" s="1412">
        <v>0.85</v>
      </c>
      <c r="CB29" s="1412">
        <v>0.5</v>
      </c>
      <c r="CC29" s="1523" t="str">
        <f>Begriffe!$F$234</f>
        <v>Einfache Klimaanlage</v>
      </c>
      <c r="CD29" s="1524">
        <v>0.55000000000000004</v>
      </c>
      <c r="CE29" s="1524">
        <v>0.34</v>
      </c>
      <c r="CF29" s="1525">
        <v>0.91</v>
      </c>
      <c r="CG29" s="1526" t="str">
        <f>Begriffe!$F$241</f>
        <v>notwendig</v>
      </c>
      <c r="CH29" s="1526" t="str">
        <f>Begriffe!$F$241</f>
        <v>notwendig</v>
      </c>
      <c r="CI29" s="1526" t="str">
        <f>Begriffe!$F$241</f>
        <v>notwendig</v>
      </c>
      <c r="CJ29" s="1526" t="str">
        <f>Begriffe!$F$241</f>
        <v>notwendig</v>
      </c>
      <c r="CK29" s="1526" t="str">
        <f>Begriffe!$F$241</f>
        <v>notwendig</v>
      </c>
      <c r="CL29" s="1526" t="str">
        <f>Begriffe!$F$241</f>
        <v>notwendig</v>
      </c>
      <c r="CM29" s="1433">
        <v>500</v>
      </c>
      <c r="CN29" s="1433">
        <v>700</v>
      </c>
      <c r="CO29" s="1433">
        <v>300</v>
      </c>
      <c r="CP29" s="1433">
        <v>0</v>
      </c>
      <c r="CQ29" s="1433"/>
      <c r="CR29" s="1433"/>
      <c r="CS29" s="1433"/>
      <c r="CT29" s="56"/>
      <c r="CU29" s="60"/>
      <c r="CV29" s="60"/>
      <c r="CW29" s="1410"/>
      <c r="CX29" s="60"/>
      <c r="CY29" s="1422"/>
      <c r="CZ29" s="1555" t="s">
        <v>115</v>
      </c>
      <c r="DA29" s="1011"/>
      <c r="DB29" s="289"/>
      <c r="DC29" s="289"/>
      <c r="DD29" s="1420"/>
      <c r="DE29" s="289"/>
      <c r="DF29" s="1435"/>
      <c r="DG29" s="289"/>
      <c r="DH29" s="289">
        <v>0.4</v>
      </c>
      <c r="DI29" s="289">
        <v>0.4</v>
      </c>
      <c r="DJ29" s="1420">
        <v>0.8</v>
      </c>
      <c r="DK29" s="289">
        <v>1</v>
      </c>
      <c r="DL29" s="1435">
        <v>1</v>
      </c>
      <c r="DM29" s="289">
        <v>0.6</v>
      </c>
      <c r="DN29" s="289">
        <v>0.4</v>
      </c>
      <c r="DO29" s="289">
        <v>0.2</v>
      </c>
      <c r="DP29" s="1420">
        <v>0.2</v>
      </c>
      <c r="DQ29" s="289"/>
      <c r="DR29" s="1435"/>
      <c r="DS29" s="289"/>
      <c r="DT29" s="289"/>
      <c r="DU29" s="289"/>
      <c r="DV29" s="1420"/>
      <c r="DW29" s="289"/>
      <c r="DX29" s="1421"/>
      <c r="DY29" s="1437">
        <v>0.1</v>
      </c>
      <c r="DZ29" s="1438">
        <v>0.1</v>
      </c>
      <c r="EA29" s="1438">
        <v>0.1</v>
      </c>
      <c r="EB29" s="1439">
        <v>0.1</v>
      </c>
      <c r="EC29" s="1438">
        <v>0.1</v>
      </c>
      <c r="ED29" s="1440">
        <v>0.1</v>
      </c>
      <c r="EE29" s="1438">
        <v>0.1</v>
      </c>
      <c r="EF29" s="289">
        <v>0.4</v>
      </c>
      <c r="EG29" s="289">
        <v>0.4</v>
      </c>
      <c r="EH29" s="1420">
        <v>0.8</v>
      </c>
      <c r="EI29" s="289">
        <v>1</v>
      </c>
      <c r="EJ29" s="1435">
        <v>1</v>
      </c>
      <c r="EK29" s="289">
        <v>0.6</v>
      </c>
      <c r="EL29" s="289">
        <v>0.4</v>
      </c>
      <c r="EM29" s="289">
        <v>0.2</v>
      </c>
      <c r="EN29" s="1420">
        <v>0.2</v>
      </c>
      <c r="EO29" s="289">
        <v>0.1</v>
      </c>
      <c r="EP29" s="1435">
        <v>0.1</v>
      </c>
      <c r="EQ29" s="289">
        <v>0.1</v>
      </c>
      <c r="ER29" s="289">
        <v>0.1</v>
      </c>
      <c r="ES29" s="289">
        <v>0.1</v>
      </c>
      <c r="ET29" s="1420">
        <v>0.1</v>
      </c>
      <c r="EU29" s="289">
        <v>0.1</v>
      </c>
      <c r="EV29" s="1421">
        <v>0.1</v>
      </c>
      <c r="EW29" s="281" t="s">
        <v>862</v>
      </c>
      <c r="EX29" s="1437">
        <v>0.8</v>
      </c>
      <c r="EY29" s="1438">
        <v>0.8</v>
      </c>
      <c r="EZ29" s="1438">
        <v>0.8</v>
      </c>
      <c r="FA29" s="1439">
        <v>0.8</v>
      </c>
      <c r="FB29" s="1438">
        <v>0.8</v>
      </c>
      <c r="FC29" s="1440">
        <v>0.8</v>
      </c>
      <c r="FD29" s="1438">
        <v>0.8</v>
      </c>
      <c r="FE29" s="1438">
        <v>0.8</v>
      </c>
      <c r="FF29" s="1438">
        <v>0.8</v>
      </c>
      <c r="FG29" s="1439">
        <v>0.8</v>
      </c>
      <c r="FH29" s="1438">
        <v>0.8</v>
      </c>
      <c r="FI29" s="1441">
        <v>0.8</v>
      </c>
      <c r="FJ29" s="1442">
        <v>1</v>
      </c>
      <c r="FK29" s="1443">
        <f t="shared" si="23"/>
        <v>313</v>
      </c>
      <c r="FL29" s="281">
        <f t="shared" si="4"/>
        <v>9</v>
      </c>
      <c r="FM29" s="282">
        <f t="shared" si="5"/>
        <v>5.0000000000000009</v>
      </c>
      <c r="FN29" s="282">
        <f t="shared" si="6"/>
        <v>5.0000000000000009</v>
      </c>
      <c r="FO29" s="282">
        <f t="shared" si="7"/>
        <v>0</v>
      </c>
      <c r="FP29" s="1444">
        <f t="shared" si="8"/>
        <v>0.80000000000000016</v>
      </c>
      <c r="FQ29" s="357">
        <f t="shared" si="24"/>
        <v>1250</v>
      </c>
      <c r="FR29" s="281">
        <f t="shared" si="9"/>
        <v>24</v>
      </c>
      <c r="FS29" s="282">
        <f t="shared" si="10"/>
        <v>6.4999999999999973</v>
      </c>
      <c r="FT29" s="282">
        <f t="shared" si="11"/>
        <v>2.4000000000000004</v>
      </c>
      <c r="FU29" s="357">
        <f t="shared" si="25"/>
        <v>1730</v>
      </c>
      <c r="FW29" s="1503"/>
      <c r="FX29" s="1503" t="str">
        <f>IF(BV29=0,Begriffe!$F$262,"")</f>
        <v/>
      </c>
      <c r="FY29" s="1485" t="str">
        <f>Begriffe!F283</f>
        <v>'- Wasser- und Warmwasserbedarf sind in der Raumnutzung 6.2 enthalten</v>
      </c>
      <c r="FZ29" s="1487"/>
      <c r="GA29" s="1504"/>
      <c r="GK29" s="8" t="s">
        <v>156</v>
      </c>
      <c r="GL29" s="8">
        <v>0.8</v>
      </c>
      <c r="GM29" s="8">
        <v>0.6</v>
      </c>
      <c r="GN29" s="8">
        <v>1</v>
      </c>
      <c r="GO29" s="8">
        <v>0.8</v>
      </c>
      <c r="GP29" s="8">
        <v>0.6</v>
      </c>
      <c r="GQ29" s="8">
        <v>1</v>
      </c>
      <c r="GR29" s="8">
        <v>0.6</v>
      </c>
      <c r="GS29" s="8">
        <v>0.6</v>
      </c>
      <c r="GT29" s="8">
        <v>1</v>
      </c>
      <c r="GU29" s="8">
        <v>0.8</v>
      </c>
      <c r="GV29" s="8">
        <v>1</v>
      </c>
      <c r="GW29" s="8">
        <v>0.6</v>
      </c>
      <c r="GX29" s="55">
        <f t="shared" si="12"/>
        <v>0.78333333333333333</v>
      </c>
      <c r="GZ29" s="1488">
        <v>1</v>
      </c>
      <c r="HB29" s="1256">
        <v>1</v>
      </c>
      <c r="HC29" s="1256">
        <v>0</v>
      </c>
      <c r="HD29" s="1405">
        <v>1</v>
      </c>
      <c r="HE29" s="1405">
        <v>1</v>
      </c>
      <c r="HF29" s="1405">
        <v>1</v>
      </c>
      <c r="HG29" s="1405">
        <v>1</v>
      </c>
      <c r="HH29" s="1405">
        <v>1</v>
      </c>
      <c r="HI29" s="8">
        <v>16</v>
      </c>
      <c r="HJ29" s="8">
        <v>14</v>
      </c>
      <c r="HK29" s="8">
        <v>1.2</v>
      </c>
      <c r="HL29" s="8">
        <v>6</v>
      </c>
      <c r="HM29" s="1406">
        <f>Hüllzahl!Y29</f>
        <v>0.79411764705882359</v>
      </c>
      <c r="HN29" s="1407">
        <f>(HI29+HJ29*Hüllzahl!Y29)</f>
        <v>27.117647058823529</v>
      </c>
    </row>
    <row r="30" spans="1:222">
      <c r="A30" s="1548">
        <v>7.1</v>
      </c>
      <c r="B30" s="1549"/>
      <c r="C30" s="288" t="str">
        <f>Begriffe!F121</f>
        <v>Vorstellungsraum</v>
      </c>
      <c r="D30" s="291">
        <v>20</v>
      </c>
      <c r="E30" s="292">
        <v>20</v>
      </c>
      <c r="F30" s="292">
        <v>7</v>
      </c>
      <c r="G30" s="1492">
        <f t="shared" si="17"/>
        <v>400</v>
      </c>
      <c r="H30" s="1492">
        <f>Hüllzahl!X30</f>
        <v>494.11764705882354</v>
      </c>
      <c r="I30" s="1366">
        <v>0</v>
      </c>
      <c r="J30" s="1367">
        <v>0.75</v>
      </c>
      <c r="K30" s="72">
        <f t="shared" si="0"/>
        <v>0</v>
      </c>
      <c r="L30" s="263">
        <v>1.2</v>
      </c>
      <c r="M30" s="240">
        <v>0.9</v>
      </c>
      <c r="N30" s="240">
        <v>1.5</v>
      </c>
      <c r="O30" s="1367">
        <v>0.17</v>
      </c>
      <c r="P30" s="240">
        <v>0.1</v>
      </c>
      <c r="Q30" s="240">
        <v>0.8</v>
      </c>
      <c r="R30" s="72">
        <v>0.5</v>
      </c>
      <c r="S30" s="1367">
        <v>0.5</v>
      </c>
      <c r="T30" s="1367">
        <v>0.65</v>
      </c>
      <c r="U30" s="1367">
        <v>0.14000000000000001</v>
      </c>
      <c r="V30" s="1367">
        <v>0.1</v>
      </c>
      <c r="W30" s="1367">
        <v>0.2</v>
      </c>
      <c r="X30" s="72">
        <v>0.7</v>
      </c>
      <c r="Y30" s="72">
        <v>0.9</v>
      </c>
      <c r="Z30" s="72">
        <v>90</v>
      </c>
      <c r="AA30" s="1365">
        <f>'Kälte_TEC-Tool'!J29</f>
        <v>111.4</v>
      </c>
      <c r="AB30" s="1368">
        <v>26</v>
      </c>
      <c r="AC30" s="1369">
        <v>21</v>
      </c>
      <c r="AD30" s="1370" t="s">
        <v>26</v>
      </c>
      <c r="AE30" s="1371" t="s">
        <v>155</v>
      </c>
      <c r="AF30" s="1371">
        <v>60</v>
      </c>
      <c r="AG30" s="1372">
        <v>30</v>
      </c>
      <c r="AH30" s="1373"/>
      <c r="AI30" s="1371">
        <v>30</v>
      </c>
      <c r="AJ30" s="1374">
        <v>1.2</v>
      </c>
      <c r="AK30" s="73">
        <v>3</v>
      </c>
      <c r="AL30" s="72">
        <v>1.2</v>
      </c>
      <c r="AM30" s="1375">
        <v>0.5</v>
      </c>
      <c r="AN30" s="240">
        <v>1</v>
      </c>
      <c r="AO30" s="1376">
        <v>0.5</v>
      </c>
      <c r="AP30" s="73">
        <v>2</v>
      </c>
      <c r="AQ30" s="72">
        <v>1</v>
      </c>
      <c r="AR30" s="72">
        <v>3</v>
      </c>
      <c r="AS30" s="72">
        <f t="shared" si="34"/>
        <v>2</v>
      </c>
      <c r="AT30" s="72">
        <f t="shared" si="35"/>
        <v>1</v>
      </c>
      <c r="AU30" s="72">
        <f t="shared" si="36"/>
        <v>3</v>
      </c>
      <c r="AV30" s="1494">
        <v>10</v>
      </c>
      <c r="AW30" s="72">
        <v>300</v>
      </c>
      <c r="AX30" s="1495">
        <v>0.75</v>
      </c>
      <c r="AY30" s="1496">
        <v>22</v>
      </c>
      <c r="AZ30" s="1378">
        <f t="shared" si="21"/>
        <v>6</v>
      </c>
      <c r="BA30" s="1379">
        <f t="shared" si="2"/>
        <v>6</v>
      </c>
      <c r="BB30" s="1380">
        <v>1</v>
      </c>
      <c r="BC30" s="1365">
        <v>2</v>
      </c>
      <c r="BD30" s="1365">
        <v>3</v>
      </c>
      <c r="BE30" s="1556"/>
      <c r="BF30" s="1556"/>
      <c r="BG30" s="285"/>
      <c r="BH30" s="285"/>
      <c r="BI30" s="291">
        <f>AP30+Res_Std!T26+Res_Std!U26</f>
        <v>12.809312638580931</v>
      </c>
      <c r="BJ30" s="285">
        <v>50</v>
      </c>
      <c r="BK30" s="292">
        <f t="shared" si="22"/>
        <v>3.9034100744330971</v>
      </c>
      <c r="BL30" s="1390">
        <v>36</v>
      </c>
      <c r="BM30" s="1381"/>
      <c r="BN30" s="240">
        <f t="shared" si="14"/>
        <v>12</v>
      </c>
      <c r="BO30" s="240"/>
      <c r="BP30" s="240">
        <f t="shared" si="3"/>
        <v>12</v>
      </c>
      <c r="BQ30" s="72">
        <v>0</v>
      </c>
      <c r="BR30" s="1367">
        <v>0.15</v>
      </c>
      <c r="BS30" s="1367">
        <v>0.3</v>
      </c>
      <c r="BT30" s="1383" t="str">
        <f>Begriffe!$F$232</f>
        <v>stufenlos</v>
      </c>
      <c r="BU30" s="1383" t="str">
        <f>Begriffe!$F$232</f>
        <v>stufenlos</v>
      </c>
      <c r="BV30" s="1383" t="str">
        <f>Begriffe!$F$231</f>
        <v>2-stufig</v>
      </c>
      <c r="BW30" s="1367">
        <v>0.7</v>
      </c>
      <c r="BX30" s="1367">
        <v>0.8</v>
      </c>
      <c r="BY30" s="1367">
        <v>0.5</v>
      </c>
      <c r="BZ30" s="1367">
        <v>0.75</v>
      </c>
      <c r="CA30" s="1367">
        <v>0.85</v>
      </c>
      <c r="CB30" s="1367">
        <v>0.5</v>
      </c>
      <c r="CC30" s="1557" t="str">
        <f>Begriffe!$F$234</f>
        <v>Einfache Klimaanlage</v>
      </c>
      <c r="CD30" s="1498">
        <v>0.55000000000000004</v>
      </c>
      <c r="CE30" s="1498">
        <v>0.34</v>
      </c>
      <c r="CF30" s="1499">
        <v>0.91</v>
      </c>
      <c r="CG30" s="1500" t="str">
        <f>Begriffe!$F$241</f>
        <v>notwendig</v>
      </c>
      <c r="CH30" s="1500" t="str">
        <f>Begriffe!$F$241</f>
        <v>notwendig</v>
      </c>
      <c r="CI30" s="1500" t="str">
        <f>Begriffe!$F$241</f>
        <v>notwendig</v>
      </c>
      <c r="CJ30" s="1500" t="str">
        <f>Begriffe!$F$241</f>
        <v>notwendig</v>
      </c>
      <c r="CK30" s="1500" t="str">
        <f>Begriffe!$F$241</f>
        <v>notwendig</v>
      </c>
      <c r="CL30" s="1500" t="str">
        <f>Begriffe!$F$241</f>
        <v>notwendig</v>
      </c>
      <c r="CM30" s="1389">
        <v>1</v>
      </c>
      <c r="CN30" s="1389">
        <v>2</v>
      </c>
      <c r="CO30" s="1389">
        <v>0</v>
      </c>
      <c r="CP30" s="1389">
        <v>0.5</v>
      </c>
      <c r="CQ30" s="1389"/>
      <c r="CR30" s="1389"/>
      <c r="CS30" s="1389"/>
      <c r="CT30" s="1390" t="str">
        <f>Begriffe!$F$242</f>
        <v>Person</v>
      </c>
      <c r="CU30" s="879">
        <v>1.5</v>
      </c>
      <c r="CV30" s="879">
        <v>1</v>
      </c>
      <c r="CW30" s="240">
        <f>IF(CV30=0,CU30,CU30*CV30)</f>
        <v>1.5</v>
      </c>
      <c r="CX30" s="879">
        <v>20</v>
      </c>
      <c r="CY30" s="1377">
        <f>CW30*CX30</f>
        <v>30</v>
      </c>
      <c r="CZ30" s="1389" t="s">
        <v>116</v>
      </c>
      <c r="DA30" s="1393"/>
      <c r="DB30" s="1394"/>
      <c r="DC30" s="1394"/>
      <c r="DD30" s="1395"/>
      <c r="DE30" s="1394"/>
      <c r="DF30" s="1396"/>
      <c r="DG30" s="1394"/>
      <c r="DH30" s="1394"/>
      <c r="DI30" s="1394"/>
      <c r="DJ30" s="1395"/>
      <c r="DK30" s="1394"/>
      <c r="DL30" s="1396"/>
      <c r="DM30" s="1394">
        <v>0.2</v>
      </c>
      <c r="DN30" s="1394">
        <v>0.6</v>
      </c>
      <c r="DO30" s="1394">
        <v>0.6</v>
      </c>
      <c r="DP30" s="1395">
        <v>0.6</v>
      </c>
      <c r="DQ30" s="1394">
        <v>0.6</v>
      </c>
      <c r="DR30" s="1396">
        <v>0.6</v>
      </c>
      <c r="DS30" s="1394">
        <v>0.6</v>
      </c>
      <c r="DT30" s="1394">
        <v>1</v>
      </c>
      <c r="DU30" s="1394">
        <v>1</v>
      </c>
      <c r="DV30" s="1395">
        <v>1</v>
      </c>
      <c r="DW30" s="1394">
        <v>0.6</v>
      </c>
      <c r="DX30" s="1397">
        <v>0.2</v>
      </c>
      <c r="DY30" s="1393">
        <v>0.1</v>
      </c>
      <c r="DZ30" s="1394">
        <v>0.1</v>
      </c>
      <c r="EA30" s="1394">
        <v>0.1</v>
      </c>
      <c r="EB30" s="1395">
        <v>0.1</v>
      </c>
      <c r="EC30" s="1394">
        <v>0.1</v>
      </c>
      <c r="ED30" s="1396">
        <v>0.1</v>
      </c>
      <c r="EE30" s="1394">
        <v>0.1</v>
      </c>
      <c r="EF30" s="1394">
        <v>0.1</v>
      </c>
      <c r="EG30" s="1394">
        <v>0.1</v>
      </c>
      <c r="EH30" s="1395">
        <v>0.1</v>
      </c>
      <c r="EI30" s="1394">
        <v>0.1</v>
      </c>
      <c r="EJ30" s="1396">
        <v>0.1</v>
      </c>
      <c r="EK30" s="1394">
        <v>0.2</v>
      </c>
      <c r="EL30" s="1394">
        <v>0.6</v>
      </c>
      <c r="EM30" s="1394">
        <v>0.6</v>
      </c>
      <c r="EN30" s="1395">
        <v>0.6</v>
      </c>
      <c r="EO30" s="1394">
        <v>0.6</v>
      </c>
      <c r="EP30" s="1396">
        <v>0.6</v>
      </c>
      <c r="EQ30" s="1394">
        <v>0.6</v>
      </c>
      <c r="ER30" s="1394">
        <v>1</v>
      </c>
      <c r="ES30" s="1394">
        <v>1</v>
      </c>
      <c r="ET30" s="1395">
        <v>1</v>
      </c>
      <c r="EU30" s="1394">
        <v>0.6</v>
      </c>
      <c r="EV30" s="1397">
        <v>0.2</v>
      </c>
      <c r="EW30" s="291" t="s">
        <v>862</v>
      </c>
      <c r="EX30" s="1393">
        <v>0.8</v>
      </c>
      <c r="EY30" s="1394">
        <v>0.8</v>
      </c>
      <c r="EZ30" s="1394">
        <v>0.8</v>
      </c>
      <c r="FA30" s="1395">
        <v>0.8</v>
      </c>
      <c r="FB30" s="1394">
        <v>0.8</v>
      </c>
      <c r="FC30" s="1396">
        <v>0.8</v>
      </c>
      <c r="FD30" s="1394">
        <v>0.8</v>
      </c>
      <c r="FE30" s="1394">
        <v>0.8</v>
      </c>
      <c r="FF30" s="1394">
        <v>0.8</v>
      </c>
      <c r="FG30" s="1395">
        <v>0.8</v>
      </c>
      <c r="FH30" s="1394">
        <v>0.8</v>
      </c>
      <c r="FI30" s="1397">
        <v>0.8</v>
      </c>
      <c r="FJ30" s="1501">
        <v>1</v>
      </c>
      <c r="FK30" s="1483">
        <f t="shared" si="23"/>
        <v>313</v>
      </c>
      <c r="FL30" s="280">
        <f t="shared" si="4"/>
        <v>12</v>
      </c>
      <c r="FM30" s="82">
        <f t="shared" si="5"/>
        <v>7.6000000000000005</v>
      </c>
      <c r="FN30" s="82">
        <f t="shared" si="6"/>
        <v>3.2</v>
      </c>
      <c r="FO30" s="82">
        <f t="shared" si="7"/>
        <v>4.4000000000000004</v>
      </c>
      <c r="FP30" s="1484">
        <f t="shared" si="8"/>
        <v>0.80000000000000016</v>
      </c>
      <c r="FQ30" s="65">
        <f t="shared" si="24"/>
        <v>1900</v>
      </c>
      <c r="FR30" s="280">
        <f t="shared" si="9"/>
        <v>24</v>
      </c>
      <c r="FS30" s="82">
        <f t="shared" si="10"/>
        <v>8.7999999999999989</v>
      </c>
      <c r="FT30" s="82">
        <f t="shared" si="11"/>
        <v>2.4000000000000004</v>
      </c>
      <c r="FU30" s="65">
        <f t="shared" si="25"/>
        <v>2300</v>
      </c>
      <c r="FV30" s="1502" t="str">
        <f>Begriffe!F253</f>
        <v>- Bühnenbereich des Theaters mit speziellen Anforderungen</v>
      </c>
      <c r="FX30" s="1503" t="str">
        <f>IF(BV30=0,Begriffe!$F$262,"")</f>
        <v/>
      </c>
      <c r="FY30" s="1485" t="str">
        <f>Begriffe!F284</f>
        <v>- Wasser- und Warmwasserbedarf pro Person (Besucher)</v>
      </c>
      <c r="FZ30" s="1487"/>
      <c r="GA30" s="1504"/>
      <c r="GK30" s="8" t="s">
        <v>156</v>
      </c>
      <c r="GL30" s="8">
        <v>0.8</v>
      </c>
      <c r="GM30" s="8">
        <v>0.4</v>
      </c>
      <c r="GN30" s="8">
        <v>1</v>
      </c>
      <c r="GO30" s="8">
        <v>0.8</v>
      </c>
      <c r="GP30" s="8">
        <v>0.4</v>
      </c>
      <c r="GQ30" s="8">
        <v>1</v>
      </c>
      <c r="GR30" s="8">
        <v>0.2</v>
      </c>
      <c r="GS30" s="8">
        <v>0.6</v>
      </c>
      <c r="GT30" s="8">
        <v>1</v>
      </c>
      <c r="GU30" s="8">
        <v>0.4</v>
      </c>
      <c r="GV30" s="8">
        <v>1</v>
      </c>
      <c r="GW30" s="8">
        <v>0.6</v>
      </c>
      <c r="GX30" s="55">
        <f t="shared" si="12"/>
        <v>0.68333333333333346</v>
      </c>
      <c r="GZ30" s="1488">
        <v>1</v>
      </c>
      <c r="HB30" s="1256">
        <v>1</v>
      </c>
      <c r="HC30" s="1256">
        <v>0</v>
      </c>
      <c r="HD30" s="1405">
        <v>1</v>
      </c>
      <c r="HE30" s="1405">
        <v>1</v>
      </c>
      <c r="HF30" s="1405">
        <v>1</v>
      </c>
      <c r="HG30" s="1405">
        <v>1</v>
      </c>
      <c r="HH30" s="1405">
        <v>1</v>
      </c>
      <c r="HI30" s="8">
        <v>18</v>
      </c>
      <c r="HJ30" s="8">
        <v>14</v>
      </c>
      <c r="HK30" s="8">
        <v>1</v>
      </c>
      <c r="HL30" s="8">
        <v>7</v>
      </c>
      <c r="HM30" s="1406">
        <f>Hüllzahl!Y30</f>
        <v>1.111764705882353</v>
      </c>
      <c r="HN30" s="1407">
        <f>(HI30+HJ30*Hüllzahl!Y30)</f>
        <v>33.564705882352939</v>
      </c>
    </row>
    <row r="31" spans="1:222">
      <c r="A31" s="1545">
        <v>7.2</v>
      </c>
      <c r="B31" s="1544"/>
      <c r="C31" s="65" t="str">
        <f>Begriffe!F122</f>
        <v>Mehrzweckhalle</v>
      </c>
      <c r="D31" s="280">
        <v>20</v>
      </c>
      <c r="E31" s="82">
        <v>20</v>
      </c>
      <c r="F31" s="82">
        <v>7</v>
      </c>
      <c r="G31" s="255">
        <f t="shared" si="17"/>
        <v>400</v>
      </c>
      <c r="H31" s="255">
        <f>Hüllzahl!X31</f>
        <v>494.11764705882354</v>
      </c>
      <c r="I31" s="1452">
        <v>50</v>
      </c>
      <c r="J31" s="1406">
        <v>0.75</v>
      </c>
      <c r="K31" s="55">
        <f t="shared" si="0"/>
        <v>50.377833753148614</v>
      </c>
      <c r="L31" s="1453">
        <v>1.2</v>
      </c>
      <c r="M31" s="241">
        <v>0.9</v>
      </c>
      <c r="N31" s="241">
        <v>1.5</v>
      </c>
      <c r="O31" s="1406">
        <v>0.17</v>
      </c>
      <c r="P31" s="241">
        <v>0.1</v>
      </c>
      <c r="Q31" s="241">
        <v>0.8</v>
      </c>
      <c r="R31" s="55">
        <v>0.5</v>
      </c>
      <c r="S31" s="1406">
        <v>0.5</v>
      </c>
      <c r="T31" s="1406">
        <v>0.65</v>
      </c>
      <c r="U31" s="1406">
        <v>0.14000000000000001</v>
      </c>
      <c r="V31" s="1406">
        <v>0.1</v>
      </c>
      <c r="W31" s="1406">
        <v>0.2</v>
      </c>
      <c r="X31" s="55">
        <v>0.7</v>
      </c>
      <c r="Y31" s="55">
        <v>0.9</v>
      </c>
      <c r="Z31" s="55">
        <v>90</v>
      </c>
      <c r="AA31" s="1451">
        <f>'Kälte_TEC-Tool'!J30</f>
        <v>105.8</v>
      </c>
      <c r="AB31" s="1454">
        <v>26</v>
      </c>
      <c r="AC31" s="1455">
        <v>21</v>
      </c>
      <c r="AD31" s="1506" t="s">
        <v>26</v>
      </c>
      <c r="AE31" s="249" t="s">
        <v>155</v>
      </c>
      <c r="AF31" s="249">
        <v>60</v>
      </c>
      <c r="AG31" s="1457">
        <v>30</v>
      </c>
      <c r="AH31" s="1458"/>
      <c r="AI31" s="249">
        <v>30</v>
      </c>
      <c r="AJ31" s="1459">
        <v>1.2</v>
      </c>
      <c r="AK31" s="1460">
        <v>3</v>
      </c>
      <c r="AL31" s="55">
        <v>1.2</v>
      </c>
      <c r="AM31" s="1461">
        <v>0.5</v>
      </c>
      <c r="AN31" s="241">
        <v>1</v>
      </c>
      <c r="AO31" s="1462">
        <v>0.5</v>
      </c>
      <c r="AP31" s="1460">
        <v>4</v>
      </c>
      <c r="AQ31" s="55">
        <v>2</v>
      </c>
      <c r="AR31" s="55">
        <v>6</v>
      </c>
      <c r="AS31" s="55">
        <f t="shared" si="34"/>
        <v>4</v>
      </c>
      <c r="AT31" s="55">
        <f t="shared" si="35"/>
        <v>2</v>
      </c>
      <c r="AU31" s="55">
        <f t="shared" si="36"/>
        <v>6</v>
      </c>
      <c r="AV31" s="1508">
        <v>10</v>
      </c>
      <c r="AW31" s="55">
        <v>300</v>
      </c>
      <c r="AX31" s="1509">
        <v>0.75</v>
      </c>
      <c r="AY31" s="1510">
        <v>22</v>
      </c>
      <c r="AZ31" s="1464">
        <f t="shared" si="21"/>
        <v>11</v>
      </c>
      <c r="BA31" s="1465">
        <f t="shared" si="2"/>
        <v>5</v>
      </c>
      <c r="BB31" s="1466">
        <v>1</v>
      </c>
      <c r="BC31" s="1451">
        <v>2</v>
      </c>
      <c r="BD31" s="1451">
        <v>3</v>
      </c>
      <c r="BE31" s="1535"/>
      <c r="BF31" s="1535"/>
      <c r="BG31" s="4"/>
      <c r="BH31" s="4"/>
      <c r="BI31" s="280">
        <f>AP31+Res_Std!T27+Res_Std!U27</f>
        <v>14.809312638580931</v>
      </c>
      <c r="BJ31" s="918">
        <v>50</v>
      </c>
      <c r="BK31" s="82">
        <f t="shared" si="22"/>
        <v>3.3762539302290762</v>
      </c>
      <c r="BL31" s="1474">
        <v>36</v>
      </c>
      <c r="BM31" s="1467"/>
      <c r="BN31" s="241">
        <f t="shared" si="14"/>
        <v>12</v>
      </c>
      <c r="BO31" s="241"/>
      <c r="BP31" s="241">
        <f t="shared" si="3"/>
        <v>12</v>
      </c>
      <c r="BQ31" s="55">
        <v>0</v>
      </c>
      <c r="BR31" s="1406">
        <v>0.15</v>
      </c>
      <c r="BS31" s="1406">
        <v>0.3</v>
      </c>
      <c r="BT31" s="1468" t="str">
        <f>Begriffe!$F$232</f>
        <v>stufenlos</v>
      </c>
      <c r="BU31" s="1468" t="str">
        <f>Begriffe!$F$232</f>
        <v>stufenlos</v>
      </c>
      <c r="BV31" s="1468" t="str">
        <f>Begriffe!$F$231</f>
        <v>2-stufig</v>
      </c>
      <c r="BW31" s="1406">
        <v>0.7</v>
      </c>
      <c r="BX31" s="1406">
        <v>0.8</v>
      </c>
      <c r="BY31" s="1406">
        <v>0.5</v>
      </c>
      <c r="BZ31" s="1406">
        <v>0.75</v>
      </c>
      <c r="CA31" s="1406">
        <v>0.85</v>
      </c>
      <c r="CB31" s="1406">
        <v>0.5</v>
      </c>
      <c r="CC31" s="1558" t="str">
        <f>Begriffe!$F$234</f>
        <v>Einfache Klimaanlage</v>
      </c>
      <c r="CD31" s="1513">
        <v>0.55000000000000004</v>
      </c>
      <c r="CE31" s="1513">
        <v>0.34</v>
      </c>
      <c r="CF31" s="1514">
        <v>0.91</v>
      </c>
      <c r="CG31" s="1515" t="str">
        <f>Begriffe!$F$241</f>
        <v>notwendig</v>
      </c>
      <c r="CH31" s="1515" t="str">
        <f>Begriffe!$F$241</f>
        <v>notwendig</v>
      </c>
      <c r="CI31" s="1515" t="str">
        <f>Begriffe!$F$241</f>
        <v>notwendig</v>
      </c>
      <c r="CJ31" s="1515" t="str">
        <f>Begriffe!$F$241</f>
        <v>notwendig</v>
      </c>
      <c r="CK31" s="1515" t="str">
        <f>Begriffe!$F$241</f>
        <v>notwendig</v>
      </c>
      <c r="CL31" s="1515" t="str">
        <f>Begriffe!$F$241</f>
        <v>notwendig</v>
      </c>
      <c r="CM31" s="1473">
        <v>1</v>
      </c>
      <c r="CN31" s="1473">
        <v>2</v>
      </c>
      <c r="CO31" s="1473">
        <v>0</v>
      </c>
      <c r="CP31" s="1473">
        <v>0.5</v>
      </c>
      <c r="CQ31" s="1473"/>
      <c r="CR31" s="1473"/>
      <c r="CS31" s="1473"/>
      <c r="CT31" s="1474" t="str">
        <f>Begriffe!$F$242</f>
        <v>Person</v>
      </c>
      <c r="CU31" s="918">
        <v>1.5</v>
      </c>
      <c r="CV31" s="918">
        <v>1</v>
      </c>
      <c r="CW31" s="241">
        <f>IF(CV31=0,CU31,CU31*CV31)</f>
        <v>1.5</v>
      </c>
      <c r="CX31" s="918">
        <v>20</v>
      </c>
      <c r="CY31" s="1463">
        <f>CW31*CX31</f>
        <v>30</v>
      </c>
      <c r="CZ31" s="1473" t="s">
        <v>117</v>
      </c>
      <c r="DA31" s="1477"/>
      <c r="DB31" s="1478"/>
      <c r="DC31" s="1478"/>
      <c r="DD31" s="1479"/>
      <c r="DE31" s="1478"/>
      <c r="DF31" s="1480"/>
      <c r="DG31" s="1478"/>
      <c r="DH31" s="1478">
        <v>0.2</v>
      </c>
      <c r="DI31" s="1478">
        <v>0.6</v>
      </c>
      <c r="DJ31" s="1479">
        <v>1</v>
      </c>
      <c r="DK31" s="1478">
        <v>1</v>
      </c>
      <c r="DL31" s="1480">
        <v>0.2</v>
      </c>
      <c r="DM31" s="1478">
        <v>0.2</v>
      </c>
      <c r="DN31" s="1478">
        <v>1</v>
      </c>
      <c r="DO31" s="1478">
        <v>1</v>
      </c>
      <c r="DP31" s="1479">
        <v>0.6</v>
      </c>
      <c r="DQ31" s="1478">
        <v>0.6</v>
      </c>
      <c r="DR31" s="1480">
        <v>0.6</v>
      </c>
      <c r="DS31" s="1478">
        <v>0.6</v>
      </c>
      <c r="DT31" s="1478">
        <v>1</v>
      </c>
      <c r="DU31" s="1478">
        <v>1</v>
      </c>
      <c r="DV31" s="1479">
        <v>0.6</v>
      </c>
      <c r="DW31" s="1478">
        <v>0.2</v>
      </c>
      <c r="DX31" s="1481"/>
      <c r="DY31" s="1477">
        <v>0.1</v>
      </c>
      <c r="DZ31" s="1478">
        <v>0.1</v>
      </c>
      <c r="EA31" s="1478">
        <v>0.1</v>
      </c>
      <c r="EB31" s="1479">
        <v>0.1</v>
      </c>
      <c r="EC31" s="1478">
        <v>0.1</v>
      </c>
      <c r="ED31" s="1480">
        <v>0.1</v>
      </c>
      <c r="EE31" s="1478">
        <v>0.1</v>
      </c>
      <c r="EF31" s="1478">
        <v>0.2</v>
      </c>
      <c r="EG31" s="1478">
        <v>0.6</v>
      </c>
      <c r="EH31" s="1479">
        <v>1</v>
      </c>
      <c r="EI31" s="1478">
        <v>1</v>
      </c>
      <c r="EJ31" s="1480">
        <v>0.2</v>
      </c>
      <c r="EK31" s="1478">
        <v>0.2</v>
      </c>
      <c r="EL31" s="1478">
        <v>1</v>
      </c>
      <c r="EM31" s="1478">
        <v>1</v>
      </c>
      <c r="EN31" s="1479">
        <v>0.6</v>
      </c>
      <c r="EO31" s="1478">
        <v>0.6</v>
      </c>
      <c r="EP31" s="1480">
        <v>0.6</v>
      </c>
      <c r="EQ31" s="1478">
        <v>0.6</v>
      </c>
      <c r="ER31" s="1478">
        <v>1</v>
      </c>
      <c r="ES31" s="1478">
        <v>1</v>
      </c>
      <c r="ET31" s="1479">
        <v>0.6</v>
      </c>
      <c r="EU31" s="1478">
        <v>0.2</v>
      </c>
      <c r="EV31" s="1481">
        <v>0.1</v>
      </c>
      <c r="EW31" s="280" t="s">
        <v>862</v>
      </c>
      <c r="EX31" s="1477">
        <v>0.8</v>
      </c>
      <c r="EY31" s="1478">
        <v>0.8</v>
      </c>
      <c r="EZ31" s="1478">
        <v>0.8</v>
      </c>
      <c r="FA31" s="1479">
        <v>0.8</v>
      </c>
      <c r="FB31" s="1478">
        <v>0.8</v>
      </c>
      <c r="FC31" s="1480">
        <v>0.8</v>
      </c>
      <c r="FD31" s="1478">
        <v>0.8</v>
      </c>
      <c r="FE31" s="1478">
        <v>0.8</v>
      </c>
      <c r="FF31" s="1478">
        <v>0.8</v>
      </c>
      <c r="FG31" s="1479">
        <v>0.8</v>
      </c>
      <c r="FH31" s="1478">
        <v>0.8</v>
      </c>
      <c r="FI31" s="1481">
        <v>0.8</v>
      </c>
      <c r="FJ31" s="1516">
        <v>1</v>
      </c>
      <c r="FK31" s="1483">
        <f t="shared" si="23"/>
        <v>313</v>
      </c>
      <c r="FL31" s="280">
        <f t="shared" si="4"/>
        <v>16</v>
      </c>
      <c r="FM31" s="82">
        <f t="shared" si="5"/>
        <v>10.399999999999997</v>
      </c>
      <c r="FN31" s="82">
        <f t="shared" si="6"/>
        <v>6.9999999999999991</v>
      </c>
      <c r="FO31" s="82">
        <f t="shared" si="7"/>
        <v>3.4000000000000004</v>
      </c>
      <c r="FP31" s="1484">
        <f t="shared" si="8"/>
        <v>0.80000000000000016</v>
      </c>
      <c r="FQ31" s="65">
        <f t="shared" si="24"/>
        <v>2600</v>
      </c>
      <c r="FR31" s="280">
        <f t="shared" si="9"/>
        <v>24</v>
      </c>
      <c r="FS31" s="82">
        <f t="shared" si="10"/>
        <v>11.199999999999998</v>
      </c>
      <c r="FT31" s="82">
        <f t="shared" si="11"/>
        <v>2.4000000000000004</v>
      </c>
      <c r="FU31" s="65">
        <f t="shared" si="25"/>
        <v>2900</v>
      </c>
      <c r="FW31" s="1503"/>
      <c r="FX31" s="1503" t="str">
        <f>IF(BV31=0,Begriffe!$F$262,"")</f>
        <v/>
      </c>
      <c r="FY31" s="1485" t="str">
        <f>Begriffe!F285</f>
        <v>- Wasser- und Warmwasserbedarf pro Person (Besucher)</v>
      </c>
      <c r="FZ31" s="1487"/>
      <c r="GA31" s="1504"/>
      <c r="GK31" s="8" t="s">
        <v>156</v>
      </c>
      <c r="GL31" s="8">
        <v>0.8</v>
      </c>
      <c r="GM31" s="8">
        <v>0.4</v>
      </c>
      <c r="GN31" s="8">
        <v>1</v>
      </c>
      <c r="GO31" s="8">
        <v>0.8</v>
      </c>
      <c r="GP31" s="8">
        <v>0.4</v>
      </c>
      <c r="GQ31" s="8">
        <v>1</v>
      </c>
      <c r="GR31" s="8">
        <v>0.2</v>
      </c>
      <c r="GS31" s="8">
        <v>0.6</v>
      </c>
      <c r="GT31" s="8">
        <v>1</v>
      </c>
      <c r="GU31" s="8">
        <v>0.4</v>
      </c>
      <c r="GV31" s="8">
        <v>1</v>
      </c>
      <c r="GW31" s="8">
        <v>0.6</v>
      </c>
      <c r="GX31" s="55">
        <f t="shared" si="12"/>
        <v>0.68333333333333346</v>
      </c>
      <c r="GZ31" s="1488">
        <v>1</v>
      </c>
      <c r="HB31" s="1256">
        <v>1</v>
      </c>
      <c r="HC31" s="1256">
        <v>0</v>
      </c>
      <c r="HD31" s="1405">
        <v>1</v>
      </c>
      <c r="HE31" s="1405">
        <v>1</v>
      </c>
      <c r="HF31" s="1405">
        <v>1</v>
      </c>
      <c r="HG31" s="1405">
        <v>1</v>
      </c>
      <c r="HH31" s="1405">
        <v>1</v>
      </c>
      <c r="HI31" s="8">
        <v>18</v>
      </c>
      <c r="HJ31" s="8">
        <v>14</v>
      </c>
      <c r="HK31" s="8">
        <v>1</v>
      </c>
      <c r="HL31" s="8">
        <v>7</v>
      </c>
      <c r="HM31" s="1406">
        <f>Hüllzahl!Y31</f>
        <v>1.111764705882353</v>
      </c>
      <c r="HN31" s="1407">
        <f>(HI31+HJ31*Hüllzahl!Y31)</f>
        <v>33.564705882352939</v>
      </c>
    </row>
    <row r="32" spans="1:222">
      <c r="A32" s="885">
        <v>7.3</v>
      </c>
      <c r="B32" s="1554"/>
      <c r="C32" s="357" t="str">
        <f>Begriffe!F123</f>
        <v>Ausstellungshalle</v>
      </c>
      <c r="D32" s="281">
        <v>20</v>
      </c>
      <c r="E32" s="282">
        <v>20</v>
      </c>
      <c r="F32" s="282">
        <v>7</v>
      </c>
      <c r="G32" s="1518">
        <f t="shared" si="17"/>
        <v>400</v>
      </c>
      <c r="H32" s="1518">
        <f>Hüllzahl!X32</f>
        <v>494.11764705882354</v>
      </c>
      <c r="I32" s="1411">
        <v>50</v>
      </c>
      <c r="J32" s="1412">
        <v>0.75</v>
      </c>
      <c r="K32" s="60">
        <f t="shared" si="0"/>
        <v>50.377833753148614</v>
      </c>
      <c r="L32" s="1011">
        <v>1.2</v>
      </c>
      <c r="M32" s="289">
        <v>0.9</v>
      </c>
      <c r="N32" s="289">
        <v>1.5</v>
      </c>
      <c r="O32" s="1412">
        <v>0.17</v>
      </c>
      <c r="P32" s="289">
        <v>0.1</v>
      </c>
      <c r="Q32" s="289">
        <v>0.8</v>
      </c>
      <c r="R32" s="60">
        <v>0.5</v>
      </c>
      <c r="S32" s="1412">
        <v>0.5</v>
      </c>
      <c r="T32" s="1412">
        <v>0.65</v>
      </c>
      <c r="U32" s="1412">
        <v>0.14000000000000001</v>
      </c>
      <c r="V32" s="1412">
        <v>0.1</v>
      </c>
      <c r="W32" s="1412">
        <v>0.2</v>
      </c>
      <c r="X32" s="60">
        <v>0.7</v>
      </c>
      <c r="Y32" s="60">
        <v>0.9</v>
      </c>
      <c r="Z32" s="60">
        <v>90</v>
      </c>
      <c r="AA32" s="1410">
        <f>'Kälte_TEC-Tool'!J31</f>
        <v>105.8</v>
      </c>
      <c r="AB32" s="1413">
        <v>26</v>
      </c>
      <c r="AC32" s="1414">
        <v>21</v>
      </c>
      <c r="AD32" s="1415" t="s">
        <v>26</v>
      </c>
      <c r="AE32" s="1416" t="s">
        <v>155</v>
      </c>
      <c r="AF32" s="1416">
        <v>60</v>
      </c>
      <c r="AG32" s="1417">
        <v>30</v>
      </c>
      <c r="AH32" s="1418"/>
      <c r="AI32" s="1416">
        <v>30</v>
      </c>
      <c r="AJ32" s="1419">
        <v>1.2</v>
      </c>
      <c r="AK32" s="56">
        <v>3</v>
      </c>
      <c r="AL32" s="60">
        <v>1.2</v>
      </c>
      <c r="AM32" s="1420">
        <v>0.5</v>
      </c>
      <c r="AN32" s="289">
        <v>1</v>
      </c>
      <c r="AO32" s="1421">
        <v>0.5</v>
      </c>
      <c r="AP32" s="56">
        <v>7</v>
      </c>
      <c r="AQ32" s="60">
        <v>3</v>
      </c>
      <c r="AR32" s="60">
        <v>15</v>
      </c>
      <c r="AS32" s="60">
        <f t="shared" si="34"/>
        <v>7</v>
      </c>
      <c r="AT32" s="60">
        <f t="shared" si="35"/>
        <v>3</v>
      </c>
      <c r="AU32" s="60">
        <f t="shared" si="36"/>
        <v>15</v>
      </c>
      <c r="AV32" s="1520">
        <v>10</v>
      </c>
      <c r="AW32" s="60">
        <v>300</v>
      </c>
      <c r="AX32" s="1521">
        <v>0.75</v>
      </c>
      <c r="AY32" s="1522">
        <v>22</v>
      </c>
      <c r="AZ32" s="1423">
        <f t="shared" si="21"/>
        <v>11</v>
      </c>
      <c r="BA32" s="1424">
        <f t="shared" si="2"/>
        <v>5</v>
      </c>
      <c r="BB32" s="1425">
        <v>1</v>
      </c>
      <c r="BC32" s="1410">
        <v>2</v>
      </c>
      <c r="BD32" s="1410">
        <v>3</v>
      </c>
      <c r="BE32" s="1540"/>
      <c r="BF32" s="1540"/>
      <c r="BG32" s="283"/>
      <c r="BH32" s="283"/>
      <c r="BI32" s="281">
        <f>AP32+Res_Std!T28+Res_Std!U28</f>
        <v>17.809312638580931</v>
      </c>
      <c r="BJ32" s="283">
        <v>50</v>
      </c>
      <c r="BK32" s="282">
        <f t="shared" si="22"/>
        <v>2.8075199203187253</v>
      </c>
      <c r="BL32" s="1434">
        <v>36</v>
      </c>
      <c r="BM32" s="1426"/>
      <c r="BN32" s="289">
        <f t="shared" si="14"/>
        <v>12</v>
      </c>
      <c r="BO32" s="289"/>
      <c r="BP32" s="289">
        <f t="shared" si="3"/>
        <v>12</v>
      </c>
      <c r="BQ32" s="60">
        <v>0</v>
      </c>
      <c r="BR32" s="1412">
        <v>0.15</v>
      </c>
      <c r="BS32" s="1412">
        <v>0.3</v>
      </c>
      <c r="BT32" s="1428" t="str">
        <f>Begriffe!$F$232</f>
        <v>stufenlos</v>
      </c>
      <c r="BU32" s="1428" t="str">
        <f>Begriffe!$F$232</f>
        <v>stufenlos</v>
      </c>
      <c r="BV32" s="1428" t="str">
        <f>Begriffe!$F$231</f>
        <v>2-stufig</v>
      </c>
      <c r="BW32" s="1412">
        <v>0.7</v>
      </c>
      <c r="BX32" s="1412">
        <v>0.8</v>
      </c>
      <c r="BY32" s="1412">
        <v>0.5</v>
      </c>
      <c r="BZ32" s="1412">
        <v>0.75</v>
      </c>
      <c r="CA32" s="1412">
        <v>0.85</v>
      </c>
      <c r="CB32" s="1412">
        <v>0.5</v>
      </c>
      <c r="CC32" s="1559" t="str">
        <f>Begriffe!$F$234</f>
        <v>Einfache Klimaanlage</v>
      </c>
      <c r="CD32" s="1524">
        <v>0.55000000000000004</v>
      </c>
      <c r="CE32" s="1524">
        <v>0.34</v>
      </c>
      <c r="CF32" s="1525">
        <v>0.91</v>
      </c>
      <c r="CG32" s="1526" t="str">
        <f>Begriffe!$F$241</f>
        <v>notwendig</v>
      </c>
      <c r="CH32" s="1526" t="str">
        <f>Begriffe!$F$241</f>
        <v>notwendig</v>
      </c>
      <c r="CI32" s="1526" t="str">
        <f>Begriffe!$F$241</f>
        <v>notwendig</v>
      </c>
      <c r="CJ32" s="1526" t="str">
        <f>Begriffe!$F$241</f>
        <v>notwendig</v>
      </c>
      <c r="CK32" s="1526" t="str">
        <f>Begriffe!$F$241</f>
        <v>notwendig</v>
      </c>
      <c r="CL32" s="1526" t="str">
        <f>Begriffe!$F$241</f>
        <v>notwendig</v>
      </c>
      <c r="CM32" s="1433">
        <v>1</v>
      </c>
      <c r="CN32" s="1433">
        <v>2</v>
      </c>
      <c r="CO32" s="1433">
        <v>0</v>
      </c>
      <c r="CP32" s="1433">
        <v>0.5</v>
      </c>
      <c r="CQ32" s="1433"/>
      <c r="CR32" s="1433"/>
      <c r="CS32" s="1433"/>
      <c r="CT32" s="1434" t="str">
        <f>Begriffe!$F$242</f>
        <v>Person</v>
      </c>
      <c r="CU32" s="881">
        <v>1.5</v>
      </c>
      <c r="CV32" s="881">
        <v>1</v>
      </c>
      <c r="CW32" s="289">
        <f>IF(CV32=0,CU32,CU32*CV32)</f>
        <v>1.5</v>
      </c>
      <c r="CX32" s="881">
        <v>20</v>
      </c>
      <c r="CY32" s="1422">
        <f>CW32*CX32</f>
        <v>30</v>
      </c>
      <c r="CZ32" s="1433" t="s">
        <v>146</v>
      </c>
      <c r="DA32" s="1437"/>
      <c r="DB32" s="1438"/>
      <c r="DC32" s="1438"/>
      <c r="DD32" s="1439"/>
      <c r="DE32" s="1438"/>
      <c r="DF32" s="1440"/>
      <c r="DG32" s="1438"/>
      <c r="DH32" s="1438">
        <v>0.2</v>
      </c>
      <c r="DI32" s="1438">
        <v>0.6</v>
      </c>
      <c r="DJ32" s="1439">
        <v>1</v>
      </c>
      <c r="DK32" s="1438">
        <v>1</v>
      </c>
      <c r="DL32" s="1440">
        <v>0.2</v>
      </c>
      <c r="DM32" s="1438">
        <v>0.2</v>
      </c>
      <c r="DN32" s="1438">
        <v>1</v>
      </c>
      <c r="DO32" s="1438">
        <v>1</v>
      </c>
      <c r="DP32" s="1439">
        <v>0.6</v>
      </c>
      <c r="DQ32" s="1438">
        <v>0.6</v>
      </c>
      <c r="DR32" s="1440">
        <v>0.6</v>
      </c>
      <c r="DS32" s="1438">
        <v>0.6</v>
      </c>
      <c r="DT32" s="1438">
        <v>1</v>
      </c>
      <c r="DU32" s="1438">
        <v>1</v>
      </c>
      <c r="DV32" s="1439">
        <v>0.6</v>
      </c>
      <c r="DW32" s="1438">
        <v>0.2</v>
      </c>
      <c r="DX32" s="1441"/>
      <c r="DY32" s="1437">
        <v>0.1</v>
      </c>
      <c r="DZ32" s="1438">
        <v>0.1</v>
      </c>
      <c r="EA32" s="1438">
        <v>0.1</v>
      </c>
      <c r="EB32" s="1439">
        <v>0.1</v>
      </c>
      <c r="EC32" s="1438">
        <v>0.1</v>
      </c>
      <c r="ED32" s="1440">
        <v>0.1</v>
      </c>
      <c r="EE32" s="1438">
        <v>0.1</v>
      </c>
      <c r="EF32" s="1438">
        <v>0.2</v>
      </c>
      <c r="EG32" s="1438">
        <v>0.6</v>
      </c>
      <c r="EH32" s="1439">
        <v>1</v>
      </c>
      <c r="EI32" s="1438">
        <v>1</v>
      </c>
      <c r="EJ32" s="1440">
        <v>0.2</v>
      </c>
      <c r="EK32" s="1438">
        <v>0.2</v>
      </c>
      <c r="EL32" s="1438">
        <v>1</v>
      </c>
      <c r="EM32" s="1438">
        <v>1</v>
      </c>
      <c r="EN32" s="1439">
        <v>0.6</v>
      </c>
      <c r="EO32" s="1438">
        <v>0.6</v>
      </c>
      <c r="EP32" s="1440">
        <v>0.6</v>
      </c>
      <c r="EQ32" s="1438">
        <v>0.6</v>
      </c>
      <c r="ER32" s="1438">
        <v>1</v>
      </c>
      <c r="ES32" s="1438">
        <v>1</v>
      </c>
      <c r="ET32" s="1439">
        <v>0.6</v>
      </c>
      <c r="EU32" s="1438">
        <v>0.2</v>
      </c>
      <c r="EV32" s="1441">
        <v>0.1</v>
      </c>
      <c r="EW32" s="281" t="s">
        <v>862</v>
      </c>
      <c r="EX32" s="1437">
        <v>0.8</v>
      </c>
      <c r="EY32" s="1438">
        <v>0.8</v>
      </c>
      <c r="EZ32" s="1438">
        <v>0.8</v>
      </c>
      <c r="FA32" s="1439">
        <v>0.8</v>
      </c>
      <c r="FB32" s="1438">
        <v>0.8</v>
      </c>
      <c r="FC32" s="1440">
        <v>0.8</v>
      </c>
      <c r="FD32" s="1438">
        <v>0.8</v>
      </c>
      <c r="FE32" s="1438">
        <v>0.8</v>
      </c>
      <c r="FF32" s="1438">
        <v>0.8</v>
      </c>
      <c r="FG32" s="1439">
        <v>0.8</v>
      </c>
      <c r="FH32" s="1438">
        <v>0.8</v>
      </c>
      <c r="FI32" s="1441">
        <v>0.8</v>
      </c>
      <c r="FJ32" s="1528">
        <v>1</v>
      </c>
      <c r="FK32" s="1443">
        <f t="shared" si="23"/>
        <v>313</v>
      </c>
      <c r="FL32" s="281">
        <f t="shared" si="4"/>
        <v>16</v>
      </c>
      <c r="FM32" s="282">
        <f t="shared" si="5"/>
        <v>10.399999999999997</v>
      </c>
      <c r="FN32" s="282">
        <f t="shared" si="6"/>
        <v>6.9999999999999991</v>
      </c>
      <c r="FO32" s="282">
        <f t="shared" si="7"/>
        <v>3.4000000000000004</v>
      </c>
      <c r="FP32" s="1444">
        <f t="shared" si="8"/>
        <v>0.80000000000000016</v>
      </c>
      <c r="FQ32" s="357">
        <f t="shared" si="24"/>
        <v>2600</v>
      </c>
      <c r="FR32" s="281">
        <f t="shared" si="9"/>
        <v>24</v>
      </c>
      <c r="FS32" s="282">
        <f t="shared" si="10"/>
        <v>11.199999999999998</v>
      </c>
      <c r="FT32" s="282">
        <f t="shared" si="11"/>
        <v>2.4000000000000004</v>
      </c>
      <c r="FU32" s="357">
        <f t="shared" si="25"/>
        <v>2900</v>
      </c>
      <c r="FW32" s="1503"/>
      <c r="FX32" s="1503" t="str">
        <f>IF(BV32=0,Begriffe!$F$262,"")</f>
        <v/>
      </c>
      <c r="FY32" s="1485" t="str">
        <f>Begriffe!F286</f>
        <v>- Wasser- und Warmwasserbedarf pro Person (Besucher)</v>
      </c>
      <c r="FZ32" s="1487"/>
      <c r="GA32" s="1504"/>
      <c r="GK32" s="8" t="s">
        <v>156</v>
      </c>
      <c r="GL32" s="8">
        <v>0.8</v>
      </c>
      <c r="GM32" s="8">
        <v>0.4</v>
      </c>
      <c r="GN32" s="8">
        <v>1</v>
      </c>
      <c r="GO32" s="8">
        <v>0.8</v>
      </c>
      <c r="GP32" s="8">
        <v>0.4</v>
      </c>
      <c r="GQ32" s="8">
        <v>1</v>
      </c>
      <c r="GR32" s="8">
        <v>0.2</v>
      </c>
      <c r="GS32" s="8">
        <v>0.6</v>
      </c>
      <c r="GT32" s="8">
        <v>1</v>
      </c>
      <c r="GU32" s="8">
        <v>0.4</v>
      </c>
      <c r="GV32" s="8">
        <v>1</v>
      </c>
      <c r="GW32" s="8">
        <v>0.6</v>
      </c>
      <c r="GX32" s="55">
        <f t="shared" si="12"/>
        <v>0.68333333333333346</v>
      </c>
      <c r="GZ32" s="1488">
        <v>1</v>
      </c>
      <c r="HB32" s="1256">
        <v>1</v>
      </c>
      <c r="HC32" s="1256">
        <v>0</v>
      </c>
      <c r="HD32" s="1405">
        <v>1</v>
      </c>
      <c r="HE32" s="1405">
        <v>1</v>
      </c>
      <c r="HF32" s="1405">
        <v>1</v>
      </c>
      <c r="HG32" s="1405">
        <v>1</v>
      </c>
      <c r="HH32" s="1405">
        <v>1</v>
      </c>
      <c r="HI32" s="8">
        <v>18</v>
      </c>
      <c r="HJ32" s="8">
        <v>14</v>
      </c>
      <c r="HK32" s="8">
        <v>1</v>
      </c>
      <c r="HL32" s="8">
        <v>7</v>
      </c>
      <c r="HM32" s="1406">
        <f>Hüllzahl!Y32</f>
        <v>1.111764705882353</v>
      </c>
      <c r="HN32" s="1407">
        <f>(HI32+HJ32*Hüllzahl!Y32)</f>
        <v>33.564705882352939</v>
      </c>
    </row>
    <row r="33" spans="1:222">
      <c r="A33" s="883">
        <v>8.1</v>
      </c>
      <c r="B33" s="1549">
        <v>11</v>
      </c>
      <c r="C33" s="288" t="str">
        <f>Begriffe!F124</f>
        <v xml:space="preserve">Bettenzimmer </v>
      </c>
      <c r="D33" s="291">
        <v>6</v>
      </c>
      <c r="E33" s="292">
        <v>6</v>
      </c>
      <c r="F33" s="292">
        <v>2.5</v>
      </c>
      <c r="G33" s="1492">
        <f t="shared" si="17"/>
        <v>36</v>
      </c>
      <c r="H33" s="1492">
        <f>Hüllzahl!X33</f>
        <v>35.294117647058826</v>
      </c>
      <c r="I33" s="1366">
        <v>50</v>
      </c>
      <c r="J33" s="1367">
        <v>0.75</v>
      </c>
      <c r="K33" s="72">
        <f t="shared" si="0"/>
        <v>50.377833753148614</v>
      </c>
      <c r="L33" s="263">
        <v>1.2</v>
      </c>
      <c r="M33" s="240">
        <v>0.9</v>
      </c>
      <c r="N33" s="240">
        <v>1.5</v>
      </c>
      <c r="O33" s="1367">
        <v>0.17</v>
      </c>
      <c r="P33" s="240">
        <v>0.1</v>
      </c>
      <c r="Q33" s="240">
        <v>0.8</v>
      </c>
      <c r="R33" s="72">
        <v>0.5</v>
      </c>
      <c r="S33" s="1367">
        <v>0.5</v>
      </c>
      <c r="T33" s="1367">
        <v>0.65</v>
      </c>
      <c r="U33" s="1367">
        <v>0.14000000000000001</v>
      </c>
      <c r="V33" s="1367">
        <v>0.1</v>
      </c>
      <c r="W33" s="1367">
        <v>0.2</v>
      </c>
      <c r="X33" s="72">
        <v>0.7</v>
      </c>
      <c r="Y33" s="72">
        <v>0.9</v>
      </c>
      <c r="Z33" s="72">
        <v>90</v>
      </c>
      <c r="AA33" s="1365">
        <f>'Kälte_TEC-Tool'!J32</f>
        <v>106.7</v>
      </c>
      <c r="AB33" s="1368">
        <v>26</v>
      </c>
      <c r="AC33" s="1369">
        <v>22</v>
      </c>
      <c r="AD33" s="1493" t="s">
        <v>26</v>
      </c>
      <c r="AE33" s="1371" t="s">
        <v>162</v>
      </c>
      <c r="AF33" s="1371">
        <v>60</v>
      </c>
      <c r="AG33" s="1372">
        <v>30</v>
      </c>
      <c r="AH33" s="1373" t="str">
        <f>Begriffe!F$228</f>
        <v>mittel</v>
      </c>
      <c r="AI33" s="1371">
        <v>25</v>
      </c>
      <c r="AJ33" s="1374">
        <v>0.6</v>
      </c>
      <c r="AK33" s="73">
        <v>15</v>
      </c>
      <c r="AL33" s="72">
        <v>1.2</v>
      </c>
      <c r="AM33" s="1375">
        <v>0.5</v>
      </c>
      <c r="AN33" s="240">
        <v>1</v>
      </c>
      <c r="AO33" s="1376">
        <v>0.5</v>
      </c>
      <c r="AP33" s="73">
        <v>4</v>
      </c>
      <c r="AQ33" s="72">
        <v>2</v>
      </c>
      <c r="AR33" s="72">
        <v>6</v>
      </c>
      <c r="AS33" s="72">
        <f t="shared" si="34"/>
        <v>4</v>
      </c>
      <c r="AT33" s="72">
        <f t="shared" si="35"/>
        <v>2</v>
      </c>
      <c r="AU33" s="72">
        <f t="shared" si="36"/>
        <v>6</v>
      </c>
      <c r="AV33" s="1377">
        <v>10</v>
      </c>
      <c r="AW33" s="72">
        <v>100</v>
      </c>
      <c r="AX33" s="1495">
        <v>0.75</v>
      </c>
      <c r="AY33" s="1496">
        <v>19</v>
      </c>
      <c r="AZ33" s="1378">
        <f t="shared" si="21"/>
        <v>11</v>
      </c>
      <c r="BA33" s="1379">
        <f t="shared" si="2"/>
        <v>3</v>
      </c>
      <c r="BB33" s="1380">
        <v>1</v>
      </c>
      <c r="BC33" s="1365">
        <v>2</v>
      </c>
      <c r="BD33" s="1365">
        <v>3</v>
      </c>
      <c r="BE33" s="1497"/>
      <c r="BF33" s="1497"/>
      <c r="BG33" s="72"/>
      <c r="BH33" s="72"/>
      <c r="BI33" s="263">
        <f>AP33+Res_Std!T29+Res_Std!U29</f>
        <v>8.5109211775878428</v>
      </c>
      <c r="BJ33" s="72">
        <v>60</v>
      </c>
      <c r="BK33" s="240">
        <f t="shared" si="22"/>
        <v>7.0497656773041744</v>
      </c>
      <c r="BL33" s="1390">
        <v>36</v>
      </c>
      <c r="BM33" s="1381">
        <v>24</v>
      </c>
      <c r="BN33" s="240">
        <f t="shared" si="14"/>
        <v>2.4</v>
      </c>
      <c r="BO33" s="240"/>
      <c r="BP33" s="240">
        <f t="shared" si="3"/>
        <v>2.4</v>
      </c>
      <c r="BQ33" s="72">
        <v>66</v>
      </c>
      <c r="BR33" s="1367">
        <v>0.15</v>
      </c>
      <c r="BS33" s="1367">
        <v>0.3</v>
      </c>
      <c r="BT33" s="1383" t="str">
        <f>Begriffe!$F$230</f>
        <v>1-stufig</v>
      </c>
      <c r="BU33" s="1383" t="str">
        <f>Begriffe!$F$231</f>
        <v>2-stufig</v>
      </c>
      <c r="BV33" s="1383"/>
      <c r="BW33" s="1367">
        <v>0.7</v>
      </c>
      <c r="BX33" s="1367">
        <v>0.8</v>
      </c>
      <c r="BY33" s="1367"/>
      <c r="BZ33" s="1367">
        <v>0.75</v>
      </c>
      <c r="CA33" s="1367">
        <v>0.85</v>
      </c>
      <c r="CB33" s="1367"/>
      <c r="CC33" s="1385" t="str">
        <f>Begriffe!$F$234</f>
        <v>Einfache Klimaanlage</v>
      </c>
      <c r="CD33" s="1498">
        <v>0.55000000000000004</v>
      </c>
      <c r="CE33" s="1498">
        <v>0.34</v>
      </c>
      <c r="CF33" s="1499">
        <v>0.91</v>
      </c>
      <c r="CG33" s="1500" t="str">
        <f>Begriffe!$F$240</f>
        <v>erwünscht</v>
      </c>
      <c r="CH33" s="1500" t="str">
        <f>Begriffe!$F$241</f>
        <v>notwendig</v>
      </c>
      <c r="CI33" s="1500" t="str">
        <f>Begriffe!$F$241</f>
        <v>notwendig</v>
      </c>
      <c r="CJ33" s="1500" t="str">
        <f>Begriffe!$F$240</f>
        <v>erwünscht</v>
      </c>
      <c r="CK33" s="1500" t="str">
        <f>Begriffe!$F$241</f>
        <v>notwendig</v>
      </c>
      <c r="CL33" s="1500" t="str">
        <f>Begriffe!$F$241</f>
        <v>notwendig</v>
      </c>
      <c r="CM33" s="1389">
        <v>1</v>
      </c>
      <c r="CN33" s="1389">
        <v>2</v>
      </c>
      <c r="CO33" s="1389">
        <v>0</v>
      </c>
      <c r="CP33" s="1389">
        <v>0.5</v>
      </c>
      <c r="CQ33" s="1389"/>
      <c r="CR33" s="1389"/>
      <c r="CS33" s="1389"/>
      <c r="CT33" s="1390" t="str">
        <f>Begriffe!$F$243</f>
        <v>Bett</v>
      </c>
      <c r="CU33" s="879">
        <v>60</v>
      </c>
      <c r="CV33" s="879">
        <v>1</v>
      </c>
      <c r="CW33" s="1365">
        <f>IF(CV33=0,CU33,CU33*CV33)</f>
        <v>60</v>
      </c>
      <c r="CX33" s="879">
        <v>4</v>
      </c>
      <c r="CY33" s="1377">
        <f>CW33*CX33</f>
        <v>240</v>
      </c>
      <c r="CZ33" s="1389" t="s">
        <v>163</v>
      </c>
      <c r="DA33" s="263">
        <v>1</v>
      </c>
      <c r="DB33" s="240">
        <v>1</v>
      </c>
      <c r="DC33" s="240">
        <v>1</v>
      </c>
      <c r="DD33" s="1375">
        <v>1</v>
      </c>
      <c r="DE33" s="240">
        <v>1</v>
      </c>
      <c r="DF33" s="1391">
        <v>1</v>
      </c>
      <c r="DG33" s="240">
        <v>1</v>
      </c>
      <c r="DH33" s="240">
        <v>1</v>
      </c>
      <c r="DI33" s="240">
        <v>1</v>
      </c>
      <c r="DJ33" s="1375">
        <v>1</v>
      </c>
      <c r="DK33" s="240">
        <v>1</v>
      </c>
      <c r="DL33" s="1391">
        <v>1</v>
      </c>
      <c r="DM33" s="240">
        <v>1</v>
      </c>
      <c r="DN33" s="240">
        <v>1</v>
      </c>
      <c r="DO33" s="240">
        <v>1</v>
      </c>
      <c r="DP33" s="1375">
        <v>1</v>
      </c>
      <c r="DQ33" s="240">
        <v>1</v>
      </c>
      <c r="DR33" s="1391">
        <v>1</v>
      </c>
      <c r="DS33" s="240">
        <v>1</v>
      </c>
      <c r="DT33" s="240">
        <v>1</v>
      </c>
      <c r="DU33" s="240">
        <v>1</v>
      </c>
      <c r="DV33" s="1375">
        <v>1</v>
      </c>
      <c r="DW33" s="240">
        <v>1</v>
      </c>
      <c r="DX33" s="1376">
        <v>1</v>
      </c>
      <c r="DY33" s="263">
        <v>0.2</v>
      </c>
      <c r="DZ33" s="240">
        <v>0.2</v>
      </c>
      <c r="EA33" s="240">
        <v>0.2</v>
      </c>
      <c r="EB33" s="1375">
        <v>0.2</v>
      </c>
      <c r="EC33" s="240">
        <v>0.2</v>
      </c>
      <c r="ED33" s="1391">
        <v>0.2</v>
      </c>
      <c r="EE33" s="240">
        <v>0.2</v>
      </c>
      <c r="EF33" s="240">
        <v>0.2</v>
      </c>
      <c r="EG33" s="240">
        <v>0.2</v>
      </c>
      <c r="EH33" s="1375">
        <v>0.2</v>
      </c>
      <c r="EI33" s="240">
        <v>0.2</v>
      </c>
      <c r="EJ33" s="1391">
        <v>0.2</v>
      </c>
      <c r="EK33" s="240">
        <v>0.2</v>
      </c>
      <c r="EL33" s="240">
        <v>0.2</v>
      </c>
      <c r="EM33" s="240">
        <v>0.2</v>
      </c>
      <c r="EN33" s="1375">
        <v>0.2</v>
      </c>
      <c r="EO33" s="240">
        <v>0.2</v>
      </c>
      <c r="EP33" s="1391">
        <v>0.2</v>
      </c>
      <c r="EQ33" s="240">
        <v>0.2</v>
      </c>
      <c r="ER33" s="240">
        <v>0.8</v>
      </c>
      <c r="ES33" s="240">
        <v>0.6</v>
      </c>
      <c r="ET33" s="1375">
        <v>0.4</v>
      </c>
      <c r="EU33" s="240">
        <v>0.2</v>
      </c>
      <c r="EV33" s="1376">
        <v>0.2</v>
      </c>
      <c r="EW33" s="291" t="s">
        <v>862</v>
      </c>
      <c r="EX33" s="1393">
        <v>0.8</v>
      </c>
      <c r="EY33" s="1394">
        <v>0.8</v>
      </c>
      <c r="EZ33" s="1394">
        <v>0.8</v>
      </c>
      <c r="FA33" s="1395">
        <v>0.8</v>
      </c>
      <c r="FB33" s="1394">
        <v>0.8</v>
      </c>
      <c r="FC33" s="1396">
        <v>0.8</v>
      </c>
      <c r="FD33" s="1394">
        <v>0.8</v>
      </c>
      <c r="FE33" s="1394">
        <v>0.8</v>
      </c>
      <c r="FF33" s="1394">
        <v>0.8</v>
      </c>
      <c r="FG33" s="1395">
        <v>0.8</v>
      </c>
      <c r="FH33" s="1394">
        <v>0.8</v>
      </c>
      <c r="FI33" s="1397">
        <v>0.8</v>
      </c>
      <c r="FJ33" s="1398">
        <v>0</v>
      </c>
      <c r="FK33" s="1483">
        <f t="shared" si="23"/>
        <v>365</v>
      </c>
      <c r="FL33" s="280">
        <f t="shared" si="4"/>
        <v>24</v>
      </c>
      <c r="FM33" s="82">
        <f t="shared" si="5"/>
        <v>24</v>
      </c>
      <c r="FN33" s="82">
        <f t="shared" si="6"/>
        <v>11</v>
      </c>
      <c r="FO33" s="82">
        <f t="shared" si="7"/>
        <v>13</v>
      </c>
      <c r="FP33" s="1484">
        <f t="shared" si="8"/>
        <v>0.80000000000000016</v>
      </c>
      <c r="FQ33" s="65">
        <f t="shared" si="24"/>
        <v>7010</v>
      </c>
      <c r="FR33" s="280">
        <f t="shared" si="9"/>
        <v>24</v>
      </c>
      <c r="FS33" s="82">
        <f t="shared" si="10"/>
        <v>6.0000000000000018</v>
      </c>
      <c r="FT33" s="82">
        <f t="shared" si="11"/>
        <v>2.4000000000000004</v>
      </c>
      <c r="FU33" s="65">
        <f t="shared" si="25"/>
        <v>1750</v>
      </c>
      <c r="FW33" s="1503"/>
      <c r="FX33" s="1503" t="str">
        <f>IF(BV33=0,Begriffe!$F$262,"")</f>
        <v>- Keine Lüftungsanlage im Bestand</v>
      </c>
      <c r="FY33" s="1485" t="str">
        <f>Begriffe!F287</f>
        <v>- Wasser- und Warmwasserbedarf pro Bett, ohne Restaurant</v>
      </c>
      <c r="FZ33" s="1487"/>
      <c r="GA33" s="1504"/>
      <c r="GK33" s="8" t="s">
        <v>189</v>
      </c>
      <c r="GL33" s="8">
        <v>1</v>
      </c>
      <c r="GM33" s="8">
        <v>1</v>
      </c>
      <c r="GN33" s="8">
        <v>1</v>
      </c>
      <c r="GO33" s="8">
        <v>1</v>
      </c>
      <c r="GP33" s="8">
        <v>1</v>
      </c>
      <c r="GQ33" s="8">
        <v>1</v>
      </c>
      <c r="GR33" s="8">
        <v>1</v>
      </c>
      <c r="GS33" s="8">
        <v>1</v>
      </c>
      <c r="GT33" s="8">
        <v>1</v>
      </c>
      <c r="GU33" s="8">
        <v>1</v>
      </c>
      <c r="GV33" s="8">
        <v>1</v>
      </c>
      <c r="GW33" s="8">
        <v>1</v>
      </c>
      <c r="GX33" s="55">
        <f t="shared" si="12"/>
        <v>1</v>
      </c>
      <c r="GZ33" s="1488">
        <v>0</v>
      </c>
      <c r="HB33" s="1256">
        <v>1</v>
      </c>
      <c r="HC33" s="1256">
        <v>1</v>
      </c>
      <c r="HD33" s="1405">
        <v>1</v>
      </c>
      <c r="HE33" s="1405">
        <v>1</v>
      </c>
      <c r="HF33" s="1405">
        <v>1</v>
      </c>
      <c r="HG33" s="1405">
        <v>1</v>
      </c>
      <c r="HH33" s="1405">
        <v>1</v>
      </c>
      <c r="HI33" s="8">
        <v>19</v>
      </c>
      <c r="HJ33" s="8">
        <v>15</v>
      </c>
      <c r="HK33" s="8">
        <v>1</v>
      </c>
      <c r="HL33" s="8">
        <v>8</v>
      </c>
      <c r="HM33" s="1406">
        <f>Hüllzahl!Y33</f>
        <v>0.88235294117647067</v>
      </c>
      <c r="HN33" s="1407">
        <f>(HI33+HJ33*Hüllzahl!Y33)</f>
        <v>32.235294117647058</v>
      </c>
    </row>
    <row r="34" spans="1:222">
      <c r="A34" s="1545">
        <v>8.1999999999999993</v>
      </c>
      <c r="B34" s="1544"/>
      <c r="C34" s="65" t="str">
        <f>Begriffe!F125</f>
        <v xml:space="preserve">Stationszimmer </v>
      </c>
      <c r="D34" s="280">
        <v>6</v>
      </c>
      <c r="E34" s="82">
        <v>6</v>
      </c>
      <c r="F34" s="82">
        <v>3</v>
      </c>
      <c r="G34" s="255">
        <f t="shared" si="17"/>
        <v>36</v>
      </c>
      <c r="H34" s="255">
        <f>Hüllzahl!X34</f>
        <v>21.176470588235293</v>
      </c>
      <c r="I34" s="1452">
        <v>50</v>
      </c>
      <c r="J34" s="1406">
        <v>0.75</v>
      </c>
      <c r="K34" s="55">
        <f t="shared" si="0"/>
        <v>50.377833753148614</v>
      </c>
      <c r="L34" s="1453">
        <v>1.2</v>
      </c>
      <c r="M34" s="241">
        <v>0.9</v>
      </c>
      <c r="N34" s="241">
        <v>1.5</v>
      </c>
      <c r="O34" s="1406">
        <v>0.17</v>
      </c>
      <c r="P34" s="241">
        <v>0.1</v>
      </c>
      <c r="Q34" s="241">
        <v>0.8</v>
      </c>
      <c r="R34" s="55">
        <v>0.5</v>
      </c>
      <c r="S34" s="1406">
        <v>0.5</v>
      </c>
      <c r="T34" s="1406">
        <v>0.65</v>
      </c>
      <c r="U34" s="1406">
        <v>0.14000000000000001</v>
      </c>
      <c r="V34" s="1406">
        <v>0.1</v>
      </c>
      <c r="W34" s="1406">
        <v>0.2</v>
      </c>
      <c r="X34" s="55">
        <v>0.7</v>
      </c>
      <c r="Y34" s="55">
        <v>0.9</v>
      </c>
      <c r="Z34" s="55">
        <v>90</v>
      </c>
      <c r="AA34" s="1451">
        <f>'Kälte_TEC-Tool'!J33</f>
        <v>107.4</v>
      </c>
      <c r="AB34" s="1454">
        <v>26</v>
      </c>
      <c r="AC34" s="1455">
        <v>21</v>
      </c>
      <c r="AD34" s="1506" t="s">
        <v>26</v>
      </c>
      <c r="AE34" s="249" t="s">
        <v>155</v>
      </c>
      <c r="AF34" s="249">
        <v>60</v>
      </c>
      <c r="AG34" s="1457">
        <v>30</v>
      </c>
      <c r="AH34" s="1458"/>
      <c r="AI34" s="249">
        <v>25</v>
      </c>
      <c r="AJ34" s="1459">
        <v>0.6</v>
      </c>
      <c r="AK34" s="1460">
        <v>3</v>
      </c>
      <c r="AL34" s="55">
        <v>1.2</v>
      </c>
      <c r="AM34" s="1461">
        <v>0.5</v>
      </c>
      <c r="AN34" s="241">
        <v>1</v>
      </c>
      <c r="AO34" s="1462">
        <v>0.5</v>
      </c>
      <c r="AP34" s="1460">
        <v>7</v>
      </c>
      <c r="AQ34" s="55">
        <v>3</v>
      </c>
      <c r="AR34" s="55">
        <v>15</v>
      </c>
      <c r="AS34" s="55">
        <f t="shared" si="34"/>
        <v>7</v>
      </c>
      <c r="AT34" s="55">
        <f t="shared" si="35"/>
        <v>3</v>
      </c>
      <c r="AU34" s="55">
        <f t="shared" si="36"/>
        <v>15</v>
      </c>
      <c r="AV34" s="1463">
        <v>10</v>
      </c>
      <c r="AW34" s="55">
        <v>500</v>
      </c>
      <c r="AX34" s="1509">
        <v>0.75</v>
      </c>
      <c r="AY34" s="1510">
        <v>19</v>
      </c>
      <c r="AZ34" s="1464">
        <f t="shared" si="21"/>
        <v>11</v>
      </c>
      <c r="BA34" s="1465">
        <f t="shared" si="2"/>
        <v>13</v>
      </c>
      <c r="BB34" s="1466">
        <v>1</v>
      </c>
      <c r="BC34" s="1451">
        <v>2</v>
      </c>
      <c r="BD34" s="1451">
        <v>3</v>
      </c>
      <c r="BE34" s="1535"/>
      <c r="BF34" s="1535"/>
      <c r="BG34" s="4"/>
      <c r="BH34" s="4"/>
      <c r="BI34" s="280">
        <f>AP34+Res_Std!T30+Res_Std!U30</f>
        <v>22.880217785843922</v>
      </c>
      <c r="BJ34" s="873">
        <v>60</v>
      </c>
      <c r="BK34" s="82">
        <f t="shared" si="22"/>
        <v>2.6223526612199568</v>
      </c>
      <c r="BL34" s="1474">
        <v>36</v>
      </c>
      <c r="BM34" s="1467">
        <v>36</v>
      </c>
      <c r="BN34" s="241">
        <f t="shared" si="14"/>
        <v>12</v>
      </c>
      <c r="BO34" s="241"/>
      <c r="BP34" s="241">
        <f t="shared" si="3"/>
        <v>12</v>
      </c>
      <c r="BQ34" s="55">
        <v>0</v>
      </c>
      <c r="BR34" s="1406">
        <v>0.15</v>
      </c>
      <c r="BS34" s="1406">
        <v>0.3</v>
      </c>
      <c r="BT34" s="1468" t="str">
        <f>Begriffe!$F$232</f>
        <v>stufenlos</v>
      </c>
      <c r="BU34" s="1468" t="str">
        <f>Begriffe!$F$232</f>
        <v>stufenlos</v>
      </c>
      <c r="BV34" s="1468"/>
      <c r="BW34" s="1406">
        <v>0.7</v>
      </c>
      <c r="BX34" s="1406">
        <v>0.8</v>
      </c>
      <c r="BY34" s="1406"/>
      <c r="BZ34" s="1406">
        <v>0.75</v>
      </c>
      <c r="CA34" s="1406">
        <v>0.85</v>
      </c>
      <c r="CB34" s="1406"/>
      <c r="CC34" s="1558" t="str">
        <f>Begriffe!$F$234</f>
        <v>Einfache Klimaanlage</v>
      </c>
      <c r="CD34" s="1513">
        <v>0.55000000000000004</v>
      </c>
      <c r="CE34" s="1513">
        <v>0.34</v>
      </c>
      <c r="CF34" s="1514">
        <v>0.91</v>
      </c>
      <c r="CG34" s="1515" t="str">
        <f>Begriffe!$F$241</f>
        <v>notwendig</v>
      </c>
      <c r="CH34" s="1515" t="str">
        <f>Begriffe!$F$241</f>
        <v>notwendig</v>
      </c>
      <c r="CI34" s="1515" t="str">
        <f>Begriffe!$F$241</f>
        <v>notwendig</v>
      </c>
      <c r="CJ34" s="1515" t="str">
        <f>Begriffe!$F$241</f>
        <v>notwendig</v>
      </c>
      <c r="CK34" s="1515" t="str">
        <f>Begriffe!$F$241</f>
        <v>notwendig</v>
      </c>
      <c r="CL34" s="1515" t="str">
        <f>Begriffe!$F$241</f>
        <v>notwendig</v>
      </c>
      <c r="CM34" s="1473">
        <v>1</v>
      </c>
      <c r="CN34" s="1473">
        <v>2</v>
      </c>
      <c r="CO34" s="1473">
        <v>0</v>
      </c>
      <c r="CP34" s="1473">
        <v>0.5</v>
      </c>
      <c r="CQ34" s="1473"/>
      <c r="CR34" s="1473"/>
      <c r="CS34" s="1473"/>
      <c r="CT34" s="1460"/>
      <c r="CU34" s="55"/>
      <c r="CV34" s="55"/>
      <c r="CW34" s="1451"/>
      <c r="CX34" s="55"/>
      <c r="CY34" s="1463"/>
      <c r="CZ34" s="1473" t="s">
        <v>266</v>
      </c>
      <c r="DA34" s="1453">
        <v>0.2</v>
      </c>
      <c r="DB34" s="241">
        <v>0.2</v>
      </c>
      <c r="DC34" s="241">
        <v>0.2</v>
      </c>
      <c r="DD34" s="1461">
        <v>0.2</v>
      </c>
      <c r="DE34" s="241">
        <v>0.2</v>
      </c>
      <c r="DF34" s="1475">
        <v>0.2</v>
      </c>
      <c r="DG34" s="241">
        <v>0.4</v>
      </c>
      <c r="DH34" s="241">
        <v>1</v>
      </c>
      <c r="DI34" s="241">
        <v>0.6</v>
      </c>
      <c r="DJ34" s="1461">
        <v>0.6</v>
      </c>
      <c r="DK34" s="241">
        <v>0.6</v>
      </c>
      <c r="DL34" s="1475">
        <v>0.6</v>
      </c>
      <c r="DM34" s="241">
        <v>1</v>
      </c>
      <c r="DN34" s="241">
        <v>0.6</v>
      </c>
      <c r="DO34" s="241">
        <v>0.6</v>
      </c>
      <c r="DP34" s="1461">
        <v>0.6</v>
      </c>
      <c r="DQ34" s="241">
        <v>0.6</v>
      </c>
      <c r="DR34" s="1475">
        <v>1</v>
      </c>
      <c r="DS34" s="241">
        <v>0.4</v>
      </c>
      <c r="DT34" s="241">
        <v>0.2</v>
      </c>
      <c r="DU34" s="241">
        <v>0.2</v>
      </c>
      <c r="DV34" s="1461">
        <v>0.2</v>
      </c>
      <c r="DW34" s="241">
        <v>0.2</v>
      </c>
      <c r="DX34" s="1462">
        <v>0.2</v>
      </c>
      <c r="DY34" s="1453">
        <v>0.2</v>
      </c>
      <c r="DZ34" s="241">
        <v>0.2</v>
      </c>
      <c r="EA34" s="241">
        <v>0.2</v>
      </c>
      <c r="EB34" s="1461">
        <v>0.2</v>
      </c>
      <c r="EC34" s="241">
        <v>0.2</v>
      </c>
      <c r="ED34" s="1475">
        <v>0.2</v>
      </c>
      <c r="EE34" s="241">
        <v>0.4</v>
      </c>
      <c r="EF34" s="241">
        <v>1</v>
      </c>
      <c r="EG34" s="241">
        <v>0.6</v>
      </c>
      <c r="EH34" s="1461">
        <v>0.6</v>
      </c>
      <c r="EI34" s="241">
        <v>0.6</v>
      </c>
      <c r="EJ34" s="1475">
        <v>0.6</v>
      </c>
      <c r="EK34" s="241">
        <v>1</v>
      </c>
      <c r="EL34" s="241">
        <v>0.6</v>
      </c>
      <c r="EM34" s="241">
        <v>0.6</v>
      </c>
      <c r="EN34" s="1461">
        <v>0.6</v>
      </c>
      <c r="EO34" s="241">
        <v>0.6</v>
      </c>
      <c r="EP34" s="1475">
        <v>1</v>
      </c>
      <c r="EQ34" s="241">
        <v>0.4</v>
      </c>
      <c r="ER34" s="241">
        <v>0.2</v>
      </c>
      <c r="ES34" s="241">
        <v>0.2</v>
      </c>
      <c r="ET34" s="1461">
        <v>0.2</v>
      </c>
      <c r="EU34" s="241">
        <v>0.2</v>
      </c>
      <c r="EV34" s="1462">
        <v>0.2</v>
      </c>
      <c r="EW34" s="280" t="s">
        <v>862</v>
      </c>
      <c r="EX34" s="1477">
        <v>0.8</v>
      </c>
      <c r="EY34" s="1478">
        <v>0.8</v>
      </c>
      <c r="EZ34" s="1478">
        <v>0.8</v>
      </c>
      <c r="FA34" s="1479">
        <v>0.8</v>
      </c>
      <c r="FB34" s="1478">
        <v>0.8</v>
      </c>
      <c r="FC34" s="1480">
        <v>0.8</v>
      </c>
      <c r="FD34" s="1478">
        <v>0.8</v>
      </c>
      <c r="FE34" s="1478">
        <v>0.8</v>
      </c>
      <c r="FF34" s="1478">
        <v>0.8</v>
      </c>
      <c r="FG34" s="1479">
        <v>0.8</v>
      </c>
      <c r="FH34" s="1478">
        <v>0.8</v>
      </c>
      <c r="FI34" s="1481">
        <v>0.8</v>
      </c>
      <c r="FJ34" s="1482">
        <v>0</v>
      </c>
      <c r="FK34" s="1483">
        <f t="shared" si="23"/>
        <v>365</v>
      </c>
      <c r="FL34" s="280">
        <f t="shared" si="4"/>
        <v>24</v>
      </c>
      <c r="FM34" s="82">
        <f t="shared" si="5"/>
        <v>10.799999999999995</v>
      </c>
      <c r="FN34" s="82">
        <f t="shared" si="6"/>
        <v>7.7999999999999989</v>
      </c>
      <c r="FO34" s="82">
        <f t="shared" si="7"/>
        <v>3.0000000000000009</v>
      </c>
      <c r="FP34" s="1484">
        <f t="shared" si="8"/>
        <v>0.80000000000000016</v>
      </c>
      <c r="FQ34" s="65">
        <f t="shared" si="24"/>
        <v>3150</v>
      </c>
      <c r="FR34" s="280">
        <f t="shared" si="9"/>
        <v>24</v>
      </c>
      <c r="FS34" s="82">
        <f t="shared" si="10"/>
        <v>10.799999999999995</v>
      </c>
      <c r="FT34" s="82">
        <f t="shared" si="11"/>
        <v>2.4000000000000004</v>
      </c>
      <c r="FU34" s="65">
        <f t="shared" si="25"/>
        <v>3150</v>
      </c>
      <c r="FW34" s="1503"/>
      <c r="FX34" s="1503" t="str">
        <f>IF(BV34=0,Begriffe!$F$262,"")</f>
        <v>- Keine Lüftungsanlage im Bestand</v>
      </c>
      <c r="FY34" s="1485" t="str">
        <f>Begriffe!F288</f>
        <v>- Wasser- und Warmwasserbedarf sind in der Raumnutzung 8.1 enthalten</v>
      </c>
      <c r="FZ34" s="1487"/>
      <c r="GA34" s="1504"/>
      <c r="GK34" s="8" t="s">
        <v>189</v>
      </c>
      <c r="GL34" s="8">
        <v>1</v>
      </c>
      <c r="GM34" s="8">
        <v>1</v>
      </c>
      <c r="GN34" s="8">
        <v>1</v>
      </c>
      <c r="GO34" s="8">
        <v>1</v>
      </c>
      <c r="GP34" s="8">
        <v>1</v>
      </c>
      <c r="GQ34" s="8">
        <v>1</v>
      </c>
      <c r="GR34" s="8">
        <v>1</v>
      </c>
      <c r="GS34" s="8">
        <v>1</v>
      </c>
      <c r="GT34" s="8">
        <v>1</v>
      </c>
      <c r="GU34" s="8">
        <v>1</v>
      </c>
      <c r="GV34" s="8">
        <v>1</v>
      </c>
      <c r="GW34" s="8">
        <v>1</v>
      </c>
      <c r="GX34" s="55">
        <f t="shared" si="12"/>
        <v>1</v>
      </c>
      <c r="GZ34" s="1488">
        <v>0</v>
      </c>
      <c r="HB34" s="1256">
        <v>1</v>
      </c>
      <c r="HC34" s="1256">
        <v>1</v>
      </c>
      <c r="HD34" s="1405">
        <v>1</v>
      </c>
      <c r="HE34" s="1405">
        <v>1</v>
      </c>
      <c r="HF34" s="1405">
        <v>1</v>
      </c>
      <c r="HG34" s="1405">
        <v>1</v>
      </c>
      <c r="HH34" s="1405">
        <v>1</v>
      </c>
      <c r="HI34" s="8">
        <v>19</v>
      </c>
      <c r="HJ34" s="8">
        <v>15</v>
      </c>
      <c r="HK34" s="8">
        <v>1</v>
      </c>
      <c r="HL34" s="8">
        <v>8</v>
      </c>
      <c r="HM34" s="1406">
        <f>Hüllzahl!Y34</f>
        <v>0.52941176470588236</v>
      </c>
      <c r="HN34" s="1407">
        <f>(HI34+HJ34*Hüllzahl!Y34)</f>
        <v>26.941176470588236</v>
      </c>
    </row>
    <row r="35" spans="1:222">
      <c r="A35" s="1553">
        <v>8.3000000000000007</v>
      </c>
      <c r="B35" s="1554"/>
      <c r="C35" s="1536" t="str">
        <f>Begriffe!F126</f>
        <v>Behandlungsraum</v>
      </c>
      <c r="D35" s="281">
        <v>6</v>
      </c>
      <c r="E35" s="282">
        <v>6</v>
      </c>
      <c r="F35" s="282">
        <v>3</v>
      </c>
      <c r="G35" s="1518">
        <f t="shared" si="17"/>
        <v>36</v>
      </c>
      <c r="H35" s="1518">
        <f>Hüllzahl!X35</f>
        <v>42.352941176470587</v>
      </c>
      <c r="I35" s="1411">
        <v>50</v>
      </c>
      <c r="J35" s="1412">
        <v>0.75</v>
      </c>
      <c r="K35" s="60">
        <f t="shared" si="0"/>
        <v>50.377833753148614</v>
      </c>
      <c r="L35" s="1011">
        <v>1.2</v>
      </c>
      <c r="M35" s="289">
        <v>0.9</v>
      </c>
      <c r="N35" s="289">
        <v>1.5</v>
      </c>
      <c r="O35" s="1412">
        <v>0.17</v>
      </c>
      <c r="P35" s="289">
        <v>0.1</v>
      </c>
      <c r="Q35" s="289">
        <v>0.8</v>
      </c>
      <c r="R35" s="60">
        <v>0.5</v>
      </c>
      <c r="S35" s="1412">
        <v>0.5</v>
      </c>
      <c r="T35" s="1412">
        <v>0.65</v>
      </c>
      <c r="U35" s="1412">
        <v>0.14000000000000001</v>
      </c>
      <c r="V35" s="1412">
        <v>0.1</v>
      </c>
      <c r="W35" s="1412">
        <v>0.2</v>
      </c>
      <c r="X35" s="60">
        <v>0.7</v>
      </c>
      <c r="Y35" s="60">
        <v>0.9</v>
      </c>
      <c r="Z35" s="60">
        <v>90</v>
      </c>
      <c r="AA35" s="1410">
        <f>'Kälte_TEC-Tool'!J34</f>
        <v>111.9</v>
      </c>
      <c r="AB35" s="1413">
        <v>26</v>
      </c>
      <c r="AC35" s="1414">
        <v>22</v>
      </c>
      <c r="AD35" s="1415" t="s">
        <v>26</v>
      </c>
      <c r="AE35" s="1416" t="s">
        <v>162</v>
      </c>
      <c r="AF35" s="1416">
        <v>60</v>
      </c>
      <c r="AG35" s="1417">
        <v>30</v>
      </c>
      <c r="AH35" s="1418"/>
      <c r="AI35" s="1416">
        <v>25</v>
      </c>
      <c r="AJ35" s="1419">
        <v>0.6</v>
      </c>
      <c r="AK35" s="56">
        <v>5</v>
      </c>
      <c r="AL35" s="60">
        <v>1.2</v>
      </c>
      <c r="AM35" s="1420">
        <v>0.5</v>
      </c>
      <c r="AN35" s="289">
        <v>1</v>
      </c>
      <c r="AO35" s="1421">
        <v>0.5</v>
      </c>
      <c r="AP35" s="56">
        <v>20</v>
      </c>
      <c r="AQ35" s="60">
        <v>10</v>
      </c>
      <c r="AR35" s="60">
        <v>30</v>
      </c>
      <c r="AS35" s="60">
        <f t="shared" si="34"/>
        <v>20</v>
      </c>
      <c r="AT35" s="60">
        <f t="shared" si="35"/>
        <v>10</v>
      </c>
      <c r="AU35" s="60">
        <f t="shared" si="36"/>
        <v>30</v>
      </c>
      <c r="AV35" s="1520">
        <v>10</v>
      </c>
      <c r="AW35" s="60">
        <v>500</v>
      </c>
      <c r="AX35" s="1521">
        <v>0.75</v>
      </c>
      <c r="AY35" s="1522">
        <v>19</v>
      </c>
      <c r="AZ35" s="1423">
        <f t="shared" si="21"/>
        <v>11</v>
      </c>
      <c r="BA35" s="1424">
        <f t="shared" si="2"/>
        <v>0</v>
      </c>
      <c r="BB35" s="1425">
        <v>1</v>
      </c>
      <c r="BC35" s="1410">
        <v>2</v>
      </c>
      <c r="BD35" s="1410">
        <v>3</v>
      </c>
      <c r="BE35" s="1540"/>
      <c r="BF35" s="1540"/>
      <c r="BG35" s="283"/>
      <c r="BH35" s="283"/>
      <c r="BI35" s="281">
        <f>AP35+Res_Std!T31+Res_Std!U31</f>
        <v>35.880217785843925</v>
      </c>
      <c r="BJ35" s="283">
        <v>100</v>
      </c>
      <c r="BK35" s="282">
        <f t="shared" si="22"/>
        <v>2.7870510875063221</v>
      </c>
      <c r="BL35" s="1434">
        <v>36</v>
      </c>
      <c r="BM35" s="1426"/>
      <c r="BN35" s="289">
        <f t="shared" si="14"/>
        <v>7.2</v>
      </c>
      <c r="BO35" s="289"/>
      <c r="BP35" s="289">
        <f t="shared" si="3"/>
        <v>7.2</v>
      </c>
      <c r="BQ35" s="60">
        <v>0</v>
      </c>
      <c r="BR35" s="1412">
        <v>0.15</v>
      </c>
      <c r="BS35" s="1412">
        <v>0.3</v>
      </c>
      <c r="BT35" s="1428" t="str">
        <f>Begriffe!$F$231</f>
        <v>2-stufig</v>
      </c>
      <c r="BU35" s="1428" t="str">
        <f>Begriffe!$F$232</f>
        <v>stufenlos</v>
      </c>
      <c r="BV35" s="1428"/>
      <c r="BW35" s="1412">
        <v>0.7</v>
      </c>
      <c r="BX35" s="1412">
        <v>0.8</v>
      </c>
      <c r="BY35" s="1412"/>
      <c r="BZ35" s="1412">
        <v>0.75</v>
      </c>
      <c r="CA35" s="1412">
        <v>0.85</v>
      </c>
      <c r="CB35" s="1412"/>
      <c r="CC35" s="1559" t="str">
        <f>Begriffe!$F$234</f>
        <v>Einfache Klimaanlage</v>
      </c>
      <c r="CD35" s="1524">
        <v>0.55000000000000004</v>
      </c>
      <c r="CE35" s="1524">
        <v>0.34</v>
      </c>
      <c r="CF35" s="1525">
        <v>0.91</v>
      </c>
      <c r="CG35" s="1526" t="str">
        <f>Begriffe!$F$241</f>
        <v>notwendig</v>
      </c>
      <c r="CH35" s="1526" t="str">
        <f>Begriffe!$F$241</f>
        <v>notwendig</v>
      </c>
      <c r="CI35" s="1526" t="str">
        <f>Begriffe!$F$241</f>
        <v>notwendig</v>
      </c>
      <c r="CJ35" s="1526" t="str">
        <f>Begriffe!$F$240</f>
        <v>erwünscht</v>
      </c>
      <c r="CK35" s="1526" t="str">
        <f>Begriffe!$F$241</f>
        <v>notwendig</v>
      </c>
      <c r="CL35" s="1526" t="str">
        <f>Begriffe!$F$241</f>
        <v>notwendig</v>
      </c>
      <c r="CM35" s="1433">
        <v>1</v>
      </c>
      <c r="CN35" s="1433">
        <v>2</v>
      </c>
      <c r="CO35" s="1433">
        <v>0</v>
      </c>
      <c r="CP35" s="1433">
        <v>0.5</v>
      </c>
      <c r="CQ35" s="1433"/>
      <c r="CR35" s="1433"/>
      <c r="CS35" s="1433"/>
      <c r="CT35" s="56"/>
      <c r="CU35" s="60"/>
      <c r="CV35" s="60"/>
      <c r="CW35" s="1410"/>
      <c r="CX35" s="60"/>
      <c r="CY35" s="1422"/>
      <c r="CZ35" s="1555" t="s">
        <v>159</v>
      </c>
      <c r="DA35" s="1437"/>
      <c r="DB35" s="1438"/>
      <c r="DC35" s="1438"/>
      <c r="DD35" s="1439"/>
      <c r="DE35" s="1438"/>
      <c r="DF35" s="1440"/>
      <c r="DG35" s="1438"/>
      <c r="DH35" s="1438">
        <v>0.2</v>
      </c>
      <c r="DI35" s="1438">
        <v>0.6</v>
      </c>
      <c r="DJ35" s="1439">
        <v>1</v>
      </c>
      <c r="DK35" s="1438">
        <v>1</v>
      </c>
      <c r="DL35" s="1440">
        <v>0.8</v>
      </c>
      <c r="DM35" s="1438">
        <v>0.4</v>
      </c>
      <c r="DN35" s="1438">
        <v>0.6</v>
      </c>
      <c r="DO35" s="1438">
        <v>1</v>
      </c>
      <c r="DP35" s="1439">
        <v>0.8</v>
      </c>
      <c r="DQ35" s="1438">
        <v>0.6</v>
      </c>
      <c r="DR35" s="1440">
        <v>0.2</v>
      </c>
      <c r="DS35" s="1438"/>
      <c r="DT35" s="1438"/>
      <c r="DU35" s="1438"/>
      <c r="DV35" s="1439"/>
      <c r="DW35" s="1438"/>
      <c r="DX35" s="1441"/>
      <c r="DY35" s="1437">
        <v>0.1</v>
      </c>
      <c r="DZ35" s="1438">
        <v>0.1</v>
      </c>
      <c r="EA35" s="1438">
        <v>0.1</v>
      </c>
      <c r="EB35" s="1439">
        <v>0.1</v>
      </c>
      <c r="EC35" s="1438">
        <v>0.1</v>
      </c>
      <c r="ED35" s="1440">
        <v>0.1</v>
      </c>
      <c r="EE35" s="1438">
        <v>0.1</v>
      </c>
      <c r="EF35" s="1438">
        <v>0.2</v>
      </c>
      <c r="EG35" s="1438">
        <v>0.6</v>
      </c>
      <c r="EH35" s="1439">
        <v>0.8</v>
      </c>
      <c r="EI35" s="1438">
        <v>1</v>
      </c>
      <c r="EJ35" s="1440">
        <v>0.8</v>
      </c>
      <c r="EK35" s="1438">
        <v>0.4</v>
      </c>
      <c r="EL35" s="1438">
        <v>0.6</v>
      </c>
      <c r="EM35" s="1438">
        <v>1</v>
      </c>
      <c r="EN35" s="1439">
        <v>0.8</v>
      </c>
      <c r="EO35" s="1438">
        <v>0.6</v>
      </c>
      <c r="EP35" s="1440">
        <v>0.2</v>
      </c>
      <c r="EQ35" s="1438">
        <v>0.1</v>
      </c>
      <c r="ER35" s="1438">
        <v>0.1</v>
      </c>
      <c r="ES35" s="1438">
        <v>0.1</v>
      </c>
      <c r="ET35" s="1439">
        <v>0.1</v>
      </c>
      <c r="EU35" s="1438">
        <v>0.1</v>
      </c>
      <c r="EV35" s="1441">
        <v>0.1</v>
      </c>
      <c r="EW35" s="281" t="s">
        <v>862</v>
      </c>
      <c r="EX35" s="1437">
        <v>0.8</v>
      </c>
      <c r="EY35" s="1438">
        <v>0.8</v>
      </c>
      <c r="EZ35" s="1438">
        <v>0.8</v>
      </c>
      <c r="FA35" s="1439">
        <v>0.8</v>
      </c>
      <c r="FB35" s="1438">
        <v>0.8</v>
      </c>
      <c r="FC35" s="1440">
        <v>0.8</v>
      </c>
      <c r="FD35" s="1438">
        <v>0.8</v>
      </c>
      <c r="FE35" s="1438">
        <v>0.8</v>
      </c>
      <c r="FF35" s="1438">
        <v>0.8</v>
      </c>
      <c r="FG35" s="1439">
        <v>0.8</v>
      </c>
      <c r="FH35" s="1438">
        <v>0.8</v>
      </c>
      <c r="FI35" s="1441">
        <v>0.8</v>
      </c>
      <c r="FJ35" s="1528">
        <v>1</v>
      </c>
      <c r="FK35" s="1443">
        <f t="shared" si="23"/>
        <v>313</v>
      </c>
      <c r="FL35" s="281">
        <f t="shared" si="4"/>
        <v>11</v>
      </c>
      <c r="FM35" s="282">
        <f t="shared" si="5"/>
        <v>7.1999999999999993</v>
      </c>
      <c r="FN35" s="282">
        <f t="shared" si="6"/>
        <v>7.1999999999999993</v>
      </c>
      <c r="FO35" s="282">
        <f t="shared" si="7"/>
        <v>0</v>
      </c>
      <c r="FP35" s="1444">
        <f t="shared" si="8"/>
        <v>0.80000000000000016</v>
      </c>
      <c r="FQ35" s="357">
        <f t="shared" si="24"/>
        <v>1800</v>
      </c>
      <c r="FR35" s="281">
        <f t="shared" si="9"/>
        <v>24</v>
      </c>
      <c r="FS35" s="282">
        <f t="shared" si="10"/>
        <v>8.2999999999999972</v>
      </c>
      <c r="FT35" s="282">
        <f t="shared" si="11"/>
        <v>2.4000000000000004</v>
      </c>
      <c r="FU35" s="357">
        <f t="shared" si="25"/>
        <v>2180</v>
      </c>
      <c r="FV35" s="1502" t="str">
        <f>Begriffe!F254</f>
        <v>- Für einfache Untersuchungen Beleuchtungsstärke 300 lx</v>
      </c>
      <c r="FX35" s="1503" t="str">
        <f>IF(BV35=0,Begriffe!$F$262,"")</f>
        <v>- Keine Lüftungsanlage im Bestand</v>
      </c>
      <c r="FY35" s="1485" t="str">
        <f>Begriffe!F289</f>
        <v>- Wasser- und Warmwasserbedarf sind in der Raumnutzung 8.1 enthalten</v>
      </c>
      <c r="FZ35" s="1487"/>
      <c r="GA35" s="1504"/>
      <c r="GK35" s="8" t="s">
        <v>156</v>
      </c>
      <c r="GL35" s="8">
        <v>0.8</v>
      </c>
      <c r="GM35" s="8">
        <v>0.6</v>
      </c>
      <c r="GN35" s="8">
        <v>0.8</v>
      </c>
      <c r="GO35" s="8">
        <v>0.6</v>
      </c>
      <c r="GP35" s="8">
        <v>0.8</v>
      </c>
      <c r="GQ35" s="8">
        <v>0.8</v>
      </c>
      <c r="GR35" s="8">
        <v>0.6</v>
      </c>
      <c r="GS35" s="8">
        <v>0.6</v>
      </c>
      <c r="GT35" s="8">
        <v>0.8</v>
      </c>
      <c r="GU35" s="8">
        <v>0.6</v>
      </c>
      <c r="GV35" s="8">
        <v>0.8</v>
      </c>
      <c r="GW35" s="8">
        <v>1</v>
      </c>
      <c r="GX35" s="55">
        <f t="shared" si="12"/>
        <v>0.73333333333333328</v>
      </c>
      <c r="GZ35" s="1488">
        <v>1</v>
      </c>
      <c r="HB35" s="1256">
        <v>1</v>
      </c>
      <c r="HC35" s="1256">
        <v>0</v>
      </c>
      <c r="HD35" s="1405">
        <v>1</v>
      </c>
      <c r="HE35" s="1405">
        <v>1</v>
      </c>
      <c r="HF35" s="1405">
        <v>1</v>
      </c>
      <c r="HG35" s="1405">
        <v>1</v>
      </c>
      <c r="HH35" s="1405">
        <v>1</v>
      </c>
      <c r="HI35" s="8">
        <v>19</v>
      </c>
      <c r="HJ35" s="8">
        <v>15</v>
      </c>
      <c r="HK35" s="8">
        <v>1</v>
      </c>
      <c r="HL35" s="8">
        <v>8</v>
      </c>
      <c r="HM35" s="1406">
        <f>Hüllzahl!Y35</f>
        <v>1.0588235294117647</v>
      </c>
      <c r="HN35" s="1407">
        <f>(HI35+HJ35*Hüllzahl!Y35)</f>
        <v>34.882352941176471</v>
      </c>
    </row>
    <row r="36" spans="1:222">
      <c r="A36" s="1548">
        <v>9.1</v>
      </c>
      <c r="B36" s="1549"/>
      <c r="C36" s="288" t="str">
        <f>Begriffe!F127</f>
        <v>Produktion (grobe Arbeit)</v>
      </c>
      <c r="D36" s="291">
        <v>20</v>
      </c>
      <c r="E36" s="292">
        <v>20</v>
      </c>
      <c r="F36" s="292">
        <v>7</v>
      </c>
      <c r="G36" s="1492">
        <f t="shared" si="17"/>
        <v>400</v>
      </c>
      <c r="H36" s="1492">
        <f>Hüllzahl!X36</f>
        <v>494.11764705882354</v>
      </c>
      <c r="I36" s="1366">
        <v>50</v>
      </c>
      <c r="J36" s="1367">
        <v>0.75</v>
      </c>
      <c r="K36" s="72">
        <f t="shared" si="0"/>
        <v>50.377833753148614</v>
      </c>
      <c r="L36" s="263">
        <v>1.2</v>
      </c>
      <c r="M36" s="240">
        <v>0.9</v>
      </c>
      <c r="N36" s="240">
        <v>1.5</v>
      </c>
      <c r="O36" s="1367">
        <v>0.17</v>
      </c>
      <c r="P36" s="240">
        <v>0.1</v>
      </c>
      <c r="Q36" s="240">
        <v>0.8</v>
      </c>
      <c r="R36" s="72">
        <v>0.5</v>
      </c>
      <c r="S36" s="1367">
        <v>0.5</v>
      </c>
      <c r="T36" s="1367">
        <v>0.65</v>
      </c>
      <c r="U36" s="1367">
        <v>0.14000000000000001</v>
      </c>
      <c r="V36" s="1367">
        <v>0.1</v>
      </c>
      <c r="W36" s="1367">
        <v>0.2</v>
      </c>
      <c r="X36" s="72">
        <v>0.7</v>
      </c>
      <c r="Y36" s="72">
        <v>0.9</v>
      </c>
      <c r="Z36" s="72">
        <v>90</v>
      </c>
      <c r="AA36" s="1365">
        <f>'Kälte_TEC-Tool'!J35</f>
        <v>105.8</v>
      </c>
      <c r="AB36" s="1368">
        <v>30</v>
      </c>
      <c r="AC36" s="1369">
        <v>18</v>
      </c>
      <c r="AD36" s="1370" t="s">
        <v>26</v>
      </c>
      <c r="AE36" s="1371" t="s">
        <v>157</v>
      </c>
      <c r="AF36" s="1371">
        <v>70</v>
      </c>
      <c r="AG36" s="1372">
        <v>30</v>
      </c>
      <c r="AH36" s="1373"/>
      <c r="AI36" s="1371"/>
      <c r="AJ36" s="1374">
        <v>1.2</v>
      </c>
      <c r="AK36" s="73">
        <v>15</v>
      </c>
      <c r="AL36" s="72">
        <v>2</v>
      </c>
      <c r="AM36" s="1375">
        <v>0.5</v>
      </c>
      <c r="AN36" s="240">
        <v>1</v>
      </c>
      <c r="AO36" s="1376"/>
      <c r="AP36" s="73">
        <v>10</v>
      </c>
      <c r="AQ36" s="72">
        <v>5</v>
      </c>
      <c r="AR36" s="72">
        <v>15</v>
      </c>
      <c r="AS36" s="72">
        <f t="shared" si="34"/>
        <v>10</v>
      </c>
      <c r="AT36" s="72">
        <f t="shared" si="35"/>
        <v>5</v>
      </c>
      <c r="AU36" s="72">
        <f t="shared" si="36"/>
        <v>15</v>
      </c>
      <c r="AV36" s="1494">
        <v>20</v>
      </c>
      <c r="AW36" s="72">
        <v>300</v>
      </c>
      <c r="AX36" s="1495">
        <v>0.75</v>
      </c>
      <c r="AY36" s="1496">
        <v>22</v>
      </c>
      <c r="AZ36" s="1378">
        <f t="shared" si="21"/>
        <v>11</v>
      </c>
      <c r="BA36" s="1379">
        <f t="shared" si="2"/>
        <v>13</v>
      </c>
      <c r="BB36" s="1380">
        <v>0.8</v>
      </c>
      <c r="BC36" s="1365">
        <v>2</v>
      </c>
      <c r="BD36" s="1365">
        <v>3</v>
      </c>
      <c r="BE36" s="1556"/>
      <c r="BF36" s="1556"/>
      <c r="BG36" s="285"/>
      <c r="BH36" s="285"/>
      <c r="BI36" s="291">
        <f>AP36+Res_Std!T32+Res_Std!U32</f>
        <v>20.809312638580931</v>
      </c>
      <c r="BJ36" s="285">
        <v>100</v>
      </c>
      <c r="BK36" s="292">
        <f t="shared" si="22"/>
        <v>4.8055407565263719</v>
      </c>
      <c r="BL36" s="1474"/>
      <c r="BM36" s="1381"/>
      <c r="BN36" s="240">
        <f t="shared" si="14"/>
        <v>4</v>
      </c>
      <c r="BO36" s="240">
        <v>10</v>
      </c>
      <c r="BP36" s="240">
        <f t="shared" si="3"/>
        <v>10</v>
      </c>
      <c r="BQ36" s="72">
        <v>0</v>
      </c>
      <c r="BR36" s="1367">
        <v>0.15</v>
      </c>
      <c r="BS36" s="1367">
        <v>0.3</v>
      </c>
      <c r="BT36" s="1383" t="str">
        <f>Begriffe!$F$231</f>
        <v>2-stufig</v>
      </c>
      <c r="BU36" s="1383" t="str">
        <f>Begriffe!$F$232</f>
        <v>stufenlos</v>
      </c>
      <c r="BV36" s="1383" t="str">
        <f>Begriffe!$F$230</f>
        <v>1-stufig</v>
      </c>
      <c r="BW36" s="1367">
        <v>0.7</v>
      </c>
      <c r="BX36" s="1367">
        <v>0.8</v>
      </c>
      <c r="BY36" s="1367">
        <v>0.5</v>
      </c>
      <c r="BZ36" s="1367">
        <v>0.75</v>
      </c>
      <c r="CA36" s="1367">
        <v>0.85</v>
      </c>
      <c r="CB36" s="1367">
        <v>0.5</v>
      </c>
      <c r="CC36" s="1557" t="str">
        <f>Begriffe!$F$234</f>
        <v>Einfache Klimaanlage</v>
      </c>
      <c r="CD36" s="1498">
        <v>0.55000000000000004</v>
      </c>
      <c r="CE36" s="1498">
        <v>0.34</v>
      </c>
      <c r="CF36" s="1499">
        <v>0.91</v>
      </c>
      <c r="CG36" s="1500" t="str">
        <f>Begriffe!$F$241</f>
        <v>notwendig</v>
      </c>
      <c r="CH36" s="1500" t="str">
        <f>Begriffe!$F$241</f>
        <v>notwendig</v>
      </c>
      <c r="CI36" s="1500" t="str">
        <f>Begriffe!$F$241</f>
        <v>notwendig</v>
      </c>
      <c r="CJ36" s="1500" t="str">
        <f>Begriffe!$F$241</f>
        <v>notwendig</v>
      </c>
      <c r="CK36" s="1500" t="str">
        <f>Begriffe!$F$241</f>
        <v>notwendig</v>
      </c>
      <c r="CL36" s="1500" t="str">
        <f>Begriffe!$F$241</f>
        <v>notwendig</v>
      </c>
      <c r="CM36" s="1389"/>
      <c r="CN36" s="1389"/>
      <c r="CO36" s="1389"/>
      <c r="CP36" s="1389">
        <v>0.5</v>
      </c>
      <c r="CQ36" s="1389"/>
      <c r="CR36" s="1389"/>
      <c r="CS36" s="1389"/>
      <c r="CT36" s="1390" t="str">
        <f>Begriffe!$F$242</f>
        <v>Person</v>
      </c>
      <c r="CU36" s="1560">
        <v>3</v>
      </c>
      <c r="CV36" s="1551">
        <v>1</v>
      </c>
      <c r="CW36" s="240">
        <f t="shared" ref="CW36:CW42" si="37">IF(CV36=0,CU36,CU36*CV36)</f>
        <v>3</v>
      </c>
      <c r="CX36" s="879">
        <v>20</v>
      </c>
      <c r="CY36" s="1377">
        <f t="shared" ref="CY36:CY42" si="38">CW36*CX36</f>
        <v>60</v>
      </c>
      <c r="CZ36" s="1389" t="s">
        <v>164</v>
      </c>
      <c r="DA36" s="1393">
        <v>0.2</v>
      </c>
      <c r="DB36" s="1394">
        <v>0.2</v>
      </c>
      <c r="DC36" s="1394">
        <v>0.2</v>
      </c>
      <c r="DD36" s="1395">
        <v>0.2</v>
      </c>
      <c r="DE36" s="1394">
        <v>0.2</v>
      </c>
      <c r="DF36" s="1396">
        <v>0.5</v>
      </c>
      <c r="DG36" s="1394">
        <v>0.8</v>
      </c>
      <c r="DH36" s="1394">
        <v>1</v>
      </c>
      <c r="DI36" s="1394">
        <v>1</v>
      </c>
      <c r="DJ36" s="1395">
        <v>0.8</v>
      </c>
      <c r="DK36" s="1394">
        <v>1</v>
      </c>
      <c r="DL36" s="1396">
        <v>0.5</v>
      </c>
      <c r="DM36" s="1394">
        <v>0.8</v>
      </c>
      <c r="DN36" s="1394">
        <v>1</v>
      </c>
      <c r="DO36" s="1394">
        <v>1</v>
      </c>
      <c r="DP36" s="1395">
        <v>0.8</v>
      </c>
      <c r="DQ36" s="1394">
        <v>0.8</v>
      </c>
      <c r="DR36" s="1396">
        <v>0.8</v>
      </c>
      <c r="DS36" s="1394">
        <v>0.5</v>
      </c>
      <c r="DT36" s="1394">
        <v>0.5</v>
      </c>
      <c r="DU36" s="1394">
        <v>0.5</v>
      </c>
      <c r="DV36" s="1395">
        <v>0.5</v>
      </c>
      <c r="DW36" s="1394">
        <v>0.2</v>
      </c>
      <c r="DX36" s="1397">
        <v>0.2</v>
      </c>
      <c r="DY36" s="1393">
        <v>0.2</v>
      </c>
      <c r="DZ36" s="1394">
        <v>0.2</v>
      </c>
      <c r="EA36" s="1394">
        <v>0.2</v>
      </c>
      <c r="EB36" s="1395">
        <v>0.2</v>
      </c>
      <c r="EC36" s="1394">
        <v>0.2</v>
      </c>
      <c r="ED36" s="1396">
        <v>0.5</v>
      </c>
      <c r="EE36" s="1394">
        <v>0.8</v>
      </c>
      <c r="EF36" s="1394">
        <v>1</v>
      </c>
      <c r="EG36" s="1394">
        <v>1</v>
      </c>
      <c r="EH36" s="1395">
        <v>0.8</v>
      </c>
      <c r="EI36" s="1394">
        <v>1</v>
      </c>
      <c r="EJ36" s="1396">
        <v>0.5</v>
      </c>
      <c r="EK36" s="1394">
        <v>0.8</v>
      </c>
      <c r="EL36" s="1394">
        <v>1</v>
      </c>
      <c r="EM36" s="1394">
        <v>1</v>
      </c>
      <c r="EN36" s="1395">
        <v>0.8</v>
      </c>
      <c r="EO36" s="1394">
        <v>0.8</v>
      </c>
      <c r="EP36" s="1396">
        <v>0.8</v>
      </c>
      <c r="EQ36" s="1394">
        <v>0.5</v>
      </c>
      <c r="ER36" s="1394">
        <v>0.5</v>
      </c>
      <c r="ES36" s="1394">
        <v>0.5</v>
      </c>
      <c r="ET36" s="1395">
        <v>0.5</v>
      </c>
      <c r="EU36" s="1394">
        <v>0.2</v>
      </c>
      <c r="EV36" s="1397">
        <v>0.2</v>
      </c>
      <c r="EW36" s="291" t="s">
        <v>862</v>
      </c>
      <c r="EX36" s="1393">
        <v>0.8</v>
      </c>
      <c r="EY36" s="1394">
        <v>0.8</v>
      </c>
      <c r="EZ36" s="1394">
        <v>0.8</v>
      </c>
      <c r="FA36" s="1395">
        <v>0.8</v>
      </c>
      <c r="FB36" s="1394">
        <v>0.8</v>
      </c>
      <c r="FC36" s="1396">
        <v>0.8</v>
      </c>
      <c r="FD36" s="1394">
        <v>0.8</v>
      </c>
      <c r="FE36" s="1394">
        <v>0.8</v>
      </c>
      <c r="FF36" s="1394">
        <v>0.8</v>
      </c>
      <c r="FG36" s="1395">
        <v>0.8</v>
      </c>
      <c r="FH36" s="1394">
        <v>0.8</v>
      </c>
      <c r="FI36" s="1397">
        <v>0.8</v>
      </c>
      <c r="FJ36" s="1501">
        <v>2</v>
      </c>
      <c r="FK36" s="1483">
        <f t="shared" si="23"/>
        <v>261</v>
      </c>
      <c r="FL36" s="280">
        <f t="shared" si="4"/>
        <v>24</v>
      </c>
      <c r="FM36" s="82">
        <f t="shared" si="5"/>
        <v>14.2</v>
      </c>
      <c r="FN36" s="82">
        <f t="shared" si="6"/>
        <v>9.5</v>
      </c>
      <c r="FO36" s="82">
        <f t="shared" si="7"/>
        <v>4.7</v>
      </c>
      <c r="FP36" s="1484">
        <f t="shared" si="8"/>
        <v>0.80000000000000016</v>
      </c>
      <c r="FQ36" s="65">
        <f t="shared" si="24"/>
        <v>2960</v>
      </c>
      <c r="FR36" s="280">
        <f t="shared" si="9"/>
        <v>24</v>
      </c>
      <c r="FS36" s="82">
        <f t="shared" si="10"/>
        <v>14.2</v>
      </c>
      <c r="FT36" s="82">
        <f t="shared" si="11"/>
        <v>4.8000000000000007</v>
      </c>
      <c r="FU36" s="65">
        <f t="shared" si="25"/>
        <v>3360</v>
      </c>
      <c r="FW36" s="1503"/>
      <c r="FX36" s="1503" t="str">
        <f>IF(BV36=0,Begriffe!$F$262,"")</f>
        <v/>
      </c>
      <c r="FY36" s="1485" t="str">
        <f>Begriffe!F290</f>
        <v xml:space="preserve">- Wasser- und Warmwasserbedarf pro Person, ohne Prozesswasser </v>
      </c>
      <c r="FZ36" s="1487"/>
      <c r="GA36" s="1504"/>
      <c r="GK36" s="8" t="s">
        <v>156</v>
      </c>
      <c r="GL36" s="8">
        <v>0.8</v>
      </c>
      <c r="GM36" s="8">
        <v>0.6</v>
      </c>
      <c r="GN36" s="8">
        <v>1</v>
      </c>
      <c r="GO36" s="8">
        <v>0.8</v>
      </c>
      <c r="GP36" s="8">
        <v>0.6</v>
      </c>
      <c r="GQ36" s="8">
        <v>1</v>
      </c>
      <c r="GR36" s="8">
        <v>0.6</v>
      </c>
      <c r="GS36" s="8">
        <v>0.6</v>
      </c>
      <c r="GT36" s="8">
        <v>1</v>
      </c>
      <c r="GU36" s="8">
        <v>0.8</v>
      </c>
      <c r="GV36" s="8">
        <v>1</v>
      </c>
      <c r="GW36" s="8">
        <v>0.6</v>
      </c>
      <c r="GX36" s="55">
        <f t="shared" si="12"/>
        <v>0.78333333333333333</v>
      </c>
      <c r="GZ36" s="1488">
        <v>2</v>
      </c>
      <c r="HB36" s="1256">
        <v>0</v>
      </c>
      <c r="HC36" s="1256">
        <v>0</v>
      </c>
      <c r="HD36" s="1405">
        <v>1</v>
      </c>
      <c r="HE36" s="1405">
        <v>1</v>
      </c>
      <c r="HF36" s="1405">
        <v>1</v>
      </c>
      <c r="HG36" s="1405">
        <v>1</v>
      </c>
      <c r="HH36" s="1405">
        <v>1</v>
      </c>
      <c r="HI36" s="8">
        <v>10</v>
      </c>
      <c r="HJ36" s="8">
        <v>13</v>
      </c>
      <c r="HK36" s="1561">
        <v>0.7</v>
      </c>
      <c r="HL36" s="8">
        <v>9</v>
      </c>
      <c r="HM36" s="1406">
        <f>Hüllzahl!Y36</f>
        <v>1.111764705882353</v>
      </c>
      <c r="HN36" s="1407">
        <f>(HI36+HJ36*Hüllzahl!Y36)</f>
        <v>24.452941176470588</v>
      </c>
    </row>
    <row r="37" spans="1:222">
      <c r="A37" s="1545">
        <v>9.1999999999999993</v>
      </c>
      <c r="B37" s="1544"/>
      <c r="C37" s="65" t="str">
        <f>Begriffe!F128</f>
        <v>Produktion (feine Arbeit)</v>
      </c>
      <c r="D37" s="280">
        <v>20</v>
      </c>
      <c r="E37" s="82">
        <v>20</v>
      </c>
      <c r="F37" s="82">
        <v>7</v>
      </c>
      <c r="G37" s="255">
        <f t="shared" si="17"/>
        <v>400</v>
      </c>
      <c r="H37" s="255">
        <f>Hüllzahl!X37</f>
        <v>494.11764705882354</v>
      </c>
      <c r="I37" s="1452">
        <v>50</v>
      </c>
      <c r="J37" s="1406">
        <v>0.75</v>
      </c>
      <c r="K37" s="55">
        <f t="shared" si="0"/>
        <v>50.377833753148614</v>
      </c>
      <c r="L37" s="1453">
        <v>1.2</v>
      </c>
      <c r="M37" s="241">
        <v>0.9</v>
      </c>
      <c r="N37" s="241">
        <v>1.5</v>
      </c>
      <c r="O37" s="1406">
        <v>0.17</v>
      </c>
      <c r="P37" s="241">
        <v>0.1</v>
      </c>
      <c r="Q37" s="241">
        <v>0.8</v>
      </c>
      <c r="R37" s="55">
        <v>0.5</v>
      </c>
      <c r="S37" s="1406">
        <v>0.5</v>
      </c>
      <c r="T37" s="1406">
        <v>0.65</v>
      </c>
      <c r="U37" s="1406">
        <v>0.14000000000000001</v>
      </c>
      <c r="V37" s="1406">
        <v>0.1</v>
      </c>
      <c r="W37" s="1406">
        <v>0.2</v>
      </c>
      <c r="X37" s="55">
        <v>0.7</v>
      </c>
      <c r="Y37" s="55">
        <v>0.9</v>
      </c>
      <c r="Z37" s="55">
        <v>90</v>
      </c>
      <c r="AA37" s="1451">
        <f>'Kälte_TEC-Tool'!J36</f>
        <v>105.8</v>
      </c>
      <c r="AB37" s="1454">
        <v>26</v>
      </c>
      <c r="AC37" s="1455">
        <v>20</v>
      </c>
      <c r="AD37" s="1506" t="s">
        <v>26</v>
      </c>
      <c r="AE37" s="249" t="s">
        <v>155</v>
      </c>
      <c r="AF37" s="249">
        <v>70</v>
      </c>
      <c r="AG37" s="1457">
        <v>30</v>
      </c>
      <c r="AH37" s="1458"/>
      <c r="AI37" s="249"/>
      <c r="AJ37" s="1459">
        <v>1.2</v>
      </c>
      <c r="AK37" s="1460">
        <v>15</v>
      </c>
      <c r="AL37" s="55">
        <v>1.2</v>
      </c>
      <c r="AM37" s="1461">
        <v>0.5</v>
      </c>
      <c r="AN37" s="241">
        <v>1</v>
      </c>
      <c r="AO37" s="1462"/>
      <c r="AP37" s="1460">
        <v>10</v>
      </c>
      <c r="AQ37" s="55">
        <v>5</v>
      </c>
      <c r="AR37" s="55">
        <v>15</v>
      </c>
      <c r="AS37" s="55">
        <f t="shared" si="34"/>
        <v>10</v>
      </c>
      <c r="AT37" s="55">
        <f t="shared" si="35"/>
        <v>5</v>
      </c>
      <c r="AU37" s="55">
        <f t="shared" si="36"/>
        <v>15</v>
      </c>
      <c r="AV37" s="1508">
        <v>20</v>
      </c>
      <c r="AW37" s="55">
        <v>500</v>
      </c>
      <c r="AX37" s="1509">
        <v>0.75</v>
      </c>
      <c r="AY37" s="1510">
        <v>19</v>
      </c>
      <c r="AZ37" s="1464">
        <f t="shared" si="21"/>
        <v>11</v>
      </c>
      <c r="BA37" s="1465">
        <f t="shared" si="2"/>
        <v>0</v>
      </c>
      <c r="BB37" s="1466">
        <v>0.8</v>
      </c>
      <c r="BC37" s="1451">
        <v>2</v>
      </c>
      <c r="BD37" s="1451">
        <v>3</v>
      </c>
      <c r="BE37" s="1535"/>
      <c r="BF37" s="1535"/>
      <c r="BG37" s="4"/>
      <c r="BH37" s="4"/>
      <c r="BI37" s="280">
        <f>AP37+Res_Std!T33+Res_Std!U33</f>
        <v>24.745916515426497</v>
      </c>
      <c r="BJ37" s="873">
        <v>100</v>
      </c>
      <c r="BK37" s="82">
        <f t="shared" si="22"/>
        <v>4.0410707737440408</v>
      </c>
      <c r="BL37" s="1474"/>
      <c r="BM37" s="1467"/>
      <c r="BN37" s="241">
        <f t="shared" si="14"/>
        <v>2.4</v>
      </c>
      <c r="BO37" s="241">
        <v>10</v>
      </c>
      <c r="BP37" s="241">
        <f t="shared" si="3"/>
        <v>10</v>
      </c>
      <c r="BQ37" s="55">
        <v>0</v>
      </c>
      <c r="BR37" s="1406">
        <v>0.15</v>
      </c>
      <c r="BS37" s="1406">
        <v>0.3</v>
      </c>
      <c r="BT37" s="1468" t="str">
        <f>Begriffe!$F$231</f>
        <v>2-stufig</v>
      </c>
      <c r="BU37" s="1468" t="str">
        <f>Begriffe!$F$232</f>
        <v>stufenlos</v>
      </c>
      <c r="BV37" s="1468" t="str">
        <f>Begriffe!$F$230</f>
        <v>1-stufig</v>
      </c>
      <c r="BW37" s="1406">
        <v>0.7</v>
      </c>
      <c r="BX37" s="1406">
        <v>0.8</v>
      </c>
      <c r="BY37" s="1406">
        <v>0.5</v>
      </c>
      <c r="BZ37" s="1406">
        <v>0.75</v>
      </c>
      <c r="CA37" s="1406">
        <v>0.85</v>
      </c>
      <c r="CB37" s="1406">
        <v>0.5</v>
      </c>
      <c r="CC37" s="1558" t="str">
        <f>Begriffe!$F$234</f>
        <v>Einfache Klimaanlage</v>
      </c>
      <c r="CD37" s="1513">
        <v>0.55000000000000004</v>
      </c>
      <c r="CE37" s="1513">
        <v>0.34</v>
      </c>
      <c r="CF37" s="1514">
        <v>0.91</v>
      </c>
      <c r="CG37" s="1515" t="str">
        <f>Begriffe!$F$241</f>
        <v>notwendig</v>
      </c>
      <c r="CH37" s="1515" t="str">
        <f>Begriffe!$F$241</f>
        <v>notwendig</v>
      </c>
      <c r="CI37" s="1515" t="str">
        <f>Begriffe!$F$241</f>
        <v>notwendig</v>
      </c>
      <c r="CJ37" s="1515" t="str">
        <f>Begriffe!$F$239</f>
        <v>nicht notwend.</v>
      </c>
      <c r="CK37" s="1515" t="str">
        <f>Begriffe!$F$240</f>
        <v>erwünscht</v>
      </c>
      <c r="CL37" s="1515" t="str">
        <f>Begriffe!$F$241</f>
        <v>notwendig</v>
      </c>
      <c r="CM37" s="1473"/>
      <c r="CN37" s="1473"/>
      <c r="CO37" s="1473"/>
      <c r="CP37" s="1473">
        <v>0.5</v>
      </c>
      <c r="CQ37" s="1473"/>
      <c r="CR37" s="1473"/>
      <c r="CS37" s="1473"/>
      <c r="CT37" s="1474" t="str">
        <f>Begriffe!$F$242</f>
        <v>Person</v>
      </c>
      <c r="CU37" s="1547">
        <v>3</v>
      </c>
      <c r="CV37" s="1552">
        <v>1</v>
      </c>
      <c r="CW37" s="241">
        <f t="shared" si="37"/>
        <v>3</v>
      </c>
      <c r="CX37" s="918">
        <v>20</v>
      </c>
      <c r="CY37" s="1463">
        <f t="shared" si="38"/>
        <v>60</v>
      </c>
      <c r="CZ37" s="1542" t="s">
        <v>159</v>
      </c>
      <c r="DA37" s="1477"/>
      <c r="DB37" s="1478"/>
      <c r="DC37" s="1478"/>
      <c r="DD37" s="1479"/>
      <c r="DE37" s="1478"/>
      <c r="DF37" s="1480"/>
      <c r="DG37" s="1478"/>
      <c r="DH37" s="1478">
        <v>0.2</v>
      </c>
      <c r="DI37" s="1478">
        <v>0.6</v>
      </c>
      <c r="DJ37" s="1479">
        <v>1</v>
      </c>
      <c r="DK37" s="1478">
        <v>1</v>
      </c>
      <c r="DL37" s="1480">
        <v>0.8</v>
      </c>
      <c r="DM37" s="1478">
        <v>0.4</v>
      </c>
      <c r="DN37" s="1478">
        <v>0.6</v>
      </c>
      <c r="DO37" s="1478">
        <v>1</v>
      </c>
      <c r="DP37" s="1479">
        <v>0.8</v>
      </c>
      <c r="DQ37" s="1478">
        <v>0.6</v>
      </c>
      <c r="DR37" s="1480">
        <v>0.2</v>
      </c>
      <c r="DS37" s="1478"/>
      <c r="DT37" s="1478"/>
      <c r="DU37" s="1478"/>
      <c r="DV37" s="1479"/>
      <c r="DW37" s="1478"/>
      <c r="DX37" s="1481"/>
      <c r="DY37" s="1477">
        <v>0.2</v>
      </c>
      <c r="DZ37" s="1478">
        <v>0.2</v>
      </c>
      <c r="EA37" s="1478">
        <v>0.2</v>
      </c>
      <c r="EB37" s="1479">
        <v>0.2</v>
      </c>
      <c r="EC37" s="1478">
        <v>0.2</v>
      </c>
      <c r="ED37" s="1480">
        <v>0.2</v>
      </c>
      <c r="EE37" s="1478">
        <v>0.2</v>
      </c>
      <c r="EF37" s="1478">
        <v>0.2</v>
      </c>
      <c r="EG37" s="1478">
        <v>0.6</v>
      </c>
      <c r="EH37" s="1479">
        <v>1</v>
      </c>
      <c r="EI37" s="1478">
        <v>1</v>
      </c>
      <c r="EJ37" s="1480">
        <v>0.8</v>
      </c>
      <c r="EK37" s="1478">
        <v>0.4</v>
      </c>
      <c r="EL37" s="1478">
        <v>0.6</v>
      </c>
      <c r="EM37" s="1478">
        <v>1</v>
      </c>
      <c r="EN37" s="1479">
        <v>0.8</v>
      </c>
      <c r="EO37" s="1478">
        <v>0.6</v>
      </c>
      <c r="EP37" s="1480">
        <v>0.2</v>
      </c>
      <c r="EQ37" s="1478">
        <v>0.2</v>
      </c>
      <c r="ER37" s="1478">
        <v>0.2</v>
      </c>
      <c r="ES37" s="1478">
        <v>0.2</v>
      </c>
      <c r="ET37" s="1479">
        <v>0.2</v>
      </c>
      <c r="EU37" s="1478">
        <v>0.2</v>
      </c>
      <c r="EV37" s="1481">
        <v>0.2</v>
      </c>
      <c r="EW37" s="280" t="s">
        <v>862</v>
      </c>
      <c r="EX37" s="1477">
        <v>0.8</v>
      </c>
      <c r="EY37" s="1478">
        <v>0.8</v>
      </c>
      <c r="EZ37" s="1478">
        <v>0.8</v>
      </c>
      <c r="FA37" s="1479">
        <v>0.8</v>
      </c>
      <c r="FB37" s="1478">
        <v>0.8</v>
      </c>
      <c r="FC37" s="1480">
        <v>0.8</v>
      </c>
      <c r="FD37" s="1478">
        <v>0.8</v>
      </c>
      <c r="FE37" s="1478">
        <v>0.8</v>
      </c>
      <c r="FF37" s="1478">
        <v>0.8</v>
      </c>
      <c r="FG37" s="1479">
        <v>0.8</v>
      </c>
      <c r="FH37" s="1478">
        <v>0.8</v>
      </c>
      <c r="FI37" s="1481">
        <v>0.8</v>
      </c>
      <c r="FJ37" s="1516">
        <v>2</v>
      </c>
      <c r="FK37" s="1483">
        <f t="shared" si="23"/>
        <v>261</v>
      </c>
      <c r="FL37" s="280">
        <f t="shared" si="4"/>
        <v>11</v>
      </c>
      <c r="FM37" s="82">
        <f t="shared" si="5"/>
        <v>7.1999999999999993</v>
      </c>
      <c r="FN37" s="82">
        <f t="shared" si="6"/>
        <v>7.1999999999999993</v>
      </c>
      <c r="FO37" s="82">
        <f t="shared" si="7"/>
        <v>0</v>
      </c>
      <c r="FP37" s="1484">
        <f t="shared" si="8"/>
        <v>0.80000000000000016</v>
      </c>
      <c r="FQ37" s="65">
        <f t="shared" si="24"/>
        <v>1500</v>
      </c>
      <c r="FR37" s="280">
        <f t="shared" si="9"/>
        <v>24</v>
      </c>
      <c r="FS37" s="82">
        <f t="shared" si="10"/>
        <v>9.7999999999999936</v>
      </c>
      <c r="FT37" s="82">
        <f t="shared" si="11"/>
        <v>4.8000000000000007</v>
      </c>
      <c r="FU37" s="65">
        <f>ROUND((FS37*FK37+FT37*(365-FK37))*FP37,-1)</f>
        <v>2450</v>
      </c>
      <c r="FW37" s="1503"/>
      <c r="FX37" s="1503" t="str">
        <f>IF(BV37=0,Begriffe!$F$262,"")</f>
        <v/>
      </c>
      <c r="FY37" s="1485" t="str">
        <f>Begriffe!F291</f>
        <v xml:space="preserve">- Wasser- und Warmwasserbedarf pro Person, ohne Prozesswasser </v>
      </c>
      <c r="FZ37" s="1487"/>
      <c r="GA37" s="1504"/>
      <c r="GK37" s="8" t="s">
        <v>156</v>
      </c>
      <c r="GL37" s="8">
        <v>0.8</v>
      </c>
      <c r="GM37" s="8">
        <v>0.6</v>
      </c>
      <c r="GN37" s="8">
        <v>1</v>
      </c>
      <c r="GO37" s="8">
        <v>0.8</v>
      </c>
      <c r="GP37" s="8">
        <v>0.6</v>
      </c>
      <c r="GQ37" s="8">
        <v>1</v>
      </c>
      <c r="GR37" s="8">
        <v>0.6</v>
      </c>
      <c r="GS37" s="8">
        <v>0.6</v>
      </c>
      <c r="GT37" s="8">
        <v>1</v>
      </c>
      <c r="GU37" s="8">
        <v>0.8</v>
      </c>
      <c r="GV37" s="8">
        <v>1</v>
      </c>
      <c r="GW37" s="8">
        <v>0.6</v>
      </c>
      <c r="GX37" s="55">
        <f t="shared" si="12"/>
        <v>0.78333333333333333</v>
      </c>
      <c r="GZ37" s="1488">
        <v>2</v>
      </c>
      <c r="HB37" s="1256">
        <v>0</v>
      </c>
      <c r="HC37" s="1256">
        <v>0</v>
      </c>
      <c r="HD37" s="1405">
        <v>1</v>
      </c>
      <c r="HE37" s="1405">
        <v>1</v>
      </c>
      <c r="HF37" s="1405">
        <v>1</v>
      </c>
      <c r="HG37" s="1405">
        <v>1</v>
      </c>
      <c r="HH37" s="1405">
        <v>1</v>
      </c>
      <c r="HI37" s="8">
        <v>10</v>
      </c>
      <c r="HJ37" s="8">
        <v>13</v>
      </c>
      <c r="HK37" s="1561">
        <v>0.7</v>
      </c>
      <c r="HL37" s="8">
        <v>9</v>
      </c>
      <c r="HM37" s="1406">
        <f>Hüllzahl!Y37</f>
        <v>1.111764705882353</v>
      </c>
      <c r="HN37" s="1407">
        <f>(HI37+HJ37*Hüllzahl!Y37)</f>
        <v>24.452941176470588</v>
      </c>
    </row>
    <row r="38" spans="1:222">
      <c r="A38" s="885">
        <v>9.3000000000000007</v>
      </c>
      <c r="B38" s="1517"/>
      <c r="C38" s="1536" t="str">
        <f>Begriffe!F129</f>
        <v>Laborraum</v>
      </c>
      <c r="D38" s="281">
        <v>10</v>
      </c>
      <c r="E38" s="282">
        <v>7</v>
      </c>
      <c r="F38" s="282">
        <v>4</v>
      </c>
      <c r="G38" s="1518">
        <f t="shared" si="17"/>
        <v>70</v>
      </c>
      <c r="H38" s="1518">
        <f>Hüllzahl!X38</f>
        <v>127.05882352941177</v>
      </c>
      <c r="I38" s="1411">
        <v>50</v>
      </c>
      <c r="J38" s="1412">
        <v>0.75</v>
      </c>
      <c r="K38" s="60">
        <f t="shared" si="0"/>
        <v>50.377833753148614</v>
      </c>
      <c r="L38" s="1011">
        <v>1.2</v>
      </c>
      <c r="M38" s="289">
        <v>0.9</v>
      </c>
      <c r="N38" s="289">
        <v>1.5</v>
      </c>
      <c r="O38" s="1412">
        <v>0.17</v>
      </c>
      <c r="P38" s="289">
        <v>0.1</v>
      </c>
      <c r="Q38" s="289">
        <v>0.8</v>
      </c>
      <c r="R38" s="60">
        <v>0.5</v>
      </c>
      <c r="S38" s="1412">
        <v>0.5</v>
      </c>
      <c r="T38" s="1412">
        <v>0.65</v>
      </c>
      <c r="U38" s="1412">
        <v>0.14000000000000001</v>
      </c>
      <c r="V38" s="1412">
        <v>0.1</v>
      </c>
      <c r="W38" s="1412">
        <v>0.2</v>
      </c>
      <c r="X38" s="60">
        <v>0.7</v>
      </c>
      <c r="Y38" s="60">
        <v>0.9</v>
      </c>
      <c r="Z38" s="60">
        <v>90</v>
      </c>
      <c r="AA38" s="1410">
        <f>'Kälte_TEC-Tool'!J37</f>
        <v>114.8</v>
      </c>
      <c r="AB38" s="1413">
        <v>26</v>
      </c>
      <c r="AC38" s="1414">
        <v>21</v>
      </c>
      <c r="AD38" s="1519" t="s">
        <v>26</v>
      </c>
      <c r="AE38" s="1416" t="s">
        <v>155</v>
      </c>
      <c r="AF38" s="1416">
        <v>60</v>
      </c>
      <c r="AG38" s="1417">
        <v>30</v>
      </c>
      <c r="AH38" s="1418"/>
      <c r="AI38" s="1416"/>
      <c r="AJ38" s="1419">
        <v>0.8</v>
      </c>
      <c r="AK38" s="56">
        <v>15</v>
      </c>
      <c r="AL38" s="60">
        <v>1.2</v>
      </c>
      <c r="AM38" s="1420">
        <v>0.5</v>
      </c>
      <c r="AN38" s="289">
        <v>1</v>
      </c>
      <c r="AO38" s="1421"/>
      <c r="AP38" s="1538">
        <v>20</v>
      </c>
      <c r="AQ38" s="1539">
        <v>15</v>
      </c>
      <c r="AR38" s="1539">
        <v>25</v>
      </c>
      <c r="AS38" s="1539">
        <f t="shared" si="34"/>
        <v>20</v>
      </c>
      <c r="AT38" s="1539">
        <f t="shared" si="35"/>
        <v>15</v>
      </c>
      <c r="AU38" s="1539">
        <f t="shared" si="36"/>
        <v>25</v>
      </c>
      <c r="AV38" s="1520">
        <v>20</v>
      </c>
      <c r="AW38" s="60">
        <v>500</v>
      </c>
      <c r="AX38" s="1521">
        <v>0.75</v>
      </c>
      <c r="AY38" s="1522">
        <v>19</v>
      </c>
      <c r="AZ38" s="1423">
        <f t="shared" ref="AZ38" si="39">SUMIF(DH38:DR38,"&gt;0",DH$9:DR$9)</f>
        <v>11</v>
      </c>
      <c r="BA38" s="1424">
        <f t="shared" si="2"/>
        <v>0</v>
      </c>
      <c r="BB38" s="1425">
        <v>0.8</v>
      </c>
      <c r="BC38" s="1410">
        <v>2</v>
      </c>
      <c r="BD38" s="1410">
        <v>3</v>
      </c>
      <c r="BE38" s="1540"/>
      <c r="BF38" s="1540"/>
      <c r="BG38" s="283"/>
      <c r="BH38" s="283"/>
      <c r="BI38" s="281">
        <f>AP38+Res_Std!T34+Res_Std!U34</f>
        <v>36.236712470832252</v>
      </c>
      <c r="BJ38" s="283">
        <v>200</v>
      </c>
      <c r="BK38" s="282">
        <f t="shared" si="22"/>
        <v>5.5192644796622901</v>
      </c>
      <c r="BL38" s="1434"/>
      <c r="BM38" s="1426"/>
      <c r="BN38" s="289">
        <f t="shared" si="14"/>
        <v>2.4</v>
      </c>
      <c r="BO38" s="289">
        <v>20</v>
      </c>
      <c r="BP38" s="289">
        <f t="shared" si="3"/>
        <v>20</v>
      </c>
      <c r="BQ38" s="60">
        <v>0</v>
      </c>
      <c r="BR38" s="1412">
        <v>0.15</v>
      </c>
      <c r="BS38" s="1412">
        <v>0.3</v>
      </c>
      <c r="BT38" s="1428" t="str">
        <f>Begriffe!$F$232</f>
        <v>stufenlos</v>
      </c>
      <c r="BU38" s="1428" t="str">
        <f>Begriffe!$F$232</f>
        <v>stufenlos</v>
      </c>
      <c r="BV38" s="1428" t="str">
        <f>Begriffe!$F$231</f>
        <v>2-stufig</v>
      </c>
      <c r="BW38" s="1412">
        <v>0.7</v>
      </c>
      <c r="BX38" s="1412">
        <v>0.8</v>
      </c>
      <c r="BY38" s="1412">
        <v>0.5</v>
      </c>
      <c r="BZ38" s="1412">
        <v>0.75</v>
      </c>
      <c r="CA38" s="1412">
        <v>0.85</v>
      </c>
      <c r="CB38" s="1412">
        <v>0.5</v>
      </c>
      <c r="CC38" s="1523" t="str">
        <f>Begriffe!$F$234</f>
        <v>Einfache Klimaanlage</v>
      </c>
      <c r="CD38" s="1524">
        <v>0.55000000000000004</v>
      </c>
      <c r="CE38" s="1524">
        <v>0.34</v>
      </c>
      <c r="CF38" s="1525">
        <v>0.91</v>
      </c>
      <c r="CG38" s="1526" t="str">
        <f>Begriffe!$F$241</f>
        <v>notwendig</v>
      </c>
      <c r="CH38" s="1526" t="str">
        <f>Begriffe!$F$241</f>
        <v>notwendig</v>
      </c>
      <c r="CI38" s="1526" t="str">
        <f>Begriffe!$F$241</f>
        <v>notwendig</v>
      </c>
      <c r="CJ38" s="1526" t="str">
        <f>Begriffe!$F$240</f>
        <v>erwünscht</v>
      </c>
      <c r="CK38" s="1526" t="str">
        <f>Begriffe!$F$241</f>
        <v>notwendig</v>
      </c>
      <c r="CL38" s="1526" t="str">
        <f>Begriffe!$F$241</f>
        <v>notwendig</v>
      </c>
      <c r="CM38" s="1433"/>
      <c r="CN38" s="1433"/>
      <c r="CO38" s="1433"/>
      <c r="CP38" s="1433"/>
      <c r="CQ38" s="1433"/>
      <c r="CR38" s="1433"/>
      <c r="CS38" s="1433"/>
      <c r="CT38" s="1434" t="str">
        <f>Begriffe!$F$242</f>
        <v>Person</v>
      </c>
      <c r="CU38" s="1562">
        <v>3</v>
      </c>
      <c r="CV38" s="1563">
        <v>1</v>
      </c>
      <c r="CW38" s="289">
        <f t="shared" si="37"/>
        <v>3</v>
      </c>
      <c r="CX38" s="881">
        <v>20</v>
      </c>
      <c r="CY38" s="1422">
        <f t="shared" si="38"/>
        <v>60</v>
      </c>
      <c r="CZ38" s="1564" t="s">
        <v>159</v>
      </c>
      <c r="DA38" s="1437"/>
      <c r="DB38" s="1438"/>
      <c r="DC38" s="1438"/>
      <c r="DD38" s="1439"/>
      <c r="DE38" s="1438"/>
      <c r="DF38" s="1440"/>
      <c r="DG38" s="1438"/>
      <c r="DH38" s="1438">
        <v>0.2</v>
      </c>
      <c r="DI38" s="1438">
        <v>0.6</v>
      </c>
      <c r="DJ38" s="1439">
        <v>1</v>
      </c>
      <c r="DK38" s="1438">
        <v>1</v>
      </c>
      <c r="DL38" s="1440">
        <v>0.8</v>
      </c>
      <c r="DM38" s="1438">
        <v>0.4</v>
      </c>
      <c r="DN38" s="1438">
        <v>0.6</v>
      </c>
      <c r="DO38" s="1438">
        <v>1</v>
      </c>
      <c r="DP38" s="1439">
        <v>0.8</v>
      </c>
      <c r="DQ38" s="1438">
        <v>0.6</v>
      </c>
      <c r="DR38" s="1440">
        <v>0.2</v>
      </c>
      <c r="DS38" s="1438"/>
      <c r="DT38" s="1438"/>
      <c r="DU38" s="1438"/>
      <c r="DV38" s="1439"/>
      <c r="DW38" s="1438"/>
      <c r="DX38" s="1441"/>
      <c r="DY38" s="1437">
        <v>0.2</v>
      </c>
      <c r="DZ38" s="1438">
        <v>0.2</v>
      </c>
      <c r="EA38" s="1438">
        <v>0.2</v>
      </c>
      <c r="EB38" s="1439">
        <v>0.2</v>
      </c>
      <c r="EC38" s="1438">
        <v>0.2</v>
      </c>
      <c r="ED38" s="1440">
        <v>0.2</v>
      </c>
      <c r="EE38" s="1438">
        <v>0.2</v>
      </c>
      <c r="EF38" s="1438">
        <v>0.2</v>
      </c>
      <c r="EG38" s="1438">
        <v>0.6</v>
      </c>
      <c r="EH38" s="1439">
        <v>1</v>
      </c>
      <c r="EI38" s="1438">
        <v>1</v>
      </c>
      <c r="EJ38" s="1440">
        <v>0.8</v>
      </c>
      <c r="EK38" s="1438">
        <v>0.4</v>
      </c>
      <c r="EL38" s="1438">
        <v>0.6</v>
      </c>
      <c r="EM38" s="1438">
        <v>1</v>
      </c>
      <c r="EN38" s="1439">
        <v>0.8</v>
      </c>
      <c r="EO38" s="1438">
        <v>0.6</v>
      </c>
      <c r="EP38" s="1440">
        <v>0.2</v>
      </c>
      <c r="EQ38" s="1438">
        <v>0.2</v>
      </c>
      <c r="ER38" s="1438">
        <v>0.2</v>
      </c>
      <c r="ES38" s="1438">
        <v>0.2</v>
      </c>
      <c r="ET38" s="1439">
        <v>0.2</v>
      </c>
      <c r="EU38" s="1438">
        <v>0.2</v>
      </c>
      <c r="EV38" s="1441">
        <v>0.2</v>
      </c>
      <c r="EW38" s="1565" t="s">
        <v>862</v>
      </c>
      <c r="EX38" s="1437">
        <v>0.8</v>
      </c>
      <c r="EY38" s="1438">
        <v>0.8</v>
      </c>
      <c r="EZ38" s="1438">
        <v>0.8</v>
      </c>
      <c r="FA38" s="1439">
        <v>0.8</v>
      </c>
      <c r="FB38" s="1438">
        <v>0.8</v>
      </c>
      <c r="FC38" s="1440">
        <v>0.8</v>
      </c>
      <c r="FD38" s="1438">
        <v>0.8</v>
      </c>
      <c r="FE38" s="1438">
        <v>0.8</v>
      </c>
      <c r="FF38" s="1438">
        <v>0.8</v>
      </c>
      <c r="FG38" s="1439">
        <v>0.8</v>
      </c>
      <c r="FH38" s="1438">
        <v>0.8</v>
      </c>
      <c r="FI38" s="1441">
        <v>0.8</v>
      </c>
      <c r="FJ38" s="1528">
        <v>2</v>
      </c>
      <c r="FK38" s="1443">
        <f t="shared" ref="FK38" si="40">365-(52*FJ38)</f>
        <v>261</v>
      </c>
      <c r="FL38" s="281">
        <f t="shared" si="4"/>
        <v>11</v>
      </c>
      <c r="FM38" s="282">
        <f t="shared" si="5"/>
        <v>7.1999999999999993</v>
      </c>
      <c r="FN38" s="282">
        <f t="shared" si="6"/>
        <v>7.1999999999999993</v>
      </c>
      <c r="FO38" s="282">
        <f t="shared" si="7"/>
        <v>0</v>
      </c>
      <c r="FP38" s="1444">
        <f t="shared" ref="FP38" si="41">SUMPRODUCT(EX38:FI38,EX$9:FI$9)/365</f>
        <v>0.80000000000000016</v>
      </c>
      <c r="FQ38" s="357">
        <f t="shared" ref="FQ38" si="42">ROUND(FM38*FK38*FP38,-1)</f>
        <v>1500</v>
      </c>
      <c r="FR38" s="281">
        <f t="shared" si="9"/>
        <v>24</v>
      </c>
      <c r="FS38" s="282">
        <f t="shared" si="10"/>
        <v>9.7999999999999936</v>
      </c>
      <c r="FT38" s="282">
        <f t="shared" si="11"/>
        <v>4.8000000000000007</v>
      </c>
      <c r="FU38" s="357">
        <f>ROUND((FS38*FK38+FT38*(365-FK38))*FP38,-1)</f>
        <v>2450</v>
      </c>
      <c r="FW38" s="1503"/>
      <c r="FX38" s="1503" t="str">
        <f>IF(BV38=0,Begriffe!$F$262,"")</f>
        <v/>
      </c>
      <c r="FY38" s="1485" t="str">
        <f>Begriffe!F292</f>
        <v xml:space="preserve">- Wasser- und Warmwasserbedarf pro Person, ohne Prozesswasser </v>
      </c>
      <c r="FZ38" s="1487"/>
      <c r="GA38" s="1504"/>
      <c r="GK38" s="1257" t="s">
        <v>156</v>
      </c>
      <c r="GL38" s="8">
        <v>0.8</v>
      </c>
      <c r="GM38" s="8">
        <v>0.6</v>
      </c>
      <c r="GN38" s="8">
        <v>1</v>
      </c>
      <c r="GO38" s="8">
        <v>0.8</v>
      </c>
      <c r="GP38" s="8">
        <v>0.6</v>
      </c>
      <c r="GQ38" s="8">
        <v>1</v>
      </c>
      <c r="GR38" s="8">
        <v>0.6</v>
      </c>
      <c r="GS38" s="8">
        <v>0.6</v>
      </c>
      <c r="GT38" s="8">
        <v>1</v>
      </c>
      <c r="GU38" s="8">
        <v>0.8</v>
      </c>
      <c r="GV38" s="8">
        <v>1</v>
      </c>
      <c r="GW38" s="8">
        <v>0.6</v>
      </c>
      <c r="GX38" s="55">
        <f t="shared" ref="GX38" si="43">SUM(GL38:GW38)/12</f>
        <v>0.78333333333333333</v>
      </c>
      <c r="GZ38" s="1488">
        <v>2</v>
      </c>
      <c r="HB38" s="1256">
        <v>0</v>
      </c>
      <c r="HC38" s="1256">
        <v>0</v>
      </c>
      <c r="HD38" s="1405">
        <v>1</v>
      </c>
      <c r="HE38" s="1405">
        <v>1</v>
      </c>
      <c r="HF38" s="1405">
        <v>1</v>
      </c>
      <c r="HG38" s="1405">
        <v>1</v>
      </c>
      <c r="HH38" s="1405">
        <v>1</v>
      </c>
      <c r="HI38" s="8">
        <v>10</v>
      </c>
      <c r="HJ38" s="8">
        <v>13</v>
      </c>
      <c r="HK38" s="1561">
        <v>0.7</v>
      </c>
      <c r="HL38" s="8">
        <v>9</v>
      </c>
      <c r="HM38" s="1406">
        <f>Hüllzahl!Y38</f>
        <v>1.2</v>
      </c>
      <c r="HN38" s="1407">
        <f>(HI38+HJ38*Hüllzahl!Y38)</f>
        <v>25.6</v>
      </c>
    </row>
    <row r="39" spans="1:222">
      <c r="A39" s="1566">
        <v>10.1</v>
      </c>
      <c r="B39" s="1567"/>
      <c r="C39" s="1568" t="str">
        <f>Begriffe!F130</f>
        <v>Lagerhalle</v>
      </c>
      <c r="D39" s="1569">
        <v>20</v>
      </c>
      <c r="E39" s="1570">
        <v>20</v>
      </c>
      <c r="F39" s="1570">
        <v>7</v>
      </c>
      <c r="G39" s="1571">
        <f t="shared" si="17"/>
        <v>400</v>
      </c>
      <c r="H39" s="1571">
        <f>Hüllzahl!X39</f>
        <v>494.11764705882354</v>
      </c>
      <c r="I39" s="1572">
        <v>50</v>
      </c>
      <c r="J39" s="1573">
        <v>0.75</v>
      </c>
      <c r="K39" s="1574">
        <f t="shared" si="0"/>
        <v>50.377833753148614</v>
      </c>
      <c r="L39" s="1575">
        <v>1.2</v>
      </c>
      <c r="M39" s="1576">
        <v>0.9</v>
      </c>
      <c r="N39" s="1576">
        <v>1.5</v>
      </c>
      <c r="O39" s="1573">
        <v>0.17</v>
      </c>
      <c r="P39" s="1576">
        <v>0.1</v>
      </c>
      <c r="Q39" s="1576">
        <v>0.8</v>
      </c>
      <c r="R39" s="1574">
        <v>0.5</v>
      </c>
      <c r="S39" s="1573">
        <v>0.5</v>
      </c>
      <c r="T39" s="1573">
        <v>0.65</v>
      </c>
      <c r="U39" s="1573">
        <v>0.14000000000000001</v>
      </c>
      <c r="V39" s="1573">
        <v>0.1</v>
      </c>
      <c r="W39" s="1573">
        <v>0.2</v>
      </c>
      <c r="X39" s="1574">
        <v>0.7</v>
      </c>
      <c r="Y39" s="1574">
        <v>0.9</v>
      </c>
      <c r="Z39" s="1574">
        <v>90</v>
      </c>
      <c r="AA39" s="1577">
        <f>'Kälte_TEC-Tool'!J38</f>
        <v>105.8</v>
      </c>
      <c r="AB39" s="1578"/>
      <c r="AC39" s="1579">
        <v>18</v>
      </c>
      <c r="AD39" s="1580" t="s">
        <v>256</v>
      </c>
      <c r="AE39" s="1581" t="s">
        <v>155</v>
      </c>
      <c r="AF39" s="1581">
        <v>70</v>
      </c>
      <c r="AG39" s="1582">
        <v>30</v>
      </c>
      <c r="AH39" s="1583"/>
      <c r="AI39" s="1581">
        <v>40</v>
      </c>
      <c r="AJ39" s="1584">
        <v>1.2</v>
      </c>
      <c r="AK39" s="1585">
        <v>40</v>
      </c>
      <c r="AL39" s="1574">
        <v>2</v>
      </c>
      <c r="AM39" s="1586">
        <v>0.5</v>
      </c>
      <c r="AN39" s="1576">
        <v>1</v>
      </c>
      <c r="AO39" s="1587"/>
      <c r="AP39" s="1588"/>
      <c r="AQ39" s="1574"/>
      <c r="AR39" s="1574"/>
      <c r="AS39" s="1574"/>
      <c r="AT39" s="1574"/>
      <c r="AU39" s="1574"/>
      <c r="AV39" s="1589">
        <v>10</v>
      </c>
      <c r="AW39" s="1574">
        <v>100</v>
      </c>
      <c r="AX39" s="1590">
        <v>0.05</v>
      </c>
      <c r="AY39" s="1591">
        <v>25</v>
      </c>
      <c r="AZ39" s="1592">
        <f t="shared" si="21"/>
        <v>11</v>
      </c>
      <c r="BA39" s="1593">
        <f t="shared" si="2"/>
        <v>13</v>
      </c>
      <c r="BB39" s="1594">
        <v>0.8</v>
      </c>
      <c r="BC39" s="1577">
        <v>2</v>
      </c>
      <c r="BD39" s="1577">
        <v>3</v>
      </c>
      <c r="BE39" s="1595"/>
      <c r="BF39" s="1595"/>
      <c r="BG39" s="1596"/>
      <c r="BH39" s="1596"/>
      <c r="BI39" s="1569">
        <f>AP39+Res_Std!T35+Res_Std!U35</f>
        <v>4.8290598290598297</v>
      </c>
      <c r="BJ39" s="1596">
        <v>50</v>
      </c>
      <c r="BK39" s="1570">
        <f t="shared" si="22"/>
        <v>10.353982300884955</v>
      </c>
      <c r="BL39" s="1597">
        <v>36</v>
      </c>
      <c r="BM39" s="1598"/>
      <c r="BN39" s="1576">
        <f t="shared" si="14"/>
        <v>1.5</v>
      </c>
      <c r="BO39" s="289"/>
      <c r="BP39" s="1576">
        <f t="shared" si="3"/>
        <v>1.5</v>
      </c>
      <c r="BQ39" s="1574">
        <v>0</v>
      </c>
      <c r="BR39" s="1573">
        <v>0.15</v>
      </c>
      <c r="BS39" s="1573">
        <v>0.3</v>
      </c>
      <c r="BT39" s="1599" t="str">
        <f>Begriffe!$F$230</f>
        <v>1-stufig</v>
      </c>
      <c r="BU39" s="1599" t="str">
        <f>Begriffe!$F$231</f>
        <v>2-stufig</v>
      </c>
      <c r="BV39" s="1599"/>
      <c r="BW39" s="1573">
        <v>0.7</v>
      </c>
      <c r="BX39" s="1573">
        <v>0.8</v>
      </c>
      <c r="BY39" s="1573"/>
      <c r="BZ39" s="1573">
        <v>0.75</v>
      </c>
      <c r="CA39" s="1573">
        <v>0.85</v>
      </c>
      <c r="CB39" s="1573"/>
      <c r="CC39" s="1600" t="str">
        <f>Begriffe!$F$235</f>
        <v>LA mit Lufterwärmung</v>
      </c>
      <c r="CD39" s="1601">
        <v>0.34</v>
      </c>
      <c r="CE39" s="1601">
        <v>0.22300000000000003</v>
      </c>
      <c r="CF39" s="1602">
        <v>0.55000000000000004</v>
      </c>
      <c r="CG39" s="1603" t="s">
        <v>18</v>
      </c>
      <c r="CH39" s="1603" t="s">
        <v>18</v>
      </c>
      <c r="CI39" s="1603" t="s">
        <v>18</v>
      </c>
      <c r="CJ39" s="1603" t="s">
        <v>18</v>
      </c>
      <c r="CK39" s="1603" t="s">
        <v>18</v>
      </c>
      <c r="CL39" s="1603" t="s">
        <v>18</v>
      </c>
      <c r="CM39" s="1604"/>
      <c r="CN39" s="1604"/>
      <c r="CO39" s="1604"/>
      <c r="CP39" s="1604">
        <v>0.5</v>
      </c>
      <c r="CQ39" s="1604"/>
      <c r="CR39" s="1604"/>
      <c r="CS39" s="1604"/>
      <c r="CT39" s="1597" t="str">
        <f>Begriffe!$F$242</f>
        <v>Person</v>
      </c>
      <c r="CU39" s="1605">
        <v>3</v>
      </c>
      <c r="CV39" s="1606">
        <v>1</v>
      </c>
      <c r="CW39" s="1576">
        <f t="shared" si="37"/>
        <v>3</v>
      </c>
      <c r="CX39" s="1606">
        <v>20</v>
      </c>
      <c r="CY39" s="1607">
        <f t="shared" si="38"/>
        <v>60</v>
      </c>
      <c r="CZ39" s="1604" t="s">
        <v>164</v>
      </c>
      <c r="DA39" s="1608">
        <v>0.2</v>
      </c>
      <c r="DB39" s="1609">
        <v>0.2</v>
      </c>
      <c r="DC39" s="1609">
        <v>0.2</v>
      </c>
      <c r="DD39" s="1610">
        <v>0.2</v>
      </c>
      <c r="DE39" s="1609">
        <v>0.2</v>
      </c>
      <c r="DF39" s="1611">
        <v>0.5</v>
      </c>
      <c r="DG39" s="1609">
        <v>0.8</v>
      </c>
      <c r="DH39" s="1609">
        <v>1</v>
      </c>
      <c r="DI39" s="1609">
        <v>1</v>
      </c>
      <c r="DJ39" s="1610">
        <v>0.8</v>
      </c>
      <c r="DK39" s="1609">
        <v>1</v>
      </c>
      <c r="DL39" s="1611">
        <v>0.5</v>
      </c>
      <c r="DM39" s="1609">
        <v>0.8</v>
      </c>
      <c r="DN39" s="1609">
        <v>1</v>
      </c>
      <c r="DO39" s="1609">
        <v>1</v>
      </c>
      <c r="DP39" s="1610">
        <v>0.8</v>
      </c>
      <c r="DQ39" s="1609">
        <v>0.8</v>
      </c>
      <c r="DR39" s="1611">
        <v>0.8</v>
      </c>
      <c r="DS39" s="1609">
        <v>0.5</v>
      </c>
      <c r="DT39" s="1609">
        <v>0.5</v>
      </c>
      <c r="DU39" s="1609">
        <v>0.5</v>
      </c>
      <c r="DV39" s="1610">
        <v>0.5</v>
      </c>
      <c r="DW39" s="1609">
        <v>0.2</v>
      </c>
      <c r="DX39" s="1612">
        <v>0.2</v>
      </c>
      <c r="DY39" s="1608">
        <v>0.2</v>
      </c>
      <c r="DZ39" s="1609">
        <v>0.2</v>
      </c>
      <c r="EA39" s="1609">
        <v>0.2</v>
      </c>
      <c r="EB39" s="1610">
        <v>0.2</v>
      </c>
      <c r="EC39" s="1609">
        <v>0.2</v>
      </c>
      <c r="ED39" s="1611">
        <v>0.5</v>
      </c>
      <c r="EE39" s="1609">
        <v>0.8</v>
      </c>
      <c r="EF39" s="1609">
        <v>1</v>
      </c>
      <c r="EG39" s="1609">
        <v>1</v>
      </c>
      <c r="EH39" s="1610">
        <v>0.8</v>
      </c>
      <c r="EI39" s="1609">
        <v>1</v>
      </c>
      <c r="EJ39" s="1611">
        <v>0.5</v>
      </c>
      <c r="EK39" s="1609">
        <v>0.8</v>
      </c>
      <c r="EL39" s="1609">
        <v>1</v>
      </c>
      <c r="EM39" s="1609">
        <v>1</v>
      </c>
      <c r="EN39" s="1610">
        <v>0.8</v>
      </c>
      <c r="EO39" s="1609">
        <v>0.8</v>
      </c>
      <c r="EP39" s="1611">
        <v>0.8</v>
      </c>
      <c r="EQ39" s="1609">
        <v>0.5</v>
      </c>
      <c r="ER39" s="1609">
        <v>0.5</v>
      </c>
      <c r="ES39" s="1609">
        <v>0.5</v>
      </c>
      <c r="ET39" s="1610">
        <v>0.5</v>
      </c>
      <c r="EU39" s="1609">
        <v>0.2</v>
      </c>
      <c r="EV39" s="1612">
        <v>0.2</v>
      </c>
      <c r="EW39" s="1569" t="s">
        <v>862</v>
      </c>
      <c r="EX39" s="1608">
        <v>0.8</v>
      </c>
      <c r="EY39" s="1609">
        <v>0.8</v>
      </c>
      <c r="EZ39" s="1609">
        <v>0.8</v>
      </c>
      <c r="FA39" s="1610">
        <v>0.8</v>
      </c>
      <c r="FB39" s="1609">
        <v>0.8</v>
      </c>
      <c r="FC39" s="1611">
        <v>0.8</v>
      </c>
      <c r="FD39" s="1609">
        <v>0.8</v>
      </c>
      <c r="FE39" s="1609">
        <v>0.8</v>
      </c>
      <c r="FF39" s="1609">
        <v>0.8</v>
      </c>
      <c r="FG39" s="1610">
        <v>0.8</v>
      </c>
      <c r="FH39" s="1609">
        <v>0.8</v>
      </c>
      <c r="FI39" s="1612">
        <v>0.8</v>
      </c>
      <c r="FJ39" s="1613">
        <v>2</v>
      </c>
      <c r="FK39" s="1614">
        <f t="shared" si="23"/>
        <v>261</v>
      </c>
      <c r="FL39" s="1569">
        <f t="shared" si="4"/>
        <v>24</v>
      </c>
      <c r="FM39" s="1570">
        <f t="shared" si="5"/>
        <v>14.2</v>
      </c>
      <c r="FN39" s="1570">
        <f t="shared" si="6"/>
        <v>9.5</v>
      </c>
      <c r="FO39" s="1570">
        <f t="shared" si="7"/>
        <v>4.7</v>
      </c>
      <c r="FP39" s="1615">
        <f t="shared" si="8"/>
        <v>0.80000000000000016</v>
      </c>
      <c r="FQ39" s="1568">
        <f t="shared" si="24"/>
        <v>2960</v>
      </c>
      <c r="FR39" s="1569">
        <f t="shared" si="9"/>
        <v>24</v>
      </c>
      <c r="FS39" s="1570">
        <f t="shared" si="10"/>
        <v>14.2</v>
      </c>
      <c r="FT39" s="1570">
        <f t="shared" si="11"/>
        <v>2.4000000000000004</v>
      </c>
      <c r="FU39" s="1568">
        <f t="shared" si="25"/>
        <v>3160</v>
      </c>
      <c r="FV39" s="1502" t="str">
        <f>Begriffe!F255</f>
        <v>- Verpackungsbereich mit speziellen Anforderungen</v>
      </c>
      <c r="FX39" s="1503" t="str">
        <f>IF(BV39=0,Begriffe!$F$262,"")</f>
        <v>- Keine Lüftungsanlage im Bestand</v>
      </c>
      <c r="FY39" s="1485" t="str">
        <f>Begriffe!F293</f>
        <v>- Wasser- und Warmwasserbedarf pro Person</v>
      </c>
      <c r="FZ39" s="1487"/>
      <c r="GA39" s="1504"/>
      <c r="GK39" s="8" t="s">
        <v>156</v>
      </c>
      <c r="GL39" s="8">
        <v>0.8</v>
      </c>
      <c r="GM39" s="8">
        <v>0.6</v>
      </c>
      <c r="GN39" s="8">
        <v>1</v>
      </c>
      <c r="GO39" s="8">
        <v>0.8</v>
      </c>
      <c r="GP39" s="8">
        <v>0.6</v>
      </c>
      <c r="GQ39" s="8">
        <v>1</v>
      </c>
      <c r="GR39" s="8">
        <v>0.6</v>
      </c>
      <c r="GS39" s="8">
        <v>0.6</v>
      </c>
      <c r="GT39" s="8">
        <v>1</v>
      </c>
      <c r="GU39" s="8">
        <v>0.8</v>
      </c>
      <c r="GV39" s="8">
        <v>1</v>
      </c>
      <c r="GW39" s="8">
        <v>0.6</v>
      </c>
      <c r="GX39" s="55">
        <f t="shared" si="12"/>
        <v>0.78333333333333333</v>
      </c>
      <c r="GZ39" s="1488">
        <v>2</v>
      </c>
      <c r="HB39" s="1256">
        <v>0</v>
      </c>
      <c r="HC39" s="1256">
        <v>0</v>
      </c>
      <c r="HD39" s="1405">
        <v>1</v>
      </c>
      <c r="HE39" s="1405">
        <v>1</v>
      </c>
      <c r="HF39" s="1405">
        <v>1</v>
      </c>
      <c r="HG39" s="1405">
        <v>1</v>
      </c>
      <c r="HH39" s="1405">
        <v>1</v>
      </c>
      <c r="HI39" s="8">
        <v>12</v>
      </c>
      <c r="HJ39" s="8">
        <v>13</v>
      </c>
      <c r="HK39" s="1561">
        <v>0.3</v>
      </c>
      <c r="HL39" s="1561">
        <v>10</v>
      </c>
      <c r="HM39" s="1406">
        <f>Hüllzahl!Y39</f>
        <v>1.111764705882353</v>
      </c>
      <c r="HN39" s="1407">
        <f>(HI39+HJ39*Hüllzahl!Y39)</f>
        <v>26.452941176470588</v>
      </c>
    </row>
    <row r="40" spans="1:222">
      <c r="A40" s="1548">
        <v>11.1</v>
      </c>
      <c r="B40" s="1549"/>
      <c r="C40" s="288" t="str">
        <f>Begriffe!F131</f>
        <v>Turnhalle</v>
      </c>
      <c r="D40" s="291">
        <v>30</v>
      </c>
      <c r="E40" s="292">
        <v>20</v>
      </c>
      <c r="F40" s="292">
        <v>7</v>
      </c>
      <c r="G40" s="1492">
        <f t="shared" si="17"/>
        <v>600</v>
      </c>
      <c r="H40" s="1492">
        <f>Hüllzahl!X40</f>
        <v>658.82352941176475</v>
      </c>
      <c r="I40" s="1366">
        <v>50</v>
      </c>
      <c r="J40" s="1367">
        <v>0.75</v>
      </c>
      <c r="K40" s="72">
        <f t="shared" si="0"/>
        <v>50.377833753148614</v>
      </c>
      <c r="L40" s="263">
        <v>1.2</v>
      </c>
      <c r="M40" s="240">
        <v>0.9</v>
      </c>
      <c r="N40" s="240">
        <v>1.5</v>
      </c>
      <c r="O40" s="1367">
        <v>0.17</v>
      </c>
      <c r="P40" s="240">
        <v>0.1</v>
      </c>
      <c r="Q40" s="240">
        <v>0.8</v>
      </c>
      <c r="R40" s="72">
        <v>0.5</v>
      </c>
      <c r="S40" s="1367">
        <v>0.5</v>
      </c>
      <c r="T40" s="1367">
        <v>0.65</v>
      </c>
      <c r="U40" s="1367">
        <v>0.14000000000000001</v>
      </c>
      <c r="V40" s="1367">
        <v>0.1</v>
      </c>
      <c r="W40" s="1367">
        <v>0.2</v>
      </c>
      <c r="X40" s="72">
        <v>0.7</v>
      </c>
      <c r="Y40" s="72">
        <v>0.9</v>
      </c>
      <c r="Z40" s="72">
        <v>90</v>
      </c>
      <c r="AA40" s="1365">
        <f>'Kälte_TEC-Tool'!J39</f>
        <v>101.2</v>
      </c>
      <c r="AB40" s="1368"/>
      <c r="AC40" s="1369">
        <v>18</v>
      </c>
      <c r="AD40" s="1493" t="s">
        <v>26</v>
      </c>
      <c r="AE40" s="1371" t="s">
        <v>155</v>
      </c>
      <c r="AF40" s="1371">
        <v>70</v>
      </c>
      <c r="AG40" s="1372">
        <v>30</v>
      </c>
      <c r="AH40" s="1373"/>
      <c r="AI40" s="1371">
        <v>45</v>
      </c>
      <c r="AJ40" s="1374">
        <v>2</v>
      </c>
      <c r="AK40" s="423">
        <v>20</v>
      </c>
      <c r="AL40" s="72">
        <v>3</v>
      </c>
      <c r="AM40" s="1375">
        <v>0.3</v>
      </c>
      <c r="AN40" s="240">
        <v>0.3</v>
      </c>
      <c r="AO40" s="1376"/>
      <c r="AP40" s="73"/>
      <c r="AQ40" s="72"/>
      <c r="AR40" s="72"/>
      <c r="AS40" s="72"/>
      <c r="AT40" s="72"/>
      <c r="AU40" s="72"/>
      <c r="AV40" s="1494">
        <v>10</v>
      </c>
      <c r="AW40" s="72">
        <v>300</v>
      </c>
      <c r="AX40" s="1495">
        <v>0.05</v>
      </c>
      <c r="AY40" s="1496">
        <v>22</v>
      </c>
      <c r="AZ40" s="1378">
        <f t="shared" si="21"/>
        <v>10</v>
      </c>
      <c r="BA40" s="1379">
        <f t="shared" si="2"/>
        <v>5</v>
      </c>
      <c r="BB40" s="1380">
        <v>0.8</v>
      </c>
      <c r="BC40" s="1365">
        <v>2</v>
      </c>
      <c r="BD40" s="1365">
        <v>3</v>
      </c>
      <c r="BE40" s="1556"/>
      <c r="BF40" s="1556"/>
      <c r="BG40" s="285"/>
      <c r="BH40" s="285"/>
      <c r="BI40" s="291">
        <f>AP40+Res_Std!T36+Res_Std!U36</f>
        <v>10.504434589800443</v>
      </c>
      <c r="BJ40" s="285">
        <v>50</v>
      </c>
      <c r="BK40" s="292">
        <f t="shared" si="22"/>
        <v>4.7598944591029024</v>
      </c>
      <c r="BL40" s="1474"/>
      <c r="BM40" s="1381"/>
      <c r="BN40" s="240">
        <f t="shared" si="14"/>
        <v>4.5</v>
      </c>
      <c r="BO40" s="240"/>
      <c r="BP40" s="240">
        <f t="shared" si="3"/>
        <v>4.5</v>
      </c>
      <c r="BQ40" s="72">
        <v>0</v>
      </c>
      <c r="BR40" s="1367">
        <v>0.15</v>
      </c>
      <c r="BS40" s="1367">
        <v>0.3</v>
      </c>
      <c r="BT40" s="1383" t="str">
        <f>Begriffe!$F$230</f>
        <v>1-stufig</v>
      </c>
      <c r="BU40" s="1383" t="str">
        <f>Begriffe!$F$231</f>
        <v>2-stufig</v>
      </c>
      <c r="BV40" s="1383"/>
      <c r="BW40" s="1367">
        <v>0.7</v>
      </c>
      <c r="BX40" s="1367">
        <v>0.8</v>
      </c>
      <c r="BY40" s="1367"/>
      <c r="BZ40" s="1367">
        <v>0.75</v>
      </c>
      <c r="CA40" s="1367">
        <v>0.85</v>
      </c>
      <c r="CB40" s="1367"/>
      <c r="CC40" s="1557" t="str">
        <f>Begriffe!$F$235</f>
        <v>LA mit Lufterwärmung</v>
      </c>
      <c r="CD40" s="1498">
        <v>0.34</v>
      </c>
      <c r="CE40" s="1498">
        <v>0.22300000000000003</v>
      </c>
      <c r="CF40" s="1499">
        <v>0.55000000000000004</v>
      </c>
      <c r="CG40" s="1500" t="s">
        <v>18</v>
      </c>
      <c r="CH40" s="1500" t="s">
        <v>18</v>
      </c>
      <c r="CI40" s="1500" t="s">
        <v>18</v>
      </c>
      <c r="CJ40" s="1500" t="s">
        <v>18</v>
      </c>
      <c r="CK40" s="1500" t="s">
        <v>18</v>
      </c>
      <c r="CL40" s="1500" t="s">
        <v>18</v>
      </c>
      <c r="CM40" s="1389"/>
      <c r="CN40" s="1389"/>
      <c r="CO40" s="1389"/>
      <c r="CP40" s="1389">
        <v>0.5</v>
      </c>
      <c r="CQ40" s="1389"/>
      <c r="CR40" s="1389"/>
      <c r="CS40" s="1389"/>
      <c r="CT40" s="1390" t="str">
        <f>Begriffe!$F$245</f>
        <v>Dusche</v>
      </c>
      <c r="CU40" s="879">
        <v>20</v>
      </c>
      <c r="CV40" s="879">
        <v>5</v>
      </c>
      <c r="CW40" s="1365">
        <f t="shared" si="37"/>
        <v>100</v>
      </c>
      <c r="CX40" s="879">
        <v>3</v>
      </c>
      <c r="CY40" s="1377">
        <f t="shared" si="38"/>
        <v>300</v>
      </c>
      <c r="CZ40" s="1389" t="s">
        <v>165</v>
      </c>
      <c r="DA40" s="1393"/>
      <c r="DB40" s="1394"/>
      <c r="DC40" s="1394"/>
      <c r="DD40" s="1395"/>
      <c r="DE40" s="1394"/>
      <c r="DF40" s="1396"/>
      <c r="DG40" s="1394"/>
      <c r="DH40" s="1394">
        <v>0.5</v>
      </c>
      <c r="DI40" s="1394">
        <v>0.8</v>
      </c>
      <c r="DJ40" s="1395">
        <v>1</v>
      </c>
      <c r="DK40" s="1394">
        <v>1</v>
      </c>
      <c r="DL40" s="1396">
        <v>0.8</v>
      </c>
      <c r="DM40" s="1394">
        <v>0</v>
      </c>
      <c r="DN40" s="1394">
        <v>0.8</v>
      </c>
      <c r="DO40" s="1394">
        <v>1</v>
      </c>
      <c r="DP40" s="1395">
        <v>1</v>
      </c>
      <c r="DQ40" s="1394">
        <v>0.8</v>
      </c>
      <c r="DR40" s="1396">
        <v>0.5</v>
      </c>
      <c r="DS40" s="1394">
        <v>0.8</v>
      </c>
      <c r="DT40" s="1394">
        <v>0.8</v>
      </c>
      <c r="DU40" s="1394">
        <v>0.8</v>
      </c>
      <c r="DV40" s="1395">
        <v>0.5</v>
      </c>
      <c r="DW40" s="1394">
        <v>0.5</v>
      </c>
      <c r="DX40" s="1397"/>
      <c r="DY40" s="1393">
        <v>0.1</v>
      </c>
      <c r="DZ40" s="1394">
        <v>0.1</v>
      </c>
      <c r="EA40" s="1394">
        <v>0.1</v>
      </c>
      <c r="EB40" s="1395">
        <v>0.1</v>
      </c>
      <c r="EC40" s="1394">
        <v>0.1</v>
      </c>
      <c r="ED40" s="1396">
        <v>0.1</v>
      </c>
      <c r="EE40" s="1394">
        <v>0.1</v>
      </c>
      <c r="EF40" s="1394">
        <v>0.5</v>
      </c>
      <c r="EG40" s="1394">
        <v>0.8</v>
      </c>
      <c r="EH40" s="1395">
        <v>1</v>
      </c>
      <c r="EI40" s="1394">
        <v>1</v>
      </c>
      <c r="EJ40" s="1396">
        <v>0.8</v>
      </c>
      <c r="EK40" s="1394">
        <v>0</v>
      </c>
      <c r="EL40" s="1394">
        <v>0.8</v>
      </c>
      <c r="EM40" s="1394">
        <v>1</v>
      </c>
      <c r="EN40" s="1395">
        <v>1</v>
      </c>
      <c r="EO40" s="1394">
        <v>0.8</v>
      </c>
      <c r="EP40" s="1396">
        <v>0.5</v>
      </c>
      <c r="EQ40" s="1394">
        <v>0.8</v>
      </c>
      <c r="ER40" s="1394">
        <v>0.8</v>
      </c>
      <c r="ES40" s="1394">
        <v>0.8</v>
      </c>
      <c r="ET40" s="1395">
        <v>0.5</v>
      </c>
      <c r="EU40" s="1394">
        <v>0.5</v>
      </c>
      <c r="EV40" s="1397">
        <v>0.1</v>
      </c>
      <c r="EW40" s="291" t="s">
        <v>161</v>
      </c>
      <c r="EX40" s="1393">
        <v>0.8</v>
      </c>
      <c r="EY40" s="1394">
        <v>0.6</v>
      </c>
      <c r="EZ40" s="1394">
        <v>0.9</v>
      </c>
      <c r="FA40" s="1395">
        <v>0.6</v>
      </c>
      <c r="FB40" s="1394">
        <v>0.8</v>
      </c>
      <c r="FC40" s="1396">
        <v>1</v>
      </c>
      <c r="FD40" s="1394">
        <v>0</v>
      </c>
      <c r="FE40" s="1394">
        <v>0.6</v>
      </c>
      <c r="FF40" s="1394">
        <v>1</v>
      </c>
      <c r="FG40" s="1395">
        <v>0.6</v>
      </c>
      <c r="FH40" s="1394">
        <v>0.9</v>
      </c>
      <c r="FI40" s="1397">
        <v>0.6</v>
      </c>
      <c r="FJ40" s="1501">
        <v>2</v>
      </c>
      <c r="FK40" s="1483">
        <f t="shared" si="23"/>
        <v>261</v>
      </c>
      <c r="FL40" s="280">
        <f t="shared" si="4"/>
        <v>15</v>
      </c>
      <c r="FM40" s="82">
        <f t="shared" si="5"/>
        <v>11.600000000000001</v>
      </c>
      <c r="FN40" s="82">
        <f t="shared" si="6"/>
        <v>8.1999999999999993</v>
      </c>
      <c r="FO40" s="82">
        <f t="shared" si="7"/>
        <v>3.4000000000000004</v>
      </c>
      <c r="FP40" s="1484">
        <f t="shared" si="8"/>
        <v>0.69890410958904103</v>
      </c>
      <c r="FQ40" s="65">
        <f t="shared" si="24"/>
        <v>2120</v>
      </c>
      <c r="FR40" s="280">
        <f t="shared" si="9"/>
        <v>23</v>
      </c>
      <c r="FS40" s="82">
        <f t="shared" si="10"/>
        <v>12.400000000000002</v>
      </c>
      <c r="FT40" s="82">
        <f t="shared" si="11"/>
        <v>2.4000000000000004</v>
      </c>
      <c r="FU40" s="65">
        <f t="shared" si="25"/>
        <v>2440</v>
      </c>
      <c r="FV40" s="1502" t="str">
        <f>Begriffe!F256</f>
        <v>- Für Wettkampfsport Beleuchtungsstärke 500 lx und erhöhter Luftwechsel</v>
      </c>
      <c r="FX40" s="1503" t="str">
        <f>IF(BV40=0,Begriffe!$F$262,"")</f>
        <v>- Keine Lüftungsanlage im Bestand</v>
      </c>
      <c r="FY40" s="1485" t="str">
        <f>Begriffe!F294</f>
        <v>- Wasser- und Warmwasserbedarf pro Dusche für Sportanlagen</v>
      </c>
      <c r="FZ40" s="1487"/>
      <c r="GA40" s="1504"/>
      <c r="GK40" s="8" t="s">
        <v>161</v>
      </c>
      <c r="GL40" s="8">
        <v>0.8</v>
      </c>
      <c r="GM40" s="8">
        <v>0.4</v>
      </c>
      <c r="GN40" s="8">
        <v>1</v>
      </c>
      <c r="GO40" s="8">
        <v>0.8</v>
      </c>
      <c r="GP40" s="8">
        <v>0.4</v>
      </c>
      <c r="GQ40" s="8">
        <v>1</v>
      </c>
      <c r="GR40" s="8">
        <v>0</v>
      </c>
      <c r="GS40" s="8">
        <v>0.6</v>
      </c>
      <c r="GT40" s="8">
        <v>1</v>
      </c>
      <c r="GU40" s="8">
        <v>0.4</v>
      </c>
      <c r="GV40" s="8">
        <v>1</v>
      </c>
      <c r="GW40" s="8">
        <v>0.6</v>
      </c>
      <c r="GX40" s="55">
        <f t="shared" si="12"/>
        <v>0.66666666666666663</v>
      </c>
      <c r="GZ40" s="1488">
        <v>2</v>
      </c>
      <c r="HB40" s="1256">
        <v>0</v>
      </c>
      <c r="HC40" s="1256">
        <v>0</v>
      </c>
      <c r="HD40" s="1405">
        <v>1</v>
      </c>
      <c r="HE40" s="1405">
        <v>1</v>
      </c>
      <c r="HF40" s="1405">
        <v>1</v>
      </c>
      <c r="HG40" s="1405">
        <v>1</v>
      </c>
      <c r="HH40" s="1405">
        <v>1</v>
      </c>
      <c r="HI40" s="8">
        <v>16</v>
      </c>
      <c r="HJ40" s="1561">
        <v>13</v>
      </c>
      <c r="HK40" s="8">
        <v>0.7</v>
      </c>
      <c r="HL40" s="8">
        <v>11</v>
      </c>
      <c r="HM40" s="1406">
        <f>Hüllzahl!Y40</f>
        <v>0.98823529411764721</v>
      </c>
      <c r="HN40" s="1407">
        <f>(HI40+HJ40*Hüllzahl!Y40)</f>
        <v>28.847058823529416</v>
      </c>
    </row>
    <row r="41" spans="1:222">
      <c r="A41" s="1545">
        <v>11.2</v>
      </c>
      <c r="B41" s="1544"/>
      <c r="C41" s="65" t="str">
        <f>Begriffe!F132</f>
        <v>Fitnessraum</v>
      </c>
      <c r="D41" s="280">
        <v>12</v>
      </c>
      <c r="E41" s="82">
        <v>12</v>
      </c>
      <c r="F41" s="82">
        <v>3</v>
      </c>
      <c r="G41" s="255">
        <f t="shared" si="17"/>
        <v>144</v>
      </c>
      <c r="H41" s="255">
        <f>Hüllzahl!X41</f>
        <v>127.05882352941177</v>
      </c>
      <c r="I41" s="1452">
        <v>50</v>
      </c>
      <c r="J41" s="1406">
        <v>0.75</v>
      </c>
      <c r="K41" s="55">
        <f t="shared" si="0"/>
        <v>50.377833753148614</v>
      </c>
      <c r="L41" s="1453">
        <v>1.2</v>
      </c>
      <c r="M41" s="241">
        <v>0.9</v>
      </c>
      <c r="N41" s="241">
        <v>1.5</v>
      </c>
      <c r="O41" s="1406">
        <v>0.17</v>
      </c>
      <c r="P41" s="241">
        <v>0.1</v>
      </c>
      <c r="Q41" s="241">
        <v>0.8</v>
      </c>
      <c r="R41" s="55">
        <v>0.5</v>
      </c>
      <c r="S41" s="1406">
        <v>0.5</v>
      </c>
      <c r="T41" s="1406">
        <v>0.65</v>
      </c>
      <c r="U41" s="1406">
        <v>0.14000000000000001</v>
      </c>
      <c r="V41" s="1406">
        <v>0.1</v>
      </c>
      <c r="W41" s="1406">
        <v>0.2</v>
      </c>
      <c r="X41" s="55">
        <v>0.7</v>
      </c>
      <c r="Y41" s="55">
        <v>0.9</v>
      </c>
      <c r="Z41" s="55">
        <v>90</v>
      </c>
      <c r="AA41" s="1451">
        <f>'Kälte_TEC-Tool'!J40</f>
        <v>98.7</v>
      </c>
      <c r="AB41" s="1454">
        <v>26</v>
      </c>
      <c r="AC41" s="1455">
        <v>18</v>
      </c>
      <c r="AD41" s="1506" t="s">
        <v>26</v>
      </c>
      <c r="AE41" s="249" t="s">
        <v>155</v>
      </c>
      <c r="AF41" s="249">
        <v>70</v>
      </c>
      <c r="AG41" s="1457">
        <v>30</v>
      </c>
      <c r="AH41" s="1458"/>
      <c r="AI41" s="249">
        <v>45</v>
      </c>
      <c r="AJ41" s="1459">
        <v>0.9</v>
      </c>
      <c r="AK41" s="425">
        <v>10</v>
      </c>
      <c r="AL41" s="55">
        <v>3</v>
      </c>
      <c r="AM41" s="1461">
        <v>0.3</v>
      </c>
      <c r="AN41" s="241">
        <v>0.3</v>
      </c>
      <c r="AO41" s="1462"/>
      <c r="AP41" s="1460">
        <v>2</v>
      </c>
      <c r="AQ41" s="55">
        <v>1</v>
      </c>
      <c r="AR41" s="55">
        <v>3</v>
      </c>
      <c r="AS41" s="55">
        <f t="shared" si="34"/>
        <v>2</v>
      </c>
      <c r="AT41" s="55">
        <f t="shared" si="35"/>
        <v>1</v>
      </c>
      <c r="AU41" s="55">
        <f t="shared" si="36"/>
        <v>3</v>
      </c>
      <c r="AV41" s="1508">
        <v>10</v>
      </c>
      <c r="AW41" s="55">
        <v>300</v>
      </c>
      <c r="AX41" s="1509">
        <v>0.05</v>
      </c>
      <c r="AY41" s="1510">
        <v>22</v>
      </c>
      <c r="AZ41" s="1464">
        <f t="shared" si="21"/>
        <v>10</v>
      </c>
      <c r="BA41" s="1465">
        <f t="shared" si="2"/>
        <v>5</v>
      </c>
      <c r="BB41" s="1466">
        <v>0.8</v>
      </c>
      <c r="BC41" s="1451">
        <v>2</v>
      </c>
      <c r="BD41" s="1451">
        <v>3</v>
      </c>
      <c r="BE41" s="1535"/>
      <c r="BF41" s="1535"/>
      <c r="BG41" s="4"/>
      <c r="BH41" s="4"/>
      <c r="BI41" s="280">
        <f>AP41+Res_Std!T37+Res_Std!U37</f>
        <v>11.922394678492241</v>
      </c>
      <c r="BJ41" s="873">
        <v>50</v>
      </c>
      <c r="BK41" s="82">
        <f t="shared" si="22"/>
        <v>4.1937883578203454</v>
      </c>
      <c r="BL41" s="1474"/>
      <c r="BM41" s="1467"/>
      <c r="BN41" s="241">
        <f t="shared" si="14"/>
        <v>9</v>
      </c>
      <c r="BO41" s="241"/>
      <c r="BP41" s="241">
        <f t="shared" si="3"/>
        <v>9</v>
      </c>
      <c r="BQ41" s="55">
        <v>0</v>
      </c>
      <c r="BR41" s="1406">
        <v>0.15</v>
      </c>
      <c r="BS41" s="1406">
        <v>0.3</v>
      </c>
      <c r="BT41" s="1468" t="str">
        <f>Begriffe!$F$231</f>
        <v>2-stufig</v>
      </c>
      <c r="BU41" s="1468" t="str">
        <f>Begriffe!$F$232</f>
        <v>stufenlos</v>
      </c>
      <c r="BV41" s="1468" t="str">
        <f>Begriffe!$F$231</f>
        <v>2-stufig</v>
      </c>
      <c r="BW41" s="1406">
        <v>0.7</v>
      </c>
      <c r="BX41" s="1406">
        <v>0.8</v>
      </c>
      <c r="BY41" s="1406">
        <v>0.5</v>
      </c>
      <c r="BZ41" s="1406">
        <v>0.75</v>
      </c>
      <c r="CA41" s="1406">
        <v>0.85</v>
      </c>
      <c r="CB41" s="1406">
        <v>0.5</v>
      </c>
      <c r="CC41" s="1558" t="str">
        <f>Begriffe!$F$234</f>
        <v>Einfache Klimaanlage</v>
      </c>
      <c r="CD41" s="1513">
        <v>0.55000000000000004</v>
      </c>
      <c r="CE41" s="1513">
        <v>0.34</v>
      </c>
      <c r="CF41" s="1514">
        <v>0.91</v>
      </c>
      <c r="CG41" s="1515" t="str">
        <f>Begriffe!$F$241</f>
        <v>notwendig</v>
      </c>
      <c r="CH41" s="1515" t="str">
        <f>Begriffe!$F$241</f>
        <v>notwendig</v>
      </c>
      <c r="CI41" s="1515" t="str">
        <f>Begriffe!$F$241</f>
        <v>notwendig</v>
      </c>
      <c r="CJ41" s="1515" t="str">
        <f>Begriffe!$F$241</f>
        <v>notwendig</v>
      </c>
      <c r="CK41" s="1515" t="str">
        <f>Begriffe!$F$241</f>
        <v>notwendig</v>
      </c>
      <c r="CL41" s="1515" t="str">
        <f>Begriffe!$F$241</f>
        <v>notwendig</v>
      </c>
      <c r="CM41" s="1473"/>
      <c r="CN41" s="1473"/>
      <c r="CO41" s="1473"/>
      <c r="CP41" s="1473">
        <v>0.5</v>
      </c>
      <c r="CQ41" s="1473"/>
      <c r="CR41" s="1473"/>
      <c r="CS41" s="1473"/>
      <c r="CT41" s="1474" t="str">
        <f>Begriffe!$F$245</f>
        <v>Dusche</v>
      </c>
      <c r="CU41" s="918">
        <v>20</v>
      </c>
      <c r="CV41" s="918">
        <v>3</v>
      </c>
      <c r="CW41" s="1451">
        <f t="shared" si="37"/>
        <v>60</v>
      </c>
      <c r="CX41" s="918">
        <v>3</v>
      </c>
      <c r="CY41" s="1463">
        <f t="shared" si="38"/>
        <v>180</v>
      </c>
      <c r="CZ41" s="1473" t="s">
        <v>165</v>
      </c>
      <c r="DA41" s="1477"/>
      <c r="DB41" s="1478"/>
      <c r="DC41" s="1478"/>
      <c r="DD41" s="1479"/>
      <c r="DE41" s="1478"/>
      <c r="DF41" s="1480"/>
      <c r="DG41" s="1478"/>
      <c r="DH41" s="1478">
        <v>0.5</v>
      </c>
      <c r="DI41" s="1478">
        <v>0.8</v>
      </c>
      <c r="DJ41" s="1479">
        <v>1</v>
      </c>
      <c r="DK41" s="1478">
        <v>1</v>
      </c>
      <c r="DL41" s="1480">
        <v>0.8</v>
      </c>
      <c r="DM41" s="1478">
        <v>0</v>
      </c>
      <c r="DN41" s="1478">
        <v>0.8</v>
      </c>
      <c r="DO41" s="1478">
        <v>1</v>
      </c>
      <c r="DP41" s="1479">
        <v>1</v>
      </c>
      <c r="DQ41" s="1478">
        <v>0.8</v>
      </c>
      <c r="DR41" s="1480">
        <v>0.5</v>
      </c>
      <c r="DS41" s="1478">
        <v>0.8</v>
      </c>
      <c r="DT41" s="1478">
        <v>0.8</v>
      </c>
      <c r="DU41" s="1478">
        <v>0.8</v>
      </c>
      <c r="DV41" s="1479">
        <v>0.5</v>
      </c>
      <c r="DW41" s="1478">
        <v>0.5</v>
      </c>
      <c r="DX41" s="1481"/>
      <c r="DY41" s="1477">
        <v>0.1</v>
      </c>
      <c r="DZ41" s="1478">
        <v>0.1</v>
      </c>
      <c r="EA41" s="1478">
        <v>0.1</v>
      </c>
      <c r="EB41" s="1479">
        <v>0.1</v>
      </c>
      <c r="EC41" s="1478">
        <v>0.1</v>
      </c>
      <c r="ED41" s="1480">
        <v>0.1</v>
      </c>
      <c r="EE41" s="1478">
        <v>0.1</v>
      </c>
      <c r="EF41" s="1478">
        <v>0.5</v>
      </c>
      <c r="EG41" s="1478">
        <v>0.8</v>
      </c>
      <c r="EH41" s="1479">
        <v>1</v>
      </c>
      <c r="EI41" s="1478">
        <v>1</v>
      </c>
      <c r="EJ41" s="1480">
        <v>0.8</v>
      </c>
      <c r="EK41" s="1478">
        <v>0</v>
      </c>
      <c r="EL41" s="1478">
        <v>0.8</v>
      </c>
      <c r="EM41" s="1478">
        <v>1</v>
      </c>
      <c r="EN41" s="1479">
        <v>1</v>
      </c>
      <c r="EO41" s="1478">
        <v>0.8</v>
      </c>
      <c r="EP41" s="1480">
        <v>0.5</v>
      </c>
      <c r="EQ41" s="1478">
        <v>0.8</v>
      </c>
      <c r="ER41" s="1478">
        <v>0.8</v>
      </c>
      <c r="ES41" s="1478">
        <v>0.8</v>
      </c>
      <c r="ET41" s="1479">
        <v>0.5</v>
      </c>
      <c r="EU41" s="1478">
        <v>0.5</v>
      </c>
      <c r="EV41" s="1481">
        <v>0.1</v>
      </c>
      <c r="EW41" s="280" t="s">
        <v>862</v>
      </c>
      <c r="EX41" s="1477">
        <v>0.8</v>
      </c>
      <c r="EY41" s="1478">
        <v>0.8</v>
      </c>
      <c r="EZ41" s="1478">
        <v>0.8</v>
      </c>
      <c r="FA41" s="1479">
        <v>0.8</v>
      </c>
      <c r="FB41" s="1478">
        <v>0.8</v>
      </c>
      <c r="FC41" s="1480">
        <v>0.8</v>
      </c>
      <c r="FD41" s="1478">
        <v>0.8</v>
      </c>
      <c r="FE41" s="1478">
        <v>0.8</v>
      </c>
      <c r="FF41" s="1478">
        <v>0.8</v>
      </c>
      <c r="FG41" s="1479">
        <v>0.8</v>
      </c>
      <c r="FH41" s="1478">
        <v>0.8</v>
      </c>
      <c r="FI41" s="1481">
        <v>0.8</v>
      </c>
      <c r="FJ41" s="1516">
        <v>1</v>
      </c>
      <c r="FK41" s="1483">
        <f t="shared" si="23"/>
        <v>313</v>
      </c>
      <c r="FL41" s="280">
        <f t="shared" si="4"/>
        <v>15</v>
      </c>
      <c r="FM41" s="82">
        <f t="shared" si="5"/>
        <v>11.600000000000001</v>
      </c>
      <c r="FN41" s="82">
        <f t="shared" si="6"/>
        <v>8.1999999999999993</v>
      </c>
      <c r="FO41" s="82">
        <f t="shared" si="7"/>
        <v>3.4000000000000004</v>
      </c>
      <c r="FP41" s="1484">
        <f t="shared" si="8"/>
        <v>0.80000000000000016</v>
      </c>
      <c r="FQ41" s="65">
        <f t="shared" si="24"/>
        <v>2900</v>
      </c>
      <c r="FR41" s="280">
        <f t="shared" si="9"/>
        <v>23</v>
      </c>
      <c r="FS41" s="82">
        <f t="shared" si="10"/>
        <v>12.400000000000002</v>
      </c>
      <c r="FT41" s="82">
        <f t="shared" si="11"/>
        <v>2.4000000000000004</v>
      </c>
      <c r="FU41" s="65">
        <f t="shared" si="25"/>
        <v>3200</v>
      </c>
      <c r="FW41" s="1503"/>
      <c r="FX41" s="1503" t="str">
        <f>IF(BV41=0,Begriffe!$F$262,"")</f>
        <v/>
      </c>
      <c r="FY41" s="1485" t="str">
        <f>Begriffe!F295</f>
        <v>- Wasser- und Warmwasserbedarf pro Dusche für Sportanlagen</v>
      </c>
      <c r="FZ41" s="1487"/>
      <c r="GA41" s="1504"/>
      <c r="GK41" s="8" t="s">
        <v>156</v>
      </c>
      <c r="GL41" s="8">
        <v>0.8</v>
      </c>
      <c r="GM41" s="8">
        <v>0.6</v>
      </c>
      <c r="GN41" s="8">
        <v>1</v>
      </c>
      <c r="GO41" s="8">
        <v>0.8</v>
      </c>
      <c r="GP41" s="8">
        <v>0.6</v>
      </c>
      <c r="GQ41" s="8">
        <v>1</v>
      </c>
      <c r="GR41" s="8">
        <v>0.6</v>
      </c>
      <c r="GS41" s="8">
        <v>0.6</v>
      </c>
      <c r="GT41" s="8">
        <v>1</v>
      </c>
      <c r="GU41" s="8">
        <v>0.8</v>
      </c>
      <c r="GV41" s="8">
        <v>1</v>
      </c>
      <c r="GW41" s="8">
        <v>0.6</v>
      </c>
      <c r="GX41" s="55">
        <f t="shared" si="12"/>
        <v>0.78333333333333333</v>
      </c>
      <c r="GZ41" s="1488">
        <v>1</v>
      </c>
      <c r="HB41" s="1256">
        <v>1</v>
      </c>
      <c r="HC41" s="1256">
        <v>0</v>
      </c>
      <c r="HD41" s="1405">
        <v>1</v>
      </c>
      <c r="HE41" s="1405">
        <v>1</v>
      </c>
      <c r="HF41" s="1405">
        <v>1</v>
      </c>
      <c r="HG41" s="1405">
        <v>1</v>
      </c>
      <c r="HH41" s="1405">
        <v>1</v>
      </c>
      <c r="HI41" s="8">
        <v>16</v>
      </c>
      <c r="HJ41" s="1561">
        <v>13</v>
      </c>
      <c r="HK41" s="8">
        <v>0.7</v>
      </c>
      <c r="HL41" s="8">
        <v>11</v>
      </c>
      <c r="HM41" s="1406">
        <f>Hüllzahl!Y41</f>
        <v>0.79411764705882359</v>
      </c>
      <c r="HN41" s="1407">
        <f>(HI41+HJ41*Hüllzahl!Y41)</f>
        <v>26.323529411764707</v>
      </c>
    </row>
    <row r="42" spans="1:222" s="14" customFormat="1" ht="12.75" customHeight="1">
      <c r="A42" s="1616">
        <v>11.3</v>
      </c>
      <c r="B42" s="1617"/>
      <c r="C42" s="1618" t="str">
        <f>Begriffe!F133</f>
        <v>Schwimmhalle</v>
      </c>
      <c r="D42" s="1619">
        <v>20</v>
      </c>
      <c r="E42" s="1620">
        <v>20</v>
      </c>
      <c r="F42" s="1620">
        <v>7</v>
      </c>
      <c r="G42" s="1621">
        <f t="shared" si="17"/>
        <v>400</v>
      </c>
      <c r="H42" s="1621">
        <f>Hüllzahl!X42</f>
        <v>494.11764705882354</v>
      </c>
      <c r="I42" s="1622">
        <v>50</v>
      </c>
      <c r="J42" s="1623">
        <v>0.75</v>
      </c>
      <c r="K42" s="1624">
        <f t="shared" si="0"/>
        <v>50.377833753148614</v>
      </c>
      <c r="L42" s="1625">
        <v>1.2</v>
      </c>
      <c r="M42" s="1626">
        <v>0.9</v>
      </c>
      <c r="N42" s="1626">
        <v>1.5</v>
      </c>
      <c r="O42" s="1623">
        <v>0.17</v>
      </c>
      <c r="P42" s="1626">
        <v>0.1</v>
      </c>
      <c r="Q42" s="1626">
        <v>0.8</v>
      </c>
      <c r="R42" s="1624">
        <v>0.5</v>
      </c>
      <c r="S42" s="1623">
        <v>0.5</v>
      </c>
      <c r="T42" s="1623">
        <v>0.65</v>
      </c>
      <c r="U42" s="1623">
        <v>0.14000000000000001</v>
      </c>
      <c r="V42" s="1623">
        <v>0.1</v>
      </c>
      <c r="W42" s="1623">
        <v>0.2</v>
      </c>
      <c r="X42" s="1624">
        <v>0.7</v>
      </c>
      <c r="Y42" s="1624">
        <v>0.9</v>
      </c>
      <c r="Z42" s="1624">
        <v>90</v>
      </c>
      <c r="AA42" s="1627">
        <f>'Kälte_TEC-Tool'!J41</f>
        <v>105.8</v>
      </c>
      <c r="AB42" s="1628">
        <v>30</v>
      </c>
      <c r="AC42" s="1629">
        <v>24</v>
      </c>
      <c r="AD42" s="1630" t="s">
        <v>26</v>
      </c>
      <c r="AE42" s="1631" t="s">
        <v>155</v>
      </c>
      <c r="AF42" s="1631">
        <v>65</v>
      </c>
      <c r="AG42" s="1632">
        <v>55</v>
      </c>
      <c r="AH42" s="1633"/>
      <c r="AI42" s="1631">
        <v>45</v>
      </c>
      <c r="AJ42" s="1634">
        <v>1.8</v>
      </c>
      <c r="AK42" s="1635">
        <v>10</v>
      </c>
      <c r="AL42" s="1624">
        <v>1.2</v>
      </c>
      <c r="AM42" s="1636">
        <v>0.1</v>
      </c>
      <c r="AN42" s="1626">
        <v>0.1</v>
      </c>
      <c r="AO42" s="1637">
        <v>10</v>
      </c>
      <c r="AP42" s="1638">
        <v>2</v>
      </c>
      <c r="AQ42" s="1624">
        <v>1</v>
      </c>
      <c r="AR42" s="1624">
        <v>3</v>
      </c>
      <c r="AS42" s="1624">
        <f t="shared" si="34"/>
        <v>2</v>
      </c>
      <c r="AT42" s="1624">
        <f t="shared" si="35"/>
        <v>1</v>
      </c>
      <c r="AU42" s="1624">
        <f t="shared" si="36"/>
        <v>3</v>
      </c>
      <c r="AV42" s="1639">
        <v>10</v>
      </c>
      <c r="AW42" s="1624">
        <v>300</v>
      </c>
      <c r="AX42" s="1640">
        <v>0.05</v>
      </c>
      <c r="AY42" s="1641">
        <v>22</v>
      </c>
      <c r="AZ42" s="1642">
        <f t="shared" si="21"/>
        <v>10</v>
      </c>
      <c r="BA42" s="1643">
        <f t="shared" si="2"/>
        <v>5</v>
      </c>
      <c r="BB42" s="1644">
        <v>0.8</v>
      </c>
      <c r="BC42" s="1627">
        <v>2</v>
      </c>
      <c r="BD42" s="1627">
        <v>3</v>
      </c>
      <c r="BE42" s="1645"/>
      <c r="BF42" s="1645"/>
      <c r="BG42" s="1646"/>
      <c r="BH42" s="1646"/>
      <c r="BI42" s="1619">
        <f>AP42+Res_Std!T38+Res_Std!U38</f>
        <v>13.274944567627495</v>
      </c>
      <c r="BJ42" s="1646">
        <v>50</v>
      </c>
      <c r="BK42" s="1620">
        <f t="shared" si="22"/>
        <v>3.7664940704860528</v>
      </c>
      <c r="BL42" s="1638"/>
      <c r="BM42" s="1647"/>
      <c r="BN42" s="1626">
        <f t="shared" si="14"/>
        <v>3.6</v>
      </c>
      <c r="BO42" s="1626"/>
      <c r="BP42" s="1626">
        <f t="shared" si="3"/>
        <v>3.6</v>
      </c>
      <c r="BQ42" s="1624">
        <v>0</v>
      </c>
      <c r="BR42" s="1623">
        <v>0.15</v>
      </c>
      <c r="BS42" s="1623">
        <v>0.3</v>
      </c>
      <c r="BT42" s="1648" t="str">
        <f>Begriffe!$F$230</f>
        <v>1-stufig</v>
      </c>
      <c r="BU42" s="1648" t="str">
        <f>Begriffe!$F$231</f>
        <v>2-stufig</v>
      </c>
      <c r="BV42" s="1648" t="str">
        <f>Begriffe!$F$230</f>
        <v>1-stufig</v>
      </c>
      <c r="BW42" s="1623">
        <v>0.7</v>
      </c>
      <c r="BX42" s="1623">
        <v>0.8</v>
      </c>
      <c r="BY42" s="1623">
        <v>0.5</v>
      </c>
      <c r="BZ42" s="1623">
        <v>0.75</v>
      </c>
      <c r="CA42" s="1623">
        <v>0.85</v>
      </c>
      <c r="CB42" s="1623">
        <v>0.5</v>
      </c>
      <c r="CC42" s="1649" t="str">
        <f>Begriffe!$F$236</f>
        <v>Klimaanlage mit Luftbe- und -entfeuchtung</v>
      </c>
      <c r="CD42" s="1650">
        <v>0.55000000000000004</v>
      </c>
      <c r="CE42" s="1650">
        <v>0.34</v>
      </c>
      <c r="CF42" s="1651">
        <v>0.91</v>
      </c>
      <c r="CG42" s="1651" t="s">
        <v>18</v>
      </c>
      <c r="CH42" s="1651" t="s">
        <v>18</v>
      </c>
      <c r="CI42" s="1651" t="s">
        <v>18</v>
      </c>
      <c r="CJ42" s="1651" t="s">
        <v>18</v>
      </c>
      <c r="CK42" s="1651" t="s">
        <v>18</v>
      </c>
      <c r="CL42" s="1651" t="s">
        <v>18</v>
      </c>
      <c r="CM42" s="1652">
        <v>100</v>
      </c>
      <c r="CN42" s="1652">
        <v>125</v>
      </c>
      <c r="CO42" s="1652">
        <v>75</v>
      </c>
      <c r="CP42" s="1652">
        <v>0</v>
      </c>
      <c r="CQ42" s="1652"/>
      <c r="CR42" s="1652"/>
      <c r="CS42" s="1652"/>
      <c r="CT42" s="1653" t="str">
        <f>Begriffe!$F$245</f>
        <v>Dusche</v>
      </c>
      <c r="CU42" s="1624">
        <v>20</v>
      </c>
      <c r="CV42" s="1624">
        <v>6</v>
      </c>
      <c r="CW42" s="1627">
        <f t="shared" si="37"/>
        <v>120</v>
      </c>
      <c r="CX42" s="1624">
        <v>3</v>
      </c>
      <c r="CY42" s="1637">
        <f t="shared" si="38"/>
        <v>360</v>
      </c>
      <c r="CZ42" s="1652" t="s">
        <v>165</v>
      </c>
      <c r="DA42" s="1654"/>
      <c r="DB42" s="1655"/>
      <c r="DC42" s="1655"/>
      <c r="DD42" s="1656"/>
      <c r="DE42" s="1655"/>
      <c r="DF42" s="1657"/>
      <c r="DG42" s="1655"/>
      <c r="DH42" s="1655">
        <v>0.5</v>
      </c>
      <c r="DI42" s="1655">
        <v>0.8</v>
      </c>
      <c r="DJ42" s="1656">
        <v>1</v>
      </c>
      <c r="DK42" s="1655">
        <v>1</v>
      </c>
      <c r="DL42" s="1657">
        <v>0.8</v>
      </c>
      <c r="DM42" s="1655">
        <v>0</v>
      </c>
      <c r="DN42" s="1655">
        <v>0.8</v>
      </c>
      <c r="DO42" s="1655">
        <v>1</v>
      </c>
      <c r="DP42" s="1656">
        <v>1</v>
      </c>
      <c r="DQ42" s="1655">
        <v>0.8</v>
      </c>
      <c r="DR42" s="1657">
        <v>0.5</v>
      </c>
      <c r="DS42" s="1655">
        <v>0.8</v>
      </c>
      <c r="DT42" s="1655">
        <v>0.8</v>
      </c>
      <c r="DU42" s="1655">
        <v>0.8</v>
      </c>
      <c r="DV42" s="1656">
        <v>0.5</v>
      </c>
      <c r="DW42" s="1655">
        <v>0.5</v>
      </c>
      <c r="DX42" s="1658"/>
      <c r="DY42" s="1654">
        <v>0.1</v>
      </c>
      <c r="DZ42" s="1655">
        <v>0.1</v>
      </c>
      <c r="EA42" s="1655">
        <v>0.1</v>
      </c>
      <c r="EB42" s="1656">
        <v>0.1</v>
      </c>
      <c r="EC42" s="1655">
        <v>0.1</v>
      </c>
      <c r="ED42" s="1657">
        <v>0.1</v>
      </c>
      <c r="EE42" s="1655">
        <v>0.1</v>
      </c>
      <c r="EF42" s="1655">
        <v>0.5</v>
      </c>
      <c r="EG42" s="1655">
        <v>0.8</v>
      </c>
      <c r="EH42" s="1656">
        <v>1</v>
      </c>
      <c r="EI42" s="1655">
        <v>1</v>
      </c>
      <c r="EJ42" s="1657">
        <v>0.8</v>
      </c>
      <c r="EK42" s="1655">
        <v>0</v>
      </c>
      <c r="EL42" s="1655">
        <v>0.8</v>
      </c>
      <c r="EM42" s="1655">
        <v>1</v>
      </c>
      <c r="EN42" s="1656">
        <v>1</v>
      </c>
      <c r="EO42" s="1655">
        <v>0.8</v>
      </c>
      <c r="EP42" s="1657">
        <v>0.5</v>
      </c>
      <c r="EQ42" s="1655">
        <v>0.8</v>
      </c>
      <c r="ER42" s="1655">
        <v>0.8</v>
      </c>
      <c r="ES42" s="1655">
        <v>0.8</v>
      </c>
      <c r="ET42" s="1656">
        <v>0.5</v>
      </c>
      <c r="EU42" s="1655">
        <v>0.5</v>
      </c>
      <c r="EV42" s="1658">
        <v>0.1</v>
      </c>
      <c r="EW42" s="1619" t="s">
        <v>862</v>
      </c>
      <c r="EX42" s="1654">
        <v>0.8</v>
      </c>
      <c r="EY42" s="1655">
        <v>0.8</v>
      </c>
      <c r="EZ42" s="1655">
        <v>0.8</v>
      </c>
      <c r="FA42" s="1656">
        <v>0.8</v>
      </c>
      <c r="FB42" s="1655">
        <v>0.8</v>
      </c>
      <c r="FC42" s="1657">
        <v>0.8</v>
      </c>
      <c r="FD42" s="1655">
        <v>0.8</v>
      </c>
      <c r="FE42" s="1655">
        <v>0.8</v>
      </c>
      <c r="FF42" s="1655">
        <v>0.8</v>
      </c>
      <c r="FG42" s="1656">
        <v>0.8</v>
      </c>
      <c r="FH42" s="1655">
        <v>0.8</v>
      </c>
      <c r="FI42" s="1658">
        <v>0.8</v>
      </c>
      <c r="FJ42" s="1659">
        <v>1</v>
      </c>
      <c r="FK42" s="1660">
        <f t="shared" si="23"/>
        <v>313</v>
      </c>
      <c r="FL42" s="1661">
        <f t="shared" si="4"/>
        <v>15</v>
      </c>
      <c r="FM42" s="131">
        <f t="shared" si="5"/>
        <v>11.600000000000001</v>
      </c>
      <c r="FN42" s="131">
        <f t="shared" si="6"/>
        <v>8.1999999999999993</v>
      </c>
      <c r="FO42" s="131">
        <f t="shared" si="7"/>
        <v>3.4000000000000004</v>
      </c>
      <c r="FP42" s="1662">
        <f t="shared" si="8"/>
        <v>0.80000000000000016</v>
      </c>
      <c r="FQ42" s="1663">
        <f t="shared" si="24"/>
        <v>2900</v>
      </c>
      <c r="FR42" s="1661">
        <f t="shared" si="9"/>
        <v>23</v>
      </c>
      <c r="FS42" s="131">
        <f t="shared" si="10"/>
        <v>12.400000000000002</v>
      </c>
      <c r="FT42" s="131">
        <f t="shared" si="11"/>
        <v>2.4000000000000004</v>
      </c>
      <c r="FU42" s="1663">
        <f t="shared" si="25"/>
        <v>3200</v>
      </c>
      <c r="FX42" s="14" t="str">
        <f>IF(BV42=0,Begriffe!$F$262,"")</f>
        <v/>
      </c>
      <c r="FY42" s="1664" t="str">
        <f>Begriffe!F296</f>
        <v>- Wasser- und Warmwasserbedarf pro Dusche ohne Badewasserbedarf</v>
      </c>
      <c r="FZ42" s="88"/>
      <c r="GA42" s="1665"/>
      <c r="GK42" s="14" t="s">
        <v>156</v>
      </c>
      <c r="GL42" s="14">
        <v>0.8</v>
      </c>
      <c r="GM42" s="14">
        <v>0.6</v>
      </c>
      <c r="GN42" s="14">
        <v>1</v>
      </c>
      <c r="GO42" s="14">
        <v>0.8</v>
      </c>
      <c r="GP42" s="14">
        <v>0.6</v>
      </c>
      <c r="GQ42" s="14">
        <v>1</v>
      </c>
      <c r="GR42" s="14">
        <v>0.6</v>
      </c>
      <c r="GS42" s="14">
        <v>0.6</v>
      </c>
      <c r="GT42" s="14">
        <v>1</v>
      </c>
      <c r="GU42" s="14">
        <v>0.8</v>
      </c>
      <c r="GV42" s="14">
        <v>1</v>
      </c>
      <c r="GW42" s="14">
        <v>0.6</v>
      </c>
      <c r="GX42" s="1666">
        <f t="shared" si="12"/>
        <v>0.78333333333333333</v>
      </c>
      <c r="GZ42" s="1667">
        <v>1</v>
      </c>
      <c r="HB42" s="1668">
        <v>1</v>
      </c>
      <c r="HC42" s="1668">
        <v>0</v>
      </c>
      <c r="HD42" s="1669">
        <v>1</v>
      </c>
      <c r="HE42" s="1669">
        <v>1</v>
      </c>
      <c r="HF42" s="1669">
        <v>1</v>
      </c>
      <c r="HG42" s="1669">
        <v>1</v>
      </c>
      <c r="HH42" s="1669">
        <v>1</v>
      </c>
      <c r="HI42" s="1670">
        <v>15</v>
      </c>
      <c r="HJ42" s="1670">
        <v>16</v>
      </c>
      <c r="HK42" s="14">
        <v>0.7</v>
      </c>
      <c r="HL42" s="14">
        <v>12</v>
      </c>
      <c r="HM42" s="1671">
        <f>Hüllzahl!Y42</f>
        <v>1.111764705882353</v>
      </c>
      <c r="HN42" s="1672">
        <f>(HI42+HJ42*Hüllzahl!Y42)</f>
        <v>32.788235294117648</v>
      </c>
    </row>
    <row r="43" spans="1:222">
      <c r="A43" s="1545">
        <v>12.1</v>
      </c>
      <c r="B43" s="1544">
        <v>19</v>
      </c>
      <c r="C43" s="65" t="str">
        <f>Begriffe!F134</f>
        <v>Verkehrsfläche</v>
      </c>
      <c r="D43" s="280">
        <v>2</v>
      </c>
      <c r="E43" s="82">
        <v>10</v>
      </c>
      <c r="F43" s="82">
        <v>2.5</v>
      </c>
      <c r="G43" s="255">
        <f t="shared" si="17"/>
        <v>20</v>
      </c>
      <c r="H43" s="255">
        <f>Hüllzahl!X43</f>
        <v>5.882352941176471</v>
      </c>
      <c r="I43" s="1452">
        <v>30</v>
      </c>
      <c r="J43" s="1406">
        <v>0.75</v>
      </c>
      <c r="K43" s="55">
        <f t="shared" si="0"/>
        <v>30.226700251889167</v>
      </c>
      <c r="L43" s="1453">
        <v>1.2</v>
      </c>
      <c r="M43" s="241">
        <v>0.9</v>
      </c>
      <c r="N43" s="241">
        <v>1.5</v>
      </c>
      <c r="O43" s="1406">
        <v>0.17</v>
      </c>
      <c r="P43" s="241">
        <v>0.1</v>
      </c>
      <c r="Q43" s="241">
        <v>0.8</v>
      </c>
      <c r="R43" s="55">
        <v>0.5</v>
      </c>
      <c r="S43" s="1406">
        <v>0.5</v>
      </c>
      <c r="T43" s="1406">
        <v>0.65</v>
      </c>
      <c r="U43" s="1406">
        <v>0.14000000000000001</v>
      </c>
      <c r="V43" s="1406">
        <v>0.1</v>
      </c>
      <c r="W43" s="1406">
        <v>0.2</v>
      </c>
      <c r="X43" s="55">
        <v>0.7</v>
      </c>
      <c r="Y43" s="55">
        <v>0.9</v>
      </c>
      <c r="Z43" s="55">
        <v>90</v>
      </c>
      <c r="AA43" s="1451">
        <f>'Kälte_TEC-Tool'!J42</f>
        <v>125.8</v>
      </c>
      <c r="AB43" s="1454"/>
      <c r="AC43" s="1455">
        <v>18</v>
      </c>
      <c r="AD43" s="1456" t="s">
        <v>26</v>
      </c>
      <c r="AE43" s="249" t="s">
        <v>157</v>
      </c>
      <c r="AF43" s="249"/>
      <c r="AG43" s="1457"/>
      <c r="AH43" s="1458"/>
      <c r="AI43" s="249">
        <v>40</v>
      </c>
      <c r="AJ43" s="1459">
        <v>0.7</v>
      </c>
      <c r="AK43" s="1460"/>
      <c r="AL43" s="55">
        <v>1.2</v>
      </c>
      <c r="AM43" s="1461"/>
      <c r="AN43" s="241">
        <v>1</v>
      </c>
      <c r="AO43" s="1462"/>
      <c r="AP43" s="1460"/>
      <c r="AQ43" s="55"/>
      <c r="AR43" s="55"/>
      <c r="AS43" s="55"/>
      <c r="AT43" s="55"/>
      <c r="AU43" s="55"/>
      <c r="AV43" s="1673">
        <v>0</v>
      </c>
      <c r="AW43" s="55">
        <v>100</v>
      </c>
      <c r="AX43" s="1509">
        <v>0.05</v>
      </c>
      <c r="AY43" s="1510">
        <v>25</v>
      </c>
      <c r="AZ43" s="1674">
        <f t="shared" si="21"/>
        <v>11</v>
      </c>
      <c r="BA43" s="1552">
        <f t="shared" si="2"/>
        <v>2</v>
      </c>
      <c r="BB43" s="1675">
        <v>0.4</v>
      </c>
      <c r="BC43" s="1451">
        <v>2</v>
      </c>
      <c r="BD43" s="1451">
        <v>3</v>
      </c>
      <c r="BE43" s="1511"/>
      <c r="BF43" s="1511"/>
      <c r="BG43" s="55"/>
      <c r="BH43" s="55"/>
      <c r="BI43" s="1453">
        <f>AP43+Res_Std!T39+Res_Std!U39</f>
        <v>7.0370370370370381</v>
      </c>
      <c r="BJ43" s="55">
        <v>20</v>
      </c>
      <c r="BK43" s="241">
        <f t="shared" si="22"/>
        <v>2.8421052631578942</v>
      </c>
      <c r="BL43" s="1460"/>
      <c r="BM43" s="1467"/>
      <c r="BN43" s="241"/>
      <c r="BO43" s="241">
        <v>2</v>
      </c>
      <c r="BP43" s="241">
        <f t="shared" si="3"/>
        <v>2</v>
      </c>
      <c r="BQ43" s="55">
        <v>0</v>
      </c>
      <c r="BR43" s="1406">
        <v>0.15</v>
      </c>
      <c r="BS43" s="1406">
        <v>0.3</v>
      </c>
      <c r="BT43" s="1468" t="str">
        <f>Begriffe!$F$230</f>
        <v>1-stufig</v>
      </c>
      <c r="BU43" s="1468" t="str">
        <f>Begriffe!$F$231</f>
        <v>2-stufig</v>
      </c>
      <c r="BV43" s="1468"/>
      <c r="BW43" s="1406">
        <v>0.7</v>
      </c>
      <c r="BX43" s="1406">
        <v>0.8</v>
      </c>
      <c r="BY43" s="1406"/>
      <c r="BZ43" s="1406">
        <v>0.75</v>
      </c>
      <c r="CA43" s="1406">
        <v>0.85</v>
      </c>
      <c r="CB43" s="1406"/>
      <c r="CC43" s="1558" t="str">
        <f>Begriffe!$F$234</f>
        <v>Einfache Klimaanlage</v>
      </c>
      <c r="CD43" s="1513">
        <v>0.55000000000000004</v>
      </c>
      <c r="CE43" s="1513">
        <v>0.34</v>
      </c>
      <c r="CF43" s="1514">
        <v>0.91</v>
      </c>
      <c r="CG43" s="1515" t="s">
        <v>18</v>
      </c>
      <c r="CH43" s="1515" t="s">
        <v>18</v>
      </c>
      <c r="CI43" s="1515" t="s">
        <v>18</v>
      </c>
      <c r="CJ43" s="1515" t="s">
        <v>18</v>
      </c>
      <c r="CK43" s="1515" t="s">
        <v>18</v>
      </c>
      <c r="CL43" s="1515" t="s">
        <v>18</v>
      </c>
      <c r="CM43" s="1473"/>
      <c r="CN43" s="1473"/>
      <c r="CO43" s="1473"/>
      <c r="CP43" s="1473">
        <v>0.5</v>
      </c>
      <c r="CQ43" s="1473"/>
      <c r="CR43" s="1473"/>
      <c r="CS43" s="1473"/>
      <c r="CT43" s="1460"/>
      <c r="CU43" s="55"/>
      <c r="CV43" s="55"/>
      <c r="CW43" s="55"/>
      <c r="CX43" s="55"/>
      <c r="CY43" s="1450"/>
      <c r="CZ43" s="1542" t="s">
        <v>875</v>
      </c>
      <c r="DA43" s="1676"/>
      <c r="DB43" s="417"/>
      <c r="DC43" s="417"/>
      <c r="DD43" s="1677"/>
      <c r="DE43" s="417"/>
      <c r="DF43" s="1678"/>
      <c r="DG43" s="1679">
        <v>0.2</v>
      </c>
      <c r="DH43" s="1679">
        <v>0.4</v>
      </c>
      <c r="DI43" s="1679">
        <v>0.4</v>
      </c>
      <c r="DJ43" s="1679">
        <v>0.4</v>
      </c>
      <c r="DK43" s="1679">
        <v>0.4</v>
      </c>
      <c r="DL43" s="1679">
        <v>0.4</v>
      </c>
      <c r="DM43" s="1679">
        <v>0.4</v>
      </c>
      <c r="DN43" s="1679">
        <v>0.4</v>
      </c>
      <c r="DO43" s="1679">
        <v>0.4</v>
      </c>
      <c r="DP43" s="1679">
        <v>0.4</v>
      </c>
      <c r="DQ43" s="1679">
        <v>0.4</v>
      </c>
      <c r="DR43" s="1679">
        <v>0.4</v>
      </c>
      <c r="DS43" s="1680">
        <v>0.2</v>
      </c>
      <c r="DT43" s="1681"/>
      <c r="DU43" s="417"/>
      <c r="DV43" s="1677"/>
      <c r="DW43" s="417"/>
      <c r="DX43" s="1673"/>
      <c r="DY43" s="1676"/>
      <c r="DZ43" s="417"/>
      <c r="EA43" s="417"/>
      <c r="EB43" s="1677"/>
      <c r="EC43" s="417"/>
      <c r="ED43" s="1678"/>
      <c r="EE43" s="417"/>
      <c r="EF43" s="417"/>
      <c r="EG43" s="417"/>
      <c r="EH43" s="1677"/>
      <c r="EI43" s="417"/>
      <c r="EJ43" s="1678"/>
      <c r="EK43" s="417"/>
      <c r="EL43" s="417"/>
      <c r="EM43" s="417"/>
      <c r="EN43" s="1677"/>
      <c r="EO43" s="417"/>
      <c r="EP43" s="1678"/>
      <c r="EQ43" s="417"/>
      <c r="ER43" s="417"/>
      <c r="ES43" s="417"/>
      <c r="ET43" s="1677"/>
      <c r="EU43" s="417"/>
      <c r="EV43" s="1673"/>
      <c r="EW43" s="1474" t="s">
        <v>862</v>
      </c>
      <c r="EX43" s="1682">
        <v>0.8</v>
      </c>
      <c r="EY43" s="1680">
        <v>0.8</v>
      </c>
      <c r="EZ43" s="1680">
        <v>0.8</v>
      </c>
      <c r="FA43" s="1683">
        <v>0.8</v>
      </c>
      <c r="FB43" s="1680">
        <v>0.8</v>
      </c>
      <c r="FC43" s="1679">
        <v>0.8</v>
      </c>
      <c r="FD43" s="1680">
        <v>0.8</v>
      </c>
      <c r="FE43" s="1680">
        <v>0.8</v>
      </c>
      <c r="FF43" s="1680">
        <v>0.8</v>
      </c>
      <c r="FG43" s="1683">
        <v>0.8</v>
      </c>
      <c r="FH43" s="1680">
        <v>0.8</v>
      </c>
      <c r="FI43" s="1684">
        <v>0.8</v>
      </c>
      <c r="FJ43" s="1516">
        <v>0</v>
      </c>
      <c r="FK43" s="1685">
        <f t="shared" ref="FK43" si="44">365-(52*FJ43)</f>
        <v>365</v>
      </c>
      <c r="FL43" s="1686">
        <f t="shared" si="4"/>
        <v>13</v>
      </c>
      <c r="FM43" s="1687">
        <f t="shared" si="5"/>
        <v>4.8</v>
      </c>
      <c r="FN43" s="1687">
        <f t="shared" si="6"/>
        <v>4.3999999999999995</v>
      </c>
      <c r="FO43" s="1687">
        <f t="shared" si="7"/>
        <v>0.4</v>
      </c>
      <c r="FP43" s="1688">
        <f t="shared" ref="FP43" si="45">SUMPRODUCT(EX43:FI43,EX$9:FI$9)/365</f>
        <v>0.80000000000000016</v>
      </c>
      <c r="FQ43" s="1685">
        <f t="shared" ref="FQ43" si="46">ROUND(FM43*FK43*FP43,-1)</f>
        <v>1400</v>
      </c>
      <c r="FR43" s="1686">
        <f t="shared" si="9"/>
        <v>0</v>
      </c>
      <c r="FS43" s="1687">
        <f t="shared" si="10"/>
        <v>0</v>
      </c>
      <c r="FT43" s="1687">
        <f t="shared" si="11"/>
        <v>0</v>
      </c>
      <c r="FU43" s="1685">
        <f t="shared" ref="FU43" si="47">ROUND((FS43*FK43+FT43*(365-FK43))*FP43,-1)</f>
        <v>0</v>
      </c>
      <c r="FV43" s="1689" t="str">
        <f>Begriffe!$F$261</f>
        <v>- Beurteilungspegel für Dauergeräusche von Haustechnikanlagen in Abhängigkeit der zugehörigen Hauptnutzung</v>
      </c>
      <c r="FW43" s="1543"/>
      <c r="FX43" s="1690" t="str">
        <f>IF(BV43=0,Begriffe!$F$262,"")</f>
        <v>- Keine Lüftungsanlage im Bestand</v>
      </c>
      <c r="FY43" s="1485" t="str">
        <f>Begriffe!$F$297</f>
        <v>- Wasser- und Warmwasserbedarf werden durch die Hauptnutzung bestimmt</v>
      </c>
      <c r="FZ43" s="1468"/>
      <c r="GA43" s="1504"/>
      <c r="GK43" s="1488" t="s">
        <v>156</v>
      </c>
      <c r="GL43" s="1691">
        <v>0.8</v>
      </c>
      <c r="GM43" s="1691">
        <v>0.6</v>
      </c>
      <c r="GN43" s="1691">
        <v>1</v>
      </c>
      <c r="GO43" s="1691">
        <v>0.8</v>
      </c>
      <c r="GP43" s="1691">
        <v>0.6</v>
      </c>
      <c r="GQ43" s="1691">
        <v>1</v>
      </c>
      <c r="GR43" s="1691">
        <v>0.6</v>
      </c>
      <c r="GS43" s="1691">
        <v>0.6</v>
      </c>
      <c r="GT43" s="1691">
        <v>1</v>
      </c>
      <c r="GU43" s="1691">
        <v>0.8</v>
      </c>
      <c r="GV43" s="1691">
        <v>1</v>
      </c>
      <c r="GW43" s="1691">
        <v>0.6</v>
      </c>
      <c r="GX43" s="55">
        <f t="shared" ref="GX43:GX46" si="48">SUM(GL43:GW43)/12</f>
        <v>0.78333333333333333</v>
      </c>
      <c r="GZ43" s="1488">
        <v>2</v>
      </c>
      <c r="HB43" s="1256">
        <v>0</v>
      </c>
      <c r="HC43" s="1256">
        <v>0</v>
      </c>
      <c r="HD43" s="1405">
        <v>1</v>
      </c>
      <c r="HE43" s="1405">
        <v>1</v>
      </c>
      <c r="HF43" s="1405">
        <v>1</v>
      </c>
      <c r="HG43" s="1405">
        <v>1</v>
      </c>
      <c r="HH43" s="1405">
        <v>1</v>
      </c>
      <c r="HI43" s="8">
        <v>12</v>
      </c>
      <c r="HJ43" s="8">
        <v>14</v>
      </c>
      <c r="HK43" s="55">
        <v>0.7</v>
      </c>
      <c r="HL43" s="918">
        <v>3</v>
      </c>
      <c r="HM43" s="1406">
        <f>Hüllzahl!Y43</f>
        <v>0.26470588235294118</v>
      </c>
      <c r="HN43" s="1407">
        <f>(HI43+HJ43*Hüllzahl!Y43)</f>
        <v>15.705882352941178</v>
      </c>
    </row>
    <row r="44" spans="1:222">
      <c r="A44" s="889">
        <v>12.2</v>
      </c>
      <c r="B44" s="1544">
        <v>19</v>
      </c>
      <c r="C44" s="1013" t="str">
        <f>Begriffe!F135</f>
        <v>Verkehrsfläche 24 h</v>
      </c>
      <c r="D44" s="280">
        <v>2</v>
      </c>
      <c r="E44" s="82">
        <v>10</v>
      </c>
      <c r="F44" s="82">
        <v>2.5</v>
      </c>
      <c r="G44" s="255">
        <f t="shared" si="17"/>
        <v>20</v>
      </c>
      <c r="H44" s="255">
        <f>Hüllzahl!X44</f>
        <v>5.882352941176471</v>
      </c>
      <c r="I44" s="1452">
        <v>30</v>
      </c>
      <c r="J44" s="1406">
        <v>0.75</v>
      </c>
      <c r="K44" s="55">
        <f t="shared" si="0"/>
        <v>30.226700251889167</v>
      </c>
      <c r="L44" s="1453">
        <v>1.2</v>
      </c>
      <c r="M44" s="241">
        <v>0.9</v>
      </c>
      <c r="N44" s="241">
        <v>1.5</v>
      </c>
      <c r="O44" s="1406">
        <v>0.17</v>
      </c>
      <c r="P44" s="241">
        <v>0.1</v>
      </c>
      <c r="Q44" s="241">
        <v>0.8</v>
      </c>
      <c r="R44" s="55">
        <v>0.5</v>
      </c>
      <c r="S44" s="1406">
        <v>0.5</v>
      </c>
      <c r="T44" s="1406">
        <v>0.65</v>
      </c>
      <c r="U44" s="1406">
        <v>0.14000000000000001</v>
      </c>
      <c r="V44" s="1406">
        <v>0.1</v>
      </c>
      <c r="W44" s="1406">
        <v>0.2</v>
      </c>
      <c r="X44" s="55">
        <v>0.7</v>
      </c>
      <c r="Y44" s="55">
        <v>0.9</v>
      </c>
      <c r="Z44" s="55">
        <v>90</v>
      </c>
      <c r="AA44" s="1451">
        <f>'Kälte_TEC-Tool'!J43</f>
        <v>125.8</v>
      </c>
      <c r="AB44" s="1454">
        <v>26</v>
      </c>
      <c r="AC44" s="1455">
        <v>18</v>
      </c>
      <c r="AD44" s="1456" t="s">
        <v>26</v>
      </c>
      <c r="AE44" s="249" t="s">
        <v>157</v>
      </c>
      <c r="AF44" s="249"/>
      <c r="AG44" s="1457"/>
      <c r="AH44" s="1458"/>
      <c r="AI44" s="249">
        <v>40</v>
      </c>
      <c r="AJ44" s="1459">
        <v>0.7</v>
      </c>
      <c r="AK44" s="1460"/>
      <c r="AL44" s="55">
        <v>1.2</v>
      </c>
      <c r="AM44" s="1461">
        <v>0.5</v>
      </c>
      <c r="AN44" s="241">
        <v>1</v>
      </c>
      <c r="AO44" s="1462"/>
      <c r="AP44" s="1460"/>
      <c r="AQ44" s="55"/>
      <c r="AR44" s="55"/>
      <c r="AS44" s="55"/>
      <c r="AT44" s="55"/>
      <c r="AU44" s="55"/>
      <c r="AV44" s="1673">
        <v>0</v>
      </c>
      <c r="AW44" s="55">
        <v>200</v>
      </c>
      <c r="AX44" s="1509">
        <v>0.05</v>
      </c>
      <c r="AY44" s="1510">
        <v>22</v>
      </c>
      <c r="AZ44" s="1692">
        <f>SUMIF(DH44:DR44,"&gt;0",DH$9:DR$9)</f>
        <v>11</v>
      </c>
      <c r="BA44" s="1552">
        <f t="shared" si="2"/>
        <v>13</v>
      </c>
      <c r="BB44" s="1693">
        <v>0.8</v>
      </c>
      <c r="BC44" s="1451">
        <v>2</v>
      </c>
      <c r="BD44" s="1451">
        <v>3</v>
      </c>
      <c r="BE44" s="1511"/>
      <c r="BF44" s="1511"/>
      <c r="BG44" s="55"/>
      <c r="BH44" s="55"/>
      <c r="BI44" s="1453">
        <f>AP44+Res_Std!T40+Res_Std!U40</f>
        <v>12.319201995012474</v>
      </c>
      <c r="BJ44" s="918">
        <v>20</v>
      </c>
      <c r="BK44" s="241">
        <f t="shared" si="22"/>
        <v>1.6234817813765177</v>
      </c>
      <c r="BL44" s="1460"/>
      <c r="BM44" s="1467"/>
      <c r="BN44" s="241"/>
      <c r="BO44" s="241">
        <v>2</v>
      </c>
      <c r="BP44" s="241">
        <f t="shared" si="3"/>
        <v>2</v>
      </c>
      <c r="BQ44" s="55">
        <v>0</v>
      </c>
      <c r="BR44" s="1406">
        <v>0.15</v>
      </c>
      <c r="BS44" s="1406">
        <v>0.3</v>
      </c>
      <c r="BT44" s="1468" t="str">
        <f>Begriffe!$F$230</f>
        <v>1-stufig</v>
      </c>
      <c r="BU44" s="1468" t="str">
        <f>Begriffe!$F$231</f>
        <v>2-stufig</v>
      </c>
      <c r="BV44" s="1468"/>
      <c r="BW44" s="1406">
        <v>0.7</v>
      </c>
      <c r="BX44" s="1406">
        <v>0.8</v>
      </c>
      <c r="BY44" s="1406"/>
      <c r="BZ44" s="1406">
        <v>0.75</v>
      </c>
      <c r="CA44" s="1406">
        <v>0.85</v>
      </c>
      <c r="CB44" s="1406"/>
      <c r="CC44" s="1558" t="str">
        <f>Begriffe!$F$234</f>
        <v>Einfache Klimaanlage</v>
      </c>
      <c r="CD44" s="1513">
        <v>0.55000000000000004</v>
      </c>
      <c r="CE44" s="1513">
        <v>0.34</v>
      </c>
      <c r="CF44" s="1514">
        <v>0.91</v>
      </c>
      <c r="CG44" s="1515" t="str">
        <f>Begriffe!$F$241</f>
        <v>notwendig</v>
      </c>
      <c r="CH44" s="1515" t="str">
        <f>Begriffe!$F$241</f>
        <v>notwendig</v>
      </c>
      <c r="CI44" s="1515" t="str">
        <f>Begriffe!$F$241</f>
        <v>notwendig</v>
      </c>
      <c r="CJ44" s="1515" t="str">
        <f>Begriffe!$F$239</f>
        <v>nicht notwend.</v>
      </c>
      <c r="CK44" s="1515" t="str">
        <f>Begriffe!$F$240</f>
        <v>erwünscht</v>
      </c>
      <c r="CL44" s="1515" t="str">
        <f>Begriffe!$F$241</f>
        <v>notwendig</v>
      </c>
      <c r="CM44" s="1473"/>
      <c r="CN44" s="1473"/>
      <c r="CO44" s="1473"/>
      <c r="CP44" s="1473">
        <v>0.5</v>
      </c>
      <c r="CQ44" s="1473"/>
      <c r="CR44" s="1473"/>
      <c r="CS44" s="1473"/>
      <c r="CT44" s="1460"/>
      <c r="CU44" s="55"/>
      <c r="CV44" s="55"/>
      <c r="CW44" s="55"/>
      <c r="CX44" s="55"/>
      <c r="CY44" s="1450"/>
      <c r="CZ44" s="1542" t="s">
        <v>265</v>
      </c>
      <c r="DA44" s="1682">
        <v>0.2</v>
      </c>
      <c r="DB44" s="1680">
        <v>0.2</v>
      </c>
      <c r="DC44" s="1680">
        <v>0.2</v>
      </c>
      <c r="DD44" s="1683">
        <v>0.2</v>
      </c>
      <c r="DE44" s="1680">
        <v>0.2</v>
      </c>
      <c r="DF44" s="1679">
        <v>0.2</v>
      </c>
      <c r="DG44" s="1680">
        <v>0.2</v>
      </c>
      <c r="DH44" s="1679">
        <v>0.4</v>
      </c>
      <c r="DI44" s="1679">
        <v>0.4</v>
      </c>
      <c r="DJ44" s="1679">
        <v>0.4</v>
      </c>
      <c r="DK44" s="1679">
        <v>0.4</v>
      </c>
      <c r="DL44" s="1679">
        <v>0.4</v>
      </c>
      <c r="DM44" s="1679">
        <v>0.4</v>
      </c>
      <c r="DN44" s="1679">
        <v>0.4</v>
      </c>
      <c r="DO44" s="1679">
        <v>0.4</v>
      </c>
      <c r="DP44" s="1679">
        <v>0.4</v>
      </c>
      <c r="DQ44" s="1679">
        <v>0.4</v>
      </c>
      <c r="DR44" s="1679">
        <v>0.4</v>
      </c>
      <c r="DS44" s="1680">
        <v>0.2</v>
      </c>
      <c r="DT44" s="1680">
        <v>0.2</v>
      </c>
      <c r="DU44" s="1680">
        <v>0.2</v>
      </c>
      <c r="DV44" s="1683">
        <v>0.2</v>
      </c>
      <c r="DW44" s="1680">
        <v>0.2</v>
      </c>
      <c r="DX44" s="1684">
        <v>0.2</v>
      </c>
      <c r="DY44" s="1676"/>
      <c r="DZ44" s="417"/>
      <c r="EA44" s="417"/>
      <c r="EB44" s="1677"/>
      <c r="EC44" s="417"/>
      <c r="ED44" s="1678"/>
      <c r="EE44" s="417"/>
      <c r="EF44" s="417"/>
      <c r="EG44" s="417"/>
      <c r="EH44" s="1677"/>
      <c r="EI44" s="417"/>
      <c r="EJ44" s="1678"/>
      <c r="EK44" s="417"/>
      <c r="EL44" s="417"/>
      <c r="EM44" s="417"/>
      <c r="EN44" s="1677"/>
      <c r="EO44" s="417"/>
      <c r="EP44" s="1678"/>
      <c r="EQ44" s="417"/>
      <c r="ER44" s="417"/>
      <c r="ES44" s="417"/>
      <c r="ET44" s="1677"/>
      <c r="EU44" s="417"/>
      <c r="EV44" s="1673"/>
      <c r="EW44" s="1474" t="s">
        <v>862</v>
      </c>
      <c r="EX44" s="1682">
        <v>0.8</v>
      </c>
      <c r="EY44" s="1680">
        <v>0.8</v>
      </c>
      <c r="EZ44" s="1680">
        <v>0.8</v>
      </c>
      <c r="FA44" s="1683">
        <v>0.8</v>
      </c>
      <c r="FB44" s="1680">
        <v>0.8</v>
      </c>
      <c r="FC44" s="1679">
        <v>0.8</v>
      </c>
      <c r="FD44" s="1680">
        <v>0.8</v>
      </c>
      <c r="FE44" s="1680">
        <v>0.8</v>
      </c>
      <c r="FF44" s="1680">
        <v>0.8</v>
      </c>
      <c r="FG44" s="1683">
        <v>0.8</v>
      </c>
      <c r="FH44" s="1680">
        <v>0.8</v>
      </c>
      <c r="FI44" s="1684">
        <v>0.8</v>
      </c>
      <c r="FJ44" s="1516">
        <v>0</v>
      </c>
      <c r="FK44" s="1694">
        <f t="shared" ref="FK44" si="49">365-(52*FJ44)</f>
        <v>365</v>
      </c>
      <c r="FL44" s="1695">
        <f t="shared" si="4"/>
        <v>24</v>
      </c>
      <c r="FM44" s="1696">
        <f t="shared" si="5"/>
        <v>7.0000000000000018</v>
      </c>
      <c r="FN44" s="1696">
        <f t="shared" si="6"/>
        <v>4.3999999999999995</v>
      </c>
      <c r="FO44" s="1696">
        <f t="shared" si="7"/>
        <v>2.6</v>
      </c>
      <c r="FP44" s="1697">
        <f t="shared" ref="FP44" si="50">SUMPRODUCT(EX44:FI44,EX$9:FI$9)/365</f>
        <v>0.80000000000000016</v>
      </c>
      <c r="FQ44" s="1013">
        <f t="shared" ref="FQ44" si="51">ROUND(FM44*FK44*FP44,-1)</f>
        <v>2040</v>
      </c>
      <c r="FR44" s="1695">
        <f t="shared" si="9"/>
        <v>0</v>
      </c>
      <c r="FS44" s="1696">
        <f t="shared" si="10"/>
        <v>0</v>
      </c>
      <c r="FT44" s="1696">
        <f t="shared" si="11"/>
        <v>0</v>
      </c>
      <c r="FU44" s="1013">
        <f t="shared" ref="FU44" si="52">ROUND((FS44*FK44+FT44*(365-FK44))*FP44,-1)</f>
        <v>0</v>
      </c>
      <c r="FV44" s="1689" t="str">
        <f>Begriffe!$F$261</f>
        <v>- Beurteilungspegel für Dauergeräusche von Haustechnikanlagen in Abhängigkeit der zugehörigen Hauptnutzung</v>
      </c>
      <c r="FW44" s="1543"/>
      <c r="FX44" s="8" t="str">
        <f>IF(BV44=0,Begriffe!$F$262,"")</f>
        <v>- Keine Lüftungsanlage im Bestand</v>
      </c>
      <c r="FY44" s="1485" t="str">
        <f>Begriffe!$F$297</f>
        <v>- Wasser- und Warmwasserbedarf werden durch die Hauptnutzung bestimmt</v>
      </c>
      <c r="FZ44" s="1468"/>
      <c r="GA44" s="1504"/>
      <c r="GK44" s="8" t="s">
        <v>189</v>
      </c>
      <c r="GL44" s="1691">
        <f t="shared" ref="GL44:GW54" si="53">INDEX(GL$10:GL$42,MATCH($GK44,$GK$10:$GK$42,0))</f>
        <v>1</v>
      </c>
      <c r="GM44" s="1691">
        <f t="shared" si="53"/>
        <v>1</v>
      </c>
      <c r="GN44" s="1691">
        <f t="shared" si="53"/>
        <v>1</v>
      </c>
      <c r="GO44" s="1691">
        <f t="shared" si="53"/>
        <v>1</v>
      </c>
      <c r="GP44" s="1691">
        <f t="shared" si="53"/>
        <v>1</v>
      </c>
      <c r="GQ44" s="1691">
        <f t="shared" si="53"/>
        <v>1</v>
      </c>
      <c r="GR44" s="1691">
        <f t="shared" si="53"/>
        <v>1</v>
      </c>
      <c r="GS44" s="1691">
        <f t="shared" si="53"/>
        <v>1</v>
      </c>
      <c r="GT44" s="1691">
        <f t="shared" si="53"/>
        <v>1</v>
      </c>
      <c r="GU44" s="1691">
        <f t="shared" si="53"/>
        <v>1</v>
      </c>
      <c r="GV44" s="1691">
        <f t="shared" si="53"/>
        <v>1</v>
      </c>
      <c r="GW44" s="1691">
        <f t="shared" si="53"/>
        <v>1</v>
      </c>
      <c r="GX44" s="55">
        <f t="shared" ref="GX44" si="54">SUM(GL44:GW44)/12</f>
        <v>1</v>
      </c>
      <c r="GZ44" s="1488">
        <v>0</v>
      </c>
      <c r="HB44" s="1256">
        <v>0</v>
      </c>
      <c r="HC44" s="1256">
        <v>0</v>
      </c>
      <c r="HD44" s="1405">
        <v>1</v>
      </c>
      <c r="HE44" s="1405">
        <v>1</v>
      </c>
      <c r="HF44" s="1405">
        <v>1</v>
      </c>
      <c r="HG44" s="1405">
        <v>1</v>
      </c>
      <c r="HH44" s="1405">
        <v>1</v>
      </c>
      <c r="HI44" s="8">
        <v>12</v>
      </c>
      <c r="HJ44" s="8">
        <v>14</v>
      </c>
      <c r="HK44" s="55">
        <v>0.7</v>
      </c>
      <c r="HL44" s="1257">
        <v>3</v>
      </c>
      <c r="HM44" s="1406">
        <f>Hüllzahl!Y44</f>
        <v>0.26470588235294118</v>
      </c>
      <c r="HN44" s="1407">
        <f>(HI44+HJ44*Hüllzahl!Y44)</f>
        <v>15.705882352941178</v>
      </c>
    </row>
    <row r="45" spans="1:222">
      <c r="A45" s="889">
        <v>12.3</v>
      </c>
      <c r="B45" s="1544">
        <v>19</v>
      </c>
      <c r="C45" s="1013" t="str">
        <f>Begriffe!F136</f>
        <v>Treppenhaus</v>
      </c>
      <c r="D45" s="280">
        <v>2</v>
      </c>
      <c r="E45" s="82">
        <v>10</v>
      </c>
      <c r="F45" s="82">
        <v>2.5</v>
      </c>
      <c r="G45" s="255">
        <f t="shared" si="17"/>
        <v>20</v>
      </c>
      <c r="H45" s="255">
        <f>Hüllzahl!X45</f>
        <v>5.882352941176471</v>
      </c>
      <c r="I45" s="1452">
        <v>30</v>
      </c>
      <c r="J45" s="1406">
        <v>0.75</v>
      </c>
      <c r="K45" s="55">
        <f t="shared" si="0"/>
        <v>30.226700251889167</v>
      </c>
      <c r="L45" s="1453">
        <v>1.2</v>
      </c>
      <c r="M45" s="241">
        <v>0.9</v>
      </c>
      <c r="N45" s="241">
        <v>1.5</v>
      </c>
      <c r="O45" s="1406">
        <v>0.17</v>
      </c>
      <c r="P45" s="241">
        <v>0.1</v>
      </c>
      <c r="Q45" s="241">
        <v>0.8</v>
      </c>
      <c r="R45" s="55">
        <v>0.5</v>
      </c>
      <c r="S45" s="1406">
        <v>0.5</v>
      </c>
      <c r="T45" s="1406">
        <v>0.65</v>
      </c>
      <c r="U45" s="1406">
        <v>0.14000000000000001</v>
      </c>
      <c r="V45" s="1406">
        <v>0.1</v>
      </c>
      <c r="W45" s="1406">
        <v>0.2</v>
      </c>
      <c r="X45" s="55">
        <v>0.7</v>
      </c>
      <c r="Y45" s="55">
        <v>0.9</v>
      </c>
      <c r="Z45" s="55">
        <v>90</v>
      </c>
      <c r="AA45" s="1451">
        <f>'Kälte_TEC-Tool'!J44</f>
        <v>125.8</v>
      </c>
      <c r="AB45" s="1454"/>
      <c r="AC45" s="1455">
        <v>18</v>
      </c>
      <c r="AD45" s="1506" t="s">
        <v>256</v>
      </c>
      <c r="AE45" s="249" t="s">
        <v>157</v>
      </c>
      <c r="AF45" s="249"/>
      <c r="AG45" s="1457"/>
      <c r="AH45" s="1458"/>
      <c r="AI45" s="249">
        <v>40</v>
      </c>
      <c r="AJ45" s="1459">
        <v>0.7</v>
      </c>
      <c r="AK45" s="1460"/>
      <c r="AL45" s="55">
        <v>1.2</v>
      </c>
      <c r="AM45" s="1461"/>
      <c r="AN45" s="241">
        <v>1</v>
      </c>
      <c r="AO45" s="1462"/>
      <c r="AP45" s="1460"/>
      <c r="AQ45" s="55"/>
      <c r="AR45" s="55"/>
      <c r="AS45" s="55"/>
      <c r="AT45" s="55"/>
      <c r="AU45" s="55"/>
      <c r="AV45" s="1673">
        <v>0</v>
      </c>
      <c r="AW45" s="55">
        <v>100</v>
      </c>
      <c r="AX45" s="1509">
        <v>0.05</v>
      </c>
      <c r="AY45" s="1510">
        <v>25</v>
      </c>
      <c r="AZ45" s="1692">
        <f t="shared" si="21"/>
        <v>11</v>
      </c>
      <c r="BA45" s="1552">
        <f t="shared" si="2"/>
        <v>2</v>
      </c>
      <c r="BB45" s="1693">
        <v>0.2</v>
      </c>
      <c r="BC45" s="1451">
        <v>2</v>
      </c>
      <c r="BD45" s="1451">
        <v>3</v>
      </c>
      <c r="BE45" s="1511"/>
      <c r="BF45" s="1511"/>
      <c r="BG45" s="55"/>
      <c r="BH45" s="55"/>
      <c r="BI45" s="1453">
        <f>AP45+Res_Std!T41+Res_Std!U41</f>
        <v>7.0370370370370381</v>
      </c>
      <c r="BJ45" s="55">
        <v>20</v>
      </c>
      <c r="BK45" s="241">
        <f t="shared" si="22"/>
        <v>2.8421052631578942</v>
      </c>
      <c r="BL45" s="1460"/>
      <c r="BM45" s="1467"/>
      <c r="BN45" s="241"/>
      <c r="BO45" s="241">
        <v>2</v>
      </c>
      <c r="BP45" s="241">
        <f t="shared" si="3"/>
        <v>2</v>
      </c>
      <c r="BQ45" s="55">
        <v>0</v>
      </c>
      <c r="BR45" s="1406">
        <v>0.15</v>
      </c>
      <c r="BS45" s="1406">
        <v>0.3</v>
      </c>
      <c r="BT45" s="1468"/>
      <c r="BU45" s="1468"/>
      <c r="BV45" s="1468"/>
      <c r="BW45" s="1406"/>
      <c r="BX45" s="1406"/>
      <c r="BY45" s="1406"/>
      <c r="BZ45" s="1406"/>
      <c r="CA45" s="1406"/>
      <c r="CB45" s="1406"/>
      <c r="CC45" s="1558" t="str">
        <f>Begriffe!$F$238</f>
        <v>keine Lüftungsanlage</v>
      </c>
      <c r="CD45" s="1513">
        <v>0.55000000000000004</v>
      </c>
      <c r="CE45" s="1513">
        <v>0.34</v>
      </c>
      <c r="CF45" s="1514">
        <v>0.91</v>
      </c>
      <c r="CG45" s="1515" t="s">
        <v>18</v>
      </c>
      <c r="CH45" s="1515" t="s">
        <v>18</v>
      </c>
      <c r="CI45" s="1515" t="s">
        <v>18</v>
      </c>
      <c r="CJ45" s="1515" t="s">
        <v>18</v>
      </c>
      <c r="CK45" s="1515" t="s">
        <v>18</v>
      </c>
      <c r="CL45" s="1515" t="s">
        <v>18</v>
      </c>
      <c r="CM45" s="1473"/>
      <c r="CN45" s="1473"/>
      <c r="CO45" s="1473"/>
      <c r="CP45" s="1473">
        <v>0.5</v>
      </c>
      <c r="CQ45" s="1473"/>
      <c r="CR45" s="1473"/>
      <c r="CS45" s="1473"/>
      <c r="CT45" s="1460"/>
      <c r="CU45" s="55"/>
      <c r="CV45" s="55"/>
      <c r="CW45" s="55"/>
      <c r="CX45" s="55"/>
      <c r="CY45" s="1450"/>
      <c r="CZ45" s="1542" t="s">
        <v>875</v>
      </c>
      <c r="DA45" s="1676"/>
      <c r="DB45" s="417"/>
      <c r="DC45" s="417"/>
      <c r="DD45" s="1677"/>
      <c r="DE45" s="417"/>
      <c r="DF45" s="1678"/>
      <c r="DG45" s="1680">
        <v>0.2</v>
      </c>
      <c r="DH45" s="1680">
        <v>0.4</v>
      </c>
      <c r="DI45" s="1680">
        <v>0.4</v>
      </c>
      <c r="DJ45" s="1683">
        <v>0.4</v>
      </c>
      <c r="DK45" s="1680">
        <v>0.4</v>
      </c>
      <c r="DL45" s="1679">
        <v>0.4</v>
      </c>
      <c r="DM45" s="1680">
        <v>0.4</v>
      </c>
      <c r="DN45" s="1680">
        <v>0.4</v>
      </c>
      <c r="DO45" s="1680">
        <v>0.4</v>
      </c>
      <c r="DP45" s="1683">
        <v>0.4</v>
      </c>
      <c r="DQ45" s="1680">
        <v>0.4</v>
      </c>
      <c r="DR45" s="1679">
        <v>0.4</v>
      </c>
      <c r="DS45" s="1680">
        <v>0.2</v>
      </c>
      <c r="DT45" s="417"/>
      <c r="DU45" s="417"/>
      <c r="DV45" s="1677"/>
      <c r="DW45" s="417"/>
      <c r="DX45" s="1673"/>
      <c r="DY45" s="1676"/>
      <c r="DZ45" s="417"/>
      <c r="EA45" s="417"/>
      <c r="EB45" s="1677"/>
      <c r="EC45" s="417"/>
      <c r="ED45" s="1678"/>
      <c r="EE45" s="417"/>
      <c r="EF45" s="417"/>
      <c r="EG45" s="417"/>
      <c r="EH45" s="1677"/>
      <c r="EI45" s="417"/>
      <c r="EJ45" s="1678"/>
      <c r="EK45" s="417"/>
      <c r="EL45" s="417"/>
      <c r="EM45" s="417"/>
      <c r="EN45" s="1677"/>
      <c r="EO45" s="417"/>
      <c r="EP45" s="1678"/>
      <c r="EQ45" s="417"/>
      <c r="ER45" s="417"/>
      <c r="ES45" s="417"/>
      <c r="ET45" s="1677"/>
      <c r="EU45" s="417"/>
      <c r="EV45" s="1673"/>
      <c r="EW45" s="1474" t="s">
        <v>862</v>
      </c>
      <c r="EX45" s="1682">
        <v>0.8</v>
      </c>
      <c r="EY45" s="1680">
        <v>0.8</v>
      </c>
      <c r="EZ45" s="1680">
        <v>0.8</v>
      </c>
      <c r="FA45" s="1683">
        <v>0.8</v>
      </c>
      <c r="FB45" s="1680">
        <v>0.8</v>
      </c>
      <c r="FC45" s="1679">
        <v>0.8</v>
      </c>
      <c r="FD45" s="1680">
        <v>0.8</v>
      </c>
      <c r="FE45" s="1680">
        <v>0.8</v>
      </c>
      <c r="FF45" s="1680">
        <v>0.8</v>
      </c>
      <c r="FG45" s="1683">
        <v>0.8</v>
      </c>
      <c r="FH45" s="1680">
        <v>0.8</v>
      </c>
      <c r="FI45" s="1684">
        <v>0.8</v>
      </c>
      <c r="FJ45" s="1516">
        <v>0</v>
      </c>
      <c r="FK45" s="1694">
        <f t="shared" ref="FK45" si="55">365-(52*FJ45)</f>
        <v>365</v>
      </c>
      <c r="FL45" s="1695">
        <f t="shared" si="4"/>
        <v>13</v>
      </c>
      <c r="FM45" s="1696">
        <f t="shared" si="5"/>
        <v>4.8</v>
      </c>
      <c r="FN45" s="1696">
        <f t="shared" si="6"/>
        <v>4.3999999999999995</v>
      </c>
      <c r="FO45" s="1696">
        <f t="shared" si="7"/>
        <v>0.4</v>
      </c>
      <c r="FP45" s="1697">
        <f t="shared" ref="FP45" si="56">SUMPRODUCT(EX45:FI45,EX$9:FI$9)/365</f>
        <v>0.80000000000000016</v>
      </c>
      <c r="FQ45" s="1013">
        <f t="shared" ref="FQ45" si="57">ROUND(FM45*FK45*FP45,-1)</f>
        <v>1400</v>
      </c>
      <c r="FR45" s="1695">
        <f t="shared" si="9"/>
        <v>0</v>
      </c>
      <c r="FS45" s="1696">
        <f t="shared" si="10"/>
        <v>0</v>
      </c>
      <c r="FT45" s="1696">
        <f t="shared" si="11"/>
        <v>0</v>
      </c>
      <c r="FU45" s="1013">
        <f t="shared" ref="FU45" si="58">ROUND((FS45*FK45+FT45*(365-FK45))*FP45,-1)</f>
        <v>0</v>
      </c>
      <c r="FV45" s="1690"/>
      <c r="FX45" s="1690"/>
      <c r="FY45" s="1485" t="str">
        <f>Begriffe!$F$297</f>
        <v>- Wasser- und Warmwasserbedarf werden durch die Hauptnutzung bestimmt</v>
      </c>
      <c r="FZ45" s="1468"/>
      <c r="GA45" s="1504"/>
      <c r="GK45" s="8" t="s">
        <v>189</v>
      </c>
      <c r="GL45" s="1691">
        <f t="shared" si="53"/>
        <v>1</v>
      </c>
      <c r="GM45" s="1691">
        <f t="shared" si="53"/>
        <v>1</v>
      </c>
      <c r="GN45" s="1691">
        <f t="shared" si="53"/>
        <v>1</v>
      </c>
      <c r="GO45" s="1691">
        <f t="shared" si="53"/>
        <v>1</v>
      </c>
      <c r="GP45" s="1691">
        <f t="shared" si="53"/>
        <v>1</v>
      </c>
      <c r="GQ45" s="1691">
        <f t="shared" si="53"/>
        <v>1</v>
      </c>
      <c r="GR45" s="1691">
        <f t="shared" si="53"/>
        <v>1</v>
      </c>
      <c r="GS45" s="1691">
        <f t="shared" si="53"/>
        <v>1</v>
      </c>
      <c r="GT45" s="1691">
        <f t="shared" si="53"/>
        <v>1</v>
      </c>
      <c r="GU45" s="1691">
        <f t="shared" si="53"/>
        <v>1</v>
      </c>
      <c r="GV45" s="1691">
        <f t="shared" si="53"/>
        <v>1</v>
      </c>
      <c r="GW45" s="1691">
        <f t="shared" si="53"/>
        <v>1</v>
      </c>
      <c r="GX45" s="55">
        <f t="shared" ref="GX45" si="59">SUM(GL45:GW45)/12</f>
        <v>1</v>
      </c>
      <c r="GZ45" s="1488">
        <v>0</v>
      </c>
      <c r="HB45" s="1256">
        <v>0</v>
      </c>
      <c r="HC45" s="1256">
        <v>0</v>
      </c>
      <c r="HD45" s="1405">
        <v>1</v>
      </c>
      <c r="HE45" s="1405">
        <v>1</v>
      </c>
      <c r="HF45" s="1405">
        <v>1</v>
      </c>
      <c r="HG45" s="1405">
        <v>1</v>
      </c>
      <c r="HH45" s="1405">
        <v>1</v>
      </c>
      <c r="HI45" s="8">
        <v>12</v>
      </c>
      <c r="HJ45" s="8">
        <v>14</v>
      </c>
      <c r="HK45" s="55">
        <v>0.7</v>
      </c>
      <c r="HL45" s="918">
        <v>3</v>
      </c>
      <c r="HM45" s="1406">
        <f>Hüllzahl!Y45</f>
        <v>0.26470588235294118</v>
      </c>
      <c r="HN45" s="1407">
        <f>(HI45+HJ45*Hüllzahl!Y45)</f>
        <v>15.705882352941178</v>
      </c>
    </row>
    <row r="46" spans="1:222">
      <c r="A46" s="889">
        <v>12.4</v>
      </c>
      <c r="B46" s="1544">
        <v>20</v>
      </c>
      <c r="C46" s="1013" t="str">
        <f>Begriffe!F137</f>
        <v>Nebenraum</v>
      </c>
      <c r="D46" s="280">
        <v>4</v>
      </c>
      <c r="E46" s="82">
        <v>5</v>
      </c>
      <c r="F46" s="82">
        <v>2.5</v>
      </c>
      <c r="G46" s="255">
        <f t="shared" si="17"/>
        <v>20</v>
      </c>
      <c r="H46" s="255">
        <f>Hüllzahl!X46</f>
        <v>11.764705882352942</v>
      </c>
      <c r="I46" s="1452">
        <v>30</v>
      </c>
      <c r="J46" s="1406">
        <v>0.75</v>
      </c>
      <c r="K46" s="55">
        <f t="shared" si="0"/>
        <v>30.226700251889167</v>
      </c>
      <c r="L46" s="1453">
        <v>1.2</v>
      </c>
      <c r="M46" s="241">
        <v>0.9</v>
      </c>
      <c r="N46" s="241">
        <v>1.5</v>
      </c>
      <c r="O46" s="1406">
        <v>0.17</v>
      </c>
      <c r="P46" s="241">
        <v>0.1</v>
      </c>
      <c r="Q46" s="241">
        <v>0.8</v>
      </c>
      <c r="R46" s="55">
        <v>0.5</v>
      </c>
      <c r="S46" s="1406">
        <v>0.5</v>
      </c>
      <c r="T46" s="1406">
        <v>0.65</v>
      </c>
      <c r="U46" s="1406">
        <v>0.14000000000000001</v>
      </c>
      <c r="V46" s="1406">
        <v>0.1</v>
      </c>
      <c r="W46" s="1406">
        <v>0.2</v>
      </c>
      <c r="X46" s="55">
        <v>0.7</v>
      </c>
      <c r="Y46" s="55">
        <v>0.9</v>
      </c>
      <c r="Z46" s="55">
        <v>90</v>
      </c>
      <c r="AA46" s="1451">
        <f>'Kälte_TEC-Tool'!J45</f>
        <v>114.4</v>
      </c>
      <c r="AB46" s="1454"/>
      <c r="AC46" s="1455">
        <v>18</v>
      </c>
      <c r="AD46" s="1506" t="s">
        <v>256</v>
      </c>
      <c r="AE46" s="249" t="s">
        <v>157</v>
      </c>
      <c r="AF46" s="249"/>
      <c r="AG46" s="1457"/>
      <c r="AH46" s="1458"/>
      <c r="AI46" s="249">
        <v>50</v>
      </c>
      <c r="AJ46" s="1459"/>
      <c r="AK46" s="1460"/>
      <c r="AL46" s="55">
        <v>1.2</v>
      </c>
      <c r="AM46" s="1461"/>
      <c r="AN46" s="241">
        <v>1</v>
      </c>
      <c r="AO46" s="1462"/>
      <c r="AP46" s="1460"/>
      <c r="AQ46" s="55"/>
      <c r="AR46" s="55"/>
      <c r="AS46" s="55"/>
      <c r="AT46" s="55"/>
      <c r="AU46" s="55"/>
      <c r="AV46" s="1673">
        <v>0</v>
      </c>
      <c r="AW46" s="55">
        <v>100</v>
      </c>
      <c r="AX46" s="1509">
        <v>0.05</v>
      </c>
      <c r="AY46" s="1510">
        <v>25</v>
      </c>
      <c r="AZ46" s="1692">
        <f t="shared" si="21"/>
        <v>11</v>
      </c>
      <c r="BA46" s="1552">
        <f t="shared" si="2"/>
        <v>2</v>
      </c>
      <c r="BB46" s="1693">
        <v>0.2</v>
      </c>
      <c r="BC46" s="1451">
        <v>2</v>
      </c>
      <c r="BD46" s="1451">
        <v>3</v>
      </c>
      <c r="BE46" s="1511"/>
      <c r="BF46" s="1511"/>
      <c r="BG46" s="55"/>
      <c r="BH46" s="55"/>
      <c r="BI46" s="1453">
        <f>AP46+Res_Std!T42+Res_Std!U42</f>
        <v>5.9900284900284912</v>
      </c>
      <c r="BJ46" s="55">
        <v>20</v>
      </c>
      <c r="BK46" s="241">
        <f t="shared" si="22"/>
        <v>3.338882282996432</v>
      </c>
      <c r="BL46" s="1460"/>
      <c r="BM46" s="1467"/>
      <c r="BN46" s="241"/>
      <c r="BO46" s="241">
        <v>0.5</v>
      </c>
      <c r="BP46" s="241">
        <f t="shared" si="3"/>
        <v>0.5</v>
      </c>
      <c r="BQ46" s="55">
        <v>0</v>
      </c>
      <c r="BR46" s="1406">
        <v>0.15</v>
      </c>
      <c r="BS46" s="1406">
        <v>0.3</v>
      </c>
      <c r="BT46" s="1468" t="str">
        <f>Begriffe!$F$230</f>
        <v>1-stufig</v>
      </c>
      <c r="BU46" s="1468" t="str">
        <f>Begriffe!$F$231</f>
        <v>2-stufig</v>
      </c>
      <c r="BV46" s="1468"/>
      <c r="BW46" s="1406">
        <v>0.7</v>
      </c>
      <c r="BX46" s="1406">
        <v>0.8</v>
      </c>
      <c r="BY46" s="1406"/>
      <c r="BZ46" s="1406">
        <v>0.75</v>
      </c>
      <c r="CA46" s="1406">
        <v>0.85</v>
      </c>
      <c r="CB46" s="1406"/>
      <c r="CC46" s="1558" t="str">
        <f>Begriffe!$F$233</f>
        <v>Einfache Lüftungsanlage</v>
      </c>
      <c r="CD46" s="1513">
        <v>0.28000000000000003</v>
      </c>
      <c r="CE46" s="1513">
        <v>0.16600000000000001</v>
      </c>
      <c r="CF46" s="1514">
        <v>0.4</v>
      </c>
      <c r="CG46" s="1515" t="s">
        <v>18</v>
      </c>
      <c r="CH46" s="1515" t="s">
        <v>18</v>
      </c>
      <c r="CI46" s="1515" t="s">
        <v>18</v>
      </c>
      <c r="CJ46" s="1515" t="s">
        <v>18</v>
      </c>
      <c r="CK46" s="1515" t="s">
        <v>18</v>
      </c>
      <c r="CL46" s="1515" t="s">
        <v>18</v>
      </c>
      <c r="CM46" s="1473"/>
      <c r="CN46" s="1473"/>
      <c r="CO46" s="1473"/>
      <c r="CP46" s="1473">
        <v>0.5</v>
      </c>
      <c r="CQ46" s="1473"/>
      <c r="CR46" s="1473"/>
      <c r="CS46" s="1473"/>
      <c r="CT46" s="1460"/>
      <c r="CU46" s="55"/>
      <c r="CV46" s="55"/>
      <c r="CW46" s="55"/>
      <c r="CX46" s="55"/>
      <c r="CY46" s="1450"/>
      <c r="CZ46" s="1542" t="s">
        <v>875</v>
      </c>
      <c r="DA46" s="1676"/>
      <c r="DB46" s="417"/>
      <c r="DC46" s="417"/>
      <c r="DD46" s="1677"/>
      <c r="DE46" s="417"/>
      <c r="DF46" s="1678"/>
      <c r="DG46" s="1680">
        <v>0.2</v>
      </c>
      <c r="DH46" s="1680">
        <v>0.4</v>
      </c>
      <c r="DI46" s="1680">
        <v>0.4</v>
      </c>
      <c r="DJ46" s="1683">
        <v>0.4</v>
      </c>
      <c r="DK46" s="1680">
        <v>0.4</v>
      </c>
      <c r="DL46" s="1679">
        <v>0.4</v>
      </c>
      <c r="DM46" s="1680">
        <v>0.4</v>
      </c>
      <c r="DN46" s="1680">
        <v>0.4</v>
      </c>
      <c r="DO46" s="1680">
        <v>0.4</v>
      </c>
      <c r="DP46" s="1683">
        <v>0.4</v>
      </c>
      <c r="DQ46" s="1680">
        <v>0.4</v>
      </c>
      <c r="DR46" s="1679">
        <v>0.4</v>
      </c>
      <c r="DS46" s="1680">
        <v>0.2</v>
      </c>
      <c r="DT46" s="417"/>
      <c r="DU46" s="417"/>
      <c r="DV46" s="1677"/>
      <c r="DW46" s="417"/>
      <c r="DX46" s="1673"/>
      <c r="DY46" s="1676"/>
      <c r="DZ46" s="417"/>
      <c r="EA46" s="417"/>
      <c r="EB46" s="1677"/>
      <c r="EC46" s="417"/>
      <c r="ED46" s="1678"/>
      <c r="EE46" s="417"/>
      <c r="EF46" s="417"/>
      <c r="EG46" s="417"/>
      <c r="EH46" s="1677"/>
      <c r="EI46" s="417"/>
      <c r="EJ46" s="1678"/>
      <c r="EK46" s="417"/>
      <c r="EL46" s="417"/>
      <c r="EM46" s="417"/>
      <c r="EN46" s="1677"/>
      <c r="EO46" s="417"/>
      <c r="EP46" s="1678"/>
      <c r="EQ46" s="417"/>
      <c r="ER46" s="417"/>
      <c r="ES46" s="417"/>
      <c r="ET46" s="1677"/>
      <c r="EU46" s="417"/>
      <c r="EV46" s="1673"/>
      <c r="EW46" s="1474" t="s">
        <v>862</v>
      </c>
      <c r="EX46" s="1682">
        <v>0.8</v>
      </c>
      <c r="EY46" s="1680">
        <v>0.8</v>
      </c>
      <c r="EZ46" s="1680">
        <v>0.8</v>
      </c>
      <c r="FA46" s="1683">
        <v>0.8</v>
      </c>
      <c r="FB46" s="1680">
        <v>0.8</v>
      </c>
      <c r="FC46" s="1679">
        <v>0.8</v>
      </c>
      <c r="FD46" s="1680">
        <v>0.8</v>
      </c>
      <c r="FE46" s="1680">
        <v>0.8</v>
      </c>
      <c r="FF46" s="1680">
        <v>0.8</v>
      </c>
      <c r="FG46" s="1683">
        <v>0.8</v>
      </c>
      <c r="FH46" s="1680">
        <v>0.8</v>
      </c>
      <c r="FI46" s="1684">
        <v>0.8</v>
      </c>
      <c r="FJ46" s="1516">
        <v>0</v>
      </c>
      <c r="FK46" s="1673">
        <f t="shared" ref="FK46:FK54" si="60">365-(52*FJ46)</f>
        <v>365</v>
      </c>
      <c r="FL46" s="1682">
        <f t="shared" si="4"/>
        <v>13</v>
      </c>
      <c r="FM46" s="1680">
        <f t="shared" si="5"/>
        <v>4.8</v>
      </c>
      <c r="FN46" s="1680">
        <f t="shared" si="6"/>
        <v>4.3999999999999995</v>
      </c>
      <c r="FO46" s="1680">
        <f t="shared" si="7"/>
        <v>0.4</v>
      </c>
      <c r="FP46" s="1698">
        <f t="shared" ref="FP46:FP54" si="61">SUMPRODUCT(EX46:FI46,EX$9:FI$9)/365</f>
        <v>0.80000000000000016</v>
      </c>
      <c r="FQ46" s="1673">
        <f t="shared" ref="FQ46:FQ54" si="62">ROUND(FM46*FK46*FP46,-1)</f>
        <v>1400</v>
      </c>
      <c r="FR46" s="1682">
        <f t="shared" si="9"/>
        <v>0</v>
      </c>
      <c r="FS46" s="1680">
        <f t="shared" si="10"/>
        <v>0</v>
      </c>
      <c r="FT46" s="1680">
        <f t="shared" si="11"/>
        <v>0</v>
      </c>
      <c r="FU46" s="1673">
        <f t="shared" ref="FU46:FU54" si="63">ROUND((FS46*FK46+FT46*(365-FK46))*FP46,-1)</f>
        <v>0</v>
      </c>
      <c r="FV46" s="1699"/>
      <c r="FX46" s="1503" t="str">
        <f>IF(BV46=0,Begriffe!$F$262,"")</f>
        <v>- Keine Lüftungsanlage im Bestand</v>
      </c>
      <c r="FY46" s="1485" t="str">
        <f>Begriffe!$F$297</f>
        <v>- Wasser- und Warmwasserbedarf werden durch die Hauptnutzung bestimmt</v>
      </c>
      <c r="FZ46" s="1487"/>
      <c r="GA46" s="1504"/>
      <c r="GK46" s="1488" t="s">
        <v>156</v>
      </c>
      <c r="GL46" s="1691">
        <f t="shared" si="53"/>
        <v>0.8</v>
      </c>
      <c r="GM46" s="1691">
        <f t="shared" si="53"/>
        <v>0.6</v>
      </c>
      <c r="GN46" s="1691">
        <f t="shared" si="53"/>
        <v>1</v>
      </c>
      <c r="GO46" s="1691">
        <f t="shared" si="53"/>
        <v>0.8</v>
      </c>
      <c r="GP46" s="1691">
        <f t="shared" si="53"/>
        <v>0.6</v>
      </c>
      <c r="GQ46" s="1691">
        <f t="shared" si="53"/>
        <v>1</v>
      </c>
      <c r="GR46" s="1691">
        <f t="shared" si="53"/>
        <v>0.6</v>
      </c>
      <c r="GS46" s="1691">
        <f t="shared" si="53"/>
        <v>0.6</v>
      </c>
      <c r="GT46" s="1691">
        <f t="shared" si="53"/>
        <v>1</v>
      </c>
      <c r="GU46" s="1691">
        <f t="shared" si="53"/>
        <v>0.8</v>
      </c>
      <c r="GV46" s="1691">
        <f t="shared" si="53"/>
        <v>1</v>
      </c>
      <c r="GW46" s="1691">
        <f t="shared" si="53"/>
        <v>0.6</v>
      </c>
      <c r="GX46" s="55">
        <f t="shared" si="48"/>
        <v>0.78333333333333333</v>
      </c>
      <c r="GZ46" s="1488">
        <v>2</v>
      </c>
      <c r="HB46" s="1256">
        <v>0</v>
      </c>
      <c r="HC46" s="1256">
        <v>0</v>
      </c>
      <c r="HD46" s="1405">
        <v>1</v>
      </c>
      <c r="HE46" s="1405">
        <v>1</v>
      </c>
      <c r="HF46" s="1405">
        <v>1</v>
      </c>
      <c r="HG46" s="1405">
        <v>1</v>
      </c>
      <c r="HH46" s="1405">
        <v>1</v>
      </c>
      <c r="HI46" s="8">
        <v>12</v>
      </c>
      <c r="HJ46" s="8">
        <v>14</v>
      </c>
      <c r="HK46" s="55">
        <v>0.7</v>
      </c>
      <c r="HL46" s="918">
        <v>3</v>
      </c>
      <c r="HM46" s="1406">
        <f>Hüllzahl!Y46</f>
        <v>0.52941176470588236</v>
      </c>
      <c r="HN46" s="1407">
        <f>(HI46+HJ46*Hüllzahl!Y46)</f>
        <v>19.411764705882355</v>
      </c>
    </row>
    <row r="47" spans="1:222" s="1488" customFormat="1">
      <c r="A47" s="892">
        <v>12.5</v>
      </c>
      <c r="B47" s="1700"/>
      <c r="C47" s="1701" t="str">
        <f>Begriffe!F138</f>
        <v>Küche, Teeküche</v>
      </c>
      <c r="D47" s="241">
        <v>4</v>
      </c>
      <c r="E47" s="241">
        <v>5</v>
      </c>
      <c r="F47" s="241">
        <v>2.5</v>
      </c>
      <c r="G47" s="1451">
        <f t="shared" si="17"/>
        <v>20</v>
      </c>
      <c r="H47" s="255">
        <f>Hüllzahl!X47</f>
        <v>11.764705882352942</v>
      </c>
      <c r="I47" s="1452">
        <v>30</v>
      </c>
      <c r="J47" s="1406">
        <v>0.75</v>
      </c>
      <c r="K47" s="55">
        <f t="shared" si="0"/>
        <v>30.226700251889167</v>
      </c>
      <c r="L47" s="1453">
        <v>1.2</v>
      </c>
      <c r="M47" s="241">
        <v>0.9</v>
      </c>
      <c r="N47" s="241">
        <v>1.5</v>
      </c>
      <c r="O47" s="1406">
        <v>0.17</v>
      </c>
      <c r="P47" s="241">
        <v>0.1</v>
      </c>
      <c r="Q47" s="241">
        <v>0.8</v>
      </c>
      <c r="R47" s="55">
        <v>0.5</v>
      </c>
      <c r="S47" s="1406">
        <v>0.5</v>
      </c>
      <c r="T47" s="1406">
        <v>0.65</v>
      </c>
      <c r="U47" s="1406">
        <v>0.14000000000000001</v>
      </c>
      <c r="V47" s="1406">
        <v>0.1</v>
      </c>
      <c r="W47" s="1406">
        <v>0.2</v>
      </c>
      <c r="X47" s="55">
        <v>0.7</v>
      </c>
      <c r="Y47" s="55">
        <v>0.9</v>
      </c>
      <c r="Z47" s="55">
        <v>90</v>
      </c>
      <c r="AA47" s="1451">
        <f>'Kälte_TEC-Tool'!J46</f>
        <v>114.4</v>
      </c>
      <c r="AB47" s="1454"/>
      <c r="AC47" s="1455">
        <v>20</v>
      </c>
      <c r="AD47" s="1456" t="s">
        <v>26</v>
      </c>
      <c r="AE47" s="249" t="s">
        <v>157</v>
      </c>
      <c r="AF47" s="249"/>
      <c r="AG47" s="1457"/>
      <c r="AH47" s="1458"/>
      <c r="AI47" s="249">
        <v>45</v>
      </c>
      <c r="AJ47" s="1459">
        <v>0.6</v>
      </c>
      <c r="AK47" s="1460">
        <v>2</v>
      </c>
      <c r="AL47" s="55">
        <v>1.2</v>
      </c>
      <c r="AM47" s="1461"/>
      <c r="AN47" s="241">
        <v>1</v>
      </c>
      <c r="AO47" s="1463">
        <v>10</v>
      </c>
      <c r="AP47" s="1460">
        <v>40</v>
      </c>
      <c r="AQ47" s="55">
        <v>30</v>
      </c>
      <c r="AR47" s="55">
        <v>50</v>
      </c>
      <c r="AS47" s="55">
        <f>AP47</f>
        <v>40</v>
      </c>
      <c r="AT47" s="55">
        <f>AQ47</f>
        <v>30</v>
      </c>
      <c r="AU47" s="55">
        <f>AR47</f>
        <v>50</v>
      </c>
      <c r="AV47" s="1702">
        <v>10</v>
      </c>
      <c r="AW47" s="55">
        <v>200</v>
      </c>
      <c r="AX47" s="1406">
        <v>0.75</v>
      </c>
      <c r="AY47" s="1451">
        <v>22</v>
      </c>
      <c r="AZ47" s="1692">
        <f t="shared" si="21"/>
        <v>11</v>
      </c>
      <c r="BA47" s="1552">
        <f t="shared" si="2"/>
        <v>0</v>
      </c>
      <c r="BB47" s="1693">
        <v>0.2</v>
      </c>
      <c r="BC47" s="1451">
        <v>2</v>
      </c>
      <c r="BD47" s="1451">
        <v>3</v>
      </c>
      <c r="BE47" s="1511"/>
      <c r="BF47" s="1511"/>
      <c r="BG47" s="55"/>
      <c r="BH47" s="55"/>
      <c r="BI47" s="1453">
        <f>AP47+Res_Std!T43+Res_Std!U43</f>
        <v>48.915211970074814</v>
      </c>
      <c r="BJ47" s="55">
        <v>200</v>
      </c>
      <c r="BK47" s="241">
        <f t="shared" si="22"/>
        <v>4.0887076217180729</v>
      </c>
      <c r="BL47" s="1460"/>
      <c r="BM47" s="1467"/>
      <c r="BN47" s="241">
        <f>IF(BL47&lt;&gt;0,BL47/1.2*AL47/AK47,36/1.2*AL47/AK47)</f>
        <v>18</v>
      </c>
      <c r="BO47" s="241">
        <v>20</v>
      </c>
      <c r="BP47" s="241">
        <f t="shared" si="3"/>
        <v>20</v>
      </c>
      <c r="BQ47" s="55">
        <v>0</v>
      </c>
      <c r="BR47" s="1406">
        <v>0.15</v>
      </c>
      <c r="BS47" s="1406">
        <v>0.3</v>
      </c>
      <c r="BT47" s="1468" t="str">
        <f>Begriffe!$F$232</f>
        <v>stufenlos</v>
      </c>
      <c r="BU47" s="1468" t="str">
        <f>Begriffe!$F$232</f>
        <v>stufenlos</v>
      </c>
      <c r="BV47" s="1468" t="str">
        <f>Begriffe!$F$231</f>
        <v>2-stufig</v>
      </c>
      <c r="BW47" s="1406">
        <v>0.7</v>
      </c>
      <c r="BX47" s="1406">
        <v>0.8</v>
      </c>
      <c r="BY47" s="1406"/>
      <c r="BZ47" s="1406">
        <v>0.75</v>
      </c>
      <c r="CA47" s="1406">
        <v>0.85</v>
      </c>
      <c r="CB47" s="1406"/>
      <c r="CC47" s="1703" t="str">
        <f>Begriffe!$F$234</f>
        <v>Einfache Klimaanlage</v>
      </c>
      <c r="CD47" s="1470">
        <v>0.55000000000000004</v>
      </c>
      <c r="CE47" s="1470">
        <v>0.34</v>
      </c>
      <c r="CF47" s="1471">
        <v>0.91</v>
      </c>
      <c r="CG47" s="1472" t="s">
        <v>18</v>
      </c>
      <c r="CH47" s="1472" t="s">
        <v>18</v>
      </c>
      <c r="CI47" s="1472" t="s">
        <v>18</v>
      </c>
      <c r="CJ47" s="1472" t="s">
        <v>18</v>
      </c>
      <c r="CK47" s="1472" t="s">
        <v>18</v>
      </c>
      <c r="CL47" s="1472" t="s">
        <v>18</v>
      </c>
      <c r="CM47" s="1473">
        <v>100</v>
      </c>
      <c r="CN47" s="1473">
        <v>125</v>
      </c>
      <c r="CO47" s="1473">
        <v>75</v>
      </c>
      <c r="CP47" s="1473">
        <v>0.5</v>
      </c>
      <c r="CQ47" s="1473"/>
      <c r="CR47" s="1473"/>
      <c r="CS47" s="1473"/>
      <c r="CT47" s="1474"/>
      <c r="CU47" s="55"/>
      <c r="CV47" s="55"/>
      <c r="CW47" s="55"/>
      <c r="CX47" s="55"/>
      <c r="CY47" s="1450"/>
      <c r="CZ47" s="1542" t="s">
        <v>876</v>
      </c>
      <c r="DA47" s="1704"/>
      <c r="DB47" s="1451"/>
      <c r="DC47" s="1451"/>
      <c r="DD47" s="1464"/>
      <c r="DE47" s="1451"/>
      <c r="DF47" s="1465"/>
      <c r="DG47" s="1451"/>
      <c r="DH47" s="241">
        <v>0.2</v>
      </c>
      <c r="DI47" s="241">
        <v>0.2</v>
      </c>
      <c r="DJ47" s="1461">
        <v>0.2</v>
      </c>
      <c r="DK47" s="241">
        <v>0.4</v>
      </c>
      <c r="DL47" s="1475">
        <v>0.8</v>
      </c>
      <c r="DM47" s="241">
        <v>1</v>
      </c>
      <c r="DN47" s="241">
        <v>0.8</v>
      </c>
      <c r="DO47" s="241">
        <v>0.4</v>
      </c>
      <c r="DP47" s="1461">
        <v>0.2</v>
      </c>
      <c r="DQ47" s="241">
        <v>0.2</v>
      </c>
      <c r="DR47" s="1475">
        <v>0.2</v>
      </c>
      <c r="DS47" s="1451"/>
      <c r="DT47" s="1451"/>
      <c r="DU47" s="1451"/>
      <c r="DV47" s="1464"/>
      <c r="DW47" s="1451"/>
      <c r="DX47" s="1463"/>
      <c r="DY47" s="1705">
        <v>0.1</v>
      </c>
      <c r="DZ47" s="1547">
        <v>0.1</v>
      </c>
      <c r="EA47" s="1706">
        <v>0.1</v>
      </c>
      <c r="EB47" s="1547">
        <v>0.1</v>
      </c>
      <c r="EC47" s="1547">
        <v>0.1</v>
      </c>
      <c r="ED47" s="1706">
        <v>0.1</v>
      </c>
      <c r="EE47" s="1547">
        <v>0.1</v>
      </c>
      <c r="EF47" s="241">
        <v>0.2</v>
      </c>
      <c r="EG47" s="241">
        <v>0.2</v>
      </c>
      <c r="EH47" s="1461">
        <v>0.2</v>
      </c>
      <c r="EI47" s="241">
        <v>0.4</v>
      </c>
      <c r="EJ47" s="1475">
        <v>0.8</v>
      </c>
      <c r="EK47" s="241">
        <v>1</v>
      </c>
      <c r="EL47" s="241">
        <v>0.8</v>
      </c>
      <c r="EM47" s="241">
        <v>0.4</v>
      </c>
      <c r="EN47" s="1461">
        <v>0.2</v>
      </c>
      <c r="EO47" s="241">
        <v>0.2</v>
      </c>
      <c r="EP47" s="1475">
        <v>0.2</v>
      </c>
      <c r="EQ47" s="1547">
        <v>0.1</v>
      </c>
      <c r="ER47" s="1547">
        <v>0.1</v>
      </c>
      <c r="ES47" s="1706">
        <v>0.1</v>
      </c>
      <c r="ET47" s="1547">
        <v>0.1</v>
      </c>
      <c r="EU47" s="1547">
        <v>0.1</v>
      </c>
      <c r="EV47" s="1707">
        <v>0.1</v>
      </c>
      <c r="EW47" s="1695" t="s">
        <v>862</v>
      </c>
      <c r="EX47" s="1695">
        <v>0.8</v>
      </c>
      <c r="EY47" s="1696">
        <v>0.8</v>
      </c>
      <c r="EZ47" s="1696">
        <v>0.8</v>
      </c>
      <c r="FA47" s="1708">
        <v>0.8</v>
      </c>
      <c r="FB47" s="1696">
        <v>0.8</v>
      </c>
      <c r="FC47" s="1709">
        <v>0.8</v>
      </c>
      <c r="FD47" s="1696">
        <v>0.8</v>
      </c>
      <c r="FE47" s="1696">
        <v>0.8</v>
      </c>
      <c r="FF47" s="1696">
        <v>0.8</v>
      </c>
      <c r="FG47" s="1708">
        <v>0.8</v>
      </c>
      <c r="FH47" s="1696">
        <v>0.8</v>
      </c>
      <c r="FI47" s="1710">
        <v>0.8</v>
      </c>
      <c r="FJ47" s="1482">
        <v>2</v>
      </c>
      <c r="FK47" s="1694">
        <f t="shared" si="60"/>
        <v>261</v>
      </c>
      <c r="FL47" s="1695">
        <f t="shared" si="4"/>
        <v>11</v>
      </c>
      <c r="FM47" s="1696">
        <f t="shared" si="5"/>
        <v>4.5999999999999996</v>
      </c>
      <c r="FN47" s="1696">
        <f t="shared" si="6"/>
        <v>4.5999999999999996</v>
      </c>
      <c r="FO47" s="1696">
        <f t="shared" si="7"/>
        <v>0</v>
      </c>
      <c r="FP47" s="1697">
        <f t="shared" si="61"/>
        <v>0.80000000000000016</v>
      </c>
      <c r="FQ47" s="1013">
        <f t="shared" si="62"/>
        <v>960</v>
      </c>
      <c r="FR47" s="1695">
        <f t="shared" si="9"/>
        <v>24</v>
      </c>
      <c r="FS47" s="1696">
        <f t="shared" si="10"/>
        <v>5.8999999999999986</v>
      </c>
      <c r="FT47" s="1696">
        <f t="shared" si="11"/>
        <v>2.4000000000000004</v>
      </c>
      <c r="FU47" s="1013">
        <f t="shared" si="63"/>
        <v>1430</v>
      </c>
      <c r="FV47" s="1711"/>
      <c r="FW47" s="1711"/>
      <c r="FX47" s="1711" t="str">
        <f>IF(BV47=0,Begriffe!$F$262,"")</f>
        <v/>
      </c>
      <c r="FY47" s="1485" t="str">
        <f>Begriffe!$F$297</f>
        <v>- Wasser- und Warmwasserbedarf werden durch die Hauptnutzung bestimmt</v>
      </c>
      <c r="FZ47" s="1487"/>
      <c r="GA47" s="1450"/>
      <c r="GK47" s="1488" t="s">
        <v>156</v>
      </c>
      <c r="GL47" s="1691">
        <f t="shared" si="53"/>
        <v>0.8</v>
      </c>
      <c r="GM47" s="1691">
        <f t="shared" si="53"/>
        <v>0.6</v>
      </c>
      <c r="GN47" s="1691">
        <f t="shared" si="53"/>
        <v>1</v>
      </c>
      <c r="GO47" s="1691">
        <f t="shared" si="53"/>
        <v>0.8</v>
      </c>
      <c r="GP47" s="1691">
        <f t="shared" si="53"/>
        <v>0.6</v>
      </c>
      <c r="GQ47" s="1691">
        <f t="shared" si="53"/>
        <v>1</v>
      </c>
      <c r="GR47" s="1691">
        <f t="shared" si="53"/>
        <v>0.6</v>
      </c>
      <c r="GS47" s="1691">
        <f t="shared" si="53"/>
        <v>0.6</v>
      </c>
      <c r="GT47" s="1691">
        <f t="shared" si="53"/>
        <v>1</v>
      </c>
      <c r="GU47" s="1691">
        <f t="shared" si="53"/>
        <v>0.8</v>
      </c>
      <c r="GV47" s="1691">
        <f t="shared" si="53"/>
        <v>1</v>
      </c>
      <c r="GW47" s="1691">
        <f t="shared" si="53"/>
        <v>0.6</v>
      </c>
      <c r="GX47" s="55">
        <f>SUM(GL47:GW47)/12</f>
        <v>0.78333333333333333</v>
      </c>
      <c r="GZ47" s="1488">
        <v>2</v>
      </c>
      <c r="HB47" s="1256">
        <v>0</v>
      </c>
      <c r="HC47" s="1256">
        <v>0</v>
      </c>
      <c r="HD47" s="1405">
        <v>1</v>
      </c>
      <c r="HE47" s="1405">
        <v>1</v>
      </c>
      <c r="HF47" s="1405">
        <v>1</v>
      </c>
      <c r="HG47" s="1405">
        <v>1</v>
      </c>
      <c r="HH47" s="1405">
        <v>1</v>
      </c>
      <c r="HI47" s="8">
        <v>12</v>
      </c>
      <c r="HJ47" s="8">
        <v>14</v>
      </c>
      <c r="HK47" s="55">
        <v>0.7</v>
      </c>
      <c r="HL47" s="1488">
        <v>3</v>
      </c>
      <c r="HM47" s="1406">
        <f>Hüllzahl!Y47</f>
        <v>0.52941176470588236</v>
      </c>
      <c r="HN47" s="1407">
        <f>(HI47+HJ47*Hüllzahl!Y47)</f>
        <v>19.411764705882355</v>
      </c>
    </row>
    <row r="48" spans="1:222">
      <c r="A48" s="889">
        <v>12.6</v>
      </c>
      <c r="B48" s="1544"/>
      <c r="C48" s="1701" t="str">
        <f>Begriffe!F139</f>
        <v xml:space="preserve">WC, Bad, Dusche </v>
      </c>
      <c r="D48" s="280">
        <v>4</v>
      </c>
      <c r="E48" s="82">
        <v>5</v>
      </c>
      <c r="F48" s="82">
        <v>2.5</v>
      </c>
      <c r="G48" s="255">
        <f t="shared" si="17"/>
        <v>20</v>
      </c>
      <c r="H48" s="255">
        <f>Hüllzahl!X48</f>
        <v>11.764705882352942</v>
      </c>
      <c r="I48" s="1452">
        <v>30</v>
      </c>
      <c r="J48" s="1406">
        <v>0.75</v>
      </c>
      <c r="K48" s="55">
        <f t="shared" si="0"/>
        <v>30.226700251889167</v>
      </c>
      <c r="L48" s="1453">
        <v>1.2</v>
      </c>
      <c r="M48" s="241">
        <v>0.9</v>
      </c>
      <c r="N48" s="241">
        <v>1.5</v>
      </c>
      <c r="O48" s="1406">
        <v>0.17</v>
      </c>
      <c r="P48" s="241">
        <v>0.1</v>
      </c>
      <c r="Q48" s="241">
        <v>0.8</v>
      </c>
      <c r="R48" s="55">
        <v>0.5</v>
      </c>
      <c r="S48" s="1406">
        <v>0.5</v>
      </c>
      <c r="T48" s="1406">
        <v>0.65</v>
      </c>
      <c r="U48" s="1406">
        <v>0.14000000000000001</v>
      </c>
      <c r="V48" s="1406">
        <v>0.1</v>
      </c>
      <c r="W48" s="1406">
        <v>0.2</v>
      </c>
      <c r="X48" s="55">
        <v>0.7</v>
      </c>
      <c r="Y48" s="55">
        <v>0.9</v>
      </c>
      <c r="Z48" s="55">
        <v>90</v>
      </c>
      <c r="AA48" s="1451">
        <f>'Kälte_TEC-Tool'!J47</f>
        <v>114.4</v>
      </c>
      <c r="AB48" s="1454"/>
      <c r="AC48" s="1455">
        <v>21</v>
      </c>
      <c r="AD48" s="1506" t="s">
        <v>256</v>
      </c>
      <c r="AE48" s="249" t="s">
        <v>155</v>
      </c>
      <c r="AF48" s="249"/>
      <c r="AG48" s="1457"/>
      <c r="AH48" s="1458"/>
      <c r="AI48" s="249">
        <v>45</v>
      </c>
      <c r="AJ48" s="1459">
        <v>0.7</v>
      </c>
      <c r="AK48" s="425"/>
      <c r="AL48" s="55">
        <v>1.2</v>
      </c>
      <c r="AM48" s="1461"/>
      <c r="AN48" s="241">
        <v>1</v>
      </c>
      <c r="AO48" s="1463">
        <v>10</v>
      </c>
      <c r="AP48" s="1460"/>
      <c r="AQ48" s="55"/>
      <c r="AR48" s="55"/>
      <c r="AS48" s="55"/>
      <c r="AT48" s="55"/>
      <c r="AU48" s="55"/>
      <c r="AV48" s="1673">
        <v>0</v>
      </c>
      <c r="AW48" s="55">
        <v>200</v>
      </c>
      <c r="AX48" s="1509">
        <v>0.05</v>
      </c>
      <c r="AY48" s="1510">
        <v>25</v>
      </c>
      <c r="AZ48" s="1692">
        <f t="shared" si="21"/>
        <v>11</v>
      </c>
      <c r="BA48" s="1552">
        <f t="shared" si="2"/>
        <v>0</v>
      </c>
      <c r="BB48" s="1693">
        <v>0.2</v>
      </c>
      <c r="BC48" s="1451">
        <v>2</v>
      </c>
      <c r="BD48" s="1451">
        <v>3</v>
      </c>
      <c r="BE48" s="1535"/>
      <c r="BF48" s="1535"/>
      <c r="BG48" s="4"/>
      <c r="BH48" s="4"/>
      <c r="BI48" s="280">
        <f>AP48+Res_Std!T44+Res_Std!U44</f>
        <v>10.48628428927681</v>
      </c>
      <c r="BJ48" s="918">
        <v>50</v>
      </c>
      <c r="BK48" s="82">
        <f t="shared" si="22"/>
        <v>4.7681331747919131</v>
      </c>
      <c r="BL48" s="1460"/>
      <c r="BM48" s="1467"/>
      <c r="BN48" s="241"/>
      <c r="BO48" s="241">
        <v>16</v>
      </c>
      <c r="BP48" s="241">
        <f t="shared" si="3"/>
        <v>16</v>
      </c>
      <c r="BQ48" s="55">
        <v>0</v>
      </c>
      <c r="BR48" s="1406">
        <v>0.15</v>
      </c>
      <c r="BS48" s="1406">
        <v>0.3</v>
      </c>
      <c r="BT48" s="1468" t="str">
        <f>Begriffe!$F$232</f>
        <v>stufenlos</v>
      </c>
      <c r="BU48" s="1468" t="str">
        <f>Begriffe!$F$232</f>
        <v>stufenlos</v>
      </c>
      <c r="BV48" s="1468" t="str">
        <f>Begriffe!$F$230</f>
        <v>1-stufig</v>
      </c>
      <c r="BW48" s="1406">
        <v>0.7</v>
      </c>
      <c r="BX48" s="1406">
        <v>0.8</v>
      </c>
      <c r="BY48" s="1406"/>
      <c r="BZ48" s="1406">
        <v>0.75</v>
      </c>
      <c r="CA48" s="1406">
        <v>0.85</v>
      </c>
      <c r="CB48" s="1406"/>
      <c r="CC48" s="1558" t="str">
        <f>Begriffe!$F$233</f>
        <v>Einfache Lüftungsanlage</v>
      </c>
      <c r="CD48" s="1513">
        <v>0.28000000000000003</v>
      </c>
      <c r="CE48" s="1513">
        <v>0.16600000000000001</v>
      </c>
      <c r="CF48" s="1514">
        <v>0.4</v>
      </c>
      <c r="CG48" s="1515" t="s">
        <v>18</v>
      </c>
      <c r="CH48" s="1515" t="s">
        <v>18</v>
      </c>
      <c r="CI48" s="1515" t="s">
        <v>18</v>
      </c>
      <c r="CJ48" s="1515" t="s">
        <v>18</v>
      </c>
      <c r="CK48" s="1515" t="s">
        <v>18</v>
      </c>
      <c r="CL48" s="1515" t="s">
        <v>18</v>
      </c>
      <c r="CM48" s="1473">
        <v>400</v>
      </c>
      <c r="CN48" s="1473">
        <v>600</v>
      </c>
      <c r="CO48" s="1473">
        <v>300</v>
      </c>
      <c r="CP48" s="1473"/>
      <c r="CQ48" s="1473"/>
      <c r="CR48" s="1473"/>
      <c r="CS48" s="1473"/>
      <c r="CT48" s="1460"/>
      <c r="CU48" s="55"/>
      <c r="CV48" s="55"/>
      <c r="CW48" s="55"/>
      <c r="CX48" s="55"/>
      <c r="CY48" s="1450"/>
      <c r="CZ48" s="1542" t="s">
        <v>877</v>
      </c>
      <c r="DA48" s="1676"/>
      <c r="DB48" s="417"/>
      <c r="DC48" s="417"/>
      <c r="DD48" s="1677"/>
      <c r="DE48" s="417"/>
      <c r="DF48" s="1678"/>
      <c r="DG48" s="417"/>
      <c r="DH48" s="1680">
        <v>0.2</v>
      </c>
      <c r="DI48" s="1680">
        <v>0.4</v>
      </c>
      <c r="DJ48" s="1683">
        <v>0.6</v>
      </c>
      <c r="DK48" s="1680">
        <v>0.8</v>
      </c>
      <c r="DL48" s="1679">
        <v>0.8</v>
      </c>
      <c r="DM48" s="1680">
        <v>0.4</v>
      </c>
      <c r="DN48" s="1680">
        <v>0.6</v>
      </c>
      <c r="DO48" s="1680">
        <v>0.8</v>
      </c>
      <c r="DP48" s="1683">
        <v>0.8</v>
      </c>
      <c r="DQ48" s="1680">
        <v>0.4</v>
      </c>
      <c r="DR48" s="1679">
        <v>0.2</v>
      </c>
      <c r="DS48" s="417"/>
      <c r="DT48" s="417"/>
      <c r="DU48" s="417"/>
      <c r="DV48" s="1677"/>
      <c r="DW48" s="417"/>
      <c r="DX48" s="1673"/>
      <c r="DY48" s="1676"/>
      <c r="DZ48" s="417"/>
      <c r="EA48" s="417"/>
      <c r="EB48" s="1677"/>
      <c r="EC48" s="417"/>
      <c r="ED48" s="1678"/>
      <c r="EE48" s="417"/>
      <c r="EF48" s="417"/>
      <c r="EG48" s="417"/>
      <c r="EH48" s="1677"/>
      <c r="EI48" s="417"/>
      <c r="EJ48" s="1678"/>
      <c r="EK48" s="417"/>
      <c r="EL48" s="417"/>
      <c r="EM48" s="417"/>
      <c r="EN48" s="1677"/>
      <c r="EO48" s="417"/>
      <c r="EP48" s="1678"/>
      <c r="EQ48" s="417"/>
      <c r="ER48" s="417"/>
      <c r="ES48" s="417"/>
      <c r="ET48" s="1677"/>
      <c r="EU48" s="417"/>
      <c r="EV48" s="1673"/>
      <c r="EW48" s="1474" t="s">
        <v>862</v>
      </c>
      <c r="EX48" s="1682">
        <v>0.8</v>
      </c>
      <c r="EY48" s="1680">
        <v>0.8</v>
      </c>
      <c r="EZ48" s="1680">
        <v>0.8</v>
      </c>
      <c r="FA48" s="1683">
        <v>0.8</v>
      </c>
      <c r="FB48" s="1680">
        <v>0.8</v>
      </c>
      <c r="FC48" s="1679">
        <v>0.8</v>
      </c>
      <c r="FD48" s="1680">
        <v>0.8</v>
      </c>
      <c r="FE48" s="1680">
        <v>0.8</v>
      </c>
      <c r="FF48" s="1680">
        <v>0.8</v>
      </c>
      <c r="FG48" s="1683">
        <v>0.8</v>
      </c>
      <c r="FH48" s="1680">
        <v>0.8</v>
      </c>
      <c r="FI48" s="1684">
        <v>0.8</v>
      </c>
      <c r="FJ48" s="1516">
        <v>2</v>
      </c>
      <c r="FK48" s="1673">
        <f t="shared" si="60"/>
        <v>261</v>
      </c>
      <c r="FL48" s="1682">
        <f t="shared" si="4"/>
        <v>11</v>
      </c>
      <c r="FM48" s="1680">
        <f t="shared" si="5"/>
        <v>6</v>
      </c>
      <c r="FN48" s="1680">
        <f t="shared" si="6"/>
        <v>6</v>
      </c>
      <c r="FO48" s="1680">
        <f t="shared" si="7"/>
        <v>0</v>
      </c>
      <c r="FP48" s="1698">
        <f t="shared" si="61"/>
        <v>0.80000000000000016</v>
      </c>
      <c r="FQ48" s="1673">
        <f t="shared" si="62"/>
        <v>1250</v>
      </c>
      <c r="FR48" s="1682">
        <f t="shared" si="9"/>
        <v>0</v>
      </c>
      <c r="FS48" s="1680">
        <f t="shared" si="10"/>
        <v>0</v>
      </c>
      <c r="FT48" s="1680">
        <f t="shared" si="11"/>
        <v>0</v>
      </c>
      <c r="FU48" s="1673">
        <f t="shared" si="63"/>
        <v>0</v>
      </c>
      <c r="FV48" s="1689" t="str">
        <f>Begriffe!$F$261</f>
        <v>- Beurteilungspegel für Dauergeräusche von Haustechnikanlagen in Abhängigkeit der zugehörigen Hauptnutzung</v>
      </c>
      <c r="FW48" s="1543" t="str">
        <f>Begriffe!F257</f>
        <v>- Die Raumlufttemperatur Winter (Auslegung Heizung) richtet sich nach der zugehörigen Hauptnutzung</v>
      </c>
      <c r="FX48" s="1503" t="str">
        <f>IF(BV48=0,Begriffe!$F$262,"")</f>
        <v/>
      </c>
      <c r="FY48" s="1485" t="str">
        <f>Begriffe!$F$297</f>
        <v>- Wasser- und Warmwasserbedarf werden durch die Hauptnutzung bestimmt</v>
      </c>
      <c r="FZ48" s="1468"/>
      <c r="GA48" s="1504"/>
      <c r="GK48" s="1488" t="s">
        <v>156</v>
      </c>
      <c r="GL48" s="1691">
        <f t="shared" si="53"/>
        <v>0.8</v>
      </c>
      <c r="GM48" s="1691">
        <f t="shared" si="53"/>
        <v>0.6</v>
      </c>
      <c r="GN48" s="1691">
        <f t="shared" si="53"/>
        <v>1</v>
      </c>
      <c r="GO48" s="1691">
        <f t="shared" si="53"/>
        <v>0.8</v>
      </c>
      <c r="GP48" s="1691">
        <f t="shared" si="53"/>
        <v>0.6</v>
      </c>
      <c r="GQ48" s="1691">
        <f t="shared" si="53"/>
        <v>1</v>
      </c>
      <c r="GR48" s="1691">
        <f t="shared" si="53"/>
        <v>0.6</v>
      </c>
      <c r="GS48" s="1691">
        <f t="shared" si="53"/>
        <v>0.6</v>
      </c>
      <c r="GT48" s="1691">
        <f t="shared" si="53"/>
        <v>1</v>
      </c>
      <c r="GU48" s="1691">
        <f t="shared" si="53"/>
        <v>0.8</v>
      </c>
      <c r="GV48" s="1691">
        <f t="shared" si="53"/>
        <v>1</v>
      </c>
      <c r="GW48" s="1691">
        <f t="shared" si="53"/>
        <v>0.6</v>
      </c>
      <c r="GX48" s="55">
        <f t="shared" ref="GX48:GX54" si="64">SUM(GL48:GW48)/12</f>
        <v>0.78333333333333333</v>
      </c>
      <c r="GZ48" s="1488">
        <v>2</v>
      </c>
      <c r="HB48" s="1256">
        <v>0</v>
      </c>
      <c r="HC48" s="1256">
        <v>0</v>
      </c>
      <c r="HD48" s="1405">
        <v>1</v>
      </c>
      <c r="HE48" s="1405">
        <v>1</v>
      </c>
      <c r="HF48" s="1405">
        <v>1</v>
      </c>
      <c r="HG48" s="1405">
        <v>1</v>
      </c>
      <c r="HH48" s="1405">
        <v>1</v>
      </c>
      <c r="HI48" s="8">
        <v>12</v>
      </c>
      <c r="HJ48" s="8">
        <v>14</v>
      </c>
      <c r="HK48" s="55">
        <v>0.7</v>
      </c>
      <c r="HL48" s="918">
        <v>3</v>
      </c>
      <c r="HM48" s="1406">
        <f>Hüllzahl!Y48</f>
        <v>0.52941176470588236</v>
      </c>
      <c r="HN48" s="1407">
        <f>(HI48+HJ48*Hüllzahl!Y48)</f>
        <v>19.411764705882355</v>
      </c>
    </row>
    <row r="49" spans="1:222">
      <c r="A49" s="889">
        <v>12.7</v>
      </c>
      <c r="B49" s="1544">
        <v>18</v>
      </c>
      <c r="C49" s="1701" t="str">
        <f>Begriffe!F140</f>
        <v>WC</v>
      </c>
      <c r="D49" s="280">
        <v>2</v>
      </c>
      <c r="E49" s="82">
        <v>2</v>
      </c>
      <c r="F49" s="82">
        <v>2.5</v>
      </c>
      <c r="G49" s="255">
        <f t="shared" si="17"/>
        <v>4</v>
      </c>
      <c r="H49" s="255">
        <f>Hüllzahl!X49</f>
        <v>5.882352941176471</v>
      </c>
      <c r="I49" s="1452">
        <v>30</v>
      </c>
      <c r="J49" s="1406">
        <v>0.75</v>
      </c>
      <c r="K49" s="55">
        <f t="shared" si="0"/>
        <v>30.226700251889167</v>
      </c>
      <c r="L49" s="1453">
        <v>1.2</v>
      </c>
      <c r="M49" s="241">
        <v>0.9</v>
      </c>
      <c r="N49" s="241">
        <v>1.5</v>
      </c>
      <c r="O49" s="1406">
        <v>0.17</v>
      </c>
      <c r="P49" s="241">
        <v>0.1</v>
      </c>
      <c r="Q49" s="241">
        <v>0.8</v>
      </c>
      <c r="R49" s="55">
        <v>0.5</v>
      </c>
      <c r="S49" s="1406">
        <v>0.5</v>
      </c>
      <c r="T49" s="1406">
        <v>0.65</v>
      </c>
      <c r="U49" s="1406">
        <v>0.14000000000000001</v>
      </c>
      <c r="V49" s="1406">
        <v>0.1</v>
      </c>
      <c r="W49" s="1406">
        <v>0.2</v>
      </c>
      <c r="X49" s="55">
        <v>0.7</v>
      </c>
      <c r="Y49" s="55">
        <v>0.9</v>
      </c>
      <c r="Z49" s="55">
        <v>90</v>
      </c>
      <c r="AA49" s="1451">
        <f>'Kälte_TEC-Tool'!J48</f>
        <v>154.69999999999999</v>
      </c>
      <c r="AB49" s="1454"/>
      <c r="AC49" s="1455">
        <v>20</v>
      </c>
      <c r="AD49" s="1506" t="s">
        <v>256</v>
      </c>
      <c r="AE49" s="249" t="s">
        <v>157</v>
      </c>
      <c r="AF49" s="249"/>
      <c r="AG49" s="1457"/>
      <c r="AH49" s="1458"/>
      <c r="AI49" s="249">
        <v>45</v>
      </c>
      <c r="AJ49" s="1459">
        <v>0.7</v>
      </c>
      <c r="AK49" s="1460"/>
      <c r="AL49" s="55">
        <v>1.2</v>
      </c>
      <c r="AM49" s="1461"/>
      <c r="AN49" s="241">
        <v>1</v>
      </c>
      <c r="AO49" s="1463">
        <v>1</v>
      </c>
      <c r="AP49" s="1460"/>
      <c r="AQ49" s="55"/>
      <c r="AR49" s="55"/>
      <c r="AS49" s="55"/>
      <c r="AT49" s="55"/>
      <c r="AU49" s="55"/>
      <c r="AV49" s="1673">
        <v>0</v>
      </c>
      <c r="AW49" s="55">
        <v>200</v>
      </c>
      <c r="AX49" s="1509">
        <v>0.05</v>
      </c>
      <c r="AY49" s="1510">
        <v>25</v>
      </c>
      <c r="AZ49" s="1692">
        <f t="shared" si="21"/>
        <v>11</v>
      </c>
      <c r="BA49" s="1552">
        <f t="shared" si="2"/>
        <v>0</v>
      </c>
      <c r="BB49" s="1693">
        <v>0.2</v>
      </c>
      <c r="BC49" s="1451">
        <v>2</v>
      </c>
      <c r="BD49" s="1451">
        <v>3</v>
      </c>
      <c r="BE49" s="1511"/>
      <c r="BF49" s="1511"/>
      <c r="BG49" s="55"/>
      <c r="BH49" s="55"/>
      <c r="BI49" s="1453">
        <f>AP49+Res_Std!T45+Res_Std!U45</f>
        <v>17.206982543640905</v>
      </c>
      <c r="BJ49" s="55">
        <v>50</v>
      </c>
      <c r="BK49" s="241">
        <f t="shared" si="22"/>
        <v>2.9057971014492741</v>
      </c>
      <c r="BL49" s="1460"/>
      <c r="BM49" s="1467"/>
      <c r="BN49" s="241"/>
      <c r="BO49" s="241">
        <v>8</v>
      </c>
      <c r="BP49" s="241">
        <f t="shared" si="3"/>
        <v>8</v>
      </c>
      <c r="BQ49" s="55">
        <v>0</v>
      </c>
      <c r="BR49" s="1406">
        <v>0.15</v>
      </c>
      <c r="BS49" s="1406">
        <v>0.3</v>
      </c>
      <c r="BT49" s="1468" t="str">
        <f>Begriffe!$F$231</f>
        <v>2-stufig</v>
      </c>
      <c r="BU49" s="1468" t="str">
        <f>Begriffe!$F$232</f>
        <v>stufenlos</v>
      </c>
      <c r="BV49" s="1468" t="str">
        <f>Begriffe!$F$230</f>
        <v>1-stufig</v>
      </c>
      <c r="BW49" s="1406">
        <v>0.7</v>
      </c>
      <c r="BX49" s="1406">
        <v>0.8</v>
      </c>
      <c r="BY49" s="1406"/>
      <c r="BZ49" s="1406">
        <v>0.75</v>
      </c>
      <c r="CA49" s="1406">
        <v>0.85</v>
      </c>
      <c r="CB49" s="1406"/>
      <c r="CC49" s="1558" t="str">
        <f>Begriffe!$F$233</f>
        <v>Einfache Lüftungsanlage</v>
      </c>
      <c r="CD49" s="1513">
        <v>0.28000000000000003</v>
      </c>
      <c r="CE49" s="1513">
        <v>0.16600000000000001</v>
      </c>
      <c r="CF49" s="1514">
        <v>0.4</v>
      </c>
      <c r="CG49" s="1515" t="s">
        <v>18</v>
      </c>
      <c r="CH49" s="1515" t="s">
        <v>18</v>
      </c>
      <c r="CI49" s="1515" t="s">
        <v>18</v>
      </c>
      <c r="CJ49" s="1515" t="s">
        <v>18</v>
      </c>
      <c r="CK49" s="1515" t="s">
        <v>18</v>
      </c>
      <c r="CL49" s="1515" t="s">
        <v>18</v>
      </c>
      <c r="CM49" s="1473">
        <v>6</v>
      </c>
      <c r="CN49" s="1473">
        <v>10</v>
      </c>
      <c r="CO49" s="1473">
        <v>4</v>
      </c>
      <c r="CP49" s="1473">
        <v>0</v>
      </c>
      <c r="CQ49" s="1473"/>
      <c r="CR49" s="1473"/>
      <c r="CS49" s="1473"/>
      <c r="CT49" s="1460"/>
      <c r="CU49" s="55"/>
      <c r="CV49" s="55"/>
      <c r="CW49" s="55"/>
      <c r="CX49" s="55"/>
      <c r="CY49" s="1450"/>
      <c r="CZ49" s="1542" t="s">
        <v>877</v>
      </c>
      <c r="DA49" s="1676"/>
      <c r="DB49" s="417"/>
      <c r="DC49" s="417"/>
      <c r="DD49" s="1677"/>
      <c r="DE49" s="417"/>
      <c r="DF49" s="1678"/>
      <c r="DG49" s="417"/>
      <c r="DH49" s="1680">
        <v>0.2</v>
      </c>
      <c r="DI49" s="1680">
        <v>0.4</v>
      </c>
      <c r="DJ49" s="1683">
        <v>0.6</v>
      </c>
      <c r="DK49" s="1680">
        <v>0.8</v>
      </c>
      <c r="DL49" s="1679">
        <v>0.8</v>
      </c>
      <c r="DM49" s="1680">
        <v>0.4</v>
      </c>
      <c r="DN49" s="1680">
        <v>0.6</v>
      </c>
      <c r="DO49" s="1680">
        <v>0.8</v>
      </c>
      <c r="DP49" s="1683">
        <v>0.8</v>
      </c>
      <c r="DQ49" s="1680">
        <v>0.4</v>
      </c>
      <c r="DR49" s="1679">
        <v>0.2</v>
      </c>
      <c r="DS49" s="417"/>
      <c r="DT49" s="417"/>
      <c r="DU49" s="417"/>
      <c r="DV49" s="1677"/>
      <c r="DW49" s="417"/>
      <c r="DX49" s="1673"/>
      <c r="DY49" s="1676"/>
      <c r="DZ49" s="417"/>
      <c r="EA49" s="417"/>
      <c r="EB49" s="1677"/>
      <c r="EC49" s="417"/>
      <c r="ED49" s="1678"/>
      <c r="EE49" s="417"/>
      <c r="EF49" s="417"/>
      <c r="EG49" s="417"/>
      <c r="EH49" s="1677"/>
      <c r="EI49" s="417"/>
      <c r="EJ49" s="1678"/>
      <c r="EK49" s="417"/>
      <c r="EL49" s="417"/>
      <c r="EM49" s="417"/>
      <c r="EN49" s="1677"/>
      <c r="EO49" s="417"/>
      <c r="EP49" s="1678"/>
      <c r="EQ49" s="417"/>
      <c r="ER49" s="417"/>
      <c r="ES49" s="417"/>
      <c r="ET49" s="1677"/>
      <c r="EU49" s="417"/>
      <c r="EV49" s="1673"/>
      <c r="EW49" s="1474" t="s">
        <v>862</v>
      </c>
      <c r="EX49" s="1682">
        <v>0.8</v>
      </c>
      <c r="EY49" s="1680">
        <v>0.8</v>
      </c>
      <c r="EZ49" s="1680">
        <v>0.8</v>
      </c>
      <c r="FA49" s="1683">
        <v>0.8</v>
      </c>
      <c r="FB49" s="1680">
        <v>0.8</v>
      </c>
      <c r="FC49" s="1679">
        <v>0.8</v>
      </c>
      <c r="FD49" s="1680">
        <v>0.8</v>
      </c>
      <c r="FE49" s="1680">
        <v>0.8</v>
      </c>
      <c r="FF49" s="1680">
        <v>0.8</v>
      </c>
      <c r="FG49" s="1683">
        <v>0.8</v>
      </c>
      <c r="FH49" s="1680">
        <v>0.8</v>
      </c>
      <c r="FI49" s="1684">
        <v>0.8</v>
      </c>
      <c r="FJ49" s="1516">
        <v>2</v>
      </c>
      <c r="FK49" s="1673">
        <f t="shared" si="60"/>
        <v>261</v>
      </c>
      <c r="FL49" s="1682">
        <f t="shared" si="4"/>
        <v>11</v>
      </c>
      <c r="FM49" s="1680">
        <f t="shared" si="5"/>
        <v>6</v>
      </c>
      <c r="FN49" s="1680">
        <f t="shared" si="6"/>
        <v>6</v>
      </c>
      <c r="FO49" s="1680">
        <f t="shared" si="7"/>
        <v>0</v>
      </c>
      <c r="FP49" s="1698">
        <f t="shared" si="61"/>
        <v>0.80000000000000016</v>
      </c>
      <c r="FQ49" s="1673">
        <f t="shared" si="62"/>
        <v>1250</v>
      </c>
      <c r="FR49" s="1682">
        <f t="shared" si="9"/>
        <v>0</v>
      </c>
      <c r="FS49" s="1680">
        <f t="shared" si="10"/>
        <v>0</v>
      </c>
      <c r="FT49" s="1680">
        <f t="shared" si="11"/>
        <v>0</v>
      </c>
      <c r="FU49" s="1673">
        <f t="shared" si="63"/>
        <v>0</v>
      </c>
      <c r="FV49" s="1689" t="str">
        <f>Begriffe!$F$261</f>
        <v>- Beurteilungspegel für Dauergeräusche von Haustechnikanlagen in Abhängigkeit der zugehörigen Hauptnutzung</v>
      </c>
      <c r="FW49" s="1543" t="str">
        <f>Begriffe!F257</f>
        <v>- Die Raumlufttemperatur Winter (Auslegung Heizung) richtet sich nach der zugehörigen Hauptnutzung</v>
      </c>
      <c r="FX49" s="1503" t="str">
        <f>IF(BV49=0,Begriffe!$F$262,"")</f>
        <v/>
      </c>
      <c r="FY49" s="1485" t="str">
        <f>Begriffe!$F$297</f>
        <v>- Wasser- und Warmwasserbedarf werden durch die Hauptnutzung bestimmt</v>
      </c>
      <c r="FZ49" s="1468"/>
      <c r="GA49" s="1504"/>
      <c r="GK49" s="1488" t="s">
        <v>156</v>
      </c>
      <c r="GL49" s="1691">
        <f t="shared" si="53"/>
        <v>0.8</v>
      </c>
      <c r="GM49" s="1691">
        <f t="shared" si="53"/>
        <v>0.6</v>
      </c>
      <c r="GN49" s="1691">
        <f t="shared" si="53"/>
        <v>1</v>
      </c>
      <c r="GO49" s="1691">
        <f t="shared" si="53"/>
        <v>0.8</v>
      </c>
      <c r="GP49" s="1691">
        <f t="shared" si="53"/>
        <v>0.6</v>
      </c>
      <c r="GQ49" s="1691">
        <f t="shared" si="53"/>
        <v>1</v>
      </c>
      <c r="GR49" s="1691">
        <f t="shared" si="53"/>
        <v>0.6</v>
      </c>
      <c r="GS49" s="1691">
        <f t="shared" si="53"/>
        <v>0.6</v>
      </c>
      <c r="GT49" s="1691">
        <f t="shared" si="53"/>
        <v>1</v>
      </c>
      <c r="GU49" s="1691">
        <f t="shared" si="53"/>
        <v>0.8</v>
      </c>
      <c r="GV49" s="1691">
        <f t="shared" si="53"/>
        <v>1</v>
      </c>
      <c r="GW49" s="1691">
        <f t="shared" si="53"/>
        <v>0.6</v>
      </c>
      <c r="GX49" s="55">
        <f t="shared" si="64"/>
        <v>0.78333333333333333</v>
      </c>
      <c r="GZ49" s="1488">
        <v>2</v>
      </c>
      <c r="HB49" s="1256">
        <v>0</v>
      </c>
      <c r="HC49" s="1256">
        <v>0</v>
      </c>
      <c r="HD49" s="1405">
        <v>1</v>
      </c>
      <c r="HE49" s="1405">
        <v>1</v>
      </c>
      <c r="HF49" s="1405">
        <v>1</v>
      </c>
      <c r="HG49" s="1405">
        <v>1</v>
      </c>
      <c r="HH49" s="1405">
        <v>1</v>
      </c>
      <c r="HI49" s="8">
        <v>12</v>
      </c>
      <c r="HJ49" s="8">
        <v>14</v>
      </c>
      <c r="HK49" s="55">
        <v>0.7</v>
      </c>
      <c r="HL49" s="918">
        <v>3</v>
      </c>
      <c r="HM49" s="1406">
        <f>Hüllzahl!Y49</f>
        <v>1.3235294117647058</v>
      </c>
      <c r="HN49" s="1407">
        <f>(HI49+HJ49*Hüllzahl!Y49)</f>
        <v>30.52941176470588</v>
      </c>
    </row>
    <row r="50" spans="1:222">
      <c r="A50" s="889">
        <v>12.8</v>
      </c>
      <c r="B50" s="1544"/>
      <c r="C50" s="1701" t="str">
        <f>Begriffe!F141</f>
        <v>Garderobe, Dusche</v>
      </c>
      <c r="D50" s="280">
        <v>6</v>
      </c>
      <c r="E50" s="82">
        <v>6</v>
      </c>
      <c r="F50" s="82">
        <v>3</v>
      </c>
      <c r="G50" s="255">
        <f t="shared" si="17"/>
        <v>36</v>
      </c>
      <c r="H50" s="255">
        <f>Hüllzahl!X50</f>
        <v>21.176470588235293</v>
      </c>
      <c r="I50" s="1452">
        <v>30</v>
      </c>
      <c r="J50" s="1406">
        <v>0.75</v>
      </c>
      <c r="K50" s="55">
        <f t="shared" si="0"/>
        <v>30.226700251889167</v>
      </c>
      <c r="L50" s="1453">
        <v>1.2</v>
      </c>
      <c r="M50" s="241">
        <v>0.9</v>
      </c>
      <c r="N50" s="241">
        <v>1.5</v>
      </c>
      <c r="O50" s="1406">
        <v>0.17</v>
      </c>
      <c r="P50" s="241">
        <v>0.1</v>
      </c>
      <c r="Q50" s="241">
        <v>0.8</v>
      </c>
      <c r="R50" s="55">
        <v>0.5</v>
      </c>
      <c r="S50" s="1406">
        <v>0.5</v>
      </c>
      <c r="T50" s="1406">
        <v>0.65</v>
      </c>
      <c r="U50" s="1406">
        <v>0.14000000000000001</v>
      </c>
      <c r="V50" s="1406">
        <v>0.1</v>
      </c>
      <c r="W50" s="1406">
        <v>0.2</v>
      </c>
      <c r="X50" s="55">
        <v>0.7</v>
      </c>
      <c r="Y50" s="55">
        <v>0.9</v>
      </c>
      <c r="Z50" s="55">
        <v>90</v>
      </c>
      <c r="AA50" s="1451">
        <f>'Kälte_TEC-Tool'!J49</f>
        <v>110.7</v>
      </c>
      <c r="AB50" s="1454"/>
      <c r="AC50" s="1455">
        <v>21</v>
      </c>
      <c r="AD50" s="1506" t="s">
        <v>256</v>
      </c>
      <c r="AE50" s="249" t="s">
        <v>155</v>
      </c>
      <c r="AF50" s="249"/>
      <c r="AG50" s="1457"/>
      <c r="AH50" s="1458"/>
      <c r="AI50" s="249">
        <v>45</v>
      </c>
      <c r="AJ50" s="1459">
        <v>0.7</v>
      </c>
      <c r="AK50" s="425"/>
      <c r="AL50" s="55">
        <v>1.2</v>
      </c>
      <c r="AM50" s="1461">
        <v>0.1</v>
      </c>
      <c r="AN50" s="241">
        <v>0.1</v>
      </c>
      <c r="AO50" s="1463">
        <v>10</v>
      </c>
      <c r="AP50" s="1460"/>
      <c r="AQ50" s="55"/>
      <c r="AR50" s="55"/>
      <c r="AS50" s="55"/>
      <c r="AT50" s="55"/>
      <c r="AU50" s="55"/>
      <c r="AV50" s="1673">
        <v>0</v>
      </c>
      <c r="AW50" s="55">
        <v>200</v>
      </c>
      <c r="AX50" s="1509">
        <v>0.05</v>
      </c>
      <c r="AY50" s="1510">
        <v>25</v>
      </c>
      <c r="AZ50" s="1692">
        <f t="shared" si="21"/>
        <v>11</v>
      </c>
      <c r="BA50" s="1552">
        <f t="shared" si="2"/>
        <v>0</v>
      </c>
      <c r="BB50" s="1693">
        <v>0.2</v>
      </c>
      <c r="BC50" s="1451">
        <v>2</v>
      </c>
      <c r="BD50" s="1451">
        <v>3</v>
      </c>
      <c r="BE50" s="1535"/>
      <c r="BF50" s="1535"/>
      <c r="BG50" s="4"/>
      <c r="BH50" s="4"/>
      <c r="BI50" s="280">
        <f>AP50+Res_Std!T46+Res_Std!U46</f>
        <v>9.8919368246051551</v>
      </c>
      <c r="BJ50" s="918">
        <v>50</v>
      </c>
      <c r="BK50" s="82">
        <f t="shared" si="22"/>
        <v>5.0546218487394947</v>
      </c>
      <c r="BL50" s="1460"/>
      <c r="BM50" s="1467"/>
      <c r="BN50" s="241"/>
      <c r="BO50" s="241">
        <v>20</v>
      </c>
      <c r="BP50" s="241">
        <f t="shared" si="3"/>
        <v>20</v>
      </c>
      <c r="BQ50" s="55">
        <v>0</v>
      </c>
      <c r="BR50" s="1406">
        <v>0.15</v>
      </c>
      <c r="BS50" s="1406">
        <v>0.3</v>
      </c>
      <c r="BT50" s="1468" t="str">
        <f>Begriffe!$F$232</f>
        <v>stufenlos</v>
      </c>
      <c r="BU50" s="1468" t="str">
        <f>Begriffe!$F$232</f>
        <v>stufenlos</v>
      </c>
      <c r="BV50" s="1468"/>
      <c r="BW50" s="1406">
        <v>0.7</v>
      </c>
      <c r="BX50" s="1406">
        <v>0.8</v>
      </c>
      <c r="BY50" s="1406"/>
      <c r="BZ50" s="1406">
        <v>0.75</v>
      </c>
      <c r="CA50" s="1406">
        <v>0.85</v>
      </c>
      <c r="CB50" s="1406"/>
      <c r="CC50" s="1558" t="str">
        <f>Begriffe!$F$233</f>
        <v>Einfache Lüftungsanlage</v>
      </c>
      <c r="CD50" s="1513">
        <v>0.28000000000000003</v>
      </c>
      <c r="CE50" s="1513">
        <v>0.16600000000000001</v>
      </c>
      <c r="CF50" s="1514">
        <v>0.4</v>
      </c>
      <c r="CG50" s="1515" t="s">
        <v>18</v>
      </c>
      <c r="CH50" s="1515" t="s">
        <v>18</v>
      </c>
      <c r="CI50" s="1515" t="s">
        <v>18</v>
      </c>
      <c r="CJ50" s="1515" t="s">
        <v>18</v>
      </c>
      <c r="CK50" s="1515" t="s">
        <v>18</v>
      </c>
      <c r="CL50" s="1515" t="s">
        <v>18</v>
      </c>
      <c r="CM50" s="1473">
        <v>400</v>
      </c>
      <c r="CN50" s="1473">
        <v>600</v>
      </c>
      <c r="CO50" s="1473">
        <v>300</v>
      </c>
      <c r="CP50" s="1473">
        <v>0</v>
      </c>
      <c r="CQ50" s="1473"/>
      <c r="CR50" s="1473"/>
      <c r="CS50" s="1473"/>
      <c r="CT50" s="1460"/>
      <c r="CU50" s="55"/>
      <c r="CV50" s="55"/>
      <c r="CW50" s="55"/>
      <c r="CX50" s="55"/>
      <c r="CY50" s="1450"/>
      <c r="CZ50" s="1542" t="s">
        <v>877</v>
      </c>
      <c r="DA50" s="1676"/>
      <c r="DB50" s="417"/>
      <c r="DC50" s="417"/>
      <c r="DD50" s="1677"/>
      <c r="DE50" s="417"/>
      <c r="DF50" s="1678"/>
      <c r="DG50" s="417"/>
      <c r="DH50" s="1680">
        <v>0.2</v>
      </c>
      <c r="DI50" s="1680">
        <v>0.4</v>
      </c>
      <c r="DJ50" s="1683">
        <v>0.6</v>
      </c>
      <c r="DK50" s="1680">
        <v>0.8</v>
      </c>
      <c r="DL50" s="1679">
        <v>0.8</v>
      </c>
      <c r="DM50" s="1680">
        <v>0.4</v>
      </c>
      <c r="DN50" s="1680">
        <v>0.6</v>
      </c>
      <c r="DO50" s="1680">
        <v>0.8</v>
      </c>
      <c r="DP50" s="1683">
        <v>0.8</v>
      </c>
      <c r="DQ50" s="1680">
        <v>0.4</v>
      </c>
      <c r="DR50" s="1679">
        <v>0.2</v>
      </c>
      <c r="DS50" s="417"/>
      <c r="DT50" s="417"/>
      <c r="DU50" s="417"/>
      <c r="DV50" s="1677"/>
      <c r="DW50" s="417"/>
      <c r="DX50" s="1673"/>
      <c r="DY50" s="1676"/>
      <c r="DZ50" s="417"/>
      <c r="EA50" s="417"/>
      <c r="EB50" s="1677"/>
      <c r="EC50" s="417"/>
      <c r="ED50" s="1678"/>
      <c r="EE50" s="417"/>
      <c r="EF50" s="417"/>
      <c r="EG50" s="417"/>
      <c r="EH50" s="1677"/>
      <c r="EI50" s="417"/>
      <c r="EJ50" s="1678"/>
      <c r="EK50" s="417"/>
      <c r="EL50" s="417"/>
      <c r="EM50" s="417"/>
      <c r="EN50" s="1677"/>
      <c r="EO50" s="417"/>
      <c r="EP50" s="1678"/>
      <c r="EQ50" s="417"/>
      <c r="ER50" s="417"/>
      <c r="ES50" s="417"/>
      <c r="ET50" s="1677"/>
      <c r="EU50" s="417"/>
      <c r="EV50" s="1673"/>
      <c r="EW50" s="1474" t="s">
        <v>862</v>
      </c>
      <c r="EX50" s="1682">
        <v>0.8</v>
      </c>
      <c r="EY50" s="1680">
        <v>0.8</v>
      </c>
      <c r="EZ50" s="1680">
        <v>0.8</v>
      </c>
      <c r="FA50" s="1683">
        <v>0.8</v>
      </c>
      <c r="FB50" s="1680">
        <v>0.8</v>
      </c>
      <c r="FC50" s="1679">
        <v>0.8</v>
      </c>
      <c r="FD50" s="1680">
        <v>0.8</v>
      </c>
      <c r="FE50" s="1680">
        <v>0.8</v>
      </c>
      <c r="FF50" s="1680">
        <v>0.8</v>
      </c>
      <c r="FG50" s="1683">
        <v>0.8</v>
      </c>
      <c r="FH50" s="1680">
        <v>0.8</v>
      </c>
      <c r="FI50" s="1684">
        <v>0.8</v>
      </c>
      <c r="FJ50" s="1516">
        <v>1</v>
      </c>
      <c r="FK50" s="1673">
        <f t="shared" si="60"/>
        <v>313</v>
      </c>
      <c r="FL50" s="1682">
        <f t="shared" si="4"/>
        <v>11</v>
      </c>
      <c r="FM50" s="1680">
        <f t="shared" si="5"/>
        <v>6</v>
      </c>
      <c r="FN50" s="1680">
        <f t="shared" si="6"/>
        <v>6</v>
      </c>
      <c r="FO50" s="1680">
        <f t="shared" si="7"/>
        <v>0</v>
      </c>
      <c r="FP50" s="1698">
        <f t="shared" si="61"/>
        <v>0.80000000000000016</v>
      </c>
      <c r="FQ50" s="1673">
        <f t="shared" si="62"/>
        <v>1500</v>
      </c>
      <c r="FR50" s="1682">
        <f t="shared" si="9"/>
        <v>0</v>
      </c>
      <c r="FS50" s="1680">
        <f t="shared" si="10"/>
        <v>0</v>
      </c>
      <c r="FT50" s="1680">
        <f t="shared" si="11"/>
        <v>0</v>
      </c>
      <c r="FU50" s="1673">
        <f t="shared" si="63"/>
        <v>0</v>
      </c>
      <c r="FV50" s="1689" t="str">
        <f>Begriffe!$F$261</f>
        <v>- Beurteilungspegel für Dauergeräusche von Haustechnikanlagen in Abhängigkeit der zugehörigen Hauptnutzung</v>
      </c>
      <c r="FW50" s="1543"/>
      <c r="FX50" s="1503" t="str">
        <f>IF(BV50=0,Begriffe!$F$262,"")</f>
        <v>- Keine Lüftungsanlage im Bestand</v>
      </c>
      <c r="FY50" s="1485" t="str">
        <f>Begriffe!$F$297</f>
        <v>- Wasser- und Warmwasserbedarf werden durch die Hauptnutzung bestimmt</v>
      </c>
      <c r="FZ50" s="1468"/>
      <c r="GA50" s="1504"/>
      <c r="GK50" s="1488" t="s">
        <v>156</v>
      </c>
      <c r="GL50" s="1691">
        <f t="shared" si="53"/>
        <v>0.8</v>
      </c>
      <c r="GM50" s="1691">
        <f t="shared" si="53"/>
        <v>0.6</v>
      </c>
      <c r="GN50" s="1691">
        <f t="shared" si="53"/>
        <v>1</v>
      </c>
      <c r="GO50" s="1691">
        <f t="shared" si="53"/>
        <v>0.8</v>
      </c>
      <c r="GP50" s="1691">
        <f t="shared" si="53"/>
        <v>0.6</v>
      </c>
      <c r="GQ50" s="1691">
        <f t="shared" si="53"/>
        <v>1</v>
      </c>
      <c r="GR50" s="1691">
        <f t="shared" si="53"/>
        <v>0.6</v>
      </c>
      <c r="GS50" s="1691">
        <f t="shared" si="53"/>
        <v>0.6</v>
      </c>
      <c r="GT50" s="1691">
        <f t="shared" si="53"/>
        <v>1</v>
      </c>
      <c r="GU50" s="1691">
        <f t="shared" si="53"/>
        <v>0.8</v>
      </c>
      <c r="GV50" s="1691">
        <f t="shared" si="53"/>
        <v>1</v>
      </c>
      <c r="GW50" s="1691">
        <f t="shared" si="53"/>
        <v>0.6</v>
      </c>
      <c r="GX50" s="55">
        <f t="shared" si="64"/>
        <v>0.78333333333333333</v>
      </c>
      <c r="GZ50" s="1488">
        <v>2</v>
      </c>
      <c r="HB50" s="1256">
        <v>0</v>
      </c>
      <c r="HC50" s="1256">
        <v>0</v>
      </c>
      <c r="HD50" s="1405">
        <v>1</v>
      </c>
      <c r="HE50" s="1405">
        <v>1</v>
      </c>
      <c r="HF50" s="1405">
        <v>1</v>
      </c>
      <c r="HG50" s="1405">
        <v>1</v>
      </c>
      <c r="HH50" s="1405">
        <v>1</v>
      </c>
      <c r="HI50" s="8">
        <v>12</v>
      </c>
      <c r="HJ50" s="8">
        <v>14</v>
      </c>
      <c r="HK50" s="55">
        <v>0.7</v>
      </c>
      <c r="HL50" s="918">
        <v>3</v>
      </c>
      <c r="HM50" s="1406">
        <f>Hüllzahl!Y50</f>
        <v>0.52941176470588236</v>
      </c>
      <c r="HN50" s="1407">
        <f>(HI50+HJ50*Hüllzahl!Y50)</f>
        <v>19.411764705882355</v>
      </c>
    </row>
    <row r="51" spans="1:222">
      <c r="A51" s="889">
        <v>12.9</v>
      </c>
      <c r="B51" s="1544">
        <v>22</v>
      </c>
      <c r="C51" s="1701" t="str">
        <f>Begriffe!F142</f>
        <v>Parkhaus</v>
      </c>
      <c r="D51" s="280">
        <v>20</v>
      </c>
      <c r="E51" s="82">
        <v>20</v>
      </c>
      <c r="F51" s="82">
        <v>3</v>
      </c>
      <c r="G51" s="255">
        <f t="shared" si="17"/>
        <v>400</v>
      </c>
      <c r="H51" s="255">
        <f>Hüllzahl!X51</f>
        <v>0</v>
      </c>
      <c r="I51" s="1452">
        <v>0</v>
      </c>
      <c r="J51" s="1406">
        <v>0.75</v>
      </c>
      <c r="K51" s="55">
        <f t="shared" si="0"/>
        <v>0</v>
      </c>
      <c r="L51" s="1453">
        <v>1.2</v>
      </c>
      <c r="M51" s="241">
        <v>0.9</v>
      </c>
      <c r="N51" s="241">
        <v>1.5</v>
      </c>
      <c r="O51" s="1406">
        <v>0.17</v>
      </c>
      <c r="P51" s="241">
        <v>0.1</v>
      </c>
      <c r="Q51" s="241">
        <v>0.8</v>
      </c>
      <c r="R51" s="55">
        <v>0.5</v>
      </c>
      <c r="S51" s="1406">
        <v>0.5</v>
      </c>
      <c r="T51" s="1406">
        <v>0.65</v>
      </c>
      <c r="U51" s="1406">
        <v>0.14000000000000001</v>
      </c>
      <c r="V51" s="1406">
        <v>0.1</v>
      </c>
      <c r="W51" s="1406">
        <v>0.2</v>
      </c>
      <c r="X51" s="55">
        <v>1</v>
      </c>
      <c r="Y51" s="55">
        <v>0.9</v>
      </c>
      <c r="Z51" s="55">
        <v>90</v>
      </c>
      <c r="AA51" s="1451">
        <f>'Kälte_TEC-Tool'!J50</f>
        <v>90</v>
      </c>
      <c r="AB51" s="1454"/>
      <c r="AC51" s="1455"/>
      <c r="AD51" s="1506" t="s">
        <v>256</v>
      </c>
      <c r="AE51" s="249"/>
      <c r="AF51" s="249"/>
      <c r="AG51" s="1457"/>
      <c r="AH51" s="1458"/>
      <c r="AI51" s="249">
        <v>45</v>
      </c>
      <c r="AJ51" s="1459"/>
      <c r="AK51" s="1460"/>
      <c r="AL51" s="55"/>
      <c r="AM51" s="1461"/>
      <c r="AN51" s="241">
        <v>1</v>
      </c>
      <c r="AO51" s="1462"/>
      <c r="AP51" s="1460">
        <v>1</v>
      </c>
      <c r="AQ51" s="55">
        <v>0.5</v>
      </c>
      <c r="AR51" s="55">
        <v>2</v>
      </c>
      <c r="AS51" s="55">
        <v>1</v>
      </c>
      <c r="AT51" s="55">
        <v>0.5</v>
      </c>
      <c r="AU51" s="55">
        <v>2</v>
      </c>
      <c r="AV51" s="1673">
        <v>10</v>
      </c>
      <c r="AW51" s="55">
        <v>75</v>
      </c>
      <c r="AX51" s="1509">
        <v>0.05</v>
      </c>
      <c r="AY51" s="1510">
        <v>25</v>
      </c>
      <c r="AZ51" s="1692">
        <f t="shared" si="21"/>
        <v>11</v>
      </c>
      <c r="BA51" s="1552">
        <f t="shared" si="2"/>
        <v>0</v>
      </c>
      <c r="BB51" s="1693">
        <v>0.2</v>
      </c>
      <c r="BC51" s="1451">
        <v>2</v>
      </c>
      <c r="BD51" s="1451">
        <v>3</v>
      </c>
      <c r="BE51" s="1511"/>
      <c r="BF51" s="1511"/>
      <c r="BG51" s="55"/>
      <c r="BH51" s="55"/>
      <c r="BI51" s="1453">
        <f>AP51+Res_Std!T47+Res_Std!U47</f>
        <v>3.8692762186115219</v>
      </c>
      <c r="BJ51" s="55">
        <v>20</v>
      </c>
      <c r="BK51" s="241">
        <f t="shared" si="22"/>
        <v>5.1689253674365334</v>
      </c>
      <c r="BL51" s="1460"/>
      <c r="BM51" s="1467"/>
      <c r="BN51" s="241"/>
      <c r="BO51" s="241">
        <v>2</v>
      </c>
      <c r="BP51" s="241">
        <f t="shared" si="3"/>
        <v>2</v>
      </c>
      <c r="BQ51" s="55">
        <v>0</v>
      </c>
      <c r="BR51" s="1406">
        <v>0.15</v>
      </c>
      <c r="BS51" s="1406">
        <v>0.3</v>
      </c>
      <c r="BT51" s="1468" t="str">
        <f>Begriffe!$F$230</f>
        <v>1-stufig</v>
      </c>
      <c r="BU51" s="1468" t="str">
        <f>Begriffe!$F$231</f>
        <v>2-stufig</v>
      </c>
      <c r="BV51" s="1468" t="str">
        <f>Begriffe!$F$230</f>
        <v>1-stufig</v>
      </c>
      <c r="BW51" s="1406"/>
      <c r="BX51" s="1406"/>
      <c r="BY51" s="1406"/>
      <c r="BZ51" s="1406"/>
      <c r="CA51" s="1406"/>
      <c r="CB51" s="1406"/>
      <c r="CC51" s="1558" t="str">
        <f>Begriffe!$F$237</f>
        <v>Einfache Abluftanlage</v>
      </c>
      <c r="CD51" s="1513">
        <v>0.14000000000000001</v>
      </c>
      <c r="CE51" s="1513">
        <v>8.3000000000000004E-2</v>
      </c>
      <c r="CF51" s="1514">
        <v>0.14000000000000001</v>
      </c>
      <c r="CG51" s="1515" t="s">
        <v>18</v>
      </c>
      <c r="CH51" s="1515" t="s">
        <v>18</v>
      </c>
      <c r="CI51" s="1515" t="s">
        <v>18</v>
      </c>
      <c r="CJ51" s="1515" t="s">
        <v>18</v>
      </c>
      <c r="CK51" s="1515" t="s">
        <v>18</v>
      </c>
      <c r="CL51" s="1515" t="s">
        <v>18</v>
      </c>
      <c r="CM51" s="1473"/>
      <c r="CN51" s="1473"/>
      <c r="CO51" s="1473"/>
      <c r="CP51" s="1473"/>
      <c r="CQ51" s="1473"/>
      <c r="CR51" s="1473"/>
      <c r="CS51" s="1473"/>
      <c r="CT51" s="1460"/>
      <c r="CU51" s="55"/>
      <c r="CV51" s="55"/>
      <c r="CW51" s="55"/>
      <c r="CX51" s="55"/>
      <c r="CY51" s="1450"/>
      <c r="CZ51" s="1542" t="s">
        <v>128</v>
      </c>
      <c r="DA51" s="1676"/>
      <c r="DB51" s="417"/>
      <c r="DC51" s="417"/>
      <c r="DD51" s="1677"/>
      <c r="DE51" s="417"/>
      <c r="DF51" s="1465"/>
      <c r="DG51" s="417"/>
      <c r="DH51" s="1680">
        <v>0.2</v>
      </c>
      <c r="DI51" s="1680">
        <v>0.4</v>
      </c>
      <c r="DJ51" s="1683">
        <v>0.6</v>
      </c>
      <c r="DK51" s="1680">
        <v>0.8</v>
      </c>
      <c r="DL51" s="1679">
        <v>0.8</v>
      </c>
      <c r="DM51" s="1680">
        <v>0.4</v>
      </c>
      <c r="DN51" s="1680">
        <v>0.6</v>
      </c>
      <c r="DO51" s="1680">
        <v>0.8</v>
      </c>
      <c r="DP51" s="1683">
        <v>0.8</v>
      </c>
      <c r="DQ51" s="1680">
        <v>0.4</v>
      </c>
      <c r="DR51" s="1679">
        <v>0.2</v>
      </c>
      <c r="DS51" s="1677"/>
      <c r="DT51" s="417"/>
      <c r="DU51" s="417"/>
      <c r="DV51" s="1677"/>
      <c r="DW51" s="417"/>
      <c r="DX51" s="1673"/>
      <c r="DY51" s="1682">
        <v>0.1</v>
      </c>
      <c r="DZ51" s="1680">
        <v>0.1</v>
      </c>
      <c r="EA51" s="1680">
        <v>0.1</v>
      </c>
      <c r="EB51" s="1683">
        <v>0.1</v>
      </c>
      <c r="EC51" s="1680">
        <v>0.1</v>
      </c>
      <c r="ED51" s="1679">
        <v>0.1</v>
      </c>
      <c r="EE51" s="1680">
        <v>0.1</v>
      </c>
      <c r="EF51" s="1680">
        <v>0.2</v>
      </c>
      <c r="EG51" s="1680">
        <v>0.4</v>
      </c>
      <c r="EH51" s="1683">
        <v>0.6</v>
      </c>
      <c r="EI51" s="1680">
        <v>0.8</v>
      </c>
      <c r="EJ51" s="1679">
        <v>0.8</v>
      </c>
      <c r="EK51" s="1680">
        <v>0.4</v>
      </c>
      <c r="EL51" s="1680">
        <v>0.6</v>
      </c>
      <c r="EM51" s="1680">
        <v>0.8</v>
      </c>
      <c r="EN51" s="1683">
        <v>0.8</v>
      </c>
      <c r="EO51" s="1680">
        <v>0.4</v>
      </c>
      <c r="EP51" s="1679">
        <v>0.2</v>
      </c>
      <c r="EQ51" s="1680">
        <v>0.1</v>
      </c>
      <c r="ER51" s="1680">
        <v>0.1</v>
      </c>
      <c r="ES51" s="1680">
        <v>0.1</v>
      </c>
      <c r="ET51" s="1683">
        <v>0.1</v>
      </c>
      <c r="EU51" s="1680">
        <v>0.1</v>
      </c>
      <c r="EV51" s="1684">
        <v>0.1</v>
      </c>
      <c r="EW51" s="1474" t="s">
        <v>862</v>
      </c>
      <c r="EX51" s="1682">
        <v>0.8</v>
      </c>
      <c r="EY51" s="1680">
        <v>0.8</v>
      </c>
      <c r="EZ51" s="1680">
        <v>0.8</v>
      </c>
      <c r="FA51" s="1683">
        <v>0.8</v>
      </c>
      <c r="FB51" s="1680">
        <v>0.8</v>
      </c>
      <c r="FC51" s="1679">
        <v>0.8</v>
      </c>
      <c r="FD51" s="1680">
        <v>0.8</v>
      </c>
      <c r="FE51" s="1680">
        <v>0.8</v>
      </c>
      <c r="FF51" s="1680">
        <v>0.8</v>
      </c>
      <c r="FG51" s="1683">
        <v>0.8</v>
      </c>
      <c r="FH51" s="1680">
        <v>0.8</v>
      </c>
      <c r="FI51" s="1684">
        <v>0.8</v>
      </c>
      <c r="FJ51" s="1516">
        <v>0</v>
      </c>
      <c r="FK51" s="1673">
        <f t="shared" si="60"/>
        <v>365</v>
      </c>
      <c r="FL51" s="1682">
        <f t="shared" si="4"/>
        <v>11</v>
      </c>
      <c r="FM51" s="1680">
        <f t="shared" si="5"/>
        <v>6</v>
      </c>
      <c r="FN51" s="1680">
        <f t="shared" si="6"/>
        <v>6</v>
      </c>
      <c r="FO51" s="1680">
        <f t="shared" si="7"/>
        <v>0</v>
      </c>
      <c r="FP51" s="1698">
        <f t="shared" si="61"/>
        <v>0.80000000000000016</v>
      </c>
      <c r="FQ51" s="1673">
        <f t="shared" si="62"/>
        <v>1750</v>
      </c>
      <c r="FR51" s="1682">
        <f t="shared" si="9"/>
        <v>24</v>
      </c>
      <c r="FS51" s="1680">
        <f t="shared" si="10"/>
        <v>7.299999999999998</v>
      </c>
      <c r="FT51" s="1680">
        <f t="shared" si="11"/>
        <v>2.4000000000000004</v>
      </c>
      <c r="FU51" s="1673">
        <f t="shared" si="63"/>
        <v>2130</v>
      </c>
      <c r="FV51" s="1689"/>
      <c r="FW51" s="1543" t="str">
        <f>Begriffe!F258</f>
        <v>- Je nach Hauptnutzung unterschiedliche Luftwechsel</v>
      </c>
      <c r="FX51" s="1690" t="str">
        <f>Begriffe!F263</f>
        <v>- Spez. Aussenluftvolumenstrom für öffentliche Parkhäuser: 6 m3/m2h</v>
      </c>
      <c r="FY51" s="1485"/>
      <c r="FZ51" s="1468"/>
      <c r="GA51" s="1504"/>
      <c r="GK51" s="1488" t="s">
        <v>156</v>
      </c>
      <c r="GL51" s="1691">
        <f t="shared" si="53"/>
        <v>0.8</v>
      </c>
      <c r="GM51" s="1691">
        <f t="shared" si="53"/>
        <v>0.6</v>
      </c>
      <c r="GN51" s="1691">
        <f t="shared" si="53"/>
        <v>1</v>
      </c>
      <c r="GO51" s="1691">
        <f t="shared" si="53"/>
        <v>0.8</v>
      </c>
      <c r="GP51" s="1691">
        <f t="shared" si="53"/>
        <v>0.6</v>
      </c>
      <c r="GQ51" s="1691">
        <f t="shared" si="53"/>
        <v>1</v>
      </c>
      <c r="GR51" s="1691">
        <f t="shared" si="53"/>
        <v>0.6</v>
      </c>
      <c r="GS51" s="1691">
        <f t="shared" si="53"/>
        <v>0.6</v>
      </c>
      <c r="GT51" s="1691">
        <f t="shared" si="53"/>
        <v>1</v>
      </c>
      <c r="GU51" s="1691">
        <f t="shared" si="53"/>
        <v>0.8</v>
      </c>
      <c r="GV51" s="1691">
        <f t="shared" si="53"/>
        <v>1</v>
      </c>
      <c r="GW51" s="1691">
        <f t="shared" si="53"/>
        <v>0.6</v>
      </c>
      <c r="GX51" s="55">
        <f t="shared" si="64"/>
        <v>0.78333333333333333</v>
      </c>
      <c r="GZ51" s="1488">
        <v>0</v>
      </c>
      <c r="HB51" s="1256">
        <v>1</v>
      </c>
      <c r="HC51" s="1256">
        <v>1</v>
      </c>
      <c r="HD51" s="1405">
        <v>1</v>
      </c>
      <c r="HE51" s="1405">
        <v>1</v>
      </c>
      <c r="HF51" s="1405">
        <v>1</v>
      </c>
      <c r="HG51" s="1405">
        <v>1</v>
      </c>
      <c r="HH51" s="1405">
        <v>1</v>
      </c>
      <c r="HI51" s="8">
        <v>0</v>
      </c>
      <c r="HJ51" s="8">
        <v>0</v>
      </c>
      <c r="HK51" s="8">
        <v>0</v>
      </c>
      <c r="HL51" s="918">
        <v>3</v>
      </c>
      <c r="HM51" s="1406">
        <f>Hüllzahl!Y51</f>
        <v>0.15882352941176472</v>
      </c>
      <c r="HN51" s="1407">
        <f>(HI51+HJ51*Hüllzahl!Y51)</f>
        <v>0</v>
      </c>
    </row>
    <row r="52" spans="1:222">
      <c r="A52" s="1712" t="s">
        <v>1494</v>
      </c>
      <c r="B52" s="1544"/>
      <c r="C52" s="1701" t="str">
        <f>Begriffe!F143</f>
        <v>Wasch- und Trockenraum</v>
      </c>
      <c r="D52" s="280">
        <v>6</v>
      </c>
      <c r="E52" s="82">
        <v>6</v>
      </c>
      <c r="F52" s="82">
        <v>3</v>
      </c>
      <c r="G52" s="255">
        <f t="shared" si="17"/>
        <v>36</v>
      </c>
      <c r="H52" s="255">
        <f>Hüllzahl!X52</f>
        <v>21.176470588235293</v>
      </c>
      <c r="I52" s="1452">
        <v>30</v>
      </c>
      <c r="J52" s="1406">
        <v>0.75</v>
      </c>
      <c r="K52" s="55">
        <f t="shared" si="0"/>
        <v>30.226700251889167</v>
      </c>
      <c r="L52" s="1453">
        <v>1.2</v>
      </c>
      <c r="M52" s="241">
        <v>0.9</v>
      </c>
      <c r="N52" s="241">
        <v>1.5</v>
      </c>
      <c r="O52" s="1406">
        <v>0.17</v>
      </c>
      <c r="P52" s="241">
        <v>0.1</v>
      </c>
      <c r="Q52" s="241">
        <v>0.8</v>
      </c>
      <c r="R52" s="55">
        <v>0.5</v>
      </c>
      <c r="S52" s="1406">
        <v>0.5</v>
      </c>
      <c r="T52" s="1406">
        <v>0.65</v>
      </c>
      <c r="U52" s="1406">
        <v>0.14000000000000001</v>
      </c>
      <c r="V52" s="1406">
        <v>0.1</v>
      </c>
      <c r="W52" s="1406">
        <v>0.2</v>
      </c>
      <c r="X52" s="55">
        <v>0.7</v>
      </c>
      <c r="Y52" s="55">
        <v>0.9</v>
      </c>
      <c r="Z52" s="55">
        <v>90</v>
      </c>
      <c r="AA52" s="1451">
        <f>'Kälte_TEC-Tool'!J51</f>
        <v>110.7</v>
      </c>
      <c r="AB52" s="1454"/>
      <c r="AC52" s="1455"/>
      <c r="AD52" s="1506" t="s">
        <v>256</v>
      </c>
      <c r="AE52" s="249" t="s">
        <v>155</v>
      </c>
      <c r="AF52" s="249"/>
      <c r="AG52" s="1457"/>
      <c r="AH52" s="1458"/>
      <c r="AI52" s="249">
        <v>45</v>
      </c>
      <c r="AJ52" s="1459" t="s">
        <v>223</v>
      </c>
      <c r="AK52" s="425"/>
      <c r="AL52" s="55"/>
      <c r="AM52" s="1461"/>
      <c r="AN52" s="241">
        <v>1</v>
      </c>
      <c r="AO52" s="1462"/>
      <c r="AP52" s="1460">
        <v>20</v>
      </c>
      <c r="AQ52" s="55">
        <v>15</v>
      </c>
      <c r="AR52" s="55">
        <v>25</v>
      </c>
      <c r="AS52" s="55">
        <f t="shared" ref="AS52:AU54" si="65">AP52</f>
        <v>20</v>
      </c>
      <c r="AT52" s="55">
        <f t="shared" si="65"/>
        <v>15</v>
      </c>
      <c r="AU52" s="55">
        <f t="shared" si="65"/>
        <v>25</v>
      </c>
      <c r="AV52" s="1673">
        <v>10</v>
      </c>
      <c r="AW52" s="55">
        <v>200</v>
      </c>
      <c r="AX52" s="1509">
        <v>0.05</v>
      </c>
      <c r="AY52" s="1510">
        <v>25</v>
      </c>
      <c r="AZ52" s="1692">
        <f t="shared" si="21"/>
        <v>11</v>
      </c>
      <c r="BA52" s="1552">
        <f t="shared" si="2"/>
        <v>0</v>
      </c>
      <c r="BB52" s="1693">
        <v>0.2</v>
      </c>
      <c r="BC52" s="1451">
        <v>2</v>
      </c>
      <c r="BD52" s="1451">
        <v>3</v>
      </c>
      <c r="BE52" s="1535"/>
      <c r="BF52" s="1535"/>
      <c r="BG52" s="4"/>
      <c r="BH52" s="4"/>
      <c r="BI52" s="280">
        <f>AP52+Res_Std!T48+Res_Std!U48</f>
        <v>29.891936824605153</v>
      </c>
      <c r="BJ52" s="918">
        <v>100</v>
      </c>
      <c r="BK52" s="82">
        <f t="shared" si="22"/>
        <v>3.3453837597330369</v>
      </c>
      <c r="BL52" s="1460"/>
      <c r="BM52" s="1467"/>
      <c r="BN52" s="241"/>
      <c r="BO52" s="241">
        <v>4</v>
      </c>
      <c r="BP52" s="241">
        <f t="shared" si="3"/>
        <v>4</v>
      </c>
      <c r="BQ52" s="55">
        <v>0</v>
      </c>
      <c r="BR52" s="1406">
        <v>0.15</v>
      </c>
      <c r="BS52" s="1406">
        <v>0.3</v>
      </c>
      <c r="BT52" s="1468" t="str">
        <f>Begriffe!$F$230</f>
        <v>1-stufig</v>
      </c>
      <c r="BU52" s="1468" t="str">
        <f>Begriffe!$F$231</f>
        <v>2-stufig</v>
      </c>
      <c r="BV52" s="1468"/>
      <c r="BW52" s="1406">
        <v>0.7</v>
      </c>
      <c r="BX52" s="1406">
        <v>0.8</v>
      </c>
      <c r="BY52" s="1406"/>
      <c r="BZ52" s="1406">
        <v>0.75</v>
      </c>
      <c r="CA52" s="1406">
        <v>0.85</v>
      </c>
      <c r="CB52" s="1406"/>
      <c r="CC52" s="1558" t="str">
        <f>Begriffe!$F$233</f>
        <v>Einfache Lüftungsanlage</v>
      </c>
      <c r="CD52" s="1513">
        <v>0.28000000000000003</v>
      </c>
      <c r="CE52" s="1513">
        <v>0.16600000000000001</v>
      </c>
      <c r="CF52" s="1514">
        <v>0.4</v>
      </c>
      <c r="CG52" s="1515" t="s">
        <v>18</v>
      </c>
      <c r="CH52" s="1515" t="s">
        <v>18</v>
      </c>
      <c r="CI52" s="1515" t="s">
        <v>18</v>
      </c>
      <c r="CJ52" s="1515" t="s">
        <v>18</v>
      </c>
      <c r="CK52" s="1515" t="s">
        <v>18</v>
      </c>
      <c r="CL52" s="1515" t="s">
        <v>18</v>
      </c>
      <c r="CM52" s="1473"/>
      <c r="CN52" s="1473"/>
      <c r="CO52" s="1473"/>
      <c r="CP52" s="1473"/>
      <c r="CQ52" s="1473"/>
      <c r="CR52" s="1473"/>
      <c r="CS52" s="1473"/>
      <c r="CT52" s="1460"/>
      <c r="CU52" s="55"/>
      <c r="CV52" s="55"/>
      <c r="CW52" s="55"/>
      <c r="CX52" s="55"/>
      <c r="CY52" s="1450"/>
      <c r="CZ52" s="1542" t="s">
        <v>128</v>
      </c>
      <c r="DA52" s="1676"/>
      <c r="DB52" s="417"/>
      <c r="DC52" s="417"/>
      <c r="DD52" s="1677"/>
      <c r="DE52" s="417"/>
      <c r="DF52" s="1465"/>
      <c r="DG52" s="417"/>
      <c r="DH52" s="1680">
        <v>0.2</v>
      </c>
      <c r="DI52" s="1680">
        <v>0.4</v>
      </c>
      <c r="DJ52" s="1683">
        <v>0.6</v>
      </c>
      <c r="DK52" s="1680">
        <v>0.8</v>
      </c>
      <c r="DL52" s="1679">
        <v>0.8</v>
      </c>
      <c r="DM52" s="1680">
        <v>0.4</v>
      </c>
      <c r="DN52" s="1680">
        <v>0.6</v>
      </c>
      <c r="DO52" s="1680">
        <v>0.8</v>
      </c>
      <c r="DP52" s="1683">
        <v>0.8</v>
      </c>
      <c r="DQ52" s="1680">
        <v>0.4</v>
      </c>
      <c r="DR52" s="1679">
        <v>0.2</v>
      </c>
      <c r="DS52" s="1677"/>
      <c r="DT52" s="417"/>
      <c r="DU52" s="417"/>
      <c r="DV52" s="1677"/>
      <c r="DW52" s="417"/>
      <c r="DX52" s="1673"/>
      <c r="DY52" s="1682">
        <v>0.1</v>
      </c>
      <c r="DZ52" s="1680">
        <v>0.1</v>
      </c>
      <c r="EA52" s="1680">
        <v>0.1</v>
      </c>
      <c r="EB52" s="1683">
        <v>0.1</v>
      </c>
      <c r="EC52" s="1680">
        <v>0.1</v>
      </c>
      <c r="ED52" s="1679">
        <v>0.1</v>
      </c>
      <c r="EE52" s="1680">
        <v>0.1</v>
      </c>
      <c r="EF52" s="1680">
        <v>0.2</v>
      </c>
      <c r="EG52" s="1680">
        <v>0.4</v>
      </c>
      <c r="EH52" s="1683">
        <v>0.6</v>
      </c>
      <c r="EI52" s="1680">
        <v>0.8</v>
      </c>
      <c r="EJ52" s="1679">
        <v>0.8</v>
      </c>
      <c r="EK52" s="1680">
        <v>0.4</v>
      </c>
      <c r="EL52" s="1680">
        <v>0.6</v>
      </c>
      <c r="EM52" s="1680">
        <v>0.8</v>
      </c>
      <c r="EN52" s="1683">
        <v>0.8</v>
      </c>
      <c r="EO52" s="1680">
        <v>0.4</v>
      </c>
      <c r="EP52" s="1679">
        <v>0.2</v>
      </c>
      <c r="EQ52" s="1680">
        <v>0.1</v>
      </c>
      <c r="ER52" s="1680">
        <v>0.1</v>
      </c>
      <c r="ES52" s="1680">
        <v>0.1</v>
      </c>
      <c r="ET52" s="1683">
        <v>0.1</v>
      </c>
      <c r="EU52" s="1680">
        <v>0.1</v>
      </c>
      <c r="EV52" s="1684">
        <v>0.1</v>
      </c>
      <c r="EW52" s="1474" t="s">
        <v>862</v>
      </c>
      <c r="EX52" s="1682">
        <v>0.8</v>
      </c>
      <c r="EY52" s="1680">
        <v>0.8</v>
      </c>
      <c r="EZ52" s="1680">
        <v>0.8</v>
      </c>
      <c r="FA52" s="1683">
        <v>0.8</v>
      </c>
      <c r="FB52" s="1680">
        <v>0.8</v>
      </c>
      <c r="FC52" s="1679">
        <v>0.8</v>
      </c>
      <c r="FD52" s="1680">
        <v>0.8</v>
      </c>
      <c r="FE52" s="1680">
        <v>0.8</v>
      </c>
      <c r="FF52" s="1680">
        <v>0.8</v>
      </c>
      <c r="FG52" s="1683">
        <v>0.8</v>
      </c>
      <c r="FH52" s="1680">
        <v>0.8</v>
      </c>
      <c r="FI52" s="1684">
        <v>0.8</v>
      </c>
      <c r="FJ52" s="1516">
        <v>0</v>
      </c>
      <c r="FK52" s="1673">
        <f t="shared" si="60"/>
        <v>365</v>
      </c>
      <c r="FL52" s="1682">
        <f t="shared" si="4"/>
        <v>11</v>
      </c>
      <c r="FM52" s="1680">
        <f t="shared" si="5"/>
        <v>6</v>
      </c>
      <c r="FN52" s="1680">
        <f t="shared" si="6"/>
        <v>6</v>
      </c>
      <c r="FO52" s="1680">
        <f t="shared" si="7"/>
        <v>0</v>
      </c>
      <c r="FP52" s="1698">
        <f t="shared" si="61"/>
        <v>0.80000000000000016</v>
      </c>
      <c r="FQ52" s="1673">
        <f t="shared" si="62"/>
        <v>1750</v>
      </c>
      <c r="FR52" s="1682">
        <f t="shared" si="9"/>
        <v>24</v>
      </c>
      <c r="FS52" s="1680">
        <f t="shared" si="10"/>
        <v>7.299999999999998</v>
      </c>
      <c r="FT52" s="1680">
        <f t="shared" si="11"/>
        <v>2.4000000000000004</v>
      </c>
      <c r="FU52" s="1673">
        <f t="shared" si="63"/>
        <v>2130</v>
      </c>
      <c r="FV52" s="1699"/>
      <c r="FX52" s="1503" t="str">
        <f>IF(BV52=0,Begriffe!$F$262,"")</f>
        <v>- Keine Lüftungsanlage im Bestand</v>
      </c>
      <c r="FY52" s="1485" t="str">
        <f>Begriffe!$F$297</f>
        <v>- Wasser- und Warmwasserbedarf werden durch die Hauptnutzung bestimmt</v>
      </c>
      <c r="FZ52" s="1487"/>
      <c r="GA52" s="1504"/>
      <c r="GK52" s="1488" t="s">
        <v>156</v>
      </c>
      <c r="GL52" s="1691">
        <f t="shared" si="53"/>
        <v>0.8</v>
      </c>
      <c r="GM52" s="1691">
        <f t="shared" si="53"/>
        <v>0.6</v>
      </c>
      <c r="GN52" s="1691">
        <f t="shared" si="53"/>
        <v>1</v>
      </c>
      <c r="GO52" s="1691">
        <f t="shared" si="53"/>
        <v>0.8</v>
      </c>
      <c r="GP52" s="1691">
        <f t="shared" si="53"/>
        <v>0.6</v>
      </c>
      <c r="GQ52" s="1691">
        <f t="shared" si="53"/>
        <v>1</v>
      </c>
      <c r="GR52" s="1691">
        <f t="shared" si="53"/>
        <v>0.6</v>
      </c>
      <c r="GS52" s="1691">
        <f t="shared" si="53"/>
        <v>0.6</v>
      </c>
      <c r="GT52" s="1691">
        <f t="shared" si="53"/>
        <v>1</v>
      </c>
      <c r="GU52" s="1691">
        <f t="shared" si="53"/>
        <v>0.8</v>
      </c>
      <c r="GV52" s="1691">
        <f t="shared" si="53"/>
        <v>1</v>
      </c>
      <c r="GW52" s="1691">
        <f t="shared" si="53"/>
        <v>0.6</v>
      </c>
      <c r="GX52" s="55">
        <f t="shared" si="64"/>
        <v>0.78333333333333333</v>
      </c>
      <c r="GZ52" s="1488">
        <v>2</v>
      </c>
      <c r="HB52" s="1256">
        <v>0</v>
      </c>
      <c r="HC52" s="1256">
        <v>0</v>
      </c>
      <c r="HD52" s="1405">
        <v>1</v>
      </c>
      <c r="HE52" s="1405">
        <v>1</v>
      </c>
      <c r="HF52" s="1405">
        <v>1</v>
      </c>
      <c r="HG52" s="1405">
        <v>1</v>
      </c>
      <c r="HH52" s="1405">
        <v>1</v>
      </c>
      <c r="HI52" s="8">
        <v>13</v>
      </c>
      <c r="HJ52" s="8">
        <v>14</v>
      </c>
      <c r="HK52" s="8">
        <v>0.7</v>
      </c>
      <c r="HL52" s="918">
        <v>3</v>
      </c>
      <c r="HM52" s="1406">
        <f>Hüllzahl!Y52</f>
        <v>0.52941176470588236</v>
      </c>
      <c r="HN52" s="1407">
        <f>(HI52+HJ52*Hüllzahl!Y52)</f>
        <v>20.411764705882355</v>
      </c>
    </row>
    <row r="53" spans="1:222">
      <c r="A53" s="1713">
        <v>12.11</v>
      </c>
      <c r="B53" s="1544"/>
      <c r="C53" s="1701" t="str">
        <f>Begriffe!F144</f>
        <v>Kühlraum</v>
      </c>
      <c r="D53" s="280">
        <v>6</v>
      </c>
      <c r="E53" s="82">
        <v>6</v>
      </c>
      <c r="F53" s="82">
        <v>3</v>
      </c>
      <c r="G53" s="255">
        <f t="shared" si="17"/>
        <v>36</v>
      </c>
      <c r="H53" s="255">
        <f>Hüllzahl!X53</f>
        <v>21.176470588235293</v>
      </c>
      <c r="I53" s="1452">
        <v>0</v>
      </c>
      <c r="J53" s="1406">
        <v>0.75</v>
      </c>
      <c r="K53" s="55">
        <f t="shared" si="0"/>
        <v>0</v>
      </c>
      <c r="L53" s="1453">
        <v>1.2</v>
      </c>
      <c r="M53" s="241">
        <v>0.9</v>
      </c>
      <c r="N53" s="241">
        <v>1.5</v>
      </c>
      <c r="O53" s="1406">
        <v>0.17</v>
      </c>
      <c r="P53" s="241">
        <v>0.1</v>
      </c>
      <c r="Q53" s="241">
        <v>0.8</v>
      </c>
      <c r="R53" s="55">
        <v>0.5</v>
      </c>
      <c r="S53" s="1406">
        <v>0.5</v>
      </c>
      <c r="T53" s="1406">
        <v>0.65</v>
      </c>
      <c r="U53" s="1406">
        <v>0.14000000000000001</v>
      </c>
      <c r="V53" s="1406">
        <v>0.1</v>
      </c>
      <c r="W53" s="1406">
        <v>0.2</v>
      </c>
      <c r="X53" s="55">
        <v>0.7</v>
      </c>
      <c r="Y53" s="55">
        <v>0.9</v>
      </c>
      <c r="Z53" s="55">
        <v>90</v>
      </c>
      <c r="AA53" s="1451">
        <f>'Kälte_TEC-Tool'!J52</f>
        <v>121.3</v>
      </c>
      <c r="AB53" s="1454">
        <v>2</v>
      </c>
      <c r="AC53" s="1455">
        <v>2</v>
      </c>
      <c r="AD53" s="1506" t="s">
        <v>26</v>
      </c>
      <c r="AE53" s="249"/>
      <c r="AF53" s="249"/>
      <c r="AG53" s="1457"/>
      <c r="AH53" s="1458"/>
      <c r="AI53" s="249">
        <v>45</v>
      </c>
      <c r="AJ53" s="1459"/>
      <c r="AK53" s="425"/>
      <c r="AL53" s="55">
        <v>1.2</v>
      </c>
      <c r="AM53" s="1461">
        <v>3</v>
      </c>
      <c r="AN53" s="241">
        <v>3</v>
      </c>
      <c r="AO53" s="1462"/>
      <c r="AP53" s="1460">
        <v>100</v>
      </c>
      <c r="AQ53" s="55">
        <v>80</v>
      </c>
      <c r="AR53" s="55">
        <v>120</v>
      </c>
      <c r="AS53" s="55">
        <v>0</v>
      </c>
      <c r="AT53" s="55">
        <v>0</v>
      </c>
      <c r="AU53" s="55">
        <v>0</v>
      </c>
      <c r="AV53" s="1673">
        <v>40</v>
      </c>
      <c r="AW53" s="55">
        <v>100</v>
      </c>
      <c r="AX53" s="1509">
        <v>0.05</v>
      </c>
      <c r="AY53" s="1510">
        <v>25</v>
      </c>
      <c r="AZ53" s="1692">
        <v>0</v>
      </c>
      <c r="BA53" s="1552">
        <v>0</v>
      </c>
      <c r="BB53" s="1693">
        <v>0</v>
      </c>
      <c r="BC53" s="1451">
        <v>2</v>
      </c>
      <c r="BD53" s="1451">
        <v>3</v>
      </c>
      <c r="BE53" s="1535"/>
      <c r="BF53" s="1535"/>
      <c r="BG53" s="10"/>
      <c r="BH53" s="10"/>
      <c r="BI53" s="1477">
        <f>AP53+Res_Std!T49+Res_Std!U49</f>
        <v>105.65052231718899</v>
      </c>
      <c r="BJ53" s="918">
        <v>100</v>
      </c>
      <c r="BK53" s="1478">
        <f t="shared" si="22"/>
        <v>0.94651685393258422</v>
      </c>
      <c r="BL53" s="1460"/>
      <c r="BM53" s="1467"/>
      <c r="BN53" s="241"/>
      <c r="BO53" s="1478">
        <v>0</v>
      </c>
      <c r="BP53" s="241">
        <f t="shared" si="3"/>
        <v>0</v>
      </c>
      <c r="BQ53" s="55">
        <v>0</v>
      </c>
      <c r="BR53" s="1406">
        <v>0.15</v>
      </c>
      <c r="BS53" s="1406">
        <v>0.3</v>
      </c>
      <c r="BT53" s="991"/>
      <c r="BU53" s="991"/>
      <c r="BV53" s="991"/>
      <c r="BW53" s="1406"/>
      <c r="BX53" s="1406"/>
      <c r="BY53" s="1406"/>
      <c r="BZ53" s="1406"/>
      <c r="CA53" s="1406"/>
      <c r="CB53" s="1406"/>
      <c r="CC53" s="1558" t="str">
        <f>Begriffe!$F$238</f>
        <v>keine Lüftungsanlage</v>
      </c>
      <c r="CD53" s="1714">
        <v>0</v>
      </c>
      <c r="CE53" s="1714">
        <v>0</v>
      </c>
      <c r="CF53" s="1715"/>
      <c r="CG53" s="1716" t="s">
        <v>18</v>
      </c>
      <c r="CH53" s="1716" t="s">
        <v>18</v>
      </c>
      <c r="CI53" s="1716" t="s">
        <v>18</v>
      </c>
      <c r="CJ53" s="1716" t="s">
        <v>18</v>
      </c>
      <c r="CK53" s="1716" t="s">
        <v>18</v>
      </c>
      <c r="CL53" s="1716" t="s">
        <v>18</v>
      </c>
      <c r="CM53" s="1473"/>
      <c r="CN53" s="1473"/>
      <c r="CO53" s="1473"/>
      <c r="CP53" s="1473"/>
      <c r="CQ53" s="1473"/>
      <c r="CR53" s="1473"/>
      <c r="CS53" s="1473"/>
      <c r="CT53" s="1460"/>
      <c r="CU53" s="55"/>
      <c r="CV53" s="55"/>
      <c r="CW53" s="55"/>
      <c r="CX53" s="55"/>
      <c r="CY53" s="1450"/>
      <c r="CZ53" s="1717" t="s">
        <v>130</v>
      </c>
      <c r="DA53" s="1676"/>
      <c r="DB53" s="417"/>
      <c r="DC53" s="417"/>
      <c r="DD53" s="1677"/>
      <c r="DE53" s="417"/>
      <c r="DF53" s="1465"/>
      <c r="DG53" s="1677"/>
      <c r="DH53" s="417"/>
      <c r="DI53" s="417"/>
      <c r="DJ53" s="1677"/>
      <c r="DK53" s="417"/>
      <c r="DL53" s="417"/>
      <c r="DM53" s="1677"/>
      <c r="DN53" s="417"/>
      <c r="DO53" s="417"/>
      <c r="DP53" s="1677"/>
      <c r="DQ53" s="417"/>
      <c r="DR53" s="417"/>
      <c r="DS53" s="1677"/>
      <c r="DT53" s="417"/>
      <c r="DU53" s="417"/>
      <c r="DV53" s="1677"/>
      <c r="DW53" s="417"/>
      <c r="DX53" s="1673"/>
      <c r="DY53" s="1682">
        <v>0.4</v>
      </c>
      <c r="DZ53" s="1680">
        <v>0.4</v>
      </c>
      <c r="EA53" s="1718">
        <v>0.4</v>
      </c>
      <c r="EB53" s="1680">
        <v>0.4</v>
      </c>
      <c r="EC53" s="1680">
        <v>0.4</v>
      </c>
      <c r="ED53" s="1680">
        <v>0.4</v>
      </c>
      <c r="EE53" s="1718">
        <v>0.4</v>
      </c>
      <c r="EF53" s="1680">
        <v>0.4</v>
      </c>
      <c r="EG53" s="1680">
        <v>0.4</v>
      </c>
      <c r="EH53" s="1683">
        <v>0.8</v>
      </c>
      <c r="EI53" s="1680">
        <v>1</v>
      </c>
      <c r="EJ53" s="1679">
        <v>1</v>
      </c>
      <c r="EK53" s="1680">
        <v>0.6</v>
      </c>
      <c r="EL53" s="1680">
        <v>0.4</v>
      </c>
      <c r="EM53" s="1718">
        <v>0.4</v>
      </c>
      <c r="EN53" s="1680">
        <v>0.4</v>
      </c>
      <c r="EO53" s="1680">
        <v>0.4</v>
      </c>
      <c r="EP53" s="1718">
        <v>0.4</v>
      </c>
      <c r="EQ53" s="1680">
        <v>0.4</v>
      </c>
      <c r="ER53" s="1680">
        <v>0.4</v>
      </c>
      <c r="ES53" s="1718">
        <v>0.4</v>
      </c>
      <c r="ET53" s="1680">
        <v>0.4</v>
      </c>
      <c r="EU53" s="1680">
        <v>0.4</v>
      </c>
      <c r="EV53" s="1684">
        <v>0.4</v>
      </c>
      <c r="EW53" s="1719" t="s">
        <v>862</v>
      </c>
      <c r="EX53" s="1682">
        <v>0.8</v>
      </c>
      <c r="EY53" s="1680">
        <v>0.8</v>
      </c>
      <c r="EZ53" s="1680">
        <v>0.8</v>
      </c>
      <c r="FA53" s="1683">
        <v>0.8</v>
      </c>
      <c r="FB53" s="1680">
        <v>0.8</v>
      </c>
      <c r="FC53" s="1679">
        <v>0.8</v>
      </c>
      <c r="FD53" s="1680">
        <v>0.8</v>
      </c>
      <c r="FE53" s="1680">
        <v>0.8</v>
      </c>
      <c r="FF53" s="1680">
        <v>0.8</v>
      </c>
      <c r="FG53" s="1683">
        <v>0.8</v>
      </c>
      <c r="FH53" s="1680">
        <v>0.8</v>
      </c>
      <c r="FI53" s="1684">
        <v>0.8</v>
      </c>
      <c r="FJ53" s="1516">
        <v>2</v>
      </c>
      <c r="FK53" s="1673">
        <f t="shared" si="60"/>
        <v>261</v>
      </c>
      <c r="FL53" s="1682">
        <f t="shared" si="4"/>
        <v>0</v>
      </c>
      <c r="FM53" s="1680">
        <f t="shared" si="5"/>
        <v>0</v>
      </c>
      <c r="FN53" s="1680">
        <f t="shared" si="6"/>
        <v>0</v>
      </c>
      <c r="FO53" s="1680">
        <f t="shared" si="7"/>
        <v>0</v>
      </c>
      <c r="FP53" s="1698">
        <f t="shared" si="61"/>
        <v>0.80000000000000016</v>
      </c>
      <c r="FQ53" s="1673">
        <f t="shared" si="62"/>
        <v>0</v>
      </c>
      <c r="FR53" s="1682">
        <f t="shared" si="9"/>
        <v>24</v>
      </c>
      <c r="FS53" s="1680">
        <f t="shared" si="10"/>
        <v>11.400000000000002</v>
      </c>
      <c r="FT53" s="417">
        <f t="shared" si="11"/>
        <v>9.6000000000000014</v>
      </c>
      <c r="FU53" s="1673">
        <f t="shared" si="63"/>
        <v>3180</v>
      </c>
      <c r="FV53" s="1689"/>
      <c r="FW53" s="1543" t="str">
        <f>Begriffe!F259</f>
        <v>- Tiefkühlraum -18°C</v>
      </c>
      <c r="FX53" s="1503"/>
      <c r="FY53" s="1468"/>
      <c r="FZ53" s="1468"/>
      <c r="GA53" s="1504"/>
      <c r="GK53" s="1488" t="s">
        <v>156</v>
      </c>
      <c r="GL53" s="1691">
        <f t="shared" si="53"/>
        <v>0.8</v>
      </c>
      <c r="GM53" s="1691">
        <f t="shared" si="53"/>
        <v>0.6</v>
      </c>
      <c r="GN53" s="1691">
        <f t="shared" si="53"/>
        <v>1</v>
      </c>
      <c r="GO53" s="1691">
        <f t="shared" si="53"/>
        <v>0.8</v>
      </c>
      <c r="GP53" s="1691">
        <f t="shared" si="53"/>
        <v>0.6</v>
      </c>
      <c r="GQ53" s="1691">
        <f t="shared" si="53"/>
        <v>1</v>
      </c>
      <c r="GR53" s="1691">
        <f t="shared" si="53"/>
        <v>0.6</v>
      </c>
      <c r="GS53" s="1691">
        <f t="shared" si="53"/>
        <v>0.6</v>
      </c>
      <c r="GT53" s="1691">
        <f t="shared" si="53"/>
        <v>1</v>
      </c>
      <c r="GU53" s="1691">
        <f t="shared" si="53"/>
        <v>0.8</v>
      </c>
      <c r="GV53" s="1691">
        <f t="shared" si="53"/>
        <v>1</v>
      </c>
      <c r="GW53" s="1691">
        <f t="shared" si="53"/>
        <v>0.6</v>
      </c>
      <c r="GX53" s="55">
        <f t="shared" si="64"/>
        <v>0.78333333333333333</v>
      </c>
      <c r="GZ53" s="1488">
        <v>2</v>
      </c>
      <c r="HB53" s="1256">
        <v>0</v>
      </c>
      <c r="HC53" s="1256">
        <v>0</v>
      </c>
      <c r="HD53" s="1405">
        <v>1</v>
      </c>
      <c r="HE53" s="1405">
        <v>1</v>
      </c>
      <c r="HF53" s="1405">
        <v>1</v>
      </c>
      <c r="HG53" s="1405">
        <v>1</v>
      </c>
      <c r="HH53" s="1405">
        <v>1</v>
      </c>
      <c r="HI53" s="8">
        <v>0</v>
      </c>
      <c r="HJ53" s="8">
        <v>0</v>
      </c>
      <c r="HK53" s="8">
        <v>0</v>
      </c>
      <c r="HL53" s="918">
        <v>3</v>
      </c>
      <c r="HM53" s="1406">
        <f>Hüllzahl!Y53</f>
        <v>0.52941176470588236</v>
      </c>
      <c r="HN53" s="1407">
        <f>(HI53+HJ53*Hüllzahl!Y53)</f>
        <v>0</v>
      </c>
    </row>
    <row r="54" spans="1:222">
      <c r="A54" s="1720">
        <v>12.12</v>
      </c>
      <c r="B54" s="1554" t="s">
        <v>267</v>
      </c>
      <c r="C54" s="1536" t="str">
        <f>Begriffe!F145</f>
        <v>Serverraum</v>
      </c>
      <c r="D54" s="1011">
        <v>4</v>
      </c>
      <c r="E54" s="289">
        <v>5</v>
      </c>
      <c r="F54" s="282">
        <v>3</v>
      </c>
      <c r="G54" s="1518">
        <f t="shared" si="17"/>
        <v>20</v>
      </c>
      <c r="H54" s="1721">
        <f>Hüllzahl!X54</f>
        <v>14.117647058823529</v>
      </c>
      <c r="I54" s="1722">
        <v>0</v>
      </c>
      <c r="J54" s="1412">
        <v>0.75</v>
      </c>
      <c r="K54" s="282">
        <f t="shared" si="0"/>
        <v>0</v>
      </c>
      <c r="L54" s="1011">
        <v>1.2</v>
      </c>
      <c r="M54" s="289">
        <v>0.9</v>
      </c>
      <c r="N54" s="289">
        <v>1.5</v>
      </c>
      <c r="O54" s="1412">
        <v>0.17</v>
      </c>
      <c r="P54" s="289">
        <v>0.1</v>
      </c>
      <c r="Q54" s="289">
        <v>0.8</v>
      </c>
      <c r="R54" s="60">
        <v>0.5</v>
      </c>
      <c r="S54" s="1412">
        <v>0.5</v>
      </c>
      <c r="T54" s="1412">
        <v>0.65</v>
      </c>
      <c r="U54" s="1412">
        <v>0.14000000000000001</v>
      </c>
      <c r="V54" s="1412">
        <v>0.1</v>
      </c>
      <c r="W54" s="1412">
        <v>0.2</v>
      </c>
      <c r="X54" s="60">
        <v>0.7</v>
      </c>
      <c r="Y54" s="60">
        <v>0.9</v>
      </c>
      <c r="Z54" s="60">
        <v>90</v>
      </c>
      <c r="AA54" s="1410">
        <f>'Kälte_TEC-Tool'!J53</f>
        <v>121.3</v>
      </c>
      <c r="AB54" s="1413">
        <v>26</v>
      </c>
      <c r="AC54" s="1414">
        <v>18</v>
      </c>
      <c r="AD54" s="1723" t="s">
        <v>26</v>
      </c>
      <c r="AE54" s="1416"/>
      <c r="AF54" s="1416">
        <v>60</v>
      </c>
      <c r="AG54" s="1724">
        <v>30</v>
      </c>
      <c r="AH54" s="56"/>
      <c r="AI54" s="1416">
        <v>45</v>
      </c>
      <c r="AJ54" s="1725"/>
      <c r="AK54" s="56"/>
      <c r="AL54" s="1426">
        <v>1.2</v>
      </c>
      <c r="AM54" s="1411">
        <v>0.5</v>
      </c>
      <c r="AN54" s="289">
        <v>1</v>
      </c>
      <c r="AO54" s="1421"/>
      <c r="AP54" s="1726">
        <v>100</v>
      </c>
      <c r="AQ54" s="1410">
        <v>50</v>
      </c>
      <c r="AR54" s="1410">
        <v>150</v>
      </c>
      <c r="AS54" s="1410">
        <f t="shared" si="65"/>
        <v>100</v>
      </c>
      <c r="AT54" s="1410">
        <f t="shared" si="65"/>
        <v>50</v>
      </c>
      <c r="AU54" s="1410">
        <f t="shared" si="65"/>
        <v>150</v>
      </c>
      <c r="AV54" s="1727">
        <v>0</v>
      </c>
      <c r="AW54" s="56">
        <v>100</v>
      </c>
      <c r="AX54" s="60">
        <v>0.05</v>
      </c>
      <c r="AY54" s="1410">
        <v>25</v>
      </c>
      <c r="AZ54" s="1728">
        <v>0</v>
      </c>
      <c r="BA54" s="1563">
        <v>0</v>
      </c>
      <c r="BB54" s="1729">
        <v>0</v>
      </c>
      <c r="BC54" s="1730">
        <v>2</v>
      </c>
      <c r="BD54" s="1730">
        <v>3</v>
      </c>
      <c r="BE54" s="1410"/>
      <c r="BF54" s="1410"/>
      <c r="BG54" s="1540"/>
      <c r="BH54" s="1540"/>
      <c r="BI54" s="1565">
        <f>AP54+Res_Std!T50+Res_Std!U50</f>
        <v>106.63105413105413</v>
      </c>
      <c r="BJ54" s="886">
        <v>200</v>
      </c>
      <c r="BK54" s="1731">
        <f t="shared" si="22"/>
        <v>1.8756262106739696</v>
      </c>
      <c r="BL54" s="1538"/>
      <c r="BM54" s="1426"/>
      <c r="BN54" s="289"/>
      <c r="BO54" s="289">
        <v>2</v>
      </c>
      <c r="BP54" s="289">
        <f t="shared" si="3"/>
        <v>2</v>
      </c>
      <c r="BQ54" s="60">
        <v>0</v>
      </c>
      <c r="BR54" s="1521">
        <v>0.15</v>
      </c>
      <c r="BS54" s="1521">
        <v>0.3</v>
      </c>
      <c r="BT54" s="1732" t="str">
        <f>Begriffe!$F$230</f>
        <v>1-stufig</v>
      </c>
      <c r="BU54" s="1732" t="str">
        <f>Begriffe!$F$231</f>
        <v>2-stufig</v>
      </c>
      <c r="BV54" s="1732" t="str">
        <f>Begriffe!$F$230</f>
        <v>1-stufig</v>
      </c>
      <c r="BW54" s="1412">
        <v>0.7</v>
      </c>
      <c r="BX54" s="1412">
        <v>0.8</v>
      </c>
      <c r="BY54" s="1412">
        <v>0.5</v>
      </c>
      <c r="BZ54" s="1412">
        <v>0.75</v>
      </c>
      <c r="CA54" s="1412">
        <v>0.85</v>
      </c>
      <c r="CB54" s="1412">
        <v>0.5</v>
      </c>
      <c r="CC54" s="1523" t="str">
        <f>Begriffe!$F$234</f>
        <v>Einfache Klimaanlage</v>
      </c>
      <c r="CD54" s="1524">
        <v>0.55000000000000004</v>
      </c>
      <c r="CE54" s="1524">
        <v>0.34</v>
      </c>
      <c r="CF54" s="1525">
        <v>0.91</v>
      </c>
      <c r="CG54" s="1526" t="str">
        <f>Begriffe!$F$241</f>
        <v>notwendig</v>
      </c>
      <c r="CH54" s="1526" t="str">
        <f>Begriffe!$F$241</f>
        <v>notwendig</v>
      </c>
      <c r="CI54" s="1526" t="str">
        <f>Begriffe!$F$241</f>
        <v>notwendig</v>
      </c>
      <c r="CJ54" s="1526" t="str">
        <f>Begriffe!$F$241</f>
        <v>notwendig</v>
      </c>
      <c r="CK54" s="1526" t="str">
        <f>Begriffe!$F$241</f>
        <v>notwendig</v>
      </c>
      <c r="CL54" s="1526" t="str">
        <f>Begriffe!$F$241</f>
        <v>notwendig</v>
      </c>
      <c r="CM54" s="1733"/>
      <c r="CN54" s="1734"/>
      <c r="CO54" s="1735"/>
      <c r="CP54" s="1735">
        <v>0.7</v>
      </c>
      <c r="CQ54" s="1735"/>
      <c r="CR54" s="1735"/>
      <c r="CS54" s="1735"/>
      <c r="CT54" s="1736"/>
      <c r="CU54" s="1428"/>
      <c r="CV54" s="1428"/>
      <c r="CW54" s="1410"/>
      <c r="CX54" s="1428"/>
      <c r="CY54" s="61"/>
      <c r="CZ54" s="1564" t="s">
        <v>878</v>
      </c>
      <c r="DA54" s="1726"/>
      <c r="DB54" s="1410"/>
      <c r="DC54" s="1410"/>
      <c r="DD54" s="1423"/>
      <c r="DE54" s="1410"/>
      <c r="DF54" s="1737"/>
      <c r="DG54" s="1730"/>
      <c r="DH54" s="1738">
        <v>0.2</v>
      </c>
      <c r="DI54" s="1738">
        <v>0.4</v>
      </c>
      <c r="DJ54" s="1739">
        <v>0.6</v>
      </c>
      <c r="DK54" s="1738">
        <v>0.8</v>
      </c>
      <c r="DL54" s="1740">
        <v>0.8</v>
      </c>
      <c r="DM54" s="1738">
        <v>0.4</v>
      </c>
      <c r="DN54" s="1738">
        <v>0.6</v>
      </c>
      <c r="DO54" s="1738">
        <v>0.8</v>
      </c>
      <c r="DP54" s="1739">
        <v>0.8</v>
      </c>
      <c r="DQ54" s="1738">
        <v>0.4</v>
      </c>
      <c r="DR54" s="1740">
        <v>0.2</v>
      </c>
      <c r="DS54" s="1730"/>
      <c r="DT54" s="1730"/>
      <c r="DU54" s="1410"/>
      <c r="DV54" s="1423"/>
      <c r="DW54" s="1410"/>
      <c r="DX54" s="1422"/>
      <c r="DY54" s="1741">
        <v>1</v>
      </c>
      <c r="DZ54" s="1738">
        <v>1</v>
      </c>
      <c r="EA54" s="1738">
        <v>1</v>
      </c>
      <c r="EB54" s="1739">
        <v>1</v>
      </c>
      <c r="EC54" s="1738">
        <v>1</v>
      </c>
      <c r="ED54" s="1740">
        <v>1</v>
      </c>
      <c r="EE54" s="1738">
        <v>1</v>
      </c>
      <c r="EF54" s="1738">
        <v>1</v>
      </c>
      <c r="EG54" s="1738">
        <v>1</v>
      </c>
      <c r="EH54" s="1739">
        <v>1</v>
      </c>
      <c r="EI54" s="1738">
        <v>1</v>
      </c>
      <c r="EJ54" s="1740">
        <v>1</v>
      </c>
      <c r="EK54" s="1738">
        <v>1</v>
      </c>
      <c r="EL54" s="1738">
        <v>1</v>
      </c>
      <c r="EM54" s="1738">
        <v>1</v>
      </c>
      <c r="EN54" s="1739">
        <v>1</v>
      </c>
      <c r="EO54" s="1738">
        <v>1</v>
      </c>
      <c r="EP54" s="1740">
        <v>1</v>
      </c>
      <c r="EQ54" s="1738">
        <v>1</v>
      </c>
      <c r="ER54" s="1738">
        <v>1</v>
      </c>
      <c r="ES54" s="1738">
        <v>1</v>
      </c>
      <c r="ET54" s="1739">
        <v>1</v>
      </c>
      <c r="EU54" s="1738">
        <v>1</v>
      </c>
      <c r="EV54" s="1742">
        <v>1</v>
      </c>
      <c r="EW54" s="1741" t="s">
        <v>862</v>
      </c>
      <c r="EX54" s="1741">
        <v>0.8</v>
      </c>
      <c r="EY54" s="1738">
        <v>0.8</v>
      </c>
      <c r="EZ54" s="1738">
        <v>0.8</v>
      </c>
      <c r="FA54" s="1743">
        <v>0.8</v>
      </c>
      <c r="FB54" s="1738">
        <v>0.8</v>
      </c>
      <c r="FC54" s="1740">
        <v>0.8</v>
      </c>
      <c r="FD54" s="1738">
        <v>0.8</v>
      </c>
      <c r="FE54" s="1738">
        <v>0.8</v>
      </c>
      <c r="FF54" s="1738">
        <v>0.8</v>
      </c>
      <c r="FG54" s="1739">
        <v>0.8</v>
      </c>
      <c r="FH54" s="1738">
        <v>0.8</v>
      </c>
      <c r="FI54" s="1738">
        <v>0.8</v>
      </c>
      <c r="FJ54" s="1528">
        <v>0</v>
      </c>
      <c r="FK54" s="1727">
        <f t="shared" si="60"/>
        <v>365</v>
      </c>
      <c r="FL54" s="1741">
        <f t="shared" si="4"/>
        <v>11</v>
      </c>
      <c r="FM54" s="1738">
        <f t="shared" si="5"/>
        <v>6</v>
      </c>
      <c r="FN54" s="1744">
        <f t="shared" si="6"/>
        <v>6</v>
      </c>
      <c r="FO54" s="1730">
        <f t="shared" si="7"/>
        <v>0</v>
      </c>
      <c r="FP54" s="1745">
        <f t="shared" si="61"/>
        <v>0.80000000000000016</v>
      </c>
      <c r="FQ54" s="1730">
        <f t="shared" si="62"/>
        <v>1750</v>
      </c>
      <c r="FR54" s="1741">
        <f t="shared" si="9"/>
        <v>24</v>
      </c>
      <c r="FS54" s="1738">
        <f t="shared" si="10"/>
        <v>24</v>
      </c>
      <c r="FT54" s="1738">
        <f t="shared" si="11"/>
        <v>0</v>
      </c>
      <c r="FU54" s="1727">
        <f t="shared" si="63"/>
        <v>7010</v>
      </c>
      <c r="FV54" s="1746"/>
      <c r="FW54" s="1747"/>
      <c r="FX54" s="1747"/>
      <c r="FY54" s="1748"/>
      <c r="FZ54" s="1445"/>
      <c r="GA54" s="1749"/>
      <c r="GB54" s="1468"/>
      <c r="GC54" s="1468"/>
      <c r="GD54" s="1468"/>
      <c r="GE54" s="10"/>
      <c r="GK54" s="1488" t="s">
        <v>156</v>
      </c>
      <c r="GL54" s="1691">
        <f t="shared" si="53"/>
        <v>0.8</v>
      </c>
      <c r="GM54" s="1691">
        <f t="shared" si="53"/>
        <v>0.6</v>
      </c>
      <c r="GN54" s="1691">
        <f t="shared" si="53"/>
        <v>1</v>
      </c>
      <c r="GO54" s="1691">
        <f t="shared" si="53"/>
        <v>0.8</v>
      </c>
      <c r="GP54" s="1691">
        <f t="shared" si="53"/>
        <v>0.6</v>
      </c>
      <c r="GQ54" s="1691">
        <f t="shared" si="53"/>
        <v>1</v>
      </c>
      <c r="GR54" s="1691">
        <f t="shared" si="53"/>
        <v>0.6</v>
      </c>
      <c r="GS54" s="1691">
        <f t="shared" si="53"/>
        <v>0.6</v>
      </c>
      <c r="GT54" s="1691">
        <f t="shared" si="53"/>
        <v>1</v>
      </c>
      <c r="GU54" s="1691">
        <f t="shared" si="53"/>
        <v>0.8</v>
      </c>
      <c r="GV54" s="1691">
        <f t="shared" si="53"/>
        <v>1</v>
      </c>
      <c r="GW54" s="1691">
        <f t="shared" si="53"/>
        <v>0.6</v>
      </c>
      <c r="GX54" s="55">
        <f t="shared" si="64"/>
        <v>0.78333333333333333</v>
      </c>
      <c r="GZ54" s="1488">
        <v>0</v>
      </c>
      <c r="HB54" s="1256">
        <v>1</v>
      </c>
      <c r="HC54" s="1256">
        <v>1</v>
      </c>
      <c r="HD54" s="1405">
        <v>1</v>
      </c>
      <c r="HE54" s="1405">
        <v>1</v>
      </c>
      <c r="HF54" s="1405">
        <v>1</v>
      </c>
      <c r="HG54" s="1405">
        <v>1</v>
      </c>
      <c r="HH54" s="1405">
        <v>1</v>
      </c>
      <c r="HI54" s="8">
        <v>0</v>
      </c>
      <c r="HJ54" s="8">
        <v>0</v>
      </c>
      <c r="HK54" s="8">
        <v>0</v>
      </c>
      <c r="HL54" s="918">
        <v>3</v>
      </c>
      <c r="HM54" s="1406">
        <f>Hüllzahl!Y54</f>
        <v>0.63529411764705879</v>
      </c>
      <c r="HN54" s="1407">
        <f>(HI54+HJ54*Hüllzahl!Y54)</f>
        <v>0</v>
      </c>
    </row>
    <row r="55" spans="1:222">
      <c r="B55" s="8"/>
      <c r="AB55" s="8"/>
      <c r="AC55" s="8"/>
      <c r="AD55" s="8"/>
      <c r="AE55" s="8"/>
      <c r="AF55" s="8"/>
      <c r="AG55" s="8"/>
      <c r="AH55" s="8"/>
      <c r="AI55" s="8"/>
      <c r="AJ55" s="8"/>
      <c r="BP55" s="8"/>
      <c r="BW55" s="8"/>
      <c r="BX55" s="8"/>
      <c r="BY55" s="8"/>
      <c r="BZ55" s="8"/>
      <c r="CA55" s="8"/>
      <c r="CB55" s="8"/>
      <c r="CW55" s="8"/>
      <c r="CY55" s="8"/>
      <c r="CZ55" s="8"/>
      <c r="EW55" s="8"/>
      <c r="FJ55" s="8"/>
      <c r="FK55" s="8"/>
      <c r="FL55" s="8"/>
      <c r="FM55" s="8"/>
      <c r="FN55" s="8"/>
      <c r="FO55" s="8"/>
      <c r="FP55" s="8"/>
      <c r="FQ55" s="8"/>
      <c r="FR55" s="8"/>
      <c r="FS55" s="8"/>
      <c r="FT55" s="8"/>
      <c r="FU55" s="8"/>
      <c r="HB55" s="8"/>
      <c r="HC55" s="8"/>
      <c r="HD55" s="8"/>
      <c r="HE55" s="8"/>
      <c r="HF55" s="8"/>
      <c r="HG55" s="8"/>
      <c r="HH55" s="8"/>
    </row>
    <row r="56" spans="1:222">
      <c r="FO56" s="1750"/>
    </row>
    <row r="57" spans="1:222">
      <c r="C57" s="1751"/>
    </row>
  </sheetData>
  <sheetProtection password="DFA6" sheet="1" objects="1" scenarios="1"/>
  <phoneticPr fontId="0" type="noConversion"/>
  <pageMargins left="0.70866141732283472" right="0.70866141732283472" top="0.74803149606299213" bottom="0.74803149606299213" header="0.31496062992125984" footer="0.31496062992125984"/>
  <pageSetup paperSize="8" scale="84" fitToWidth="0" orientation="landscape" horizontalDpi="4294967293" verticalDpi="2400" r:id="rId1"/>
  <headerFooter alignWithMargins="0">
    <oddHeader>&amp;R&amp;D</oddHeader>
    <oddFooter>&amp;CSIA 2024, Copyright © 201X by SIA Zurich&amp;R&amp;P/&amp;N</oddFooter>
  </headerFooter>
  <ignoredErrors>
    <ignoredError sqref="BG8:FK42 AH20 BG54:FK54 BG51:DD51 DG51:FK51 BG52:DD52 DG52:FK52 BG53:DC53 DG53:DS53 DV53:FK53 BG44:FK50 BG43:DS43 DU43:FK43" formula="1"/>
    <ignoredError sqref="A52" numberStoredAsText="1"/>
  </ignoredError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filterMode="1">
    <tabColor theme="6"/>
  </sheetPr>
  <dimension ref="A1:IS245"/>
  <sheetViews>
    <sheetView showGridLines="0" showRowColHeaders="0" showZeros="0" zoomScaleNormal="100" zoomScaleSheetLayoutView="100" workbookViewId="0">
      <selection activeCell="D33" sqref="D33"/>
    </sheetView>
  </sheetViews>
  <sheetFormatPr baseColWidth="10" defaultColWidth="11.44140625" defaultRowHeight="13.8"/>
  <cols>
    <col min="1" max="1" width="4.109375" style="10" customWidth="1"/>
    <col min="2" max="2" width="14" style="991" hidden="1" customWidth="1"/>
    <col min="3" max="3" width="12.88671875" style="6" customWidth="1"/>
    <col min="4" max="4" width="12.5546875" style="6" customWidth="1"/>
    <col min="5" max="5" width="14.109375" style="6" customWidth="1"/>
    <col min="6" max="6" width="13.44140625" style="6" customWidth="1"/>
    <col min="7" max="7" width="13" style="6" customWidth="1"/>
    <col min="8" max="8" width="31.5546875" style="6" customWidth="1"/>
    <col min="9" max="9" width="11.5546875" style="11" customWidth="1"/>
    <col min="10" max="10" width="9.44140625" style="11" customWidth="1"/>
    <col min="11" max="11" width="8.6640625" style="11" customWidth="1"/>
    <col min="12" max="12" width="2" style="87" hidden="1" customWidth="1"/>
    <col min="13" max="13" width="16.33203125" style="87" bestFit="1" customWidth="1"/>
    <col min="14" max="14" width="10.44140625" style="86" customWidth="1"/>
    <col min="15" max="15" width="12.6640625" style="86" customWidth="1"/>
    <col min="16" max="16" width="4.44140625" style="991" hidden="1" customWidth="1"/>
    <col min="17" max="17" width="6.109375" style="873" hidden="1" customWidth="1"/>
    <col min="18" max="18" width="5.44140625" style="4" hidden="1" customWidth="1"/>
    <col min="19" max="19" width="10.88671875" style="4" hidden="1" customWidth="1"/>
    <col min="20" max="20" width="9.33203125" style="4" hidden="1" customWidth="1"/>
    <col min="21" max="21" width="9.33203125" style="4" customWidth="1"/>
    <col min="22" max="22" width="7.44140625" style="34" customWidth="1"/>
    <col min="23" max="23" width="8.6640625" style="34" customWidth="1"/>
    <col min="24" max="31" width="7.44140625" style="36" customWidth="1"/>
    <col min="32" max="35" width="7.44140625" style="82" customWidth="1"/>
    <col min="36" max="36" width="6.5546875" style="82" customWidth="1"/>
    <col min="37" max="44" width="7.44140625" style="82" customWidth="1"/>
    <col min="45" max="46" width="7.44140625" style="156" customWidth="1"/>
    <col min="47" max="47" width="7.44140625" style="170" customWidth="1"/>
    <col min="48" max="48" width="6.109375" style="170" customWidth="1"/>
    <col min="49" max="81" width="6.109375" style="118" customWidth="1"/>
    <col min="82" max="104" width="4.5546875" style="118" customWidth="1"/>
    <col min="105" max="106" width="4.5546875" style="119" customWidth="1"/>
    <col min="107" max="139" width="11.44140625" style="119"/>
    <col min="140" max="175" width="11.44140625" style="120"/>
    <col min="176" max="16384" width="11.44140625" style="10"/>
  </cols>
  <sheetData>
    <row r="1" spans="1:175" s="24" customFormat="1" ht="24" customHeight="1">
      <c r="A1" s="222"/>
      <c r="B1" s="1140"/>
      <c r="C1" s="223">
        <v>4</v>
      </c>
      <c r="D1" s="224"/>
      <c r="E1" s="224"/>
      <c r="F1" s="224"/>
      <c r="G1" s="224"/>
      <c r="H1" s="224"/>
      <c r="I1" s="225"/>
      <c r="J1" s="226"/>
      <c r="K1" s="226"/>
      <c r="L1" s="227"/>
      <c r="M1" s="227"/>
      <c r="N1" s="228"/>
      <c r="O1" s="229"/>
      <c r="P1" s="493" t="s">
        <v>799</v>
      </c>
      <c r="Q1" s="22" t="s">
        <v>800</v>
      </c>
      <c r="R1" s="22" t="s">
        <v>801</v>
      </c>
      <c r="S1" s="129"/>
      <c r="T1" s="129"/>
      <c r="U1" s="129"/>
      <c r="V1" s="132"/>
      <c r="W1" s="132"/>
      <c r="X1" s="126"/>
      <c r="Y1" s="126"/>
      <c r="Z1" s="126"/>
      <c r="AA1" s="126"/>
      <c r="AB1" s="126"/>
      <c r="AC1" s="126"/>
      <c r="AD1" s="126"/>
      <c r="AE1" s="126"/>
      <c r="AF1" s="127"/>
      <c r="AG1" s="127"/>
      <c r="AH1" s="127"/>
      <c r="AI1" s="127"/>
      <c r="AJ1" s="127"/>
      <c r="AK1" s="127"/>
      <c r="AL1" s="127"/>
      <c r="AM1" s="127"/>
      <c r="AN1" s="127"/>
      <c r="AO1" s="127"/>
      <c r="AP1" s="127"/>
      <c r="AQ1" s="127"/>
      <c r="AR1" s="127"/>
      <c r="AS1" s="128"/>
      <c r="AT1" s="128"/>
      <c r="AU1" s="151"/>
      <c r="AV1" s="15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2"/>
      <c r="DB1" s="92"/>
      <c r="DC1" s="92"/>
      <c r="DD1" s="92"/>
      <c r="DE1" s="92"/>
      <c r="DF1" s="92"/>
      <c r="DG1" s="92"/>
      <c r="DH1" s="92"/>
      <c r="DI1" s="92"/>
      <c r="DJ1" s="92"/>
      <c r="DK1" s="92"/>
      <c r="DL1" s="92"/>
      <c r="DM1" s="92"/>
      <c r="DN1" s="92"/>
      <c r="DO1" s="92"/>
      <c r="DP1" s="92"/>
      <c r="DQ1" s="92"/>
      <c r="DR1" s="92"/>
      <c r="DS1" s="92"/>
      <c r="DT1" s="92"/>
      <c r="DU1" s="92"/>
      <c r="DV1" s="92"/>
      <c r="DW1" s="92"/>
      <c r="DX1" s="92"/>
      <c r="DY1" s="92"/>
      <c r="DZ1" s="92"/>
      <c r="EA1" s="92"/>
      <c r="EB1" s="92"/>
      <c r="EC1" s="92"/>
      <c r="ED1" s="92"/>
      <c r="EE1" s="92"/>
      <c r="EF1" s="92"/>
      <c r="EG1" s="92"/>
      <c r="EH1" s="92"/>
      <c r="EI1" s="92"/>
      <c r="EJ1" s="93"/>
      <c r="EK1" s="93"/>
      <c r="EL1" s="93"/>
      <c r="EM1" s="93"/>
      <c r="EN1" s="93"/>
      <c r="EO1" s="93"/>
      <c r="EP1" s="93"/>
      <c r="EQ1" s="93"/>
      <c r="ER1" s="93"/>
      <c r="ES1" s="93"/>
      <c r="ET1" s="93"/>
      <c r="EU1" s="93"/>
      <c r="EV1" s="93"/>
      <c r="EW1" s="93"/>
      <c r="EX1" s="93"/>
      <c r="EY1" s="93"/>
      <c r="EZ1" s="93"/>
      <c r="FA1" s="93"/>
      <c r="FB1" s="93"/>
      <c r="FC1" s="93"/>
      <c r="FD1" s="93"/>
      <c r="FE1" s="93"/>
      <c r="FF1" s="93"/>
      <c r="FG1" s="93"/>
      <c r="FH1" s="93"/>
      <c r="FI1" s="93"/>
      <c r="FJ1" s="93"/>
      <c r="FK1" s="93"/>
      <c r="FL1" s="93"/>
      <c r="FM1" s="93"/>
      <c r="FN1" s="93"/>
      <c r="FO1" s="93"/>
      <c r="FP1" s="93"/>
      <c r="FQ1" s="93"/>
      <c r="FR1" s="93"/>
      <c r="FS1" s="93"/>
    </row>
    <row r="2" spans="1:175" s="24" customFormat="1" ht="17.399999999999999">
      <c r="A2" s="189"/>
      <c r="B2" s="1141"/>
      <c r="C2" s="189" t="str">
        <f>INDEX(Eingabedaten!C10:C54,nutzid)</f>
        <v>Empfang, Lobby</v>
      </c>
      <c r="D2" s="189"/>
      <c r="E2" s="189"/>
      <c r="F2" s="189"/>
      <c r="G2" s="189"/>
      <c r="H2" s="189"/>
      <c r="I2" s="197"/>
      <c r="J2" s="191"/>
      <c r="K2" s="191"/>
      <c r="L2" s="192"/>
      <c r="M2" s="192"/>
      <c r="N2" s="193"/>
      <c r="O2" s="1191">
        <f>INDEX(Eingabedaten!A10:A54,nutzid)</f>
        <v>2.2000000000000002</v>
      </c>
      <c r="P2" s="493">
        <v>0</v>
      </c>
      <c r="Q2" s="920">
        <v>1</v>
      </c>
      <c r="R2" s="493">
        <v>0</v>
      </c>
      <c r="S2" s="129"/>
      <c r="T2" s="129"/>
      <c r="U2" s="129"/>
      <c r="V2" s="132"/>
      <c r="W2" s="132"/>
      <c r="X2" s="126"/>
      <c r="Y2" s="126"/>
      <c r="Z2" s="126"/>
      <c r="AA2" s="126"/>
      <c r="AB2" s="126"/>
      <c r="AC2" s="126"/>
      <c r="AD2" s="126"/>
      <c r="AE2" s="126"/>
      <c r="AF2" s="127"/>
      <c r="AG2" s="127"/>
      <c r="AH2" s="127"/>
      <c r="AI2" s="127"/>
      <c r="AJ2" s="127"/>
      <c r="AK2" s="127"/>
      <c r="AL2" s="127"/>
      <c r="AM2" s="127"/>
      <c r="AN2" s="127"/>
      <c r="AO2" s="127"/>
      <c r="AP2" s="127"/>
      <c r="AQ2" s="127"/>
      <c r="AR2" s="127"/>
      <c r="AS2" s="128"/>
      <c r="AT2" s="128"/>
      <c r="AU2" s="151"/>
      <c r="AV2" s="151"/>
      <c r="AW2" s="91"/>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2"/>
      <c r="DB2" s="92"/>
      <c r="DC2" s="92"/>
      <c r="DD2" s="92"/>
      <c r="DE2" s="92"/>
      <c r="DF2" s="92"/>
      <c r="DG2" s="92"/>
      <c r="DH2" s="92"/>
      <c r="DI2" s="92"/>
      <c r="DJ2" s="92"/>
      <c r="DK2" s="92"/>
      <c r="DL2" s="92"/>
      <c r="DM2" s="92"/>
      <c r="DN2" s="92"/>
      <c r="DO2" s="92"/>
      <c r="DP2" s="92"/>
      <c r="DQ2" s="92"/>
      <c r="DR2" s="92"/>
      <c r="DS2" s="92"/>
      <c r="DT2" s="92"/>
      <c r="DU2" s="92"/>
      <c r="DV2" s="92"/>
      <c r="DW2" s="92"/>
      <c r="DX2" s="92"/>
      <c r="DY2" s="92"/>
      <c r="DZ2" s="92"/>
      <c r="EA2" s="92"/>
      <c r="EB2" s="92"/>
      <c r="EC2" s="92"/>
      <c r="ED2" s="92"/>
      <c r="EE2" s="92"/>
      <c r="EF2" s="92"/>
      <c r="EG2" s="92"/>
      <c r="EH2" s="92"/>
      <c r="EI2" s="92"/>
      <c r="EJ2" s="93"/>
      <c r="EK2" s="93"/>
      <c r="EL2" s="93"/>
      <c r="EM2" s="93"/>
      <c r="EN2" s="93"/>
      <c r="EO2" s="93"/>
      <c r="EP2" s="93"/>
      <c r="EQ2" s="93"/>
      <c r="ER2" s="93"/>
      <c r="ES2" s="93"/>
      <c r="ET2" s="93"/>
      <c r="EU2" s="93"/>
      <c r="EV2" s="93"/>
      <c r="EW2" s="93"/>
      <c r="EX2" s="93"/>
      <c r="EY2" s="93"/>
      <c r="EZ2" s="93"/>
      <c r="FA2" s="93"/>
      <c r="FB2" s="93"/>
      <c r="FC2" s="93"/>
      <c r="FD2" s="93"/>
      <c r="FE2" s="93"/>
      <c r="FF2" s="93"/>
      <c r="FG2" s="93"/>
      <c r="FH2" s="93"/>
      <c r="FI2" s="93"/>
      <c r="FJ2" s="93"/>
      <c r="FK2" s="93"/>
      <c r="FL2" s="93"/>
      <c r="FM2" s="93"/>
      <c r="FN2" s="93"/>
      <c r="FO2" s="93"/>
      <c r="FP2" s="93"/>
      <c r="FQ2" s="93"/>
      <c r="FR2" s="93"/>
      <c r="FS2" s="93"/>
    </row>
    <row r="3" spans="1:175" s="41" customFormat="1" ht="1.5" customHeight="1">
      <c r="A3" s="189"/>
      <c r="B3" s="1141"/>
      <c r="C3" s="195"/>
      <c r="D3" s="195"/>
      <c r="E3" s="195"/>
      <c r="F3" s="189"/>
      <c r="G3" s="189"/>
      <c r="H3" s="189"/>
      <c r="I3" s="197"/>
      <c r="J3" s="191"/>
      <c r="K3" s="191"/>
      <c r="L3" s="192"/>
      <c r="M3" s="192"/>
      <c r="N3" s="193"/>
      <c r="O3" s="194"/>
      <c r="P3" s="493">
        <v>0</v>
      </c>
      <c r="Q3" s="989">
        <v>1</v>
      </c>
      <c r="R3" s="493">
        <v>0</v>
      </c>
      <c r="S3" s="13"/>
      <c r="T3" s="13"/>
      <c r="U3" s="13"/>
      <c r="V3" s="125"/>
      <c r="W3" s="125"/>
      <c r="X3" s="150"/>
      <c r="Y3" s="150"/>
      <c r="Z3" s="150"/>
      <c r="AA3" s="150"/>
      <c r="AB3" s="150"/>
      <c r="AC3" s="150"/>
      <c r="AD3" s="150"/>
      <c r="AE3" s="150"/>
      <c r="AF3" s="131"/>
      <c r="AG3" s="131"/>
      <c r="AH3" s="131"/>
      <c r="AI3" s="131"/>
      <c r="AJ3" s="131"/>
      <c r="AK3" s="131"/>
      <c r="AL3" s="131"/>
      <c r="AM3" s="131"/>
      <c r="AN3" s="131"/>
      <c r="AO3" s="131"/>
      <c r="AP3" s="131"/>
      <c r="AQ3" s="131"/>
      <c r="AR3" s="131"/>
      <c r="AS3" s="152"/>
      <c r="AT3" s="152"/>
      <c r="AU3" s="153"/>
      <c r="AV3" s="153"/>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95"/>
      <c r="CG3" s="95"/>
      <c r="CH3" s="95"/>
      <c r="CI3" s="95"/>
      <c r="CJ3" s="95"/>
      <c r="CK3" s="95"/>
      <c r="CL3" s="95"/>
      <c r="CM3" s="95"/>
      <c r="CN3" s="95"/>
      <c r="CO3" s="95"/>
      <c r="CP3" s="95"/>
      <c r="CQ3" s="95"/>
      <c r="CR3" s="95"/>
      <c r="CS3" s="95"/>
      <c r="CT3" s="95"/>
      <c r="CU3" s="95"/>
      <c r="CV3" s="95"/>
      <c r="CW3" s="95"/>
      <c r="CX3" s="95"/>
      <c r="CY3" s="95"/>
      <c r="CZ3" s="95"/>
      <c r="DA3" s="96"/>
      <c r="DB3" s="96"/>
      <c r="DC3" s="96"/>
      <c r="DD3" s="96"/>
      <c r="DE3" s="96"/>
      <c r="DF3" s="96"/>
      <c r="DG3" s="96"/>
      <c r="DH3" s="96"/>
      <c r="DI3" s="96"/>
      <c r="DJ3" s="96"/>
      <c r="DK3" s="96"/>
      <c r="DL3" s="96"/>
      <c r="DM3" s="96"/>
      <c r="DN3" s="96"/>
      <c r="DO3" s="96"/>
      <c r="DP3" s="96"/>
      <c r="DQ3" s="96"/>
      <c r="DR3" s="96"/>
      <c r="DS3" s="96"/>
      <c r="DT3" s="96"/>
      <c r="DU3" s="96"/>
      <c r="DV3" s="96"/>
      <c r="DW3" s="96"/>
      <c r="DX3" s="96"/>
      <c r="DY3" s="96"/>
      <c r="DZ3" s="96"/>
      <c r="EA3" s="96"/>
      <c r="EB3" s="96"/>
      <c r="EC3" s="96"/>
      <c r="ED3" s="96"/>
      <c r="EE3" s="96"/>
      <c r="EF3" s="96"/>
      <c r="EG3" s="96"/>
      <c r="EH3" s="96"/>
      <c r="EI3" s="96"/>
      <c r="EJ3" s="97"/>
      <c r="EK3" s="97"/>
      <c r="EL3" s="97"/>
      <c r="EM3" s="97"/>
      <c r="EN3" s="97"/>
      <c r="EO3" s="97"/>
      <c r="EP3" s="97"/>
      <c r="EQ3" s="97"/>
      <c r="ER3" s="97"/>
      <c r="ES3" s="97"/>
      <c r="ET3" s="97"/>
      <c r="EU3" s="97"/>
      <c r="EV3" s="97"/>
      <c r="EW3" s="97"/>
      <c r="EX3" s="97"/>
      <c r="EY3" s="97"/>
      <c r="EZ3" s="97"/>
      <c r="FA3" s="97"/>
      <c r="FB3" s="97"/>
      <c r="FC3" s="97"/>
      <c r="FD3" s="97"/>
      <c r="FE3" s="97"/>
      <c r="FF3" s="97"/>
      <c r="FG3" s="97"/>
      <c r="FH3" s="97"/>
      <c r="FI3" s="97"/>
      <c r="FJ3" s="97"/>
      <c r="FK3" s="97"/>
      <c r="FL3" s="97"/>
      <c r="FM3" s="97"/>
      <c r="FN3" s="97"/>
      <c r="FO3" s="97"/>
      <c r="FP3" s="97"/>
      <c r="FQ3" s="97"/>
      <c r="FR3" s="97"/>
      <c r="FS3" s="97"/>
    </row>
    <row r="4" spans="1:175" s="15" customFormat="1" ht="15.75" customHeight="1">
      <c r="A4" s="203"/>
      <c r="B4" s="1144"/>
      <c r="C4" s="204"/>
      <c r="D4" s="204"/>
      <c r="E4" s="204"/>
      <c r="F4" s="204"/>
      <c r="G4" s="204"/>
      <c r="H4" s="204"/>
      <c r="I4" s="351" t="str">
        <f>Begriffe!F303</f>
        <v>Symbol</v>
      </c>
      <c r="J4" s="1250" t="str">
        <f>Begriffe!F304</f>
        <v>Einheit</v>
      </c>
      <c r="K4" s="205"/>
      <c r="L4" s="574" t="str">
        <f>Begriffe!F305</f>
        <v>Projektwert</v>
      </c>
      <c r="M4" s="1250" t="str">
        <f>Begriffe!F306</f>
        <v>Standardwert</v>
      </c>
      <c r="N4" s="1251" t="str">
        <f>Begriffe!F221</f>
        <v>Zielwert</v>
      </c>
      <c r="O4" s="1251" t="str">
        <f>Begriffe!F222</f>
        <v>Bestand</v>
      </c>
      <c r="P4" s="493">
        <v>0</v>
      </c>
      <c r="Q4" s="989">
        <v>1</v>
      </c>
      <c r="R4" s="493">
        <v>0</v>
      </c>
      <c r="S4" s="13"/>
      <c r="T4" s="13"/>
      <c r="U4" s="13"/>
      <c r="V4" s="125"/>
      <c r="W4" s="125"/>
      <c r="X4" s="150"/>
      <c r="Y4" s="150"/>
      <c r="Z4" s="150"/>
      <c r="AA4" s="150"/>
      <c r="AB4" s="150"/>
      <c r="AC4" s="150"/>
      <c r="AD4" s="150"/>
      <c r="AE4" s="150"/>
      <c r="AF4" s="131"/>
      <c r="AG4" s="131"/>
      <c r="AH4" s="131"/>
      <c r="AI4" s="131"/>
      <c r="AJ4" s="131"/>
      <c r="AK4" s="131"/>
      <c r="AL4" s="131"/>
      <c r="AM4" s="131"/>
      <c r="AN4" s="131"/>
      <c r="AO4" s="131"/>
      <c r="AP4" s="131"/>
      <c r="AQ4" s="131"/>
      <c r="AR4" s="131"/>
      <c r="AS4" s="152"/>
      <c r="AT4" s="152"/>
      <c r="AU4" s="153"/>
      <c r="AV4" s="153"/>
      <c r="AW4" s="95"/>
      <c r="AX4" s="95"/>
      <c r="AY4" s="95"/>
      <c r="AZ4" s="95"/>
      <c r="BA4" s="95"/>
      <c r="BB4" s="95"/>
      <c r="BC4" s="95"/>
      <c r="BD4" s="95"/>
      <c r="BE4" s="95"/>
      <c r="BF4" s="95"/>
      <c r="BG4" s="95"/>
      <c r="BH4" s="95"/>
      <c r="BI4" s="95"/>
      <c r="BJ4" s="95"/>
      <c r="BK4" s="95"/>
      <c r="BL4" s="95"/>
      <c r="BM4" s="95"/>
      <c r="BN4" s="95"/>
      <c r="BO4" s="95"/>
      <c r="BP4" s="95"/>
      <c r="BQ4" s="95"/>
      <c r="BR4" s="95"/>
      <c r="BS4" s="95"/>
      <c r="BT4" s="95"/>
      <c r="BU4" s="95"/>
      <c r="BV4" s="95"/>
      <c r="BW4" s="95"/>
      <c r="BX4" s="95"/>
      <c r="BY4" s="95"/>
      <c r="BZ4" s="95"/>
      <c r="CA4" s="95"/>
      <c r="CB4" s="95"/>
      <c r="CC4" s="95"/>
      <c r="CD4" s="95"/>
      <c r="CE4" s="95"/>
      <c r="CF4" s="95"/>
      <c r="CG4" s="95"/>
      <c r="CH4" s="95"/>
      <c r="CI4" s="95"/>
      <c r="CJ4" s="95"/>
      <c r="CK4" s="95"/>
      <c r="CL4" s="95"/>
      <c r="CM4" s="95"/>
      <c r="CN4" s="95"/>
      <c r="CO4" s="95"/>
      <c r="CP4" s="95"/>
      <c r="CQ4" s="95"/>
      <c r="CR4" s="95"/>
      <c r="CS4" s="95"/>
      <c r="CT4" s="95"/>
      <c r="CU4" s="95"/>
      <c r="CV4" s="95"/>
      <c r="CW4" s="95"/>
      <c r="CX4" s="95"/>
      <c r="CY4" s="95"/>
      <c r="CZ4" s="95"/>
      <c r="DA4" s="96"/>
      <c r="DB4" s="96"/>
      <c r="DC4" s="96"/>
      <c r="DD4" s="96"/>
      <c r="DE4" s="96"/>
      <c r="DF4" s="96"/>
      <c r="DG4" s="96"/>
      <c r="DH4" s="96"/>
      <c r="DI4" s="96"/>
      <c r="DJ4" s="96"/>
      <c r="DK4" s="96"/>
      <c r="DL4" s="96"/>
      <c r="DM4" s="96"/>
      <c r="DN4" s="96"/>
      <c r="DO4" s="96"/>
      <c r="DP4" s="96"/>
      <c r="DQ4" s="96"/>
      <c r="DR4" s="96"/>
      <c r="DS4" s="96"/>
      <c r="DT4" s="96"/>
      <c r="DU4" s="96"/>
      <c r="DV4" s="96"/>
      <c r="DW4" s="96"/>
      <c r="DX4" s="96"/>
      <c r="DY4" s="96"/>
      <c r="DZ4" s="96"/>
      <c r="EA4" s="96"/>
      <c r="EB4" s="96"/>
      <c r="EC4" s="96"/>
      <c r="ED4" s="96"/>
      <c r="EE4" s="96"/>
      <c r="EF4" s="96"/>
      <c r="EG4" s="96"/>
      <c r="EH4" s="96"/>
      <c r="EI4" s="96"/>
      <c r="EJ4" s="98"/>
      <c r="EK4" s="98"/>
      <c r="EL4" s="98"/>
      <c r="EM4" s="98"/>
      <c r="EN4" s="98"/>
      <c r="EO4" s="98"/>
      <c r="EP4" s="98"/>
      <c r="EQ4" s="98"/>
      <c r="ER4" s="98"/>
      <c r="ES4" s="98"/>
      <c r="ET4" s="98"/>
      <c r="EU4" s="98"/>
      <c r="EV4" s="98"/>
      <c r="EW4" s="98"/>
      <c r="EX4" s="98"/>
      <c r="EY4" s="98"/>
      <c r="EZ4" s="98"/>
      <c r="FA4" s="98"/>
      <c r="FB4" s="98"/>
      <c r="FC4" s="98"/>
      <c r="FD4" s="98"/>
      <c r="FE4" s="98"/>
      <c r="FF4" s="98"/>
      <c r="FG4" s="98"/>
      <c r="FH4" s="98"/>
      <c r="FI4" s="98"/>
      <c r="FJ4" s="98"/>
      <c r="FK4" s="98"/>
      <c r="FL4" s="98"/>
      <c r="FM4" s="98"/>
      <c r="FN4" s="98"/>
      <c r="FO4" s="98"/>
      <c r="FP4" s="98"/>
      <c r="FQ4" s="98"/>
      <c r="FR4" s="98"/>
      <c r="FS4" s="98"/>
    </row>
    <row r="5" spans="1:175" s="18" customFormat="1" ht="18" hidden="1" customHeight="1">
      <c r="A5" s="1810" t="str">
        <f>Begriffe!F196</f>
        <v>Raum</v>
      </c>
      <c r="B5" s="80"/>
      <c r="C5" s="26" t="s">
        <v>215</v>
      </c>
      <c r="D5" s="32"/>
      <c r="E5" s="309"/>
      <c r="F5" s="309"/>
      <c r="G5" s="297" t="s">
        <v>4</v>
      </c>
      <c r="H5" s="297"/>
      <c r="I5" s="27" t="s">
        <v>67</v>
      </c>
      <c r="J5" s="33" t="s">
        <v>3</v>
      </c>
      <c r="K5" s="33"/>
      <c r="L5" s="28"/>
      <c r="M5" s="29">
        <v>-8</v>
      </c>
      <c r="N5" s="28"/>
      <c r="O5" s="28"/>
      <c r="P5" s="989">
        <v>0</v>
      </c>
      <c r="Q5" s="989">
        <v>0</v>
      </c>
      <c r="R5" s="989">
        <v>0</v>
      </c>
      <c r="S5" s="131"/>
      <c r="T5" s="298"/>
      <c r="U5" s="298"/>
      <c r="V5" s="150"/>
      <c r="W5" s="299"/>
      <c r="X5" s="299"/>
      <c r="Y5" s="150"/>
      <c r="Z5" s="299"/>
      <c r="AA5" s="299"/>
      <c r="AB5" s="150"/>
      <c r="AC5" s="299"/>
      <c r="AD5" s="299"/>
      <c r="AE5" s="150"/>
      <c r="AF5" s="150"/>
      <c r="AG5" s="131"/>
      <c r="AH5" s="131"/>
      <c r="AI5" s="131"/>
      <c r="AJ5" s="131"/>
      <c r="AK5" s="131"/>
      <c r="AL5" s="131"/>
      <c r="AM5" s="131"/>
      <c r="AN5" s="152"/>
      <c r="AO5" s="152"/>
      <c r="AP5" s="153"/>
      <c r="AQ5" s="153"/>
      <c r="AR5" s="95"/>
      <c r="AS5" s="95"/>
      <c r="AT5" s="95"/>
      <c r="AU5" s="95"/>
      <c r="AV5" s="95"/>
      <c r="AW5" s="95"/>
      <c r="AX5" s="95"/>
      <c r="AY5" s="95"/>
      <c r="AZ5" s="95"/>
      <c r="BA5" s="95"/>
      <c r="BB5" s="95"/>
      <c r="BC5" s="95"/>
      <c r="BD5" s="95"/>
      <c r="BE5" s="95"/>
      <c r="BF5" s="95"/>
      <c r="BG5" s="95"/>
      <c r="BH5" s="95"/>
      <c r="BI5" s="95"/>
      <c r="BJ5" s="95"/>
      <c r="BK5" s="95"/>
      <c r="BL5" s="95"/>
      <c r="BM5" s="95"/>
      <c r="BN5" s="95"/>
      <c r="BO5" s="95"/>
      <c r="BP5" s="95"/>
      <c r="BQ5" s="95"/>
      <c r="BR5" s="95"/>
      <c r="BS5" s="95"/>
      <c r="BT5" s="95"/>
      <c r="BU5" s="95"/>
      <c r="BV5" s="95"/>
      <c r="BW5" s="95"/>
      <c r="BX5" s="95"/>
      <c r="BY5" s="95"/>
      <c r="BZ5" s="95"/>
      <c r="CA5" s="95"/>
      <c r="CB5" s="95"/>
      <c r="CC5" s="95"/>
      <c r="CD5" s="95"/>
      <c r="CE5" s="95"/>
      <c r="CF5" s="95"/>
      <c r="CG5" s="95"/>
      <c r="CH5" s="95"/>
      <c r="CI5" s="95"/>
      <c r="CJ5" s="95"/>
      <c r="CK5" s="95"/>
      <c r="CL5" s="95"/>
      <c r="CM5" s="95"/>
      <c r="CN5" s="95"/>
      <c r="CO5" s="95"/>
      <c r="CP5" s="95"/>
      <c r="CQ5" s="95"/>
      <c r="CR5" s="95"/>
      <c r="CS5" s="95"/>
      <c r="CT5" s="95"/>
      <c r="CU5" s="95"/>
      <c r="CV5" s="96"/>
      <c r="CW5" s="96"/>
      <c r="CX5" s="96"/>
      <c r="CY5" s="96"/>
      <c r="CZ5" s="96"/>
      <c r="DA5" s="96"/>
      <c r="DB5" s="96"/>
      <c r="DC5" s="96"/>
      <c r="DD5" s="96"/>
      <c r="DE5" s="96"/>
      <c r="DF5" s="96"/>
      <c r="DG5" s="96"/>
      <c r="DH5" s="96"/>
      <c r="DI5" s="96"/>
      <c r="DJ5" s="96"/>
      <c r="DK5" s="96"/>
      <c r="DL5" s="96"/>
      <c r="DM5" s="96"/>
      <c r="DN5" s="96"/>
      <c r="DO5" s="96"/>
      <c r="DP5" s="96"/>
      <c r="DQ5" s="96"/>
      <c r="DR5" s="96"/>
      <c r="DS5" s="96"/>
      <c r="DT5" s="96"/>
      <c r="DU5" s="96"/>
      <c r="DV5" s="96"/>
      <c r="DW5" s="96"/>
      <c r="DX5" s="96"/>
      <c r="DY5" s="96"/>
      <c r="DZ5" s="96"/>
      <c r="EA5" s="96"/>
      <c r="EB5" s="96"/>
      <c r="EC5" s="96"/>
      <c r="ED5" s="96"/>
      <c r="EE5" s="99"/>
      <c r="EF5" s="99"/>
      <c r="EG5" s="99"/>
      <c r="EH5" s="99"/>
      <c r="EI5" s="99"/>
      <c r="EJ5" s="99"/>
      <c r="EK5" s="99"/>
      <c r="EL5" s="99"/>
      <c r="EM5" s="99"/>
      <c r="EN5" s="99"/>
      <c r="EO5" s="99"/>
      <c r="EP5" s="99"/>
      <c r="EQ5" s="99"/>
      <c r="ER5" s="99"/>
      <c r="ES5" s="99"/>
      <c r="ET5" s="99"/>
      <c r="EU5" s="99"/>
      <c r="EV5" s="99"/>
      <c r="EW5" s="99"/>
      <c r="EX5" s="99"/>
      <c r="EY5" s="99"/>
      <c r="EZ5" s="99"/>
      <c r="FA5" s="99"/>
      <c r="FB5" s="99"/>
      <c r="FC5" s="99"/>
      <c r="FD5" s="99"/>
      <c r="FE5" s="99"/>
      <c r="FF5" s="99"/>
      <c r="FG5" s="99"/>
      <c r="FH5" s="99"/>
      <c r="FI5" s="99"/>
      <c r="FJ5" s="99"/>
      <c r="FK5" s="99"/>
      <c r="FL5" s="99"/>
      <c r="FM5" s="99"/>
      <c r="FN5" s="99"/>
    </row>
    <row r="6" spans="1:175" s="18" customFormat="1" ht="18" hidden="1" customHeight="1">
      <c r="A6" s="1808"/>
      <c r="B6" s="80"/>
      <c r="C6" s="26" t="s">
        <v>626</v>
      </c>
      <c r="D6" s="32"/>
      <c r="E6" s="309"/>
      <c r="F6" s="309"/>
      <c r="G6" s="297"/>
      <c r="H6" s="297"/>
      <c r="I6" s="27"/>
      <c r="J6" s="33"/>
      <c r="K6" s="33"/>
      <c r="L6" s="28"/>
      <c r="M6" s="29">
        <f>INDEX(Eingabedaten!$D$10:$HL$54,nutzid,MATCH($C6,Eingabedaten!$D$7:$HL$7,0))</f>
        <v>1</v>
      </c>
      <c r="N6" s="28"/>
      <c r="O6" s="28"/>
      <c r="P6" s="989">
        <v>0</v>
      </c>
      <c r="Q6" s="989">
        <v>0</v>
      </c>
      <c r="R6" s="989">
        <v>0</v>
      </c>
      <c r="S6" s="131"/>
      <c r="T6" s="298"/>
      <c r="U6" s="298"/>
      <c r="V6" s="150"/>
      <c r="W6" s="299"/>
      <c r="X6" s="299"/>
      <c r="Y6" s="150"/>
      <c r="Z6" s="299"/>
      <c r="AA6" s="299"/>
      <c r="AB6" s="150"/>
      <c r="AC6" s="299"/>
      <c r="AD6" s="299"/>
      <c r="AE6" s="150"/>
      <c r="AF6" s="150"/>
      <c r="AG6" s="131"/>
      <c r="AH6" s="131"/>
      <c r="AI6" s="131"/>
      <c r="AJ6" s="131"/>
      <c r="AK6" s="131"/>
      <c r="AL6" s="131"/>
      <c r="AM6" s="131"/>
      <c r="AN6" s="152"/>
      <c r="AO6" s="152"/>
      <c r="AP6" s="153"/>
      <c r="AQ6" s="153"/>
      <c r="AR6" s="95"/>
      <c r="AS6" s="95"/>
      <c r="AT6" s="95"/>
      <c r="AU6" s="95"/>
      <c r="AV6" s="95"/>
      <c r="AW6" s="95"/>
      <c r="AX6" s="95"/>
      <c r="AY6" s="95"/>
      <c r="AZ6" s="95"/>
      <c r="BA6" s="95"/>
      <c r="BB6" s="95"/>
      <c r="BC6" s="95"/>
      <c r="BD6" s="95"/>
      <c r="BE6" s="95"/>
      <c r="BF6" s="95"/>
      <c r="BG6" s="95"/>
      <c r="BH6" s="95"/>
      <c r="BI6" s="95"/>
      <c r="BJ6" s="95"/>
      <c r="BK6" s="95"/>
      <c r="BL6" s="95"/>
      <c r="BM6" s="95"/>
      <c r="BN6" s="95"/>
      <c r="BO6" s="95"/>
      <c r="BP6" s="95"/>
      <c r="BQ6" s="95"/>
      <c r="BR6" s="95"/>
      <c r="BS6" s="95"/>
      <c r="BT6" s="95"/>
      <c r="BU6" s="95"/>
      <c r="BV6" s="95"/>
      <c r="BW6" s="95"/>
      <c r="BX6" s="95"/>
      <c r="BY6" s="95"/>
      <c r="BZ6" s="95"/>
      <c r="CA6" s="95"/>
      <c r="CB6" s="95"/>
      <c r="CC6" s="95"/>
      <c r="CD6" s="95"/>
      <c r="CE6" s="95"/>
      <c r="CF6" s="95"/>
      <c r="CG6" s="95"/>
      <c r="CH6" s="95"/>
      <c r="CI6" s="95"/>
      <c r="CJ6" s="95"/>
      <c r="CK6" s="95"/>
      <c r="CL6" s="95"/>
      <c r="CM6" s="95"/>
      <c r="CN6" s="95"/>
      <c r="CO6" s="95"/>
      <c r="CP6" s="95"/>
      <c r="CQ6" s="95"/>
      <c r="CR6" s="95"/>
      <c r="CS6" s="95"/>
      <c r="CT6" s="95"/>
      <c r="CU6" s="95"/>
      <c r="CV6" s="96"/>
      <c r="CW6" s="96"/>
      <c r="CX6" s="96"/>
      <c r="CY6" s="96"/>
      <c r="CZ6" s="96"/>
      <c r="DA6" s="96"/>
      <c r="DB6" s="96"/>
      <c r="DC6" s="96"/>
      <c r="DD6" s="96"/>
      <c r="DE6" s="96"/>
      <c r="DF6" s="96"/>
      <c r="DG6" s="96"/>
      <c r="DH6" s="96"/>
      <c r="DI6" s="96"/>
      <c r="DJ6" s="96"/>
      <c r="DK6" s="96"/>
      <c r="DL6" s="96"/>
      <c r="DM6" s="96"/>
      <c r="DN6" s="96"/>
      <c r="DO6" s="96"/>
      <c r="DP6" s="96"/>
      <c r="DQ6" s="96"/>
      <c r="DR6" s="96"/>
      <c r="DS6" s="96"/>
      <c r="DT6" s="96"/>
      <c r="DU6" s="96"/>
      <c r="DV6" s="96"/>
      <c r="DW6" s="96"/>
      <c r="DX6" s="96"/>
      <c r="DY6" s="96"/>
      <c r="DZ6" s="96"/>
      <c r="EA6" s="96"/>
      <c r="EB6" s="96"/>
      <c r="EC6" s="96"/>
      <c r="ED6" s="96"/>
      <c r="EE6" s="99"/>
      <c r="EF6" s="99"/>
      <c r="EG6" s="99"/>
      <c r="EH6" s="99"/>
      <c r="EI6" s="99"/>
      <c r="EJ6" s="99"/>
      <c r="EK6" s="99"/>
      <c r="EL6" s="99"/>
      <c r="EM6" s="99"/>
      <c r="EN6" s="99"/>
      <c r="EO6" s="99"/>
      <c r="EP6" s="99"/>
      <c r="EQ6" s="99"/>
      <c r="ER6" s="99"/>
      <c r="ES6" s="99"/>
      <c r="ET6" s="99"/>
      <c r="EU6" s="99"/>
      <c r="EV6" s="99"/>
      <c r="EW6" s="99"/>
      <c r="EX6" s="99"/>
      <c r="EY6" s="99"/>
      <c r="EZ6" s="99"/>
      <c r="FA6" s="99"/>
      <c r="FB6" s="99"/>
      <c r="FC6" s="99"/>
      <c r="FD6" s="99"/>
      <c r="FE6" s="99"/>
      <c r="FF6" s="99"/>
      <c r="FG6" s="99"/>
      <c r="FH6" s="99"/>
      <c r="FI6" s="99"/>
      <c r="FJ6" s="99"/>
      <c r="FK6" s="99"/>
      <c r="FL6" s="99"/>
      <c r="FM6" s="99"/>
      <c r="FN6" s="99"/>
    </row>
    <row r="7" spans="1:175" s="18" customFormat="1" ht="18" customHeight="1">
      <c r="A7" s="1808"/>
      <c r="B7" s="416"/>
      <c r="C7" s="176" t="str">
        <f>Begriffe!F197</f>
        <v>Raumabmessungen</v>
      </c>
      <c r="D7" s="13"/>
      <c r="E7" s="161"/>
      <c r="F7" s="13"/>
      <c r="G7" s="13"/>
      <c r="H7" s="13"/>
      <c r="I7" s="173"/>
      <c r="J7" s="173"/>
      <c r="K7" s="173"/>
      <c r="L7" s="173"/>
      <c r="M7" s="173"/>
      <c r="N7" s="319"/>
      <c r="O7" s="319"/>
      <c r="P7" s="989">
        <v>0</v>
      </c>
      <c r="Q7" s="989">
        <v>1</v>
      </c>
      <c r="R7" s="989">
        <v>0</v>
      </c>
      <c r="S7" s="131"/>
      <c r="T7" s="298"/>
      <c r="U7" s="298"/>
      <c r="V7" s="150"/>
      <c r="W7" s="299"/>
      <c r="X7" s="299"/>
      <c r="Y7" s="150"/>
      <c r="Z7" s="299"/>
      <c r="AA7" s="299"/>
      <c r="AB7" s="150"/>
      <c r="AC7" s="299"/>
      <c r="AD7" s="299"/>
      <c r="AE7" s="150"/>
      <c r="AF7" s="150"/>
      <c r="AG7" s="131"/>
      <c r="AH7" s="131"/>
      <c r="AI7" s="131"/>
      <c r="AJ7" s="131"/>
      <c r="AK7" s="131"/>
      <c r="AL7" s="131"/>
      <c r="AM7" s="131"/>
      <c r="AN7" s="152"/>
      <c r="AO7" s="152"/>
      <c r="AP7" s="153"/>
      <c r="AQ7" s="153"/>
      <c r="AR7" s="95"/>
      <c r="AS7" s="95"/>
      <c r="AT7" s="95"/>
      <c r="AU7" s="95"/>
      <c r="AV7" s="95"/>
      <c r="AW7" s="95"/>
      <c r="AX7" s="95"/>
      <c r="AY7" s="95"/>
      <c r="AZ7" s="95"/>
      <c r="BA7" s="95"/>
      <c r="BB7" s="95"/>
      <c r="BC7" s="95"/>
      <c r="BD7" s="95"/>
      <c r="BE7" s="95"/>
      <c r="BF7" s="95"/>
      <c r="BG7" s="95"/>
      <c r="BH7" s="95"/>
      <c r="BI7" s="95"/>
      <c r="BJ7" s="95"/>
      <c r="BK7" s="95"/>
      <c r="BL7" s="95"/>
      <c r="BM7" s="95"/>
      <c r="BN7" s="95"/>
      <c r="BO7" s="95"/>
      <c r="BP7" s="95"/>
      <c r="BQ7" s="95"/>
      <c r="BR7" s="95"/>
      <c r="BS7" s="95"/>
      <c r="BT7" s="95"/>
      <c r="BU7" s="95"/>
      <c r="BV7" s="95"/>
      <c r="BW7" s="95"/>
      <c r="BX7" s="95"/>
      <c r="BY7" s="95"/>
      <c r="BZ7" s="95"/>
      <c r="CA7" s="95"/>
      <c r="CB7" s="95"/>
      <c r="CC7" s="95"/>
      <c r="CD7" s="95"/>
      <c r="CE7" s="95"/>
      <c r="CF7" s="95"/>
      <c r="CG7" s="95"/>
      <c r="CH7" s="95"/>
      <c r="CI7" s="95"/>
      <c r="CJ7" s="95"/>
      <c r="CK7" s="95"/>
      <c r="CL7" s="95"/>
      <c r="CM7" s="95"/>
      <c r="CN7" s="95"/>
      <c r="CO7" s="95"/>
      <c r="CP7" s="95"/>
      <c r="CQ7" s="95"/>
      <c r="CR7" s="95"/>
      <c r="CS7" s="95"/>
      <c r="CT7" s="95"/>
      <c r="CU7" s="95"/>
      <c r="CV7" s="96"/>
      <c r="CW7" s="96"/>
      <c r="CX7" s="96"/>
      <c r="CY7" s="96"/>
      <c r="CZ7" s="96"/>
      <c r="DA7" s="96"/>
      <c r="DB7" s="96"/>
      <c r="DC7" s="96"/>
      <c r="DD7" s="96"/>
      <c r="DE7" s="96"/>
      <c r="DF7" s="96"/>
      <c r="DG7" s="96"/>
      <c r="DH7" s="96"/>
      <c r="DI7" s="96"/>
      <c r="DJ7" s="96"/>
      <c r="DK7" s="96"/>
      <c r="DL7" s="96"/>
      <c r="DM7" s="96"/>
      <c r="DN7" s="96"/>
      <c r="DO7" s="96"/>
      <c r="DP7" s="96"/>
      <c r="DQ7" s="96"/>
      <c r="DR7" s="96"/>
      <c r="DS7" s="96"/>
      <c r="DT7" s="96"/>
      <c r="DU7" s="96"/>
      <c r="DV7" s="96"/>
      <c r="DW7" s="96"/>
      <c r="DX7" s="96"/>
      <c r="DY7" s="96"/>
      <c r="DZ7" s="96"/>
      <c r="EA7" s="96"/>
      <c r="EB7" s="96"/>
      <c r="EC7" s="96"/>
      <c r="ED7" s="96"/>
      <c r="EE7" s="99"/>
      <c r="EF7" s="99"/>
      <c r="EG7" s="99"/>
      <c r="EH7" s="99"/>
      <c r="EI7" s="99"/>
      <c r="EJ7" s="99"/>
      <c r="EK7" s="99"/>
      <c r="EL7" s="99"/>
      <c r="EM7" s="99"/>
      <c r="EN7" s="99"/>
      <c r="EO7" s="99"/>
      <c r="EP7" s="99"/>
      <c r="EQ7" s="99"/>
      <c r="ER7" s="99"/>
      <c r="ES7" s="99"/>
      <c r="ET7" s="99"/>
      <c r="EU7" s="99"/>
      <c r="EV7" s="99"/>
      <c r="EW7" s="99"/>
      <c r="EX7" s="99"/>
      <c r="EY7" s="99"/>
      <c r="EZ7" s="99"/>
      <c r="FA7" s="99"/>
      <c r="FB7" s="99"/>
      <c r="FC7" s="99"/>
      <c r="FD7" s="99"/>
      <c r="FE7" s="99"/>
      <c r="FF7" s="99"/>
      <c r="FG7" s="99"/>
      <c r="FH7" s="99"/>
      <c r="FI7" s="99"/>
      <c r="FJ7" s="99"/>
      <c r="FK7" s="99"/>
      <c r="FL7" s="99"/>
      <c r="FM7" s="99"/>
      <c r="FN7" s="99"/>
    </row>
    <row r="8" spans="1:175" s="18" customFormat="1" ht="18" customHeight="1">
      <c r="A8" s="1808"/>
      <c r="B8" s="416">
        <v>300</v>
      </c>
      <c r="C8" s="493" t="str">
        <f>VLOOKUP(B8,Begriffe!$A$6:$E$442,Begriffe!$D$1+2)</f>
        <v>Raumlänge</v>
      </c>
      <c r="D8" s="21"/>
      <c r="E8" s="21"/>
      <c r="F8" s="316"/>
      <c r="G8" s="317"/>
      <c r="H8" s="318"/>
      <c r="I8" s="209" t="s">
        <v>701</v>
      </c>
      <c r="J8" s="871" t="s">
        <v>35</v>
      </c>
      <c r="K8" s="871"/>
      <c r="L8" s="1162"/>
      <c r="M8" s="872">
        <f>IF(L8&lt;&gt;"",L8,INDEX(Eingabedaten!$D$10:$CY$54,nutzid,MATCH($C8,Eingabedaten!$D$7:$CY$7,0)))</f>
        <v>12</v>
      </c>
      <c r="N8" s="325"/>
      <c r="O8" s="326"/>
      <c r="P8" s="989">
        <v>0</v>
      </c>
      <c r="Q8" s="989">
        <v>1</v>
      </c>
      <c r="R8" s="989">
        <v>0</v>
      </c>
      <c r="S8" s="131"/>
      <c r="T8" s="298"/>
      <c r="U8" s="298"/>
      <c r="V8" s="150"/>
      <c r="W8" s="299"/>
      <c r="X8" s="299"/>
      <c r="Y8" s="150"/>
      <c r="Z8" s="299"/>
      <c r="AA8" s="299"/>
      <c r="AB8" s="150"/>
      <c r="AC8" s="299"/>
      <c r="AD8" s="299"/>
      <c r="AE8" s="150"/>
      <c r="AF8" s="150"/>
      <c r="AG8" s="131"/>
      <c r="AH8" s="131"/>
      <c r="AI8" s="131"/>
      <c r="AJ8" s="131"/>
      <c r="AK8" s="131"/>
      <c r="AL8" s="131"/>
      <c r="AM8" s="131"/>
      <c r="AN8" s="152"/>
      <c r="AO8" s="152"/>
      <c r="AP8" s="153"/>
      <c r="AQ8" s="153"/>
      <c r="AR8" s="95"/>
      <c r="AS8" s="95"/>
      <c r="AT8" s="95"/>
      <c r="AU8" s="95"/>
      <c r="AV8" s="95"/>
      <c r="AW8" s="95"/>
      <c r="AX8" s="95"/>
      <c r="AY8" s="95"/>
      <c r="AZ8" s="95"/>
      <c r="BA8" s="95"/>
      <c r="BB8" s="95"/>
      <c r="BC8" s="95"/>
      <c r="BD8" s="95"/>
      <c r="BE8" s="95"/>
      <c r="BF8" s="95"/>
      <c r="BG8" s="95"/>
      <c r="BH8" s="95"/>
      <c r="BI8" s="95"/>
      <c r="BJ8" s="95"/>
      <c r="BK8" s="95"/>
      <c r="BL8" s="95"/>
      <c r="BM8" s="95"/>
      <c r="BN8" s="95"/>
      <c r="BO8" s="95"/>
      <c r="BP8" s="95"/>
      <c r="BQ8" s="95"/>
      <c r="BR8" s="95"/>
      <c r="BS8" s="95"/>
      <c r="BT8" s="95"/>
      <c r="BU8" s="95"/>
      <c r="BV8" s="95"/>
      <c r="BW8" s="95"/>
      <c r="BX8" s="95"/>
      <c r="BY8" s="95"/>
      <c r="BZ8" s="95"/>
      <c r="CA8" s="95"/>
      <c r="CB8" s="95"/>
      <c r="CC8" s="95"/>
      <c r="CD8" s="95"/>
      <c r="CE8" s="95"/>
      <c r="CF8" s="95"/>
      <c r="CG8" s="95"/>
      <c r="CH8" s="95"/>
      <c r="CI8" s="95"/>
      <c r="CJ8" s="95"/>
      <c r="CK8" s="95"/>
      <c r="CL8" s="95"/>
      <c r="CM8" s="95"/>
      <c r="CN8" s="95"/>
      <c r="CO8" s="95"/>
      <c r="CP8" s="95"/>
      <c r="CQ8" s="95"/>
      <c r="CR8" s="95"/>
      <c r="CS8" s="95"/>
      <c r="CT8" s="95"/>
      <c r="CU8" s="95"/>
      <c r="CV8" s="96"/>
      <c r="CW8" s="96"/>
      <c r="CX8" s="96"/>
      <c r="CY8" s="96"/>
      <c r="CZ8" s="96"/>
      <c r="DA8" s="96"/>
      <c r="DB8" s="96"/>
      <c r="DC8" s="96"/>
      <c r="DD8" s="96"/>
      <c r="DE8" s="96"/>
      <c r="DF8" s="96"/>
      <c r="DG8" s="96"/>
      <c r="DH8" s="96"/>
      <c r="DI8" s="96"/>
      <c r="DJ8" s="96"/>
      <c r="DK8" s="96"/>
      <c r="DL8" s="96"/>
      <c r="DM8" s="96"/>
      <c r="DN8" s="96"/>
      <c r="DO8" s="96"/>
      <c r="DP8" s="96"/>
      <c r="DQ8" s="96"/>
      <c r="DR8" s="96"/>
      <c r="DS8" s="96"/>
      <c r="DT8" s="96"/>
      <c r="DU8" s="96"/>
      <c r="DV8" s="96"/>
      <c r="DW8" s="96"/>
      <c r="DX8" s="96"/>
      <c r="DY8" s="96"/>
      <c r="DZ8" s="96"/>
      <c r="EA8" s="96"/>
      <c r="EB8" s="96"/>
      <c r="EC8" s="96"/>
      <c r="ED8" s="96"/>
      <c r="EE8" s="99"/>
      <c r="EF8" s="99"/>
      <c r="EG8" s="99"/>
      <c r="EH8" s="99"/>
      <c r="EI8" s="99"/>
      <c r="EJ8" s="99"/>
      <c r="EK8" s="99"/>
      <c r="EL8" s="99"/>
      <c r="EM8" s="99"/>
      <c r="EN8" s="99"/>
      <c r="EO8" s="99"/>
      <c r="EP8" s="99"/>
      <c r="EQ8" s="99"/>
      <c r="ER8" s="99"/>
      <c r="ES8" s="99"/>
      <c r="ET8" s="99"/>
      <c r="EU8" s="99"/>
      <c r="EV8" s="99"/>
      <c r="EW8" s="99"/>
      <c r="EX8" s="99"/>
      <c r="EY8" s="99"/>
      <c r="EZ8" s="99"/>
      <c r="FA8" s="99"/>
      <c r="FB8" s="99"/>
      <c r="FC8" s="99"/>
      <c r="FD8" s="99"/>
      <c r="FE8" s="99"/>
      <c r="FF8" s="99"/>
      <c r="FG8" s="99"/>
      <c r="FH8" s="99"/>
      <c r="FI8" s="99"/>
      <c r="FJ8" s="99"/>
      <c r="FK8" s="99"/>
      <c r="FL8" s="99"/>
      <c r="FM8" s="99"/>
      <c r="FN8" s="99"/>
    </row>
    <row r="9" spans="1:175" s="18" customFormat="1" ht="18" customHeight="1">
      <c r="A9" s="1808"/>
      <c r="B9" s="416">
        <v>301</v>
      </c>
      <c r="C9" s="493" t="str">
        <f>VLOOKUP(B9,Begriffe!$A$6:$E$442,Begriffe!$D$1+2)</f>
        <v>Raumtiefe</v>
      </c>
      <c r="D9" s="21"/>
      <c r="E9" s="21"/>
      <c r="I9" s="209" t="s">
        <v>702</v>
      </c>
      <c r="J9" s="871" t="s">
        <v>35</v>
      </c>
      <c r="K9" s="871"/>
      <c r="L9" s="1162"/>
      <c r="M9" s="872">
        <f>IF(L9&lt;&gt;"",L9,INDEX(Eingabedaten!$D$10:$CY$54,nutzid,MATCH($C9,Eingabedaten!$D$7:$CY$7,0)))</f>
        <v>12</v>
      </c>
      <c r="N9" s="325"/>
      <c r="O9" s="326"/>
      <c r="P9" s="989">
        <v>0</v>
      </c>
      <c r="Q9" s="989">
        <v>1</v>
      </c>
      <c r="R9" s="989">
        <v>0</v>
      </c>
      <c r="S9" s="131"/>
      <c r="T9" s="298"/>
      <c r="U9" s="298"/>
      <c r="V9" s="150"/>
      <c r="W9" s="299"/>
      <c r="X9" s="299"/>
      <c r="Y9" s="150"/>
      <c r="Z9" s="299"/>
      <c r="AA9" s="299"/>
      <c r="AB9" s="150"/>
      <c r="AC9" s="299"/>
      <c r="AD9" s="299"/>
      <c r="AE9" s="150"/>
      <c r="AF9" s="150"/>
      <c r="AG9" s="131"/>
      <c r="AH9" s="131"/>
      <c r="AI9" s="131"/>
      <c r="AJ9" s="131"/>
      <c r="AK9" s="131"/>
      <c r="AL9" s="131"/>
      <c r="AM9" s="131"/>
      <c r="AN9" s="152"/>
      <c r="AO9" s="152"/>
      <c r="AP9" s="153"/>
      <c r="AQ9" s="153"/>
      <c r="AR9" s="95"/>
      <c r="AS9" s="95"/>
      <c r="AT9" s="95"/>
      <c r="AU9" s="95"/>
      <c r="AV9" s="95"/>
      <c r="AW9" s="95"/>
      <c r="AX9" s="95"/>
      <c r="AY9" s="95"/>
      <c r="AZ9" s="95"/>
      <c r="BA9" s="95"/>
      <c r="BB9" s="95"/>
      <c r="BC9" s="95"/>
      <c r="BD9" s="95"/>
      <c r="BE9" s="95"/>
      <c r="BF9" s="95"/>
      <c r="BG9" s="95"/>
      <c r="BH9" s="95"/>
      <c r="BI9" s="95"/>
      <c r="BJ9" s="95"/>
      <c r="BK9" s="95"/>
      <c r="BL9" s="95"/>
      <c r="BM9" s="95"/>
      <c r="BN9" s="95"/>
      <c r="BO9" s="95"/>
      <c r="BP9" s="95"/>
      <c r="BQ9" s="95"/>
      <c r="BR9" s="95"/>
      <c r="BS9" s="95"/>
      <c r="BT9" s="95"/>
      <c r="BU9" s="95"/>
      <c r="BV9" s="95"/>
      <c r="BW9" s="95"/>
      <c r="BX9" s="95"/>
      <c r="BY9" s="95"/>
      <c r="BZ9" s="95"/>
      <c r="CA9" s="95"/>
      <c r="CB9" s="95"/>
      <c r="CC9" s="95"/>
      <c r="CD9" s="95"/>
      <c r="CE9" s="95"/>
      <c r="CF9" s="95"/>
      <c r="CG9" s="95"/>
      <c r="CH9" s="95"/>
      <c r="CI9" s="95"/>
      <c r="CJ9" s="95"/>
      <c r="CK9" s="95"/>
      <c r="CL9" s="95"/>
      <c r="CM9" s="95"/>
      <c r="CN9" s="95"/>
      <c r="CO9" s="95"/>
      <c r="CP9" s="95"/>
      <c r="CQ9" s="95"/>
      <c r="CR9" s="95"/>
      <c r="CS9" s="95"/>
      <c r="CT9" s="95"/>
      <c r="CU9" s="95"/>
      <c r="CV9" s="96"/>
      <c r="CW9" s="96"/>
      <c r="CX9" s="96"/>
      <c r="CY9" s="96"/>
      <c r="CZ9" s="96"/>
      <c r="DA9" s="96"/>
      <c r="DB9" s="96"/>
      <c r="DC9" s="96"/>
      <c r="DD9" s="96"/>
      <c r="DE9" s="96"/>
      <c r="DF9" s="96"/>
      <c r="DG9" s="96"/>
      <c r="DH9" s="96"/>
      <c r="DI9" s="96"/>
      <c r="DJ9" s="96"/>
      <c r="DK9" s="96"/>
      <c r="DL9" s="96"/>
      <c r="DM9" s="96"/>
      <c r="DN9" s="96"/>
      <c r="DO9" s="96"/>
      <c r="DP9" s="96"/>
      <c r="DQ9" s="96"/>
      <c r="DR9" s="96"/>
      <c r="DS9" s="96"/>
      <c r="DT9" s="96"/>
      <c r="DU9" s="96"/>
      <c r="DV9" s="96"/>
      <c r="DW9" s="96"/>
      <c r="DX9" s="96"/>
      <c r="DY9" s="96"/>
      <c r="DZ9" s="96"/>
      <c r="EA9" s="96"/>
      <c r="EB9" s="96"/>
      <c r="EC9" s="96"/>
      <c r="ED9" s="96"/>
      <c r="EE9" s="99"/>
      <c r="EF9" s="99"/>
      <c r="EG9" s="99"/>
      <c r="EH9" s="99"/>
      <c r="EI9" s="99"/>
      <c r="EJ9" s="99"/>
      <c r="EK9" s="99"/>
      <c r="EL9" s="99"/>
      <c r="EM9" s="99"/>
      <c r="EN9" s="99"/>
      <c r="EO9" s="99"/>
      <c r="EP9" s="99"/>
      <c r="EQ9" s="99"/>
      <c r="ER9" s="99"/>
      <c r="ES9" s="99"/>
      <c r="ET9" s="99"/>
      <c r="EU9" s="99"/>
      <c r="EV9" s="99"/>
      <c r="EW9" s="99"/>
      <c r="EX9" s="99"/>
      <c r="EY9" s="99"/>
      <c r="EZ9" s="99"/>
      <c r="FA9" s="99"/>
      <c r="FB9" s="99"/>
      <c r="FC9" s="99"/>
      <c r="FD9" s="99"/>
      <c r="FE9" s="99"/>
      <c r="FF9" s="99"/>
      <c r="FG9" s="99"/>
      <c r="FH9" s="99"/>
      <c r="FI9" s="99"/>
      <c r="FJ9" s="99"/>
      <c r="FK9" s="99"/>
      <c r="FL9" s="99"/>
      <c r="FM9" s="99"/>
      <c r="FN9" s="99"/>
    </row>
    <row r="10" spans="1:175" s="18" customFormat="1" ht="18" customHeight="1">
      <c r="A10" s="1808"/>
      <c r="B10" s="416">
        <v>302</v>
      </c>
      <c r="C10" s="493" t="str">
        <f>VLOOKUP(B10,Begriffe!$A$6:$E$442,Begriffe!$D$1+2)</f>
        <v>Raumhöhe</v>
      </c>
      <c r="D10" s="21"/>
      <c r="E10" s="21"/>
      <c r="H10" s="318"/>
      <c r="I10" s="209" t="s">
        <v>647</v>
      </c>
      <c r="J10" s="871" t="s">
        <v>35</v>
      </c>
      <c r="K10" s="871"/>
      <c r="L10" s="1162"/>
      <c r="M10" s="872">
        <f>IF(L10&lt;&gt;"",L10,INDEX(Eingabedaten!$D$10:$CY$54,nutzid,MATCH($C10,Eingabedaten!$D$7:$CY$7,0)))</f>
        <v>4</v>
      </c>
      <c r="N10" s="325"/>
      <c r="O10" s="326"/>
      <c r="P10" s="989">
        <v>0</v>
      </c>
      <c r="Q10" s="989">
        <v>1</v>
      </c>
      <c r="R10" s="989">
        <v>0</v>
      </c>
      <c r="S10" s="131"/>
      <c r="T10" s="298"/>
      <c r="U10" s="298"/>
      <c r="V10" s="150"/>
      <c r="W10" s="299"/>
      <c r="X10" s="299"/>
      <c r="Y10" s="150"/>
      <c r="Z10" s="299"/>
      <c r="AA10" s="299"/>
      <c r="AB10" s="150"/>
      <c r="AC10" s="299"/>
      <c r="AD10" s="299"/>
      <c r="AE10" s="150"/>
      <c r="AF10" s="150"/>
      <c r="AG10" s="131"/>
      <c r="AH10" s="131"/>
      <c r="AI10" s="131"/>
      <c r="AJ10" s="131"/>
      <c r="AK10" s="131"/>
      <c r="AL10" s="131"/>
      <c r="AM10" s="131"/>
      <c r="AN10" s="152"/>
      <c r="AO10" s="152"/>
      <c r="AP10" s="153"/>
      <c r="AQ10" s="153"/>
      <c r="AR10" s="95"/>
      <c r="AS10" s="95"/>
      <c r="AT10" s="95"/>
      <c r="AU10" s="95"/>
      <c r="AV10" s="95"/>
      <c r="AW10" s="95"/>
      <c r="AX10" s="95"/>
      <c r="AY10" s="95"/>
      <c r="AZ10" s="95"/>
      <c r="BA10" s="95"/>
      <c r="BB10" s="95"/>
      <c r="BC10" s="95"/>
      <c r="BD10" s="95"/>
      <c r="BE10" s="95"/>
      <c r="BF10" s="95"/>
      <c r="BG10" s="95"/>
      <c r="BH10" s="95"/>
      <c r="BI10" s="95"/>
      <c r="BJ10" s="95"/>
      <c r="BK10" s="95"/>
      <c r="BL10" s="95"/>
      <c r="BM10" s="95"/>
      <c r="BN10" s="95"/>
      <c r="BO10" s="95"/>
      <c r="BP10" s="95"/>
      <c r="BQ10" s="95"/>
      <c r="BR10" s="95"/>
      <c r="BS10" s="95"/>
      <c r="BT10" s="95"/>
      <c r="BU10" s="95"/>
      <c r="BV10" s="95"/>
      <c r="BW10" s="95"/>
      <c r="BX10" s="95"/>
      <c r="BY10" s="95"/>
      <c r="BZ10" s="95"/>
      <c r="CA10" s="95"/>
      <c r="CB10" s="95"/>
      <c r="CC10" s="95"/>
      <c r="CD10" s="95"/>
      <c r="CE10" s="95"/>
      <c r="CF10" s="95"/>
      <c r="CG10" s="95"/>
      <c r="CH10" s="95"/>
      <c r="CI10" s="95"/>
      <c r="CJ10" s="95"/>
      <c r="CK10" s="95"/>
      <c r="CL10" s="95"/>
      <c r="CM10" s="95"/>
      <c r="CN10" s="95"/>
      <c r="CO10" s="95"/>
      <c r="CP10" s="95"/>
      <c r="CQ10" s="95"/>
      <c r="CR10" s="95"/>
      <c r="CS10" s="95"/>
      <c r="CT10" s="95"/>
      <c r="CU10" s="95"/>
      <c r="CV10" s="96"/>
      <c r="CW10" s="96"/>
      <c r="CX10" s="96"/>
      <c r="CY10" s="96"/>
      <c r="CZ10" s="96"/>
      <c r="DA10" s="96"/>
      <c r="DB10" s="96"/>
      <c r="DC10" s="96"/>
      <c r="DD10" s="96"/>
      <c r="DE10" s="96"/>
      <c r="DF10" s="96"/>
      <c r="DG10" s="96"/>
      <c r="DH10" s="96"/>
      <c r="DI10" s="96"/>
      <c r="DJ10" s="96"/>
      <c r="DK10" s="96"/>
      <c r="DL10" s="96"/>
      <c r="DM10" s="96"/>
      <c r="DN10" s="96"/>
      <c r="DO10" s="96"/>
      <c r="DP10" s="96"/>
      <c r="DQ10" s="96"/>
      <c r="DR10" s="96"/>
      <c r="DS10" s="96"/>
      <c r="DT10" s="96"/>
      <c r="DU10" s="96"/>
      <c r="DV10" s="96"/>
      <c r="DW10" s="96"/>
      <c r="DX10" s="96"/>
      <c r="DY10" s="96"/>
      <c r="DZ10" s="96"/>
      <c r="EA10" s="96"/>
      <c r="EB10" s="96"/>
      <c r="EC10" s="96"/>
      <c r="ED10" s="96"/>
      <c r="EE10" s="99"/>
      <c r="EF10" s="99"/>
      <c r="EG10" s="99"/>
      <c r="EH10" s="99"/>
      <c r="EI10" s="99"/>
      <c r="EJ10" s="99"/>
      <c r="EK10" s="99"/>
      <c r="EL10" s="99"/>
      <c r="EM10" s="99"/>
      <c r="EN10" s="99"/>
      <c r="EO10" s="99"/>
      <c r="EP10" s="99"/>
      <c r="EQ10" s="99"/>
      <c r="ER10" s="99"/>
      <c r="ES10" s="99"/>
      <c r="ET10" s="99"/>
      <c r="EU10" s="99"/>
      <c r="EV10" s="99"/>
      <c r="EW10" s="99"/>
      <c r="EX10" s="99"/>
      <c r="EY10" s="99"/>
      <c r="EZ10" s="99"/>
      <c r="FA10" s="99"/>
      <c r="FB10" s="99"/>
      <c r="FC10" s="99"/>
      <c r="FD10" s="99"/>
      <c r="FE10" s="99"/>
      <c r="FF10" s="99"/>
      <c r="FG10" s="99"/>
      <c r="FH10" s="99"/>
      <c r="FI10" s="99"/>
      <c r="FJ10" s="99"/>
      <c r="FK10" s="99"/>
      <c r="FL10" s="99"/>
      <c r="FM10" s="99"/>
      <c r="FN10" s="99"/>
    </row>
    <row r="11" spans="1:175" s="18" customFormat="1" ht="18" customHeight="1">
      <c r="A11" s="1808"/>
      <c r="B11" s="416">
        <v>303</v>
      </c>
      <c r="C11" s="493" t="str">
        <f>VLOOKUP(B11,Begriffe!$A$6:$E$442,Begriffe!$D$1+2)</f>
        <v>Nettogeschossfläche</v>
      </c>
      <c r="D11" s="19"/>
      <c r="H11" s="318"/>
      <c r="I11" s="209" t="s">
        <v>703</v>
      </c>
      <c r="J11" s="871" t="s">
        <v>646</v>
      </c>
      <c r="K11" s="871"/>
      <c r="L11" s="1163"/>
      <c r="M11" s="989">
        <f>M8*M9</f>
        <v>144</v>
      </c>
      <c r="N11" s="325"/>
      <c r="O11" s="326"/>
      <c r="P11" s="989">
        <v>1</v>
      </c>
      <c r="Q11" s="989">
        <v>1</v>
      </c>
      <c r="R11" s="989">
        <v>0</v>
      </c>
      <c r="S11" s="131"/>
      <c r="T11" s="298"/>
      <c r="U11" s="298"/>
      <c r="V11" s="150"/>
      <c r="W11" s="299"/>
      <c r="X11" s="299"/>
      <c r="Y11" s="150"/>
      <c r="Z11" s="299"/>
      <c r="AA11" s="299"/>
      <c r="AB11" s="150"/>
      <c r="AC11" s="299"/>
      <c r="AD11" s="299"/>
      <c r="AE11" s="150"/>
      <c r="AF11" s="150"/>
      <c r="AG11" s="131"/>
      <c r="AH11" s="131"/>
      <c r="AI11" s="131"/>
      <c r="AJ11" s="131"/>
      <c r="AK11" s="131"/>
      <c r="AL11" s="131"/>
      <c r="AM11" s="131"/>
      <c r="AN11" s="152"/>
      <c r="AO11" s="152"/>
      <c r="AP11" s="153"/>
      <c r="AQ11" s="153"/>
      <c r="AR11" s="95"/>
      <c r="AS11" s="95"/>
      <c r="AT11" s="95"/>
      <c r="AU11" s="95"/>
      <c r="AV11" s="95"/>
      <c r="AW11" s="95"/>
      <c r="AX11" s="95"/>
      <c r="AY11" s="95"/>
      <c r="AZ11" s="95"/>
      <c r="BA11" s="95"/>
      <c r="BB11" s="95"/>
      <c r="BC11" s="95"/>
      <c r="BD11" s="95"/>
      <c r="BE11" s="95"/>
      <c r="BF11" s="95"/>
      <c r="BG11" s="95"/>
      <c r="BH11" s="95"/>
      <c r="BI11" s="95"/>
      <c r="BJ11" s="95"/>
      <c r="BK11" s="95"/>
      <c r="BL11" s="95"/>
      <c r="BM11" s="95"/>
      <c r="BN11" s="95"/>
      <c r="BO11" s="95"/>
      <c r="BP11" s="95"/>
      <c r="BQ11" s="95"/>
      <c r="BR11" s="95"/>
      <c r="BS11" s="95"/>
      <c r="BT11" s="95"/>
      <c r="BU11" s="95"/>
      <c r="BV11" s="95"/>
      <c r="BW11" s="95"/>
      <c r="BX11" s="95"/>
      <c r="BY11" s="95"/>
      <c r="BZ11" s="95"/>
      <c r="CA11" s="95"/>
      <c r="CB11" s="95"/>
      <c r="CC11" s="95"/>
      <c r="CD11" s="95"/>
      <c r="CE11" s="95"/>
      <c r="CF11" s="95"/>
      <c r="CG11" s="95"/>
      <c r="CH11" s="95"/>
      <c r="CI11" s="95"/>
      <c r="CJ11" s="95"/>
      <c r="CK11" s="95"/>
      <c r="CL11" s="95"/>
      <c r="CM11" s="95"/>
      <c r="CN11" s="95"/>
      <c r="CO11" s="95"/>
      <c r="CP11" s="95"/>
      <c r="CQ11" s="95"/>
      <c r="CR11" s="95"/>
      <c r="CS11" s="95"/>
      <c r="CT11" s="95"/>
      <c r="CU11" s="95"/>
      <c r="CV11" s="96"/>
      <c r="CW11" s="96"/>
      <c r="CX11" s="96"/>
      <c r="CY11" s="96"/>
      <c r="CZ11" s="96"/>
      <c r="DA11" s="96"/>
      <c r="DB11" s="96"/>
      <c r="DC11" s="96"/>
      <c r="DD11" s="96"/>
      <c r="DE11" s="96"/>
      <c r="DF11" s="96"/>
      <c r="DG11" s="96"/>
      <c r="DH11" s="96"/>
      <c r="DI11" s="96"/>
      <c r="DJ11" s="96"/>
      <c r="DK11" s="96"/>
      <c r="DL11" s="96"/>
      <c r="DM11" s="96"/>
      <c r="DN11" s="96"/>
      <c r="DO11" s="96"/>
      <c r="DP11" s="96"/>
      <c r="DQ11" s="96"/>
      <c r="DR11" s="96"/>
      <c r="DS11" s="96"/>
      <c r="DT11" s="96"/>
      <c r="DU11" s="96"/>
      <c r="DV11" s="96"/>
      <c r="DW11" s="96"/>
      <c r="DX11" s="96"/>
      <c r="DY11" s="96"/>
      <c r="DZ11" s="96"/>
      <c r="EA11" s="96"/>
      <c r="EB11" s="96"/>
      <c r="EC11" s="96"/>
      <c r="ED11" s="96"/>
      <c r="EE11" s="99"/>
      <c r="EF11" s="99"/>
      <c r="EG11" s="99"/>
      <c r="EH11" s="99"/>
      <c r="EI11" s="99"/>
      <c r="EJ11" s="99"/>
      <c r="EK11" s="99"/>
      <c r="EL11" s="99"/>
      <c r="EM11" s="99"/>
      <c r="EN11" s="99"/>
      <c r="EO11" s="99"/>
      <c r="EP11" s="99"/>
      <c r="EQ11" s="99"/>
      <c r="ER11" s="99"/>
      <c r="ES11" s="99"/>
      <c r="ET11" s="99"/>
      <c r="EU11" s="99"/>
      <c r="EV11" s="99"/>
      <c r="EW11" s="99"/>
      <c r="EX11" s="99"/>
      <c r="EY11" s="99"/>
      <c r="EZ11" s="99"/>
      <c r="FA11" s="99"/>
      <c r="FB11" s="99"/>
      <c r="FC11" s="99"/>
      <c r="FD11" s="99"/>
      <c r="FE11" s="99"/>
      <c r="FF11" s="99"/>
      <c r="FG11" s="99"/>
      <c r="FH11" s="99"/>
      <c r="FI11" s="99"/>
      <c r="FJ11" s="99"/>
      <c r="FK11" s="99"/>
      <c r="FL11" s="99"/>
      <c r="FM11" s="99"/>
      <c r="FN11" s="99"/>
    </row>
    <row r="12" spans="1:175" s="18" customFormat="1" ht="18" customHeight="1">
      <c r="A12" s="1808"/>
      <c r="B12" s="416">
        <v>171</v>
      </c>
      <c r="C12" s="493" t="str">
        <f>VLOOKUP(B12,Begriffe!$A$6:$E$442,Begriffe!$D$1+2)</f>
        <v>Thermische Gebäudehüllfläche</v>
      </c>
      <c r="D12" s="581"/>
      <c r="I12" s="209" t="s">
        <v>704</v>
      </c>
      <c r="J12" s="871" t="s">
        <v>646</v>
      </c>
      <c r="K12" s="871"/>
      <c r="L12" s="1164"/>
      <c r="M12" s="1157">
        <f>IF(L12&lt;&gt;"",L12,INDEX(Eingabedaten!$D$10:$CY$54,nutzid,MATCH($C12,Eingabedaten!$D$7:$CY$7,0)))</f>
        <v>112.94117647058823</v>
      </c>
      <c r="N12" s="579"/>
      <c r="O12" s="580"/>
      <c r="P12" s="989">
        <v>0</v>
      </c>
      <c r="Q12" s="989">
        <v>1</v>
      </c>
      <c r="R12" s="989">
        <v>0</v>
      </c>
      <c r="S12" s="131"/>
      <c r="T12" s="298"/>
      <c r="U12" s="298"/>
      <c r="V12" s="150"/>
      <c r="W12" s="299"/>
      <c r="X12" s="299"/>
      <c r="Y12" s="150"/>
      <c r="Z12" s="299"/>
      <c r="AA12" s="299"/>
      <c r="AB12" s="150"/>
      <c r="AC12" s="299"/>
      <c r="AD12" s="299"/>
      <c r="AE12" s="150"/>
      <c r="AF12" s="150"/>
      <c r="AG12" s="131"/>
      <c r="AH12" s="131"/>
      <c r="AI12" s="131"/>
      <c r="AJ12" s="131"/>
      <c r="AK12" s="131"/>
      <c r="AL12" s="131"/>
      <c r="AM12" s="131"/>
      <c r="AN12" s="152"/>
      <c r="AO12" s="152"/>
      <c r="AP12" s="153"/>
      <c r="AQ12" s="153"/>
      <c r="AR12" s="95"/>
      <c r="AS12" s="95"/>
      <c r="AT12" s="95"/>
      <c r="AU12" s="95"/>
      <c r="AV12" s="95"/>
      <c r="AW12" s="95"/>
      <c r="AX12" s="95"/>
      <c r="AY12" s="95"/>
      <c r="AZ12" s="95"/>
      <c r="BA12" s="95"/>
      <c r="BB12" s="95"/>
      <c r="BC12" s="95"/>
      <c r="BD12" s="95"/>
      <c r="BE12" s="95"/>
      <c r="BF12" s="95"/>
      <c r="BG12" s="95"/>
      <c r="BH12" s="95"/>
      <c r="BI12" s="95"/>
      <c r="BJ12" s="95"/>
      <c r="BK12" s="95"/>
      <c r="BL12" s="95"/>
      <c r="BM12" s="95"/>
      <c r="BN12" s="95"/>
      <c r="BO12" s="95"/>
      <c r="BP12" s="95"/>
      <c r="BQ12" s="95"/>
      <c r="BR12" s="95"/>
      <c r="BS12" s="95"/>
      <c r="BT12" s="95"/>
      <c r="BU12" s="95"/>
      <c r="BV12" s="95"/>
      <c r="BW12" s="95"/>
      <c r="BX12" s="95"/>
      <c r="BY12" s="95"/>
      <c r="BZ12" s="95"/>
      <c r="CA12" s="95"/>
      <c r="CB12" s="95"/>
      <c r="CC12" s="95"/>
      <c r="CD12" s="95"/>
      <c r="CE12" s="95"/>
      <c r="CF12" s="95"/>
      <c r="CG12" s="95"/>
      <c r="CH12" s="95"/>
      <c r="CI12" s="95"/>
      <c r="CJ12" s="95"/>
      <c r="CK12" s="95"/>
      <c r="CL12" s="95"/>
      <c r="CM12" s="95"/>
      <c r="CN12" s="95"/>
      <c r="CO12" s="95"/>
      <c r="CP12" s="95"/>
      <c r="CQ12" s="95"/>
      <c r="CR12" s="95"/>
      <c r="CS12" s="95"/>
      <c r="CT12" s="95"/>
      <c r="CU12" s="95"/>
      <c r="CV12" s="96"/>
      <c r="CW12" s="96"/>
      <c r="CX12" s="96"/>
      <c r="CY12" s="96"/>
      <c r="CZ12" s="96"/>
      <c r="DA12" s="96"/>
      <c r="DB12" s="96"/>
      <c r="DC12" s="96"/>
      <c r="DD12" s="96"/>
      <c r="DE12" s="96"/>
      <c r="DF12" s="96"/>
      <c r="DG12" s="96"/>
      <c r="DH12" s="96"/>
      <c r="DI12" s="96"/>
      <c r="DJ12" s="96"/>
      <c r="DK12" s="96"/>
      <c r="DL12" s="96"/>
      <c r="DM12" s="96"/>
      <c r="DN12" s="96"/>
      <c r="DO12" s="96"/>
      <c r="DP12" s="96"/>
      <c r="DQ12" s="96"/>
      <c r="DR12" s="96"/>
      <c r="DS12" s="96"/>
      <c r="DT12" s="96"/>
      <c r="DU12" s="96"/>
      <c r="DV12" s="96"/>
      <c r="DW12" s="96"/>
      <c r="DX12" s="96"/>
      <c r="DY12" s="96"/>
      <c r="DZ12" s="96"/>
      <c r="EA12" s="96"/>
      <c r="EB12" s="96"/>
      <c r="EC12" s="96"/>
      <c r="ED12" s="96"/>
      <c r="EE12" s="99"/>
      <c r="EF12" s="99"/>
      <c r="EG12" s="99"/>
      <c r="EH12" s="99"/>
      <c r="EI12" s="99"/>
      <c r="EJ12" s="99"/>
      <c r="EK12" s="99"/>
      <c r="EL12" s="99"/>
      <c r="EM12" s="99"/>
      <c r="EN12" s="99"/>
      <c r="EO12" s="99"/>
      <c r="EP12" s="99"/>
      <c r="EQ12" s="99"/>
      <c r="ER12" s="99"/>
      <c r="ES12" s="99"/>
      <c r="ET12" s="99"/>
      <c r="EU12" s="99"/>
      <c r="EV12" s="99"/>
      <c r="EW12" s="99"/>
      <c r="EX12" s="99"/>
      <c r="EY12" s="99"/>
      <c r="EZ12" s="99"/>
      <c r="FA12" s="99"/>
      <c r="FB12" s="99"/>
      <c r="FC12" s="99"/>
      <c r="FD12" s="99"/>
      <c r="FE12" s="99"/>
      <c r="FF12" s="99"/>
      <c r="FG12" s="99"/>
      <c r="FH12" s="99"/>
      <c r="FI12" s="99"/>
      <c r="FJ12" s="99"/>
      <c r="FK12" s="99"/>
      <c r="FL12" s="99"/>
      <c r="FM12" s="99"/>
      <c r="FN12" s="99"/>
    </row>
    <row r="13" spans="1:175" s="18" customFormat="1" ht="18" hidden="1" customHeight="1">
      <c r="A13" s="1808"/>
      <c r="B13" s="171"/>
      <c r="C13" s="26" t="s">
        <v>72</v>
      </c>
      <c r="D13" s="32"/>
      <c r="E13" s="32"/>
      <c r="F13" s="32"/>
      <c r="G13" s="32"/>
      <c r="H13" s="32"/>
      <c r="I13" s="27"/>
      <c r="J13" s="33"/>
      <c r="K13" s="33"/>
      <c r="L13" s="28"/>
      <c r="M13" s="1027">
        <v>0.85</v>
      </c>
      <c r="N13" s="1027">
        <v>0.85</v>
      </c>
      <c r="O13" s="1027">
        <v>0.85</v>
      </c>
      <c r="P13" s="989">
        <v>0</v>
      </c>
      <c r="Q13" s="989">
        <v>0</v>
      </c>
      <c r="R13" s="989">
        <v>0</v>
      </c>
      <c r="S13" s="131"/>
      <c r="T13" s="298"/>
      <c r="U13" s="298"/>
      <c r="V13" s="150"/>
      <c r="W13" s="299"/>
      <c r="X13" s="299"/>
      <c r="Y13" s="150"/>
      <c r="Z13" s="299"/>
      <c r="AA13" s="299"/>
      <c r="AB13" s="150"/>
      <c r="AC13" s="299"/>
      <c r="AD13" s="299"/>
      <c r="AE13" s="150"/>
      <c r="AF13" s="150"/>
      <c r="AG13" s="131"/>
      <c r="AH13" s="131"/>
      <c r="AI13" s="131"/>
      <c r="AJ13" s="131"/>
      <c r="AK13" s="131"/>
      <c r="AL13" s="131"/>
      <c r="AM13" s="131"/>
      <c r="AN13" s="152"/>
      <c r="AO13" s="152"/>
      <c r="AP13" s="153"/>
      <c r="AQ13" s="153"/>
      <c r="AR13" s="95"/>
      <c r="AS13" s="95"/>
      <c r="AT13" s="95"/>
      <c r="AU13" s="95"/>
      <c r="AV13" s="95"/>
      <c r="AW13" s="95"/>
      <c r="AX13" s="95"/>
      <c r="AY13" s="95"/>
      <c r="AZ13" s="95"/>
      <c r="BA13" s="95"/>
      <c r="BB13" s="95"/>
      <c r="BC13" s="95"/>
      <c r="BD13" s="95"/>
      <c r="BE13" s="95"/>
      <c r="BF13" s="95"/>
      <c r="BG13" s="95"/>
      <c r="BH13" s="95"/>
      <c r="BI13" s="95"/>
      <c r="BJ13" s="95"/>
      <c r="BK13" s="95"/>
      <c r="BL13" s="95"/>
      <c r="BM13" s="95"/>
      <c r="BN13" s="95"/>
      <c r="BO13" s="95"/>
      <c r="BP13" s="95"/>
      <c r="BQ13" s="95"/>
      <c r="BR13" s="95"/>
      <c r="BS13" s="95"/>
      <c r="BT13" s="95"/>
      <c r="BU13" s="95"/>
      <c r="BV13" s="95"/>
      <c r="BW13" s="95"/>
      <c r="BX13" s="95"/>
      <c r="BY13" s="95"/>
      <c r="BZ13" s="95"/>
      <c r="CA13" s="95"/>
      <c r="CB13" s="95"/>
      <c r="CC13" s="95"/>
      <c r="CD13" s="95"/>
      <c r="CE13" s="95"/>
      <c r="CF13" s="95"/>
      <c r="CG13" s="95"/>
      <c r="CH13" s="95"/>
      <c r="CI13" s="95"/>
      <c r="CJ13" s="95"/>
      <c r="CK13" s="95"/>
      <c r="CL13" s="95"/>
      <c r="CM13" s="95"/>
      <c r="CN13" s="95"/>
      <c r="CO13" s="95"/>
      <c r="CP13" s="95"/>
      <c r="CQ13" s="95"/>
      <c r="CR13" s="95"/>
      <c r="CS13" s="95"/>
      <c r="CT13" s="95"/>
      <c r="CU13" s="95"/>
      <c r="CV13" s="96"/>
      <c r="CW13" s="96"/>
      <c r="CX13" s="96"/>
      <c r="CY13" s="96"/>
      <c r="CZ13" s="96"/>
      <c r="DA13" s="96"/>
      <c r="DB13" s="96"/>
      <c r="DC13" s="96"/>
      <c r="DD13" s="96"/>
      <c r="DE13" s="96"/>
      <c r="DF13" s="96"/>
      <c r="DG13" s="96"/>
      <c r="DH13" s="96"/>
      <c r="DI13" s="96"/>
      <c r="DJ13" s="96"/>
      <c r="DK13" s="96"/>
      <c r="DL13" s="96"/>
      <c r="DM13" s="96"/>
      <c r="DN13" s="96"/>
      <c r="DO13" s="96"/>
      <c r="DP13" s="96"/>
      <c r="DQ13" s="96"/>
      <c r="DR13" s="96"/>
      <c r="DS13" s="96"/>
      <c r="DT13" s="96"/>
      <c r="DU13" s="96"/>
      <c r="DV13" s="96"/>
      <c r="DW13" s="96"/>
      <c r="DX13" s="96"/>
      <c r="DY13" s="96"/>
      <c r="DZ13" s="96"/>
      <c r="EA13" s="96"/>
      <c r="EB13" s="96"/>
      <c r="EC13" s="96"/>
      <c r="ED13" s="96"/>
      <c r="EE13" s="99"/>
      <c r="EF13" s="99"/>
      <c r="EG13" s="99"/>
      <c r="EH13" s="99"/>
      <c r="EI13" s="99"/>
      <c r="EJ13" s="99"/>
      <c r="EK13" s="99"/>
      <c r="EL13" s="99"/>
      <c r="EM13" s="99"/>
      <c r="EN13" s="99"/>
      <c r="EO13" s="99"/>
      <c r="EP13" s="99"/>
      <c r="EQ13" s="99"/>
      <c r="ER13" s="99"/>
      <c r="ES13" s="99"/>
      <c r="ET13" s="99"/>
      <c r="EU13" s="99"/>
      <c r="EV13" s="99"/>
      <c r="EW13" s="99"/>
      <c r="EX13" s="99"/>
      <c r="EY13" s="99"/>
      <c r="EZ13" s="99"/>
      <c r="FA13" s="99"/>
      <c r="FB13" s="99"/>
      <c r="FC13" s="99"/>
      <c r="FD13" s="99"/>
      <c r="FE13" s="99"/>
      <c r="FF13" s="99"/>
      <c r="FG13" s="99"/>
      <c r="FH13" s="99"/>
      <c r="FI13" s="99"/>
      <c r="FJ13" s="99"/>
      <c r="FK13" s="99"/>
      <c r="FL13" s="99"/>
      <c r="FM13" s="99"/>
      <c r="FN13" s="99"/>
    </row>
    <row r="14" spans="1:175" s="18" customFormat="1" ht="15.75" customHeight="1">
      <c r="A14" s="1808"/>
      <c r="B14" s="416"/>
      <c r="C14" s="21"/>
      <c r="D14" s="177"/>
      <c r="E14" s="177"/>
      <c r="F14" s="21"/>
      <c r="G14" s="177"/>
      <c r="H14" s="177"/>
      <c r="I14" s="178"/>
      <c r="J14" s="188"/>
      <c r="K14" s="188"/>
      <c r="L14" s="188"/>
      <c r="M14" s="1012"/>
      <c r="N14" s="1012"/>
      <c r="O14" s="1012"/>
      <c r="P14" s="989">
        <v>0</v>
      </c>
      <c r="Q14" s="989">
        <v>1</v>
      </c>
      <c r="R14" s="989">
        <v>0</v>
      </c>
      <c r="S14" s="131"/>
      <c r="T14" s="298"/>
      <c r="U14" s="298"/>
      <c r="V14" s="150"/>
      <c r="W14" s="299"/>
      <c r="X14" s="299"/>
      <c r="Y14" s="150"/>
      <c r="Z14" s="299"/>
      <c r="AA14" s="299"/>
      <c r="AB14" s="150"/>
      <c r="AC14" s="299"/>
      <c r="AD14" s="299"/>
      <c r="AE14" s="150"/>
      <c r="AF14" s="150"/>
      <c r="AG14" s="131"/>
      <c r="AH14" s="131"/>
      <c r="AI14" s="131"/>
      <c r="AJ14" s="131"/>
      <c r="AK14" s="131"/>
      <c r="AL14" s="131"/>
      <c r="AM14" s="131"/>
      <c r="AN14" s="152"/>
      <c r="AO14" s="152"/>
      <c r="AP14" s="153"/>
      <c r="AQ14" s="153"/>
      <c r="AR14" s="95"/>
      <c r="AS14" s="95"/>
      <c r="AT14" s="95"/>
      <c r="AU14" s="95"/>
      <c r="AV14" s="95"/>
      <c r="AW14" s="95"/>
      <c r="AX14" s="95"/>
      <c r="AY14" s="95"/>
      <c r="AZ14" s="95"/>
      <c r="BA14" s="95"/>
      <c r="BB14" s="95"/>
      <c r="BC14" s="95"/>
      <c r="BD14" s="95"/>
      <c r="BE14" s="95"/>
      <c r="BF14" s="95"/>
      <c r="BG14" s="95"/>
      <c r="BH14" s="95"/>
      <c r="BI14" s="95"/>
      <c r="BJ14" s="95"/>
      <c r="BK14" s="95"/>
      <c r="BL14" s="95"/>
      <c r="BM14" s="95"/>
      <c r="BN14" s="95"/>
      <c r="BO14" s="95"/>
      <c r="BP14" s="95"/>
      <c r="BQ14" s="95"/>
      <c r="BR14" s="95"/>
      <c r="BS14" s="95"/>
      <c r="BT14" s="95"/>
      <c r="BU14" s="95"/>
      <c r="BV14" s="95"/>
      <c r="BW14" s="95"/>
      <c r="BX14" s="95"/>
      <c r="BY14" s="95"/>
      <c r="BZ14" s="95"/>
      <c r="CA14" s="95"/>
      <c r="CB14" s="95"/>
      <c r="CC14" s="95"/>
      <c r="CD14" s="95"/>
      <c r="CE14" s="95"/>
      <c r="CF14" s="95"/>
      <c r="CG14" s="95"/>
      <c r="CH14" s="95"/>
      <c r="CI14" s="95"/>
      <c r="CJ14" s="95"/>
      <c r="CK14" s="95"/>
      <c r="CL14" s="95"/>
      <c r="CM14" s="95"/>
      <c r="CN14" s="95"/>
      <c r="CO14" s="95"/>
      <c r="CP14" s="95"/>
      <c r="CQ14" s="95"/>
      <c r="CR14" s="95"/>
      <c r="CS14" s="95"/>
      <c r="CT14" s="95"/>
      <c r="CU14" s="95"/>
      <c r="CV14" s="96"/>
      <c r="CW14" s="96"/>
      <c r="CX14" s="96"/>
      <c r="CY14" s="96"/>
      <c r="CZ14" s="96"/>
      <c r="DA14" s="96"/>
      <c r="DB14" s="96"/>
      <c r="DC14" s="96"/>
      <c r="DD14" s="96"/>
      <c r="DE14" s="96"/>
      <c r="DF14" s="96"/>
      <c r="DG14" s="96"/>
      <c r="DH14" s="96"/>
      <c r="DI14" s="96"/>
      <c r="DJ14" s="96"/>
      <c r="DK14" s="96"/>
      <c r="DL14" s="96"/>
      <c r="DM14" s="96"/>
      <c r="DN14" s="96"/>
      <c r="DO14" s="96"/>
      <c r="DP14" s="96"/>
      <c r="DQ14" s="96"/>
      <c r="DR14" s="96"/>
      <c r="DS14" s="96"/>
      <c r="DT14" s="96"/>
      <c r="DU14" s="96"/>
      <c r="DV14" s="96"/>
      <c r="DW14" s="96"/>
      <c r="DX14" s="96"/>
      <c r="DY14" s="96"/>
      <c r="DZ14" s="96"/>
      <c r="EA14" s="96"/>
      <c r="EB14" s="96"/>
      <c r="EC14" s="96"/>
      <c r="ED14" s="96"/>
      <c r="EE14" s="99"/>
      <c r="EF14" s="99"/>
      <c r="EG14" s="99"/>
      <c r="EH14" s="99"/>
      <c r="EI14" s="99"/>
      <c r="EJ14" s="99"/>
      <c r="EK14" s="99"/>
      <c r="EL14" s="99"/>
      <c r="EM14" s="99"/>
      <c r="EN14" s="99"/>
      <c r="EO14" s="99"/>
      <c r="EP14" s="99"/>
      <c r="EQ14" s="99"/>
      <c r="ER14" s="99"/>
      <c r="ES14" s="99"/>
      <c r="ET14" s="99"/>
      <c r="EU14" s="99"/>
      <c r="EV14" s="99"/>
      <c r="EW14" s="99"/>
      <c r="EX14" s="99"/>
      <c r="EY14" s="99"/>
      <c r="EZ14" s="99"/>
      <c r="FA14" s="99"/>
      <c r="FB14" s="99"/>
      <c r="FC14" s="99"/>
      <c r="FD14" s="99"/>
      <c r="FE14" s="99"/>
      <c r="FF14" s="99"/>
      <c r="FG14" s="99"/>
      <c r="FH14" s="99"/>
      <c r="FI14" s="99"/>
      <c r="FJ14" s="99"/>
      <c r="FK14" s="99"/>
      <c r="FL14" s="99"/>
      <c r="FM14" s="99"/>
      <c r="FN14" s="99"/>
    </row>
    <row r="15" spans="1:175" s="18" customFormat="1" ht="18" customHeight="1">
      <c r="A15" s="1808"/>
      <c r="B15" s="416"/>
      <c r="C15" s="176" t="str">
        <f>Begriffe!F198</f>
        <v>Bauphysikalische Eigenschaften</v>
      </c>
      <c r="D15" s="177"/>
      <c r="E15" s="177"/>
      <c r="F15" s="21"/>
      <c r="G15" s="177"/>
      <c r="H15" s="177"/>
      <c r="I15" s="178"/>
      <c r="J15" s="188"/>
      <c r="K15" s="188"/>
      <c r="L15" s="188"/>
      <c r="M15" s="1012"/>
      <c r="N15" s="1012"/>
      <c r="O15" s="1012"/>
      <c r="P15" s="989">
        <v>0</v>
      </c>
      <c r="Q15" s="989">
        <v>1</v>
      </c>
      <c r="R15" s="989">
        <v>0</v>
      </c>
      <c r="S15" s="131"/>
      <c r="T15" s="298"/>
      <c r="U15" s="298"/>
      <c r="V15" s="150"/>
      <c r="W15" s="299"/>
      <c r="X15" s="299"/>
      <c r="Y15" s="150"/>
      <c r="Z15" s="299"/>
      <c r="AA15" s="299"/>
      <c r="AB15" s="150"/>
      <c r="AC15" s="299"/>
      <c r="AD15" s="299"/>
      <c r="AE15" s="150"/>
      <c r="AF15" s="150"/>
      <c r="AG15" s="131"/>
      <c r="AH15" s="131"/>
      <c r="AI15" s="131"/>
      <c r="AJ15" s="131"/>
      <c r="AK15" s="131"/>
      <c r="AL15" s="131"/>
      <c r="AM15" s="131"/>
      <c r="AN15" s="152"/>
      <c r="AO15" s="152"/>
      <c r="AP15" s="153"/>
      <c r="AQ15" s="153"/>
      <c r="AR15" s="95"/>
      <c r="AS15" s="95"/>
      <c r="AT15" s="95"/>
      <c r="AU15" s="95"/>
      <c r="AV15" s="95"/>
      <c r="AW15" s="95"/>
      <c r="AX15" s="95"/>
      <c r="AY15" s="95"/>
      <c r="AZ15" s="95"/>
      <c r="BA15" s="95"/>
      <c r="BB15" s="95"/>
      <c r="BC15" s="95"/>
      <c r="BD15" s="95"/>
      <c r="BE15" s="95"/>
      <c r="BF15" s="95"/>
      <c r="BG15" s="95"/>
      <c r="BH15" s="95"/>
      <c r="BI15" s="95"/>
      <c r="BJ15" s="95"/>
      <c r="BK15" s="95"/>
      <c r="BL15" s="95"/>
      <c r="BM15" s="95"/>
      <c r="BN15" s="95"/>
      <c r="BO15" s="95"/>
      <c r="BP15" s="95"/>
      <c r="BQ15" s="95"/>
      <c r="BR15" s="95"/>
      <c r="BS15" s="95"/>
      <c r="BT15" s="95"/>
      <c r="BU15" s="95"/>
      <c r="BV15" s="95"/>
      <c r="BW15" s="95"/>
      <c r="BX15" s="95"/>
      <c r="BY15" s="95"/>
      <c r="BZ15" s="95"/>
      <c r="CA15" s="95"/>
      <c r="CB15" s="95"/>
      <c r="CC15" s="95"/>
      <c r="CD15" s="95"/>
      <c r="CE15" s="95"/>
      <c r="CF15" s="95"/>
      <c r="CG15" s="95"/>
      <c r="CH15" s="95"/>
      <c r="CI15" s="95"/>
      <c r="CJ15" s="95"/>
      <c r="CK15" s="95"/>
      <c r="CL15" s="95"/>
      <c r="CM15" s="95"/>
      <c r="CN15" s="95"/>
      <c r="CO15" s="95"/>
      <c r="CP15" s="95"/>
      <c r="CQ15" s="95"/>
      <c r="CR15" s="95"/>
      <c r="CS15" s="95"/>
      <c r="CT15" s="95"/>
      <c r="CU15" s="95"/>
      <c r="CV15" s="96"/>
      <c r="CW15" s="96"/>
      <c r="CX15" s="96"/>
      <c r="CY15" s="96"/>
      <c r="CZ15" s="96"/>
      <c r="DA15" s="96"/>
      <c r="DB15" s="96"/>
      <c r="DC15" s="96"/>
      <c r="DD15" s="96"/>
      <c r="DE15" s="96"/>
      <c r="DF15" s="96"/>
      <c r="DG15" s="96"/>
      <c r="DH15" s="96"/>
      <c r="DI15" s="96"/>
      <c r="DJ15" s="96"/>
      <c r="DK15" s="96"/>
      <c r="DL15" s="96"/>
      <c r="DM15" s="96"/>
      <c r="DN15" s="96"/>
      <c r="DO15" s="96"/>
      <c r="DP15" s="96"/>
      <c r="DQ15" s="96"/>
      <c r="DR15" s="96"/>
      <c r="DS15" s="96"/>
      <c r="DT15" s="96"/>
      <c r="DU15" s="96"/>
      <c r="DV15" s="96"/>
      <c r="DW15" s="96"/>
      <c r="DX15" s="96"/>
      <c r="DY15" s="96"/>
      <c r="DZ15" s="96"/>
      <c r="EA15" s="96"/>
      <c r="EB15" s="96"/>
      <c r="EC15" s="96"/>
      <c r="ED15" s="96"/>
      <c r="EE15" s="99"/>
      <c r="EF15" s="99"/>
      <c r="EG15" s="99"/>
      <c r="EH15" s="99"/>
      <c r="EI15" s="99"/>
      <c r="EJ15" s="99"/>
      <c r="EK15" s="99"/>
      <c r="EL15" s="99"/>
      <c r="EM15" s="99"/>
      <c r="EN15" s="99"/>
      <c r="EO15" s="99"/>
      <c r="EP15" s="99"/>
      <c r="EQ15" s="99"/>
      <c r="ER15" s="99"/>
      <c r="ES15" s="99"/>
      <c r="ET15" s="99"/>
      <c r="EU15" s="99"/>
      <c r="EV15" s="99"/>
      <c r="EW15" s="99"/>
      <c r="EX15" s="99"/>
      <c r="EY15" s="99"/>
      <c r="EZ15" s="99"/>
      <c r="FA15" s="99"/>
      <c r="FB15" s="99"/>
      <c r="FC15" s="99"/>
      <c r="FD15" s="99"/>
      <c r="FE15" s="99"/>
      <c r="FF15" s="99"/>
      <c r="FG15" s="99"/>
      <c r="FH15" s="99"/>
      <c r="FI15" s="99"/>
      <c r="FJ15" s="99"/>
      <c r="FK15" s="99"/>
      <c r="FL15" s="99"/>
      <c r="FM15" s="99"/>
      <c r="FN15" s="99"/>
    </row>
    <row r="16" spans="1:175" s="18" customFormat="1" ht="18" customHeight="1">
      <c r="A16" s="1808"/>
      <c r="B16" s="416">
        <v>309</v>
      </c>
      <c r="C16" s="493" t="str">
        <f>VLOOKUP(B16,Begriffe!$A$6:$E$442,Begriffe!$D$1+2)</f>
        <v>U-Wert opake Bauteile</v>
      </c>
      <c r="D16" s="177"/>
      <c r="E16" s="177"/>
      <c r="F16" s="21"/>
      <c r="G16" s="177"/>
      <c r="H16" s="177"/>
      <c r="I16" s="209" t="s">
        <v>705</v>
      </c>
      <c r="J16" s="871" t="s">
        <v>645</v>
      </c>
      <c r="K16" s="871"/>
      <c r="L16" s="1162"/>
      <c r="M16" s="872">
        <f>IF(L16&lt;&gt;"",L16,INDEX(Eingabedaten!$D$10:$CY$54,nutzid,MATCH($C16,Eingabedaten!$D$7:$CY$7,0)))</f>
        <v>0.17</v>
      </c>
      <c r="N16" s="986">
        <f>INDEX(Eingabedaten!$D$10:$CY$54,nutzid,MATCH($C16,Eingabedaten!$D$7:$CY$7,0)+1)</f>
        <v>0.1</v>
      </c>
      <c r="O16" s="986">
        <f>INDEX(Eingabedaten!$D$10:$CY$54,nutzid,MATCH($C16,Eingabedaten!$D$7:$CY$7,0)+2)</f>
        <v>0.8</v>
      </c>
      <c r="P16" s="989">
        <v>0</v>
      </c>
      <c r="Q16" s="989">
        <v>1</v>
      </c>
      <c r="R16" s="989">
        <v>0</v>
      </c>
      <c r="S16" s="131"/>
      <c r="T16" s="298"/>
      <c r="U16" s="298"/>
      <c r="V16" s="150"/>
      <c r="W16" s="299"/>
      <c r="X16" s="299"/>
      <c r="Y16" s="150"/>
      <c r="Z16" s="299"/>
      <c r="AA16" s="299"/>
      <c r="AB16" s="150"/>
      <c r="AC16" s="299"/>
      <c r="AD16" s="299"/>
      <c r="AE16" s="150"/>
      <c r="AF16" s="150"/>
      <c r="AG16" s="131"/>
      <c r="AH16" s="131"/>
      <c r="AI16" s="131"/>
      <c r="AJ16" s="131"/>
      <c r="AK16" s="131"/>
      <c r="AL16" s="131"/>
      <c r="AM16" s="131"/>
      <c r="AN16" s="152"/>
      <c r="AO16" s="152"/>
      <c r="AP16" s="153"/>
      <c r="AQ16" s="153"/>
      <c r="AR16" s="95"/>
      <c r="AS16" s="95"/>
      <c r="AT16" s="95"/>
      <c r="AU16" s="95"/>
      <c r="AV16" s="95"/>
      <c r="AW16" s="95"/>
      <c r="AX16" s="95"/>
      <c r="AY16" s="95"/>
      <c r="AZ16" s="95"/>
      <c r="BA16" s="95"/>
      <c r="BB16" s="95"/>
      <c r="BC16" s="95"/>
      <c r="BD16" s="95"/>
      <c r="BE16" s="95"/>
      <c r="BF16" s="95"/>
      <c r="BG16" s="95"/>
      <c r="BH16" s="95"/>
      <c r="BI16" s="95"/>
      <c r="BJ16" s="95"/>
      <c r="BK16" s="95"/>
      <c r="BL16" s="95"/>
      <c r="BM16" s="95"/>
      <c r="BN16" s="95"/>
      <c r="BO16" s="95"/>
      <c r="BP16" s="95"/>
      <c r="BQ16" s="95"/>
      <c r="BR16" s="95"/>
      <c r="BS16" s="95"/>
      <c r="BT16" s="95"/>
      <c r="BU16" s="95"/>
      <c r="BV16" s="95"/>
      <c r="BW16" s="95"/>
      <c r="BX16" s="95"/>
      <c r="BY16" s="95"/>
      <c r="BZ16" s="95"/>
      <c r="CA16" s="95"/>
      <c r="CB16" s="95"/>
      <c r="CC16" s="95"/>
      <c r="CD16" s="95"/>
      <c r="CE16" s="95"/>
      <c r="CF16" s="95"/>
      <c r="CG16" s="95"/>
      <c r="CH16" s="95"/>
      <c r="CI16" s="95"/>
      <c r="CJ16" s="95"/>
      <c r="CK16" s="95"/>
      <c r="CL16" s="95"/>
      <c r="CM16" s="95"/>
      <c r="CN16" s="95"/>
      <c r="CO16" s="95"/>
      <c r="CP16" s="95"/>
      <c r="CQ16" s="95"/>
      <c r="CR16" s="95"/>
      <c r="CS16" s="95"/>
      <c r="CT16" s="95"/>
      <c r="CU16" s="95"/>
      <c r="CV16" s="96"/>
      <c r="CW16" s="96"/>
      <c r="CX16" s="96"/>
      <c r="CY16" s="96"/>
      <c r="CZ16" s="96"/>
      <c r="DA16" s="96"/>
      <c r="DB16" s="96"/>
      <c r="DC16" s="96"/>
      <c r="DD16" s="96"/>
      <c r="DE16" s="96"/>
      <c r="DF16" s="96"/>
      <c r="DG16" s="96"/>
      <c r="DH16" s="96"/>
      <c r="DI16" s="96"/>
      <c r="DJ16" s="96"/>
      <c r="DK16" s="96"/>
      <c r="DL16" s="96"/>
      <c r="DM16" s="96"/>
      <c r="DN16" s="96"/>
      <c r="DO16" s="96"/>
      <c r="DP16" s="96"/>
      <c r="DQ16" s="96"/>
      <c r="DR16" s="96"/>
      <c r="DS16" s="96"/>
      <c r="DT16" s="96"/>
      <c r="DU16" s="96"/>
      <c r="DV16" s="96"/>
      <c r="DW16" s="96"/>
      <c r="DX16" s="96"/>
      <c r="DY16" s="96"/>
      <c r="DZ16" s="96"/>
      <c r="EA16" s="96"/>
      <c r="EB16" s="96"/>
      <c r="EC16" s="96"/>
      <c r="ED16" s="96"/>
      <c r="EE16" s="99"/>
      <c r="EF16" s="99"/>
      <c r="EG16" s="99"/>
      <c r="EH16" s="99"/>
      <c r="EI16" s="99"/>
      <c r="EJ16" s="99"/>
      <c r="EK16" s="99"/>
      <c r="EL16" s="99"/>
      <c r="EM16" s="99"/>
      <c r="EN16" s="99"/>
      <c r="EO16" s="99"/>
      <c r="EP16" s="99"/>
      <c r="EQ16" s="99"/>
      <c r="ER16" s="99"/>
      <c r="ES16" s="99"/>
      <c r="ET16" s="99"/>
      <c r="EU16" s="99"/>
      <c r="EV16" s="99"/>
      <c r="EW16" s="99"/>
      <c r="EX16" s="99"/>
      <c r="EY16" s="99"/>
      <c r="EZ16" s="99"/>
      <c r="FA16" s="99"/>
      <c r="FB16" s="99"/>
      <c r="FC16" s="99"/>
      <c r="FD16" s="99"/>
      <c r="FE16" s="99"/>
      <c r="FF16" s="99"/>
      <c r="FG16" s="99"/>
      <c r="FH16" s="99"/>
      <c r="FI16" s="99"/>
      <c r="FJ16" s="99"/>
      <c r="FK16" s="99"/>
      <c r="FL16" s="99"/>
      <c r="FM16" s="99"/>
      <c r="FN16" s="99"/>
    </row>
    <row r="17" spans="1:170" s="18" customFormat="1" ht="18" customHeight="1">
      <c r="A17" s="1808"/>
      <c r="B17" s="416">
        <v>308</v>
      </c>
      <c r="C17" s="493" t="str">
        <f>VLOOKUP(B17,Begriffe!$A$6:$E$442,Begriffe!$D$1+2)</f>
        <v>U-Wert Fenster</v>
      </c>
      <c r="D17" s="13"/>
      <c r="E17" s="13"/>
      <c r="F17" s="493"/>
      <c r="G17" s="13"/>
      <c r="H17" s="13"/>
      <c r="I17" s="209" t="s">
        <v>706</v>
      </c>
      <c r="J17" s="871" t="s">
        <v>645</v>
      </c>
      <c r="K17" s="871"/>
      <c r="L17" s="1162"/>
      <c r="M17" s="872">
        <f>IF(L17&lt;&gt;"",L17,INDEX(Eingabedaten!$D$10:$CY$54,nutzid,MATCH($C17,Eingabedaten!$D$7:$CY$7,0)))</f>
        <v>1.2</v>
      </c>
      <c r="N17" s="986">
        <f>INDEX(Eingabedaten!$D$10:$CY$54,nutzid,MATCH($C17,Eingabedaten!$D$7:$CY$7,0)+1)</f>
        <v>0.9</v>
      </c>
      <c r="O17" s="986">
        <f>INDEX(Eingabedaten!$D$10:$CY$54,nutzid,MATCH($C17,Eingabedaten!$D$7:$CY$7,0)+2)</f>
        <v>1.5</v>
      </c>
      <c r="P17" s="989">
        <v>0</v>
      </c>
      <c r="Q17" s="989">
        <v>1</v>
      </c>
      <c r="R17" s="989">
        <v>0</v>
      </c>
      <c r="S17" s="131"/>
      <c r="T17" s="298"/>
      <c r="U17" s="298"/>
      <c r="V17" s="150"/>
      <c r="W17" s="299"/>
      <c r="X17" s="299"/>
      <c r="Y17" s="150"/>
      <c r="Z17" s="299"/>
      <c r="AA17" s="299"/>
      <c r="AB17" s="150"/>
      <c r="AC17" s="299"/>
      <c r="AD17" s="299"/>
      <c r="AE17" s="150"/>
      <c r="AF17" s="150"/>
      <c r="AG17" s="131"/>
      <c r="AH17" s="131"/>
      <c r="AI17" s="131"/>
      <c r="AJ17" s="131"/>
      <c r="AK17" s="131"/>
      <c r="AL17" s="131"/>
      <c r="AM17" s="131"/>
      <c r="AN17" s="152"/>
      <c r="AO17" s="152"/>
      <c r="AP17" s="153"/>
      <c r="AQ17" s="153"/>
      <c r="AR17" s="95"/>
      <c r="AS17" s="95"/>
      <c r="AT17" s="95"/>
      <c r="AU17" s="95"/>
      <c r="AV17" s="95"/>
      <c r="AW17" s="95"/>
      <c r="AX17" s="95"/>
      <c r="AY17" s="95"/>
      <c r="AZ17" s="95"/>
      <c r="BA17" s="95"/>
      <c r="BB17" s="95"/>
      <c r="BC17" s="95"/>
      <c r="BD17" s="95"/>
      <c r="BE17" s="95"/>
      <c r="BF17" s="95"/>
      <c r="BG17" s="95"/>
      <c r="BH17" s="95"/>
      <c r="BI17" s="95"/>
      <c r="BJ17" s="95"/>
      <c r="BK17" s="95"/>
      <c r="BL17" s="95"/>
      <c r="BM17" s="95"/>
      <c r="BN17" s="95"/>
      <c r="BO17" s="95"/>
      <c r="BP17" s="95"/>
      <c r="BQ17" s="95"/>
      <c r="BR17" s="95"/>
      <c r="BS17" s="95"/>
      <c r="BT17" s="95"/>
      <c r="BU17" s="95"/>
      <c r="BV17" s="95"/>
      <c r="BW17" s="95"/>
      <c r="BX17" s="95"/>
      <c r="BY17" s="95"/>
      <c r="BZ17" s="95"/>
      <c r="CA17" s="95"/>
      <c r="CB17" s="95"/>
      <c r="CC17" s="95"/>
      <c r="CD17" s="95"/>
      <c r="CE17" s="95"/>
      <c r="CF17" s="95"/>
      <c r="CG17" s="95"/>
      <c r="CH17" s="95"/>
      <c r="CI17" s="95"/>
      <c r="CJ17" s="95"/>
      <c r="CK17" s="95"/>
      <c r="CL17" s="95"/>
      <c r="CM17" s="95"/>
      <c r="CN17" s="95"/>
      <c r="CO17" s="95"/>
      <c r="CP17" s="95"/>
      <c r="CQ17" s="95"/>
      <c r="CR17" s="95"/>
      <c r="CS17" s="95"/>
      <c r="CT17" s="95"/>
      <c r="CU17" s="95"/>
      <c r="CV17" s="96"/>
      <c r="CW17" s="96"/>
      <c r="CX17" s="96"/>
      <c r="CY17" s="96"/>
      <c r="CZ17" s="96"/>
      <c r="DA17" s="96"/>
      <c r="DB17" s="96"/>
      <c r="DC17" s="96"/>
      <c r="DD17" s="96"/>
      <c r="DE17" s="96"/>
      <c r="DF17" s="96"/>
      <c r="DG17" s="96"/>
      <c r="DH17" s="96"/>
      <c r="DI17" s="96"/>
      <c r="DJ17" s="96"/>
      <c r="DK17" s="96"/>
      <c r="DL17" s="96"/>
      <c r="DM17" s="96"/>
      <c r="DN17" s="96"/>
      <c r="DO17" s="96"/>
      <c r="DP17" s="96"/>
      <c r="DQ17" s="96"/>
      <c r="DR17" s="96"/>
      <c r="DS17" s="96"/>
      <c r="DT17" s="96"/>
      <c r="DU17" s="96"/>
      <c r="DV17" s="96"/>
      <c r="DW17" s="96"/>
      <c r="DX17" s="96"/>
      <c r="DY17" s="96"/>
      <c r="DZ17" s="96"/>
      <c r="EA17" s="96"/>
      <c r="EB17" s="96"/>
      <c r="EC17" s="96"/>
      <c r="ED17" s="96"/>
      <c r="EE17" s="99"/>
      <c r="EF17" s="99"/>
      <c r="EG17" s="99"/>
      <c r="EH17" s="99"/>
      <c r="EI17" s="99"/>
      <c r="EJ17" s="99"/>
      <c r="EK17" s="99"/>
      <c r="EL17" s="99"/>
      <c r="EM17" s="99"/>
      <c r="EN17" s="99"/>
      <c r="EO17" s="99"/>
      <c r="EP17" s="99"/>
      <c r="EQ17" s="99"/>
      <c r="ER17" s="99"/>
      <c r="ES17" s="99"/>
      <c r="ET17" s="99"/>
      <c r="EU17" s="99"/>
      <c r="EV17" s="99"/>
      <c r="EW17" s="99"/>
      <c r="EX17" s="99"/>
      <c r="EY17" s="99"/>
      <c r="EZ17" s="99"/>
      <c r="FA17" s="99"/>
      <c r="FB17" s="99"/>
      <c r="FC17" s="99"/>
      <c r="FD17" s="99"/>
      <c r="FE17" s="99"/>
      <c r="FF17" s="99"/>
      <c r="FG17" s="99"/>
      <c r="FH17" s="99"/>
      <c r="FI17" s="99"/>
      <c r="FJ17" s="99"/>
      <c r="FK17" s="99"/>
      <c r="FL17" s="99"/>
      <c r="FM17" s="99"/>
      <c r="FN17" s="99"/>
    </row>
    <row r="18" spans="1:170" s="18" customFormat="1" ht="18" customHeight="1">
      <c r="A18" s="1808"/>
      <c r="B18" s="416">
        <v>100</v>
      </c>
      <c r="C18" s="493" t="str">
        <f>VLOOKUP(B18,Begriffe!$A$6:$E$442,Begriffe!$D$1+2)</f>
        <v>Abminderungsfaktor für Fensterrahmen</v>
      </c>
      <c r="D18" s="493"/>
      <c r="E18" s="13"/>
      <c r="F18" s="493"/>
      <c r="G18" s="493"/>
      <c r="H18" s="493"/>
      <c r="I18" s="209" t="s">
        <v>864</v>
      </c>
      <c r="J18" s="871" t="s">
        <v>18</v>
      </c>
      <c r="K18" s="871"/>
      <c r="L18" s="1165"/>
      <c r="M18" s="1158">
        <f>IF(L18&lt;&gt;"",L18,INDEX(Eingabedaten!$D$10:$CY$54,nutzid,MATCH($C18,Eingabedaten!$D$7:$CY$7,0)))</f>
        <v>0.75</v>
      </c>
      <c r="N18" s="986">
        <f>M18</f>
        <v>0.75</v>
      </c>
      <c r="O18" s="986">
        <f>M18</f>
        <v>0.75</v>
      </c>
      <c r="P18" s="989">
        <v>0</v>
      </c>
      <c r="Q18" s="989">
        <v>1</v>
      </c>
      <c r="R18" s="989">
        <v>0</v>
      </c>
      <c r="S18" s="131"/>
      <c r="T18" s="298"/>
      <c r="U18" s="298"/>
      <c r="V18" s="150"/>
      <c r="W18" s="299"/>
      <c r="X18" s="299"/>
      <c r="Y18" s="150"/>
      <c r="Z18" s="299"/>
      <c r="AA18" s="299"/>
      <c r="AB18" s="150"/>
      <c r="AC18" s="299"/>
      <c r="AD18" s="299"/>
      <c r="AE18" s="150"/>
      <c r="AF18" s="150"/>
      <c r="AG18" s="131"/>
      <c r="AH18" s="131"/>
      <c r="AI18" s="131"/>
      <c r="AJ18" s="131"/>
      <c r="AK18" s="131"/>
      <c r="AL18" s="131"/>
      <c r="AM18" s="131"/>
      <c r="AN18" s="152"/>
      <c r="AO18" s="152"/>
      <c r="AP18" s="153"/>
      <c r="AQ18" s="153"/>
      <c r="AR18" s="95"/>
      <c r="AS18" s="95"/>
      <c r="AT18" s="95"/>
      <c r="AU18" s="95"/>
      <c r="AV18" s="95"/>
      <c r="AW18" s="95"/>
      <c r="AX18" s="95"/>
      <c r="AY18" s="95"/>
      <c r="AZ18" s="95"/>
      <c r="BA18" s="95"/>
      <c r="BB18" s="95"/>
      <c r="BC18" s="95"/>
      <c r="BD18" s="95"/>
      <c r="BE18" s="95"/>
      <c r="BF18" s="95"/>
      <c r="BG18" s="95"/>
      <c r="BH18" s="95"/>
      <c r="BI18" s="95"/>
      <c r="BJ18" s="95"/>
      <c r="BK18" s="95"/>
      <c r="BL18" s="95"/>
      <c r="BM18" s="95"/>
      <c r="BN18" s="95"/>
      <c r="BO18" s="95"/>
      <c r="BP18" s="95"/>
      <c r="BQ18" s="95"/>
      <c r="BR18" s="95"/>
      <c r="BS18" s="95"/>
      <c r="BT18" s="95"/>
      <c r="BU18" s="95"/>
      <c r="BV18" s="95"/>
      <c r="BW18" s="95"/>
      <c r="BX18" s="95"/>
      <c r="BY18" s="95"/>
      <c r="BZ18" s="95"/>
      <c r="CA18" s="95"/>
      <c r="CB18" s="95"/>
      <c r="CC18" s="95"/>
      <c r="CD18" s="95"/>
      <c r="CE18" s="95"/>
      <c r="CF18" s="95"/>
      <c r="CG18" s="95"/>
      <c r="CH18" s="95"/>
      <c r="CI18" s="95"/>
      <c r="CJ18" s="95"/>
      <c r="CK18" s="95"/>
      <c r="CL18" s="95"/>
      <c r="CM18" s="95"/>
      <c r="CN18" s="95"/>
      <c r="CO18" s="95"/>
      <c r="CP18" s="95"/>
      <c r="CQ18" s="95"/>
      <c r="CR18" s="95"/>
      <c r="CS18" s="95"/>
      <c r="CT18" s="95"/>
      <c r="CU18" s="95"/>
      <c r="CV18" s="96"/>
      <c r="CW18" s="96"/>
      <c r="CX18" s="96"/>
      <c r="CY18" s="96"/>
      <c r="CZ18" s="96"/>
      <c r="DA18" s="96"/>
      <c r="DB18" s="96"/>
      <c r="DC18" s="96"/>
      <c r="DD18" s="96"/>
      <c r="DE18" s="96"/>
      <c r="DF18" s="96"/>
      <c r="DG18" s="96"/>
      <c r="DH18" s="96"/>
      <c r="DI18" s="96"/>
      <c r="DJ18" s="96"/>
      <c r="DK18" s="96"/>
      <c r="DL18" s="96"/>
      <c r="DM18" s="96"/>
      <c r="DN18" s="96"/>
      <c r="DO18" s="96"/>
      <c r="DP18" s="96"/>
      <c r="DQ18" s="96"/>
      <c r="DR18" s="96"/>
      <c r="DS18" s="96"/>
      <c r="DT18" s="96"/>
      <c r="DU18" s="96"/>
      <c r="DV18" s="96"/>
      <c r="DW18" s="96"/>
      <c r="DX18" s="96"/>
      <c r="DY18" s="96"/>
      <c r="DZ18" s="96"/>
      <c r="EA18" s="96"/>
      <c r="EB18" s="96"/>
      <c r="EC18" s="96"/>
      <c r="ED18" s="96"/>
      <c r="EE18" s="99"/>
      <c r="EF18" s="99"/>
      <c r="EG18" s="99"/>
      <c r="EH18" s="99"/>
      <c r="EI18" s="99"/>
      <c r="EJ18" s="99"/>
      <c r="EK18" s="99"/>
      <c r="EL18" s="99"/>
      <c r="EM18" s="99"/>
      <c r="EN18" s="99"/>
      <c r="EO18" s="99"/>
      <c r="EP18" s="99"/>
      <c r="EQ18" s="99"/>
      <c r="ER18" s="99"/>
      <c r="ES18" s="99"/>
      <c r="ET18" s="99"/>
      <c r="EU18" s="99"/>
      <c r="EV18" s="99"/>
      <c r="EW18" s="99"/>
      <c r="EX18" s="99"/>
      <c r="EY18" s="99"/>
      <c r="EZ18" s="99"/>
      <c r="FA18" s="99"/>
      <c r="FB18" s="99"/>
      <c r="FC18" s="99"/>
      <c r="FD18" s="99"/>
      <c r="FE18" s="99"/>
      <c r="FF18" s="99"/>
      <c r="FG18" s="99"/>
      <c r="FH18" s="99"/>
      <c r="FI18" s="99"/>
      <c r="FJ18" s="99"/>
      <c r="FK18" s="99"/>
      <c r="FL18" s="99"/>
      <c r="FM18" s="99"/>
      <c r="FN18" s="99"/>
    </row>
    <row r="19" spans="1:170" s="18" customFormat="1" ht="18" hidden="1" customHeight="1">
      <c r="A19" s="1808"/>
      <c r="B19" s="171"/>
      <c r="C19" s="26" t="s">
        <v>217</v>
      </c>
      <c r="D19" s="32"/>
      <c r="E19" s="32"/>
      <c r="F19" s="32"/>
      <c r="G19" s="32"/>
      <c r="H19" s="32"/>
      <c r="I19" s="27"/>
      <c r="J19" s="33" t="s">
        <v>6</v>
      </c>
      <c r="K19" s="33"/>
      <c r="L19" s="28"/>
      <c r="M19" s="1111">
        <v>0.1</v>
      </c>
      <c r="N19" s="1111">
        <v>0.1</v>
      </c>
      <c r="O19" s="1111">
        <v>0.1</v>
      </c>
      <c r="P19" s="989">
        <v>0</v>
      </c>
      <c r="Q19" s="989">
        <v>0</v>
      </c>
      <c r="R19" s="989">
        <v>0</v>
      </c>
      <c r="S19" s="131"/>
      <c r="T19" s="298"/>
      <c r="U19" s="298"/>
      <c r="V19" s="150"/>
      <c r="W19" s="299"/>
      <c r="X19" s="299"/>
      <c r="Y19" s="150"/>
      <c r="Z19" s="299"/>
      <c r="AA19" s="299"/>
      <c r="AB19" s="150"/>
      <c r="AC19" s="299"/>
      <c r="AD19" s="299"/>
      <c r="AE19" s="150"/>
      <c r="AF19" s="150"/>
      <c r="AG19" s="131"/>
      <c r="AH19" s="131"/>
      <c r="AI19" s="131"/>
      <c r="AJ19" s="131"/>
      <c r="AK19" s="131"/>
      <c r="AL19" s="131"/>
      <c r="AM19" s="131"/>
      <c r="AN19" s="152"/>
      <c r="AO19" s="152"/>
      <c r="AP19" s="153"/>
      <c r="AQ19" s="153"/>
      <c r="AR19" s="95"/>
      <c r="AS19" s="95"/>
      <c r="AT19" s="95"/>
      <c r="AU19" s="95"/>
      <c r="AV19" s="95"/>
      <c r="AW19" s="95"/>
      <c r="AX19" s="95"/>
      <c r="AY19" s="95"/>
      <c r="AZ19" s="95"/>
      <c r="BA19" s="95"/>
      <c r="BB19" s="95"/>
      <c r="BC19" s="95"/>
      <c r="BD19" s="95"/>
      <c r="BE19" s="95"/>
      <c r="BF19" s="95"/>
      <c r="BG19" s="95"/>
      <c r="BH19" s="95"/>
      <c r="BI19" s="95"/>
      <c r="BJ19" s="95"/>
      <c r="BK19" s="95"/>
      <c r="BL19" s="95"/>
      <c r="BM19" s="95"/>
      <c r="BN19" s="95"/>
      <c r="BO19" s="95"/>
      <c r="BP19" s="95"/>
      <c r="BQ19" s="95"/>
      <c r="BR19" s="95"/>
      <c r="BS19" s="95"/>
      <c r="BT19" s="95"/>
      <c r="BU19" s="95"/>
      <c r="BV19" s="95"/>
      <c r="BW19" s="95"/>
      <c r="BX19" s="95"/>
      <c r="BY19" s="95"/>
      <c r="BZ19" s="95"/>
      <c r="CA19" s="95"/>
      <c r="CB19" s="95"/>
      <c r="CC19" s="95"/>
      <c r="CD19" s="95"/>
      <c r="CE19" s="95"/>
      <c r="CF19" s="95"/>
      <c r="CG19" s="95"/>
      <c r="CH19" s="95"/>
      <c r="CI19" s="95"/>
      <c r="CJ19" s="95"/>
      <c r="CK19" s="95"/>
      <c r="CL19" s="95"/>
      <c r="CM19" s="95"/>
      <c r="CN19" s="95"/>
      <c r="CO19" s="95"/>
      <c r="CP19" s="95"/>
      <c r="CQ19" s="95"/>
      <c r="CR19" s="95"/>
      <c r="CS19" s="95"/>
      <c r="CT19" s="95"/>
      <c r="CU19" s="95"/>
      <c r="CV19" s="96"/>
      <c r="CW19" s="96"/>
      <c r="CX19" s="96"/>
      <c r="CY19" s="96"/>
      <c r="CZ19" s="96"/>
      <c r="DA19" s="96"/>
      <c r="DB19" s="96"/>
      <c r="DC19" s="96"/>
      <c r="DD19" s="96"/>
      <c r="DE19" s="96"/>
      <c r="DF19" s="96"/>
      <c r="DG19" s="96"/>
      <c r="DH19" s="96"/>
      <c r="DI19" s="96"/>
      <c r="DJ19" s="96"/>
      <c r="DK19" s="96"/>
      <c r="DL19" s="96"/>
      <c r="DM19" s="96"/>
      <c r="DN19" s="96"/>
      <c r="DO19" s="96"/>
      <c r="DP19" s="96"/>
      <c r="DQ19" s="96"/>
      <c r="DR19" s="96"/>
      <c r="DS19" s="96"/>
      <c r="DT19" s="96"/>
      <c r="DU19" s="96"/>
      <c r="DV19" s="96"/>
      <c r="DW19" s="96"/>
      <c r="DX19" s="96"/>
      <c r="DY19" s="96"/>
      <c r="DZ19" s="96"/>
      <c r="EA19" s="96"/>
      <c r="EB19" s="96"/>
      <c r="EC19" s="96"/>
      <c r="ED19" s="96"/>
      <c r="EE19" s="99"/>
      <c r="EF19" s="99"/>
      <c r="EG19" s="99"/>
      <c r="EH19" s="99"/>
      <c r="EI19" s="99"/>
      <c r="EJ19" s="99"/>
      <c r="EK19" s="99"/>
      <c r="EL19" s="99"/>
      <c r="EM19" s="99"/>
      <c r="EN19" s="99"/>
      <c r="EO19" s="99"/>
      <c r="EP19" s="99"/>
      <c r="EQ19" s="99"/>
      <c r="ER19" s="99"/>
      <c r="ES19" s="99"/>
      <c r="ET19" s="99"/>
      <c r="EU19" s="99"/>
      <c r="EV19" s="99"/>
      <c r="EW19" s="99"/>
      <c r="EX19" s="99"/>
      <c r="EY19" s="99"/>
      <c r="EZ19" s="99"/>
      <c r="FA19" s="99"/>
      <c r="FB19" s="99"/>
      <c r="FC19" s="99"/>
      <c r="FD19" s="99"/>
      <c r="FE19" s="99"/>
      <c r="FF19" s="99"/>
      <c r="FG19" s="99"/>
      <c r="FH19" s="99"/>
      <c r="FI19" s="99"/>
      <c r="FJ19" s="99"/>
      <c r="FK19" s="99"/>
      <c r="FL19" s="99"/>
      <c r="FM19" s="99"/>
      <c r="FN19" s="99"/>
    </row>
    <row r="20" spans="1:170" s="18" customFormat="1" ht="18" customHeight="1">
      <c r="A20" s="1808"/>
      <c r="B20" s="416">
        <v>120</v>
      </c>
      <c r="C20" s="493" t="str">
        <f>VLOOKUP(B20,Begriffe!$A$6:$E$442,Begriffe!$D$1+2)</f>
        <v>Glasanteil</v>
      </c>
      <c r="D20" s="177"/>
      <c r="E20" s="177"/>
      <c r="F20" s="21"/>
      <c r="G20" s="21" t="str">
        <f>Begriffe!F310</f>
        <v>nach Westen orientiert</v>
      </c>
      <c r="H20" s="177"/>
      <c r="I20" s="209" t="s">
        <v>237</v>
      </c>
      <c r="J20" s="188" t="s">
        <v>6</v>
      </c>
      <c r="K20" s="188"/>
      <c r="L20" s="1164"/>
      <c r="M20" s="1157">
        <f>IF(L20&lt;&gt;"",L20,INDEX(Eingabedaten!$D$10:$CY$54,nutzid,MATCH($C20,Eingabedaten!$D$7:$CY$7,0)))</f>
        <v>50</v>
      </c>
      <c r="N20" s="182"/>
      <c r="O20" s="328"/>
      <c r="P20" s="989">
        <v>0</v>
      </c>
      <c r="Q20" s="989">
        <v>1</v>
      </c>
      <c r="R20" s="989">
        <v>0</v>
      </c>
      <c r="S20" s="131"/>
      <c r="T20" s="298"/>
      <c r="U20" s="298"/>
      <c r="V20" s="150"/>
      <c r="W20" s="299"/>
      <c r="X20" s="299"/>
      <c r="Y20" s="150"/>
      <c r="Z20" s="299"/>
      <c r="AA20" s="299"/>
      <c r="AB20" s="150"/>
      <c r="AC20" s="299"/>
      <c r="AD20" s="299"/>
      <c r="AE20" s="150"/>
      <c r="AF20" s="150"/>
      <c r="AG20" s="131"/>
      <c r="AH20" s="131"/>
      <c r="AI20" s="131"/>
      <c r="AJ20" s="131"/>
      <c r="AK20" s="131"/>
      <c r="AL20" s="131"/>
      <c r="AM20" s="131"/>
      <c r="AN20" s="152"/>
      <c r="AO20" s="152"/>
      <c r="AP20" s="153"/>
      <c r="AQ20" s="153"/>
      <c r="AR20" s="95"/>
      <c r="AS20" s="95"/>
      <c r="AT20" s="95"/>
      <c r="AU20" s="95"/>
      <c r="AV20" s="95"/>
      <c r="AW20" s="95"/>
      <c r="AX20" s="95"/>
      <c r="AY20" s="95"/>
      <c r="AZ20" s="95"/>
      <c r="BA20" s="95"/>
      <c r="BB20" s="95"/>
      <c r="BC20" s="95"/>
      <c r="BD20" s="95"/>
      <c r="BE20" s="95"/>
      <c r="BF20" s="95"/>
      <c r="BG20" s="95"/>
      <c r="BH20" s="95"/>
      <c r="BI20" s="95"/>
      <c r="BJ20" s="95"/>
      <c r="BK20" s="95"/>
      <c r="BL20" s="95"/>
      <c r="BM20" s="95"/>
      <c r="BN20" s="95"/>
      <c r="BO20" s="95"/>
      <c r="BP20" s="95"/>
      <c r="BQ20" s="95"/>
      <c r="BR20" s="95"/>
      <c r="BS20" s="95"/>
      <c r="BT20" s="95"/>
      <c r="BU20" s="95"/>
      <c r="BV20" s="95"/>
      <c r="BW20" s="95"/>
      <c r="BX20" s="95"/>
      <c r="BY20" s="95"/>
      <c r="BZ20" s="95"/>
      <c r="CA20" s="95"/>
      <c r="CB20" s="95"/>
      <c r="CC20" s="95"/>
      <c r="CD20" s="95"/>
      <c r="CE20" s="95"/>
      <c r="CF20" s="95"/>
      <c r="CG20" s="95"/>
      <c r="CH20" s="95"/>
      <c r="CI20" s="95"/>
      <c r="CJ20" s="95"/>
      <c r="CK20" s="95"/>
      <c r="CL20" s="95"/>
      <c r="CM20" s="95"/>
      <c r="CN20" s="95"/>
      <c r="CO20" s="95"/>
      <c r="CP20" s="95"/>
      <c r="CQ20" s="95"/>
      <c r="CR20" s="95"/>
      <c r="CS20" s="95"/>
      <c r="CT20" s="95"/>
      <c r="CU20" s="95"/>
      <c r="CV20" s="96"/>
      <c r="CW20" s="96"/>
      <c r="CX20" s="96"/>
      <c r="CY20" s="96"/>
      <c r="CZ20" s="96"/>
      <c r="DA20" s="96"/>
      <c r="DB20" s="96"/>
      <c r="DC20" s="96"/>
      <c r="DD20" s="96"/>
      <c r="DE20" s="96"/>
      <c r="DF20" s="96"/>
      <c r="DG20" s="96"/>
      <c r="DH20" s="96"/>
      <c r="DI20" s="96"/>
      <c r="DJ20" s="96"/>
      <c r="DK20" s="96"/>
      <c r="DL20" s="96"/>
      <c r="DM20" s="96"/>
      <c r="DN20" s="96"/>
      <c r="DO20" s="96"/>
      <c r="DP20" s="96"/>
      <c r="DQ20" s="96"/>
      <c r="DR20" s="96"/>
      <c r="DS20" s="96"/>
      <c r="DT20" s="96"/>
      <c r="DU20" s="96"/>
      <c r="DV20" s="96"/>
      <c r="DW20" s="96"/>
      <c r="DX20" s="96"/>
      <c r="DY20" s="96"/>
      <c r="DZ20" s="96"/>
      <c r="EA20" s="96"/>
      <c r="EB20" s="96"/>
      <c r="EC20" s="96"/>
      <c r="ED20" s="96"/>
      <c r="EE20" s="99"/>
      <c r="EF20" s="99"/>
      <c r="EG20" s="99"/>
      <c r="EH20" s="99"/>
      <c r="EI20" s="99"/>
      <c r="EJ20" s="99"/>
      <c r="EK20" s="99"/>
      <c r="EL20" s="99"/>
      <c r="EM20" s="99"/>
      <c r="EN20" s="99"/>
      <c r="EO20" s="99"/>
      <c r="EP20" s="99"/>
      <c r="EQ20" s="99"/>
      <c r="ER20" s="99"/>
      <c r="ES20" s="99"/>
      <c r="ET20" s="99"/>
      <c r="EU20" s="99"/>
      <c r="EV20" s="99"/>
      <c r="EW20" s="99"/>
      <c r="EX20" s="99"/>
      <c r="EY20" s="99"/>
      <c r="EZ20" s="99"/>
      <c r="FA20" s="99"/>
      <c r="FB20" s="99"/>
      <c r="FC20" s="99"/>
      <c r="FD20" s="99"/>
      <c r="FE20" s="99"/>
      <c r="FF20" s="99"/>
      <c r="FG20" s="99"/>
      <c r="FH20" s="99"/>
      <c r="FI20" s="99"/>
      <c r="FJ20" s="99"/>
      <c r="FK20" s="99"/>
      <c r="FL20" s="99"/>
      <c r="FM20" s="99"/>
      <c r="FN20" s="99"/>
    </row>
    <row r="21" spans="1:170" s="18" customFormat="1" ht="18" hidden="1" customHeight="1">
      <c r="A21" s="1808"/>
      <c r="B21" s="30"/>
      <c r="C21" s="932" t="s">
        <v>774</v>
      </c>
      <c r="D21" s="1055"/>
      <c r="E21" s="1055"/>
      <c r="F21" s="1055"/>
      <c r="G21" s="932"/>
      <c r="H21" s="1055"/>
      <c r="I21" s="933" t="s">
        <v>775</v>
      </c>
      <c r="J21" s="934" t="s">
        <v>273</v>
      </c>
      <c r="K21" s="934"/>
      <c r="L21" s="1056"/>
      <c r="M21" s="1058">
        <f>M8*M10/M13*M20%</f>
        <v>28.235294117647058</v>
      </c>
      <c r="N21" s="938"/>
      <c r="O21" s="1057"/>
      <c r="P21" s="989">
        <v>0</v>
      </c>
      <c r="Q21" s="989">
        <v>0</v>
      </c>
      <c r="R21" s="989">
        <v>0</v>
      </c>
      <c r="S21" s="131"/>
      <c r="T21" s="298"/>
      <c r="U21" s="298"/>
      <c r="V21" s="150"/>
      <c r="W21" s="299"/>
      <c r="X21" s="299"/>
      <c r="Y21" s="150"/>
      <c r="Z21" s="299"/>
      <c r="AA21" s="299"/>
      <c r="AB21" s="150"/>
      <c r="AC21" s="299"/>
      <c r="AD21" s="299"/>
      <c r="AE21" s="150"/>
      <c r="AF21" s="150"/>
      <c r="AG21" s="131"/>
      <c r="AH21" s="131"/>
      <c r="AI21" s="131"/>
      <c r="AJ21" s="131"/>
      <c r="AK21" s="131"/>
      <c r="AL21" s="131"/>
      <c r="AM21" s="131"/>
      <c r="AN21" s="152"/>
      <c r="AO21" s="152"/>
      <c r="AP21" s="153"/>
      <c r="AQ21" s="153"/>
      <c r="AR21" s="95"/>
      <c r="AS21" s="95"/>
      <c r="AT21" s="95"/>
      <c r="AU21" s="95"/>
      <c r="AV21" s="95"/>
      <c r="AW21" s="95"/>
      <c r="AX21" s="95"/>
      <c r="AY21" s="95"/>
      <c r="AZ21" s="95"/>
      <c r="BA21" s="95"/>
      <c r="BB21" s="95"/>
      <c r="BC21" s="95"/>
      <c r="BD21" s="95"/>
      <c r="BE21" s="95"/>
      <c r="BF21" s="95"/>
      <c r="BG21" s="95"/>
      <c r="BH21" s="95"/>
      <c r="BI21" s="95"/>
      <c r="BJ21" s="95"/>
      <c r="BK21" s="95"/>
      <c r="BL21" s="95"/>
      <c r="BM21" s="95"/>
      <c r="BN21" s="95"/>
      <c r="BO21" s="95"/>
      <c r="BP21" s="95"/>
      <c r="BQ21" s="95"/>
      <c r="BR21" s="95"/>
      <c r="BS21" s="95"/>
      <c r="BT21" s="95"/>
      <c r="BU21" s="95"/>
      <c r="BV21" s="95"/>
      <c r="BW21" s="95"/>
      <c r="BX21" s="95"/>
      <c r="BY21" s="95"/>
      <c r="BZ21" s="95"/>
      <c r="CA21" s="95"/>
      <c r="CB21" s="95"/>
      <c r="CC21" s="95"/>
      <c r="CD21" s="95"/>
      <c r="CE21" s="95"/>
      <c r="CF21" s="95"/>
      <c r="CG21" s="95"/>
      <c r="CH21" s="95"/>
      <c r="CI21" s="95"/>
      <c r="CJ21" s="95"/>
      <c r="CK21" s="95"/>
      <c r="CL21" s="95"/>
      <c r="CM21" s="95"/>
      <c r="CN21" s="95"/>
      <c r="CO21" s="95"/>
      <c r="CP21" s="95"/>
      <c r="CQ21" s="95"/>
      <c r="CR21" s="95"/>
      <c r="CS21" s="95"/>
      <c r="CT21" s="95"/>
      <c r="CU21" s="95"/>
      <c r="CV21" s="96"/>
      <c r="CW21" s="96"/>
      <c r="CX21" s="96"/>
      <c r="CY21" s="96"/>
      <c r="CZ21" s="96"/>
      <c r="DA21" s="96"/>
      <c r="DB21" s="96"/>
      <c r="DC21" s="96"/>
      <c r="DD21" s="96"/>
      <c r="DE21" s="96"/>
      <c r="DF21" s="96"/>
      <c r="DG21" s="96"/>
      <c r="DH21" s="96"/>
      <c r="DI21" s="96"/>
      <c r="DJ21" s="96"/>
      <c r="DK21" s="96"/>
      <c r="DL21" s="96"/>
      <c r="DM21" s="96"/>
      <c r="DN21" s="96"/>
      <c r="DO21" s="96"/>
      <c r="DP21" s="96"/>
      <c r="DQ21" s="96"/>
      <c r="DR21" s="96"/>
      <c r="DS21" s="96"/>
      <c r="DT21" s="96"/>
      <c r="DU21" s="96"/>
      <c r="DV21" s="96"/>
      <c r="DW21" s="96"/>
      <c r="DX21" s="96"/>
      <c r="DY21" s="96"/>
      <c r="DZ21" s="96"/>
      <c r="EA21" s="96"/>
      <c r="EB21" s="96"/>
      <c r="EC21" s="96"/>
      <c r="ED21" s="96"/>
      <c r="EE21" s="99"/>
      <c r="EF21" s="99"/>
      <c r="EG21" s="99"/>
      <c r="EH21" s="99"/>
      <c r="EI21" s="99"/>
      <c r="EJ21" s="99"/>
      <c r="EK21" s="99"/>
      <c r="EL21" s="99"/>
      <c r="EM21" s="99"/>
      <c r="EN21" s="99"/>
      <c r="EO21" s="99"/>
      <c r="EP21" s="99"/>
      <c r="EQ21" s="99"/>
      <c r="ER21" s="99"/>
      <c r="ES21" s="99"/>
      <c r="ET21" s="99"/>
      <c r="EU21" s="99"/>
      <c r="EV21" s="99"/>
      <c r="EW21" s="99"/>
      <c r="EX21" s="99"/>
      <c r="EY21" s="99"/>
      <c r="EZ21" s="99"/>
      <c r="FA21" s="99"/>
      <c r="FB21" s="99"/>
      <c r="FC21" s="99"/>
      <c r="FD21" s="99"/>
      <c r="FE21" s="99"/>
      <c r="FF21" s="99"/>
      <c r="FG21" s="99"/>
      <c r="FH21" s="99"/>
      <c r="FI21" s="99"/>
      <c r="FJ21" s="99"/>
      <c r="FK21" s="99"/>
      <c r="FL21" s="99"/>
      <c r="FM21" s="99"/>
      <c r="FN21" s="99"/>
    </row>
    <row r="22" spans="1:170" s="18" customFormat="1" ht="18" hidden="1" customHeight="1">
      <c r="A22" s="1808"/>
      <c r="B22" s="30"/>
      <c r="C22" s="932" t="s">
        <v>776</v>
      </c>
      <c r="D22" s="1055"/>
      <c r="E22" s="1055"/>
      <c r="F22" s="1055"/>
      <c r="G22" s="932"/>
      <c r="H22" s="1055"/>
      <c r="I22" s="933" t="s">
        <v>777</v>
      </c>
      <c r="J22" s="934" t="s">
        <v>273</v>
      </c>
      <c r="K22" s="934"/>
      <c r="L22" s="1056"/>
      <c r="M22" s="1058">
        <f>M21/M18</f>
        <v>37.647058823529413</v>
      </c>
      <c r="N22" s="938"/>
      <c r="O22" s="1057"/>
      <c r="P22" s="989">
        <v>0</v>
      </c>
      <c r="Q22" s="989">
        <v>0</v>
      </c>
      <c r="R22" s="989">
        <v>0</v>
      </c>
      <c r="S22" s="131"/>
      <c r="T22" s="298"/>
      <c r="U22" s="298"/>
      <c r="V22" s="150"/>
      <c r="W22" s="299"/>
      <c r="X22" s="299"/>
      <c r="Y22" s="150"/>
      <c r="Z22" s="299"/>
      <c r="AA22" s="299"/>
      <c r="AB22" s="150"/>
      <c r="AC22" s="299"/>
      <c r="AD22" s="299"/>
      <c r="AE22" s="150"/>
      <c r="AF22" s="150"/>
      <c r="AG22" s="131"/>
      <c r="AH22" s="131"/>
      <c r="AI22" s="131"/>
      <c r="AJ22" s="131"/>
      <c r="AK22" s="131"/>
      <c r="AL22" s="131"/>
      <c r="AM22" s="131"/>
      <c r="AN22" s="152"/>
      <c r="AO22" s="152"/>
      <c r="AP22" s="153"/>
      <c r="AQ22" s="153"/>
      <c r="AR22" s="95"/>
      <c r="AS22" s="95"/>
      <c r="AT22" s="95"/>
      <c r="AU22" s="95"/>
      <c r="AV22" s="95"/>
      <c r="AW22" s="95"/>
      <c r="AX22" s="95"/>
      <c r="AY22" s="95"/>
      <c r="AZ22" s="95"/>
      <c r="BA22" s="95"/>
      <c r="BB22" s="95"/>
      <c r="BC22" s="95"/>
      <c r="BD22" s="95"/>
      <c r="BE22" s="95"/>
      <c r="BF22" s="95"/>
      <c r="BG22" s="95"/>
      <c r="BH22" s="95"/>
      <c r="BI22" s="95"/>
      <c r="BJ22" s="95"/>
      <c r="BK22" s="95"/>
      <c r="BL22" s="95"/>
      <c r="BM22" s="95"/>
      <c r="BN22" s="95"/>
      <c r="BO22" s="95"/>
      <c r="BP22" s="95"/>
      <c r="BQ22" s="95"/>
      <c r="BR22" s="95"/>
      <c r="BS22" s="95"/>
      <c r="BT22" s="95"/>
      <c r="BU22" s="95"/>
      <c r="BV22" s="95"/>
      <c r="BW22" s="95"/>
      <c r="BX22" s="95"/>
      <c r="BY22" s="95"/>
      <c r="BZ22" s="95"/>
      <c r="CA22" s="95"/>
      <c r="CB22" s="95"/>
      <c r="CC22" s="95"/>
      <c r="CD22" s="95"/>
      <c r="CE22" s="95"/>
      <c r="CF22" s="95"/>
      <c r="CG22" s="95"/>
      <c r="CH22" s="95"/>
      <c r="CI22" s="95"/>
      <c r="CJ22" s="95"/>
      <c r="CK22" s="95"/>
      <c r="CL22" s="95"/>
      <c r="CM22" s="95"/>
      <c r="CN22" s="95"/>
      <c r="CO22" s="95"/>
      <c r="CP22" s="95"/>
      <c r="CQ22" s="95"/>
      <c r="CR22" s="95"/>
      <c r="CS22" s="95"/>
      <c r="CT22" s="95"/>
      <c r="CU22" s="95"/>
      <c r="CV22" s="96"/>
      <c r="CW22" s="96"/>
      <c r="CX22" s="96"/>
      <c r="CY22" s="96"/>
      <c r="CZ22" s="96"/>
      <c r="DA22" s="96"/>
      <c r="DB22" s="96"/>
      <c r="DC22" s="96"/>
      <c r="DD22" s="96"/>
      <c r="DE22" s="96"/>
      <c r="DF22" s="96"/>
      <c r="DG22" s="96"/>
      <c r="DH22" s="96"/>
      <c r="DI22" s="96"/>
      <c r="DJ22" s="96"/>
      <c r="DK22" s="96"/>
      <c r="DL22" s="96"/>
      <c r="DM22" s="96"/>
      <c r="DN22" s="96"/>
      <c r="DO22" s="96"/>
      <c r="DP22" s="96"/>
      <c r="DQ22" s="96"/>
      <c r="DR22" s="96"/>
      <c r="DS22" s="96"/>
      <c r="DT22" s="96"/>
      <c r="DU22" s="96"/>
      <c r="DV22" s="96"/>
      <c r="DW22" s="96"/>
      <c r="DX22" s="96"/>
      <c r="DY22" s="96"/>
      <c r="DZ22" s="96"/>
      <c r="EA22" s="96"/>
      <c r="EB22" s="96"/>
      <c r="EC22" s="96"/>
      <c r="ED22" s="96"/>
      <c r="EE22" s="99"/>
      <c r="EF22" s="99"/>
      <c r="EG22" s="99"/>
      <c r="EH22" s="99"/>
      <c r="EI22" s="99"/>
      <c r="EJ22" s="99"/>
      <c r="EK22" s="99"/>
      <c r="EL22" s="99"/>
      <c r="EM22" s="99"/>
      <c r="EN22" s="99"/>
      <c r="EO22" s="99"/>
      <c r="EP22" s="99"/>
      <c r="EQ22" s="99"/>
      <c r="ER22" s="99"/>
      <c r="ES22" s="99"/>
      <c r="ET22" s="99"/>
      <c r="EU22" s="99"/>
      <c r="EV22" s="99"/>
      <c r="EW22" s="99"/>
      <c r="EX22" s="99"/>
      <c r="EY22" s="99"/>
      <c r="EZ22" s="99"/>
      <c r="FA22" s="99"/>
      <c r="FB22" s="99"/>
      <c r="FC22" s="99"/>
      <c r="FD22" s="99"/>
      <c r="FE22" s="99"/>
      <c r="FF22" s="99"/>
      <c r="FG22" s="99"/>
      <c r="FH22" s="99"/>
      <c r="FI22" s="99"/>
      <c r="FJ22" s="99"/>
      <c r="FK22" s="99"/>
      <c r="FL22" s="99"/>
      <c r="FM22" s="99"/>
      <c r="FN22" s="99"/>
    </row>
    <row r="23" spans="1:170" s="18" customFormat="1" ht="18" hidden="1" customHeight="1">
      <c r="A23" s="1808"/>
      <c r="B23" s="1059"/>
      <c r="C23" s="932" t="s">
        <v>778</v>
      </c>
      <c r="D23" s="1055"/>
      <c r="E23" s="1055"/>
      <c r="F23" s="1055"/>
      <c r="G23" s="932"/>
      <c r="H23" s="1055"/>
      <c r="I23" s="933" t="s">
        <v>779</v>
      </c>
      <c r="J23" s="934" t="s">
        <v>273</v>
      </c>
      <c r="K23" s="934"/>
      <c r="L23" s="1056"/>
      <c r="M23" s="1058">
        <f>M12-M22</f>
        <v>75.294117647058812</v>
      </c>
      <c r="N23" s="938"/>
      <c r="O23" s="1057"/>
      <c r="P23" s="989">
        <v>0</v>
      </c>
      <c r="Q23" s="989">
        <v>0</v>
      </c>
      <c r="R23" s="989">
        <v>0</v>
      </c>
      <c r="S23" s="131"/>
      <c r="T23" s="298"/>
      <c r="U23" s="298"/>
      <c r="V23" s="150"/>
      <c r="W23" s="299"/>
      <c r="X23" s="299"/>
      <c r="Y23" s="150"/>
      <c r="Z23" s="299"/>
      <c r="AA23" s="299"/>
      <c r="AB23" s="150"/>
      <c r="AC23" s="299"/>
      <c r="AD23" s="299"/>
      <c r="AE23" s="150"/>
      <c r="AF23" s="150"/>
      <c r="AG23" s="131"/>
      <c r="AH23" s="131"/>
      <c r="AI23" s="131"/>
      <c r="AJ23" s="131"/>
      <c r="AK23" s="131"/>
      <c r="AL23" s="131"/>
      <c r="AM23" s="131"/>
      <c r="AN23" s="152"/>
      <c r="AO23" s="152"/>
      <c r="AP23" s="153"/>
      <c r="AQ23" s="153"/>
      <c r="AR23" s="95"/>
      <c r="AS23" s="95"/>
      <c r="AT23" s="95"/>
      <c r="AU23" s="95"/>
      <c r="AV23" s="95"/>
      <c r="AW23" s="95"/>
      <c r="AX23" s="95"/>
      <c r="AY23" s="95"/>
      <c r="AZ23" s="95"/>
      <c r="BA23" s="95"/>
      <c r="BB23" s="95"/>
      <c r="BC23" s="95"/>
      <c r="BD23" s="95"/>
      <c r="BE23" s="95"/>
      <c r="BF23" s="95"/>
      <c r="BG23" s="95"/>
      <c r="BH23" s="95"/>
      <c r="BI23" s="95"/>
      <c r="BJ23" s="95"/>
      <c r="BK23" s="95"/>
      <c r="BL23" s="95"/>
      <c r="BM23" s="95"/>
      <c r="BN23" s="95"/>
      <c r="BO23" s="95"/>
      <c r="BP23" s="95"/>
      <c r="BQ23" s="95"/>
      <c r="BR23" s="95"/>
      <c r="BS23" s="95"/>
      <c r="BT23" s="95"/>
      <c r="BU23" s="95"/>
      <c r="BV23" s="95"/>
      <c r="BW23" s="95"/>
      <c r="BX23" s="95"/>
      <c r="BY23" s="95"/>
      <c r="BZ23" s="95"/>
      <c r="CA23" s="95"/>
      <c r="CB23" s="95"/>
      <c r="CC23" s="95"/>
      <c r="CD23" s="95"/>
      <c r="CE23" s="95"/>
      <c r="CF23" s="95"/>
      <c r="CG23" s="95"/>
      <c r="CH23" s="95"/>
      <c r="CI23" s="95"/>
      <c r="CJ23" s="95"/>
      <c r="CK23" s="95"/>
      <c r="CL23" s="95"/>
      <c r="CM23" s="95"/>
      <c r="CN23" s="95"/>
      <c r="CO23" s="95"/>
      <c r="CP23" s="95"/>
      <c r="CQ23" s="95"/>
      <c r="CR23" s="95"/>
      <c r="CS23" s="95"/>
      <c r="CT23" s="95"/>
      <c r="CU23" s="95"/>
      <c r="CV23" s="96"/>
      <c r="CW23" s="96"/>
      <c r="CX23" s="96"/>
      <c r="CY23" s="96"/>
      <c r="CZ23" s="96"/>
      <c r="DA23" s="96"/>
      <c r="DB23" s="96"/>
      <c r="DC23" s="96"/>
      <c r="DD23" s="96"/>
      <c r="DE23" s="96"/>
      <c r="DF23" s="96"/>
      <c r="DG23" s="96"/>
      <c r="DH23" s="96"/>
      <c r="DI23" s="96"/>
      <c r="DJ23" s="96"/>
      <c r="DK23" s="96"/>
      <c r="DL23" s="96"/>
      <c r="DM23" s="96"/>
      <c r="DN23" s="96"/>
      <c r="DO23" s="96"/>
      <c r="DP23" s="96"/>
      <c r="DQ23" s="96"/>
      <c r="DR23" s="96"/>
      <c r="DS23" s="96"/>
      <c r="DT23" s="96"/>
      <c r="DU23" s="96"/>
      <c r="DV23" s="96"/>
      <c r="DW23" s="96"/>
      <c r="DX23" s="96"/>
      <c r="DY23" s="96"/>
      <c r="DZ23" s="96"/>
      <c r="EA23" s="96"/>
      <c r="EB23" s="96"/>
      <c r="EC23" s="96"/>
      <c r="ED23" s="96"/>
      <c r="EE23" s="99"/>
      <c r="EF23" s="99"/>
      <c r="EG23" s="99"/>
      <c r="EH23" s="99"/>
      <c r="EI23" s="99"/>
      <c r="EJ23" s="99"/>
      <c r="EK23" s="99"/>
      <c r="EL23" s="99"/>
      <c r="EM23" s="99"/>
      <c r="EN23" s="99"/>
      <c r="EO23" s="99"/>
      <c r="EP23" s="99"/>
      <c r="EQ23" s="99"/>
      <c r="ER23" s="99"/>
      <c r="ES23" s="99"/>
      <c r="ET23" s="99"/>
      <c r="EU23" s="99"/>
      <c r="EV23" s="99"/>
      <c r="EW23" s="99"/>
      <c r="EX23" s="99"/>
      <c r="EY23" s="99"/>
      <c r="EZ23" s="99"/>
      <c r="FA23" s="99"/>
      <c r="FB23" s="99"/>
      <c r="FC23" s="99"/>
      <c r="FD23" s="99"/>
      <c r="FE23" s="99"/>
      <c r="FF23" s="99"/>
      <c r="FG23" s="99"/>
      <c r="FH23" s="99"/>
      <c r="FI23" s="99"/>
      <c r="FJ23" s="99"/>
      <c r="FK23" s="99"/>
      <c r="FL23" s="99"/>
      <c r="FM23" s="99"/>
      <c r="FN23" s="99"/>
    </row>
    <row r="24" spans="1:170" s="18" customFormat="1" ht="18" customHeight="1">
      <c r="A24" s="1808"/>
      <c r="B24" s="416">
        <v>310</v>
      </c>
      <c r="C24" s="493" t="str">
        <f>VLOOKUP(B24,Begriffe!$A$6:$E$442,Begriffe!$D$1+2)</f>
        <v>Gesamtenergiedurchlassgrad Verglasung</v>
      </c>
      <c r="D24" s="185"/>
      <c r="E24" s="179"/>
      <c r="F24" s="21"/>
      <c r="G24" s="184"/>
      <c r="H24" s="21"/>
      <c r="I24" s="178" t="s">
        <v>32</v>
      </c>
      <c r="J24" s="188" t="s">
        <v>272</v>
      </c>
      <c r="K24" s="188"/>
      <c r="L24" s="1165"/>
      <c r="M24" s="1158">
        <f>IF(L24&lt;&gt;"",L24,INDEX(Eingabedaten!$D$10:$CY$54,nutzid,MATCH($C24,Eingabedaten!$D$7:$CY$7,0)))</f>
        <v>0.5</v>
      </c>
      <c r="N24" s="986">
        <f>INDEX(Eingabedaten!$D$10:$CY$54,nutzid,MATCH($C24,Eingabedaten!$D$7:$CY$7,0)+1)</f>
        <v>0.5</v>
      </c>
      <c r="O24" s="986">
        <f>INDEX(Eingabedaten!$D$10:$CY$54,nutzid,MATCH($C24,Eingabedaten!$D$7:$CY$7,0)+2)</f>
        <v>0.65</v>
      </c>
      <c r="P24" s="989">
        <v>0</v>
      </c>
      <c r="Q24" s="989">
        <v>1</v>
      </c>
      <c r="R24" s="989">
        <v>0</v>
      </c>
      <c r="S24" s="131"/>
      <c r="T24" s="298"/>
      <c r="U24" s="298"/>
      <c r="V24" s="150"/>
      <c r="W24" s="299"/>
      <c r="X24" s="299"/>
      <c r="Y24" s="150"/>
      <c r="Z24" s="299"/>
      <c r="AA24" s="299"/>
      <c r="AB24" s="150"/>
      <c r="AC24" s="299"/>
      <c r="AD24" s="299"/>
      <c r="AE24" s="150"/>
      <c r="AF24" s="150"/>
      <c r="AG24" s="131"/>
      <c r="AH24" s="131"/>
      <c r="AI24" s="131"/>
      <c r="AJ24" s="131"/>
      <c r="AK24" s="131"/>
      <c r="AL24" s="131"/>
      <c r="AM24" s="131"/>
      <c r="AN24" s="152"/>
      <c r="AO24" s="152"/>
      <c r="AP24" s="153"/>
      <c r="AQ24" s="153"/>
      <c r="AR24" s="95"/>
      <c r="AS24" s="95"/>
      <c r="AT24" s="95"/>
      <c r="AU24" s="95"/>
      <c r="AV24" s="95"/>
      <c r="AW24" s="95"/>
      <c r="AX24" s="95"/>
      <c r="AY24" s="95"/>
      <c r="AZ24" s="95"/>
      <c r="BA24" s="95"/>
      <c r="BB24" s="95"/>
      <c r="BC24" s="95"/>
      <c r="BD24" s="95"/>
      <c r="BE24" s="95"/>
      <c r="BF24" s="95"/>
      <c r="BG24" s="95"/>
      <c r="BH24" s="95"/>
      <c r="BI24" s="95"/>
      <c r="BJ24" s="95"/>
      <c r="BK24" s="95"/>
      <c r="BL24" s="95"/>
      <c r="BM24" s="95"/>
      <c r="BN24" s="95"/>
      <c r="BO24" s="95"/>
      <c r="BP24" s="95"/>
      <c r="BQ24" s="95"/>
      <c r="BR24" s="95"/>
      <c r="BS24" s="95"/>
      <c r="BT24" s="95"/>
      <c r="BU24" s="95"/>
      <c r="BV24" s="95"/>
      <c r="BW24" s="95"/>
      <c r="BX24" s="95"/>
      <c r="BY24" s="95"/>
      <c r="BZ24" s="95"/>
      <c r="CA24" s="95"/>
      <c r="CB24" s="95"/>
      <c r="CC24" s="95"/>
      <c r="CD24" s="95"/>
      <c r="CE24" s="95"/>
      <c r="CF24" s="95"/>
      <c r="CG24" s="95"/>
      <c r="CH24" s="95"/>
      <c r="CI24" s="95"/>
      <c r="CJ24" s="95"/>
      <c r="CK24" s="95"/>
      <c r="CL24" s="95"/>
      <c r="CM24" s="95"/>
      <c r="CN24" s="95"/>
      <c r="CO24" s="95"/>
      <c r="CP24" s="95"/>
      <c r="CQ24" s="95"/>
      <c r="CR24" s="95"/>
      <c r="CS24" s="95"/>
      <c r="CT24" s="95"/>
      <c r="CU24" s="95"/>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6"/>
      <c r="DT24" s="96"/>
      <c r="DU24" s="96"/>
      <c r="DV24" s="96"/>
      <c r="DW24" s="96"/>
      <c r="DX24" s="96"/>
      <c r="DY24" s="96"/>
      <c r="DZ24" s="96"/>
      <c r="EA24" s="96"/>
      <c r="EB24" s="96"/>
      <c r="EC24" s="96"/>
      <c r="ED24" s="96"/>
      <c r="EE24" s="99"/>
      <c r="EF24" s="99"/>
      <c r="EG24" s="99"/>
      <c r="EH24" s="99"/>
      <c r="EI24" s="99"/>
      <c r="EJ24" s="99"/>
      <c r="EK24" s="99"/>
      <c r="EL24" s="99"/>
      <c r="EM24" s="99"/>
      <c r="EN24" s="99"/>
      <c r="EO24" s="99"/>
      <c r="EP24" s="99"/>
      <c r="EQ24" s="99"/>
      <c r="ER24" s="99"/>
      <c r="ES24" s="99"/>
      <c r="ET24" s="99"/>
      <c r="EU24" s="99"/>
      <c r="EV24" s="99"/>
      <c r="EW24" s="99"/>
      <c r="EX24" s="99"/>
      <c r="EY24" s="99"/>
      <c r="EZ24" s="99"/>
      <c r="FA24" s="99"/>
      <c r="FB24" s="99"/>
      <c r="FC24" s="99"/>
      <c r="FD24" s="99"/>
      <c r="FE24" s="99"/>
      <c r="FF24" s="99"/>
      <c r="FG24" s="99"/>
      <c r="FH24" s="99"/>
      <c r="FI24" s="99"/>
      <c r="FJ24" s="99"/>
      <c r="FK24" s="99"/>
      <c r="FL24" s="99"/>
      <c r="FM24" s="99"/>
      <c r="FN24" s="99"/>
    </row>
    <row r="25" spans="1:170" s="18" customFormat="1" ht="18" customHeight="1">
      <c r="A25" s="1808"/>
      <c r="B25" s="416">
        <v>311</v>
      </c>
      <c r="C25" s="493" t="str">
        <f>VLOOKUP(B25,Begriffe!$A$6:$E$442,Begriffe!$D$1+2)</f>
        <v>Gesamtenergiedurchlassgrad Verglasung und Sonnenschutz</v>
      </c>
      <c r="D25" s="185"/>
      <c r="E25" s="179"/>
      <c r="F25" s="21"/>
      <c r="G25" s="184"/>
      <c r="H25" s="21"/>
      <c r="I25" s="209" t="s">
        <v>708</v>
      </c>
      <c r="J25" s="188" t="s">
        <v>272</v>
      </c>
      <c r="K25" s="188"/>
      <c r="L25" s="1165"/>
      <c r="M25" s="1158">
        <f>IF(L25&lt;&gt;"",L25,INDEX(Eingabedaten!$D$10:$CY$54,nutzid,MATCH($C25,Eingabedaten!$D$7:$CY$7,0)))</f>
        <v>0.14000000000000001</v>
      </c>
      <c r="N25" s="986">
        <f>INDEX(Eingabedaten!$D$10:$CY$54,nutzid,MATCH($C25,Eingabedaten!$D$7:$CY$7,0)+1)</f>
        <v>0.1</v>
      </c>
      <c r="O25" s="986">
        <f>INDEX(Eingabedaten!$D$10:$CY$54,nutzid,MATCH($C25,Eingabedaten!$D$7:$CY$7,0)+2)</f>
        <v>0.2</v>
      </c>
      <c r="P25" s="989">
        <v>0</v>
      </c>
      <c r="Q25" s="989">
        <v>1</v>
      </c>
      <c r="R25" s="989">
        <v>0</v>
      </c>
      <c r="S25" s="131"/>
      <c r="T25" s="298"/>
      <c r="U25" s="298"/>
      <c r="V25" s="150"/>
      <c r="W25" s="299"/>
      <c r="X25" s="299"/>
      <c r="Y25" s="150"/>
      <c r="Z25" s="299"/>
      <c r="AA25" s="299"/>
      <c r="AB25" s="150"/>
      <c r="AC25" s="299"/>
      <c r="AD25" s="299"/>
      <c r="AE25" s="150"/>
      <c r="AF25" s="150"/>
      <c r="AG25" s="131"/>
      <c r="AH25" s="131"/>
      <c r="AI25" s="131"/>
      <c r="AJ25" s="131"/>
      <c r="AK25" s="131"/>
      <c r="AL25" s="131"/>
      <c r="AM25" s="131"/>
      <c r="AN25" s="152"/>
      <c r="AO25" s="152"/>
      <c r="AP25" s="153"/>
      <c r="AQ25" s="153"/>
      <c r="AR25" s="95"/>
      <c r="AS25" s="95"/>
      <c r="AT25" s="95"/>
      <c r="AU25" s="95"/>
      <c r="AV25" s="95"/>
      <c r="AW25" s="95"/>
      <c r="AX25" s="95"/>
      <c r="AY25" s="95"/>
      <c r="AZ25" s="95"/>
      <c r="BA25" s="95"/>
      <c r="BB25" s="95"/>
      <c r="BC25" s="95"/>
      <c r="BD25" s="95"/>
      <c r="BE25" s="95"/>
      <c r="BF25" s="95"/>
      <c r="BG25" s="95"/>
      <c r="BH25" s="95"/>
      <c r="BI25" s="95"/>
      <c r="BJ25" s="95"/>
      <c r="BK25" s="95"/>
      <c r="BL25" s="95"/>
      <c r="BM25" s="95"/>
      <c r="BN25" s="95"/>
      <c r="BO25" s="95"/>
      <c r="BP25" s="95"/>
      <c r="BQ25" s="95"/>
      <c r="BR25" s="95"/>
      <c r="BS25" s="95"/>
      <c r="BT25" s="95"/>
      <c r="BU25" s="95"/>
      <c r="BV25" s="95"/>
      <c r="BW25" s="95"/>
      <c r="BX25" s="95"/>
      <c r="BY25" s="95"/>
      <c r="BZ25" s="95"/>
      <c r="CA25" s="95"/>
      <c r="CB25" s="95"/>
      <c r="CC25" s="95"/>
      <c r="CD25" s="95"/>
      <c r="CE25" s="95"/>
      <c r="CF25" s="95"/>
      <c r="CG25" s="95"/>
      <c r="CH25" s="95"/>
      <c r="CI25" s="95"/>
      <c r="CJ25" s="95"/>
      <c r="CK25" s="95"/>
      <c r="CL25" s="95"/>
      <c r="CM25" s="95"/>
      <c r="CN25" s="95"/>
      <c r="CO25" s="95"/>
      <c r="CP25" s="95"/>
      <c r="CQ25" s="95"/>
      <c r="CR25" s="95"/>
      <c r="CS25" s="95"/>
      <c r="CT25" s="95"/>
      <c r="CU25" s="95"/>
      <c r="CV25" s="96"/>
      <c r="CW25" s="96"/>
      <c r="CX25" s="96"/>
      <c r="CY25" s="96"/>
      <c r="CZ25" s="96"/>
      <c r="DA25" s="96"/>
      <c r="DB25" s="96"/>
      <c r="DC25" s="96"/>
      <c r="DD25" s="96"/>
      <c r="DE25" s="96"/>
      <c r="DF25" s="96"/>
      <c r="DG25" s="96"/>
      <c r="DH25" s="96"/>
      <c r="DI25" s="96"/>
      <c r="DJ25" s="96"/>
      <c r="DK25" s="96"/>
      <c r="DL25" s="96"/>
      <c r="DM25" s="96"/>
      <c r="DN25" s="96"/>
      <c r="DO25" s="96"/>
      <c r="DP25" s="96"/>
      <c r="DQ25" s="96"/>
      <c r="DR25" s="96"/>
      <c r="DS25" s="96"/>
      <c r="DT25" s="96"/>
      <c r="DU25" s="96"/>
      <c r="DV25" s="96"/>
      <c r="DW25" s="96"/>
      <c r="DX25" s="96"/>
      <c r="DY25" s="96"/>
      <c r="DZ25" s="96"/>
      <c r="EA25" s="96"/>
      <c r="EB25" s="96"/>
      <c r="EC25" s="96"/>
      <c r="ED25" s="96"/>
      <c r="EE25" s="99"/>
      <c r="EF25" s="99"/>
      <c r="EG25" s="99"/>
      <c r="EH25" s="99"/>
      <c r="EI25" s="99"/>
      <c r="EJ25" s="99"/>
      <c r="EK25" s="99"/>
      <c r="EL25" s="99"/>
      <c r="EM25" s="99"/>
      <c r="EN25" s="99"/>
      <c r="EO25" s="99"/>
      <c r="EP25" s="99"/>
      <c r="EQ25" s="99"/>
      <c r="ER25" s="99"/>
      <c r="ES25" s="99"/>
      <c r="ET25" s="99"/>
      <c r="EU25" s="99"/>
      <c r="EV25" s="99"/>
      <c r="EW25" s="99"/>
      <c r="EX25" s="99"/>
      <c r="EY25" s="99"/>
      <c r="EZ25" s="99"/>
      <c r="FA25" s="99"/>
      <c r="FB25" s="99"/>
      <c r="FC25" s="99"/>
      <c r="FD25" s="99"/>
      <c r="FE25" s="99"/>
      <c r="FF25" s="99"/>
      <c r="FG25" s="99"/>
      <c r="FH25" s="99"/>
      <c r="FI25" s="99"/>
      <c r="FJ25" s="99"/>
      <c r="FK25" s="99"/>
      <c r="FL25" s="99"/>
      <c r="FM25" s="99"/>
      <c r="FN25" s="99"/>
    </row>
    <row r="26" spans="1:170" s="18" customFormat="1" ht="18" customHeight="1">
      <c r="A26" s="1808"/>
      <c r="B26" s="416">
        <v>184</v>
      </c>
      <c r="C26" s="493" t="str">
        <f>VLOOKUP(B26,Begriffe!$A$6:$E$442,Begriffe!$D$1+2)</f>
        <v>Wärmespeicherfähigkeit des Raumes</v>
      </c>
      <c r="D26" s="13"/>
      <c r="E26" s="327"/>
      <c r="F26" s="493"/>
      <c r="G26" s="1806"/>
      <c r="H26" s="1807"/>
      <c r="I26" s="209" t="s">
        <v>234</v>
      </c>
      <c r="J26" s="871" t="s">
        <v>238</v>
      </c>
      <c r="K26" s="871"/>
      <c r="L26" s="1164"/>
      <c r="M26" s="1157">
        <f>IF(L26&lt;&gt;"",L26,INDEX(Eingabedaten!$D$10:$CY$54,nutzid,MATCH($C26,Eingabedaten!$D$7:$CY$7,0)))</f>
        <v>101.6</v>
      </c>
      <c r="N26" s="987">
        <f>M26</f>
        <v>101.6</v>
      </c>
      <c r="O26" s="987">
        <f>M26</f>
        <v>101.6</v>
      </c>
      <c r="P26" s="989">
        <v>0</v>
      </c>
      <c r="Q26" s="989">
        <v>1</v>
      </c>
      <c r="R26" s="989">
        <v>0</v>
      </c>
      <c r="S26" s="131"/>
      <c r="T26" s="298"/>
      <c r="U26" s="298"/>
      <c r="V26" s="150"/>
      <c r="W26" s="299"/>
      <c r="X26" s="299"/>
      <c r="Y26" s="150"/>
      <c r="Z26" s="299"/>
      <c r="AA26" s="299"/>
      <c r="AB26" s="150"/>
      <c r="AC26" s="299"/>
      <c r="AD26" s="299"/>
      <c r="AE26" s="150"/>
      <c r="AF26" s="150"/>
      <c r="AG26" s="131"/>
      <c r="AH26" s="131"/>
      <c r="AI26" s="131"/>
      <c r="AJ26" s="131"/>
      <c r="AK26" s="131"/>
      <c r="AL26" s="131"/>
      <c r="AM26" s="131"/>
      <c r="AN26" s="152"/>
      <c r="AO26" s="152"/>
      <c r="AP26" s="153"/>
      <c r="AQ26" s="153"/>
      <c r="AR26" s="95"/>
      <c r="AS26" s="95"/>
      <c r="AT26" s="95"/>
      <c r="AU26" s="95"/>
      <c r="AV26" s="95"/>
      <c r="AW26" s="95"/>
      <c r="AX26" s="95"/>
      <c r="AY26" s="95"/>
      <c r="AZ26" s="95"/>
      <c r="BA26" s="95"/>
      <c r="BB26" s="95"/>
      <c r="BC26" s="95"/>
      <c r="BD26" s="95"/>
      <c r="BE26" s="95"/>
      <c r="BF26" s="95"/>
      <c r="BG26" s="95"/>
      <c r="BH26" s="95"/>
      <c r="BI26" s="95"/>
      <c r="BJ26" s="95"/>
      <c r="BK26" s="95"/>
      <c r="BL26" s="95"/>
      <c r="BM26" s="95"/>
      <c r="BN26" s="95"/>
      <c r="BO26" s="95"/>
      <c r="BP26" s="95"/>
      <c r="BQ26" s="95"/>
      <c r="BR26" s="95"/>
      <c r="BS26" s="95"/>
      <c r="BT26" s="95"/>
      <c r="BU26" s="95"/>
      <c r="BV26" s="95"/>
      <c r="BW26" s="95"/>
      <c r="BX26" s="95"/>
      <c r="BY26" s="95"/>
      <c r="BZ26" s="95"/>
      <c r="CA26" s="95"/>
      <c r="CB26" s="95"/>
      <c r="CC26" s="95"/>
      <c r="CD26" s="95"/>
      <c r="CE26" s="95"/>
      <c r="CF26" s="95"/>
      <c r="CG26" s="95"/>
      <c r="CH26" s="95"/>
      <c r="CI26" s="95"/>
      <c r="CJ26" s="95"/>
      <c r="CK26" s="95"/>
      <c r="CL26" s="95"/>
      <c r="CM26" s="95"/>
      <c r="CN26" s="95"/>
      <c r="CO26" s="95"/>
      <c r="CP26" s="95"/>
      <c r="CQ26" s="95"/>
      <c r="CR26" s="95"/>
      <c r="CS26" s="95"/>
      <c r="CT26" s="95"/>
      <c r="CU26" s="95"/>
      <c r="CV26" s="96"/>
      <c r="CW26" s="96"/>
      <c r="CX26" s="96"/>
      <c r="CY26" s="96"/>
      <c r="CZ26" s="96"/>
      <c r="DA26" s="96"/>
      <c r="DB26" s="96"/>
      <c r="DC26" s="96"/>
      <c r="DD26" s="96"/>
      <c r="DE26" s="96"/>
      <c r="DF26" s="96"/>
      <c r="DG26" s="96"/>
      <c r="DH26" s="96"/>
      <c r="DI26" s="96"/>
      <c r="DJ26" s="96"/>
      <c r="DK26" s="96"/>
      <c r="DL26" s="96"/>
      <c r="DM26" s="96"/>
      <c r="DN26" s="96"/>
      <c r="DO26" s="96"/>
      <c r="DP26" s="96"/>
      <c r="DQ26" s="96"/>
      <c r="DR26" s="96"/>
      <c r="DS26" s="96"/>
      <c r="DT26" s="96"/>
      <c r="DU26" s="96"/>
      <c r="DV26" s="96"/>
      <c r="DW26" s="96"/>
      <c r="DX26" s="96"/>
      <c r="DY26" s="96"/>
      <c r="DZ26" s="96"/>
      <c r="EA26" s="96"/>
      <c r="EB26" s="96"/>
      <c r="EC26" s="96"/>
      <c r="ED26" s="96"/>
      <c r="EE26" s="99"/>
      <c r="EF26" s="99"/>
      <c r="EG26" s="99"/>
      <c r="EH26" s="99"/>
      <c r="EI26" s="99"/>
      <c r="EJ26" s="99"/>
      <c r="EK26" s="99"/>
      <c r="EL26" s="99"/>
      <c r="EM26" s="99"/>
      <c r="EN26" s="99"/>
      <c r="EO26" s="99"/>
      <c r="EP26" s="99"/>
      <c r="EQ26" s="99"/>
      <c r="ER26" s="99"/>
      <c r="ES26" s="99"/>
      <c r="ET26" s="99"/>
      <c r="EU26" s="99"/>
      <c r="EV26" s="99"/>
      <c r="EW26" s="99"/>
      <c r="EX26" s="99"/>
      <c r="EY26" s="99"/>
      <c r="EZ26" s="99"/>
      <c r="FA26" s="99"/>
      <c r="FB26" s="99"/>
      <c r="FC26" s="99"/>
      <c r="FD26" s="99"/>
      <c r="FE26" s="99"/>
      <c r="FF26" s="99"/>
      <c r="FG26" s="99"/>
      <c r="FH26" s="99"/>
      <c r="FI26" s="99"/>
      <c r="FJ26" s="99"/>
      <c r="FK26" s="99"/>
      <c r="FL26" s="99"/>
      <c r="FM26" s="99"/>
      <c r="FN26" s="99"/>
    </row>
    <row r="27" spans="1:170" s="18" customFormat="1" ht="15.75" customHeight="1">
      <c r="A27" s="1808"/>
      <c r="B27" s="416"/>
      <c r="C27" s="184"/>
      <c r="D27" s="185"/>
      <c r="E27" s="179"/>
      <c r="F27" s="21"/>
      <c r="G27" s="184"/>
      <c r="H27" s="21"/>
      <c r="I27" s="178"/>
      <c r="J27" s="188"/>
      <c r="K27" s="188"/>
      <c r="L27" s="188"/>
      <c r="M27" s="314"/>
      <c r="N27" s="314"/>
      <c r="O27" s="314"/>
      <c r="P27" s="989">
        <v>0</v>
      </c>
      <c r="Q27" s="989">
        <v>1</v>
      </c>
      <c r="R27" s="989">
        <v>0</v>
      </c>
      <c r="S27" s="131"/>
      <c r="T27" s="298"/>
      <c r="U27" s="298"/>
      <c r="V27" s="150"/>
      <c r="W27" s="299"/>
      <c r="X27" s="299"/>
      <c r="Y27" s="150"/>
      <c r="Z27" s="299"/>
      <c r="AA27" s="299"/>
      <c r="AB27" s="150"/>
      <c r="AC27" s="299"/>
      <c r="AD27" s="299"/>
      <c r="AE27" s="150"/>
      <c r="AF27" s="150"/>
      <c r="AG27" s="131"/>
      <c r="AH27" s="131"/>
      <c r="AI27" s="131"/>
      <c r="AJ27" s="131"/>
      <c r="AK27" s="131"/>
      <c r="AL27" s="131"/>
      <c r="AM27" s="131"/>
      <c r="AN27" s="152"/>
      <c r="AO27" s="152"/>
      <c r="AP27" s="153"/>
      <c r="AQ27" s="153"/>
      <c r="AR27" s="95"/>
      <c r="AS27" s="95"/>
      <c r="AT27" s="95"/>
      <c r="AU27" s="95"/>
      <c r="AV27" s="95"/>
      <c r="AW27" s="95"/>
      <c r="AX27" s="95"/>
      <c r="AY27" s="95"/>
      <c r="AZ27" s="95"/>
      <c r="BA27" s="95"/>
      <c r="BB27" s="95"/>
      <c r="BC27" s="95"/>
      <c r="BD27" s="95"/>
      <c r="BE27" s="95"/>
      <c r="BF27" s="95"/>
      <c r="BG27" s="95"/>
      <c r="BH27" s="95"/>
      <c r="BI27" s="95"/>
      <c r="BJ27" s="95"/>
      <c r="BK27" s="95"/>
      <c r="BL27" s="95"/>
      <c r="BM27" s="95"/>
      <c r="BN27" s="95"/>
      <c r="BO27" s="95"/>
      <c r="BP27" s="95"/>
      <c r="BQ27" s="95"/>
      <c r="BR27" s="95"/>
      <c r="BS27" s="95"/>
      <c r="BT27" s="95"/>
      <c r="BU27" s="95"/>
      <c r="BV27" s="95"/>
      <c r="BW27" s="95"/>
      <c r="BX27" s="95"/>
      <c r="BY27" s="95"/>
      <c r="BZ27" s="95"/>
      <c r="CA27" s="95"/>
      <c r="CB27" s="95"/>
      <c r="CC27" s="95"/>
      <c r="CD27" s="95"/>
      <c r="CE27" s="95"/>
      <c r="CF27" s="95"/>
      <c r="CG27" s="95"/>
      <c r="CH27" s="95"/>
      <c r="CI27" s="95"/>
      <c r="CJ27" s="95"/>
      <c r="CK27" s="95"/>
      <c r="CL27" s="95"/>
      <c r="CM27" s="95"/>
      <c r="CN27" s="95"/>
      <c r="CO27" s="95"/>
      <c r="CP27" s="95"/>
      <c r="CQ27" s="95"/>
      <c r="CR27" s="95"/>
      <c r="CS27" s="95"/>
      <c r="CT27" s="95"/>
      <c r="CU27" s="95"/>
      <c r="CV27" s="96"/>
      <c r="CW27" s="96"/>
      <c r="CX27" s="96"/>
      <c r="CY27" s="96"/>
      <c r="CZ27" s="96"/>
      <c r="DA27" s="96"/>
      <c r="DB27" s="96"/>
      <c r="DC27" s="96"/>
      <c r="DD27" s="96"/>
      <c r="DE27" s="96"/>
      <c r="DF27" s="96"/>
      <c r="DG27" s="96"/>
      <c r="DH27" s="96"/>
      <c r="DI27" s="96"/>
      <c r="DJ27" s="96"/>
      <c r="DK27" s="96"/>
      <c r="DL27" s="96"/>
      <c r="DM27" s="96"/>
      <c r="DN27" s="96"/>
      <c r="DO27" s="96"/>
      <c r="DP27" s="96"/>
      <c r="DQ27" s="96"/>
      <c r="DR27" s="96"/>
      <c r="DS27" s="96"/>
      <c r="DT27" s="96"/>
      <c r="DU27" s="96"/>
      <c r="DV27" s="96"/>
      <c r="DW27" s="96"/>
      <c r="DX27" s="96"/>
      <c r="DY27" s="96"/>
      <c r="DZ27" s="96"/>
      <c r="EA27" s="96"/>
      <c r="EB27" s="96"/>
      <c r="EC27" s="96"/>
      <c r="ED27" s="96"/>
      <c r="EE27" s="99"/>
      <c r="EF27" s="99"/>
      <c r="EG27" s="99"/>
      <c r="EH27" s="99"/>
      <c r="EI27" s="99"/>
      <c r="EJ27" s="99"/>
      <c r="EK27" s="99"/>
      <c r="EL27" s="99"/>
      <c r="EM27" s="99"/>
      <c r="EN27" s="99"/>
      <c r="EO27" s="99"/>
      <c r="EP27" s="99"/>
      <c r="EQ27" s="99"/>
      <c r="ER27" s="99"/>
      <c r="ES27" s="99"/>
      <c r="ET27" s="99"/>
      <c r="EU27" s="99"/>
      <c r="EV27" s="99"/>
      <c r="EW27" s="99"/>
      <c r="EX27" s="99"/>
      <c r="EY27" s="99"/>
      <c r="EZ27" s="99"/>
      <c r="FA27" s="99"/>
      <c r="FB27" s="99"/>
      <c r="FC27" s="99"/>
      <c r="FD27" s="99"/>
      <c r="FE27" s="99"/>
      <c r="FF27" s="99"/>
      <c r="FG27" s="99"/>
      <c r="FH27" s="99"/>
      <c r="FI27" s="99"/>
      <c r="FJ27" s="99"/>
      <c r="FK27" s="99"/>
      <c r="FL27" s="99"/>
      <c r="FM27" s="99"/>
      <c r="FN27" s="99"/>
    </row>
    <row r="28" spans="1:170" s="18" customFormat="1" ht="18" customHeight="1">
      <c r="A28" s="1808"/>
      <c r="B28" s="416"/>
      <c r="C28" s="176" t="str">
        <f>Begriffe!F199</f>
        <v>Raumklima</v>
      </c>
      <c r="D28" s="13"/>
      <c r="E28" s="161"/>
      <c r="F28" s="493"/>
      <c r="G28" s="13"/>
      <c r="H28" s="13"/>
      <c r="I28" s="173"/>
      <c r="J28" s="173"/>
      <c r="K28" s="173"/>
      <c r="L28" s="173"/>
      <c r="M28" s="871"/>
      <c r="N28" s="319"/>
      <c r="O28" s="319"/>
      <c r="P28" s="493">
        <v>0</v>
      </c>
      <c r="Q28" s="989">
        <v>1</v>
      </c>
      <c r="R28" s="493">
        <v>0</v>
      </c>
      <c r="S28" s="131"/>
      <c r="T28" s="298"/>
      <c r="U28" s="298"/>
      <c r="V28" s="150"/>
      <c r="W28" s="299"/>
      <c r="X28" s="299"/>
      <c r="Y28" s="150"/>
      <c r="Z28" s="299"/>
      <c r="AA28" s="299"/>
      <c r="AB28" s="131"/>
      <c r="AC28" s="298"/>
      <c r="AD28" s="298"/>
      <c r="AE28" s="131"/>
      <c r="AF28" s="131"/>
      <c r="AG28" s="131"/>
      <c r="AH28" s="131"/>
      <c r="AI28" s="131"/>
      <c r="AJ28" s="131"/>
      <c r="AK28" s="131"/>
      <c r="AL28" s="131"/>
      <c r="AM28" s="131"/>
      <c r="AN28" s="152"/>
      <c r="AO28" s="152"/>
      <c r="AP28" s="153"/>
      <c r="AQ28" s="153"/>
      <c r="AR28" s="95"/>
      <c r="AS28" s="95"/>
      <c r="AT28" s="95"/>
      <c r="AU28" s="95"/>
      <c r="AV28" s="95"/>
      <c r="AW28" s="95"/>
      <c r="AX28" s="95"/>
      <c r="AY28" s="95"/>
      <c r="AZ28" s="95"/>
      <c r="BA28" s="95"/>
      <c r="BB28" s="95"/>
      <c r="BC28" s="95"/>
      <c r="BD28" s="95"/>
      <c r="BE28" s="95"/>
      <c r="BF28" s="95"/>
      <c r="BG28" s="95"/>
      <c r="BH28" s="95"/>
      <c r="BI28" s="95"/>
      <c r="BJ28" s="95"/>
      <c r="BK28" s="95"/>
      <c r="BL28" s="95"/>
      <c r="BM28" s="95"/>
      <c r="BN28" s="95"/>
      <c r="BO28" s="95"/>
      <c r="BP28" s="95"/>
      <c r="BQ28" s="95"/>
      <c r="BR28" s="95"/>
      <c r="BS28" s="95"/>
      <c r="BT28" s="95"/>
      <c r="BU28" s="95"/>
      <c r="BV28" s="95"/>
      <c r="BW28" s="95"/>
      <c r="BX28" s="95"/>
      <c r="BY28" s="95"/>
      <c r="BZ28" s="95"/>
      <c r="CA28" s="95"/>
      <c r="CB28" s="95"/>
      <c r="CC28" s="95"/>
      <c r="CD28" s="95"/>
      <c r="CE28" s="95"/>
      <c r="CF28" s="95"/>
      <c r="CG28" s="95"/>
      <c r="CH28" s="95"/>
      <c r="CI28" s="95"/>
      <c r="CJ28" s="95"/>
      <c r="CK28" s="95"/>
      <c r="CL28" s="95"/>
      <c r="CM28" s="95"/>
      <c r="CN28" s="95"/>
      <c r="CO28" s="95"/>
      <c r="CP28" s="95"/>
      <c r="CQ28" s="95"/>
      <c r="CR28" s="95"/>
      <c r="CS28" s="95"/>
      <c r="CT28" s="95"/>
      <c r="CU28" s="95"/>
      <c r="CV28" s="96"/>
      <c r="CW28" s="96"/>
      <c r="CX28" s="96"/>
      <c r="CY28" s="96"/>
      <c r="CZ28" s="96"/>
      <c r="DA28" s="96"/>
      <c r="DB28" s="96"/>
      <c r="DC28" s="96"/>
      <c r="DD28" s="96"/>
      <c r="DE28" s="96"/>
      <c r="DF28" s="96"/>
      <c r="DG28" s="96"/>
      <c r="DH28" s="96"/>
      <c r="DI28" s="96"/>
      <c r="DJ28" s="96"/>
      <c r="DK28" s="96"/>
      <c r="DL28" s="96"/>
      <c r="DM28" s="96"/>
      <c r="DN28" s="96"/>
      <c r="DO28" s="96"/>
      <c r="DP28" s="96"/>
      <c r="DQ28" s="96"/>
      <c r="DR28" s="96"/>
      <c r="DS28" s="96"/>
      <c r="DT28" s="96"/>
      <c r="DU28" s="96"/>
      <c r="DV28" s="96"/>
      <c r="DW28" s="96"/>
      <c r="DX28" s="96"/>
      <c r="DY28" s="96"/>
      <c r="DZ28" s="96"/>
      <c r="EA28" s="96"/>
      <c r="EB28" s="96"/>
      <c r="EC28" s="96"/>
      <c r="ED28" s="96"/>
      <c r="EE28" s="99"/>
      <c r="EF28" s="99"/>
      <c r="EG28" s="99"/>
      <c r="EH28" s="99"/>
      <c r="EI28" s="99"/>
      <c r="EJ28" s="99"/>
      <c r="EK28" s="99"/>
      <c r="EL28" s="99"/>
      <c r="EM28" s="99"/>
      <c r="EN28" s="99"/>
      <c r="EO28" s="99"/>
      <c r="EP28" s="99"/>
      <c r="EQ28" s="99"/>
      <c r="ER28" s="99"/>
      <c r="ES28" s="99"/>
      <c r="ET28" s="99"/>
      <c r="EU28" s="99"/>
      <c r="EV28" s="99"/>
      <c r="EW28" s="99"/>
      <c r="EX28" s="99"/>
      <c r="EY28" s="99"/>
      <c r="EZ28" s="99"/>
      <c r="FA28" s="99"/>
      <c r="FB28" s="99"/>
      <c r="FC28" s="99"/>
      <c r="FD28" s="99"/>
      <c r="FE28" s="99"/>
      <c r="FF28" s="99"/>
      <c r="FG28" s="99"/>
      <c r="FH28" s="99"/>
      <c r="FI28" s="99"/>
      <c r="FJ28" s="99"/>
      <c r="FK28" s="99"/>
      <c r="FL28" s="99"/>
      <c r="FM28" s="99"/>
      <c r="FN28" s="99"/>
    </row>
    <row r="29" spans="1:170" s="18" customFormat="1" ht="18" customHeight="1">
      <c r="A29" s="1808"/>
      <c r="B29" s="416">
        <v>160</v>
      </c>
      <c r="C29" s="493" t="str">
        <f>VLOOKUP(B29,Begriffe!$A$6:$E$442,Begriffe!$D$1+2)</f>
        <v>Raumlufttemperatur</v>
      </c>
      <c r="D29" s="177"/>
      <c r="E29" s="177"/>
      <c r="F29" s="21" t="str">
        <f>Begriffe!$F$225</f>
        <v>Sommer</v>
      </c>
      <c r="G29" s="21" t="str">
        <f>Begriffe!$F$311</f>
        <v>Auslegung Kühlung</v>
      </c>
      <c r="H29" s="21"/>
      <c r="I29" s="239" t="s">
        <v>830</v>
      </c>
      <c r="J29" s="188" t="s">
        <v>3</v>
      </c>
      <c r="K29" s="188"/>
      <c r="L29" s="1164"/>
      <c r="M29" s="1157">
        <f>IF(L29&lt;&gt;"",L29,INDEX(Eingabedaten!$D$10:$CY$54,nutzid,MATCH($C29,Eingabedaten!$D$7:$CY$7,0)))</f>
        <v>26</v>
      </c>
      <c r="N29" s="265"/>
      <c r="O29" s="265"/>
      <c r="P29" s="493">
        <v>0</v>
      </c>
      <c r="Q29" s="989">
        <v>1</v>
      </c>
      <c r="R29" s="493">
        <v>0</v>
      </c>
      <c r="S29" s="131"/>
      <c r="T29" s="298"/>
      <c r="U29" s="298"/>
      <c r="V29" s="150"/>
      <c r="W29" s="299"/>
      <c r="X29" s="299"/>
      <c r="Y29" s="150"/>
      <c r="Z29" s="299"/>
      <c r="AA29" s="299"/>
      <c r="AB29" s="150"/>
      <c r="AC29" s="299"/>
      <c r="AD29" s="299"/>
      <c r="AE29" s="150"/>
      <c r="AF29" s="150"/>
      <c r="AG29" s="131"/>
      <c r="AH29" s="131"/>
      <c r="AI29" s="131"/>
      <c r="AJ29" s="131"/>
      <c r="AK29" s="131"/>
      <c r="AL29" s="131"/>
      <c r="AM29" s="131"/>
      <c r="AN29" s="152"/>
      <c r="AO29" s="152"/>
      <c r="AP29" s="153"/>
      <c r="AQ29" s="153"/>
      <c r="AR29" s="95"/>
      <c r="AS29" s="95"/>
      <c r="AT29" s="95"/>
      <c r="AU29" s="95"/>
      <c r="AV29" s="95"/>
      <c r="AW29" s="95"/>
      <c r="AX29" s="95"/>
      <c r="AY29" s="95"/>
      <c r="AZ29" s="95"/>
      <c r="BA29" s="95"/>
      <c r="BB29" s="95"/>
      <c r="BC29" s="95"/>
      <c r="BD29" s="95"/>
      <c r="BE29" s="95"/>
      <c r="BF29" s="95"/>
      <c r="BG29" s="95"/>
      <c r="BH29" s="95"/>
      <c r="BI29" s="95"/>
      <c r="BJ29" s="95"/>
      <c r="BK29" s="95"/>
      <c r="BL29" s="95"/>
      <c r="BM29" s="95"/>
      <c r="BN29" s="95"/>
      <c r="BO29" s="95"/>
      <c r="BP29" s="95"/>
      <c r="BQ29" s="95"/>
      <c r="BR29" s="95"/>
      <c r="BS29" s="95"/>
      <c r="BT29" s="95"/>
      <c r="BU29" s="95"/>
      <c r="BV29" s="95"/>
      <c r="BW29" s="95"/>
      <c r="BX29" s="95"/>
      <c r="BY29" s="95"/>
      <c r="BZ29" s="95"/>
      <c r="CA29" s="95"/>
      <c r="CB29" s="95"/>
      <c r="CC29" s="95"/>
      <c r="CD29" s="95"/>
      <c r="CE29" s="95"/>
      <c r="CF29" s="95"/>
      <c r="CG29" s="95"/>
      <c r="CH29" s="95"/>
      <c r="CI29" s="95"/>
      <c r="CJ29" s="95"/>
      <c r="CK29" s="95"/>
      <c r="CL29" s="95"/>
      <c r="CM29" s="95"/>
      <c r="CN29" s="95"/>
      <c r="CO29" s="95"/>
      <c r="CP29" s="95"/>
      <c r="CQ29" s="95"/>
      <c r="CR29" s="95"/>
      <c r="CS29" s="95"/>
      <c r="CT29" s="95"/>
      <c r="CU29" s="95"/>
      <c r="CV29" s="96"/>
      <c r="CW29" s="96"/>
      <c r="CX29" s="96"/>
      <c r="CY29" s="96"/>
      <c r="CZ29" s="96"/>
      <c r="DA29" s="96"/>
      <c r="DB29" s="96"/>
      <c r="DC29" s="96"/>
      <c r="DD29" s="96"/>
      <c r="DE29" s="96"/>
      <c r="DF29" s="96"/>
      <c r="DG29" s="96"/>
      <c r="DH29" s="96"/>
      <c r="DI29" s="96"/>
      <c r="DJ29" s="96"/>
      <c r="DK29" s="96"/>
      <c r="DL29" s="96"/>
      <c r="DM29" s="96"/>
      <c r="DN29" s="96"/>
      <c r="DO29" s="96"/>
      <c r="DP29" s="96"/>
      <c r="DQ29" s="96"/>
      <c r="DR29" s="96"/>
      <c r="DS29" s="96"/>
      <c r="DT29" s="96"/>
      <c r="DU29" s="96"/>
      <c r="DV29" s="96"/>
      <c r="DW29" s="96"/>
      <c r="DX29" s="96"/>
      <c r="DY29" s="96"/>
      <c r="DZ29" s="96"/>
      <c r="EA29" s="96"/>
      <c r="EB29" s="96"/>
      <c r="EC29" s="96"/>
      <c r="ED29" s="96"/>
      <c r="EE29" s="99"/>
      <c r="EF29" s="99"/>
      <c r="EG29" s="99"/>
      <c r="EH29" s="99"/>
      <c r="EI29" s="99"/>
      <c r="EJ29" s="99"/>
      <c r="EK29" s="99"/>
      <c r="EL29" s="99"/>
      <c r="EM29" s="99"/>
      <c r="EN29" s="99"/>
      <c r="EO29" s="99"/>
      <c r="EP29" s="99"/>
      <c r="EQ29" s="99"/>
      <c r="ER29" s="99"/>
      <c r="ES29" s="99"/>
      <c r="ET29" s="99"/>
      <c r="EU29" s="99"/>
      <c r="EV29" s="99"/>
      <c r="EW29" s="99"/>
      <c r="EX29" s="99"/>
      <c r="EY29" s="99"/>
      <c r="EZ29" s="99"/>
      <c r="FA29" s="99"/>
      <c r="FB29" s="99"/>
      <c r="FC29" s="99"/>
      <c r="FD29" s="99"/>
      <c r="FE29" s="99"/>
      <c r="FF29" s="99"/>
      <c r="FG29" s="99"/>
      <c r="FH29" s="99"/>
      <c r="FI29" s="99"/>
      <c r="FJ29" s="99"/>
      <c r="FK29" s="99"/>
      <c r="FL29" s="99"/>
      <c r="FM29" s="99"/>
      <c r="FN29" s="99"/>
    </row>
    <row r="30" spans="1:170" s="18" customFormat="1" ht="18" customHeight="1">
      <c r="A30" s="1808"/>
      <c r="B30" s="416"/>
      <c r="C30" s="493"/>
      <c r="D30" s="177"/>
      <c r="E30" s="177"/>
      <c r="F30" s="21" t="str">
        <f>Begriffe!$F$226</f>
        <v>Winter</v>
      </c>
      <c r="G30" s="21" t="str">
        <f>Begriffe!$F$312</f>
        <v>Auslegung Heizung</v>
      </c>
      <c r="H30" s="21"/>
      <c r="I30" s="239" t="s">
        <v>830</v>
      </c>
      <c r="J30" s="188" t="s">
        <v>3</v>
      </c>
      <c r="K30" s="188"/>
      <c r="L30" s="1164"/>
      <c r="M30" s="1159">
        <f>IF(L30&lt;&gt;"",L30,INDEX(Eingabedaten!$D$10:$CY$54,nutzid,MATCH($C29,Eingabedaten!$D$7:$CY$7,0)+1))</f>
        <v>21</v>
      </c>
      <c r="N30" s="265"/>
      <c r="O30" s="265"/>
      <c r="P30" s="493">
        <v>0</v>
      </c>
      <c r="Q30" s="989">
        <v>1</v>
      </c>
      <c r="R30" s="493">
        <v>0</v>
      </c>
      <c r="S30" s="131"/>
      <c r="T30" s="298"/>
      <c r="U30" s="298"/>
      <c r="V30" s="150"/>
      <c r="W30" s="1123"/>
      <c r="X30" s="299"/>
      <c r="Y30" s="150"/>
      <c r="Z30" s="299"/>
      <c r="AA30" s="299"/>
      <c r="AB30" s="150"/>
      <c r="AC30" s="299"/>
      <c r="AD30" s="299"/>
      <c r="AE30" s="150"/>
      <c r="AF30" s="150"/>
      <c r="AG30" s="131"/>
      <c r="AH30" s="131"/>
      <c r="AI30" s="131"/>
      <c r="AJ30" s="131"/>
      <c r="AK30" s="131"/>
      <c r="AL30" s="131"/>
      <c r="AM30" s="131"/>
      <c r="AN30" s="152"/>
      <c r="AO30" s="152"/>
      <c r="AP30" s="153"/>
      <c r="AQ30" s="153"/>
      <c r="AR30" s="95"/>
      <c r="AS30" s="95"/>
      <c r="AT30" s="95"/>
      <c r="AU30" s="95"/>
      <c r="AV30" s="95"/>
      <c r="AW30" s="95"/>
      <c r="AX30" s="95"/>
      <c r="AY30" s="95"/>
      <c r="AZ30" s="95"/>
      <c r="BA30" s="95"/>
      <c r="BB30" s="95"/>
      <c r="BC30" s="95"/>
      <c r="BD30" s="95"/>
      <c r="BE30" s="95"/>
      <c r="BF30" s="95"/>
      <c r="BG30" s="95"/>
      <c r="BH30" s="95"/>
      <c r="BI30" s="95"/>
      <c r="BJ30" s="95"/>
      <c r="BK30" s="95"/>
      <c r="BL30" s="95"/>
      <c r="BM30" s="95"/>
      <c r="BN30" s="95"/>
      <c r="BO30" s="95"/>
      <c r="BP30" s="95"/>
      <c r="BQ30" s="95"/>
      <c r="BR30" s="95"/>
      <c r="BS30" s="95"/>
      <c r="BT30" s="95"/>
      <c r="BU30" s="95"/>
      <c r="BV30" s="95"/>
      <c r="BW30" s="95"/>
      <c r="BX30" s="95"/>
      <c r="BY30" s="95"/>
      <c r="BZ30" s="95"/>
      <c r="CA30" s="95"/>
      <c r="CB30" s="95"/>
      <c r="CC30" s="95"/>
      <c r="CD30" s="95"/>
      <c r="CE30" s="95"/>
      <c r="CF30" s="95"/>
      <c r="CG30" s="95"/>
      <c r="CH30" s="95"/>
      <c r="CI30" s="95"/>
      <c r="CJ30" s="95"/>
      <c r="CK30" s="95"/>
      <c r="CL30" s="95"/>
      <c r="CM30" s="95"/>
      <c r="CN30" s="95"/>
      <c r="CO30" s="95"/>
      <c r="CP30" s="95"/>
      <c r="CQ30" s="95"/>
      <c r="CR30" s="95"/>
      <c r="CS30" s="95"/>
      <c r="CT30" s="95"/>
      <c r="CU30" s="95"/>
      <c r="CV30" s="96"/>
      <c r="CW30" s="96"/>
      <c r="CX30" s="96"/>
      <c r="CY30" s="96"/>
      <c r="CZ30" s="96"/>
      <c r="DA30" s="96"/>
      <c r="DB30" s="96"/>
      <c r="DC30" s="96"/>
      <c r="DD30" s="96"/>
      <c r="DE30" s="96"/>
      <c r="DF30" s="96"/>
      <c r="DG30" s="96"/>
      <c r="DH30" s="96"/>
      <c r="DI30" s="96"/>
      <c r="DJ30" s="96"/>
      <c r="DK30" s="96"/>
      <c r="DL30" s="96"/>
      <c r="DM30" s="96"/>
      <c r="DN30" s="96"/>
      <c r="DO30" s="96"/>
      <c r="DP30" s="96"/>
      <c r="DQ30" s="96"/>
      <c r="DR30" s="96"/>
      <c r="DS30" s="96"/>
      <c r="DT30" s="96"/>
      <c r="DU30" s="96"/>
      <c r="DV30" s="96"/>
      <c r="DW30" s="96"/>
      <c r="DX30" s="96"/>
      <c r="DY30" s="96"/>
      <c r="DZ30" s="96"/>
      <c r="EA30" s="96"/>
      <c r="EB30" s="96"/>
      <c r="EC30" s="96"/>
      <c r="ED30" s="96"/>
      <c r="EE30" s="99"/>
      <c r="EF30" s="99"/>
      <c r="EG30" s="99"/>
      <c r="EH30" s="99"/>
      <c r="EI30" s="99"/>
      <c r="EJ30" s="99"/>
      <c r="EK30" s="99"/>
      <c r="EL30" s="99"/>
      <c r="EM30" s="99"/>
      <c r="EN30" s="99"/>
      <c r="EO30" s="99"/>
      <c r="EP30" s="99"/>
      <c r="EQ30" s="99"/>
      <c r="ER30" s="99"/>
      <c r="ES30" s="99"/>
      <c r="ET30" s="99"/>
      <c r="EU30" s="99"/>
      <c r="EV30" s="99"/>
      <c r="EW30" s="99"/>
      <c r="EX30" s="99"/>
      <c r="EY30" s="99"/>
      <c r="EZ30" s="99"/>
      <c r="FA30" s="99"/>
      <c r="FB30" s="99"/>
      <c r="FC30" s="99"/>
      <c r="FD30" s="99"/>
      <c r="FE30" s="99"/>
      <c r="FF30" s="99"/>
      <c r="FG30" s="99"/>
      <c r="FH30" s="99"/>
      <c r="FI30" s="99"/>
      <c r="FJ30" s="99"/>
      <c r="FK30" s="99"/>
      <c r="FL30" s="99"/>
      <c r="FM30" s="99"/>
      <c r="FN30" s="99"/>
    </row>
    <row r="31" spans="1:170" s="19" customFormat="1" ht="18" customHeight="1">
      <c r="A31" s="1808"/>
      <c r="B31" s="416">
        <v>163</v>
      </c>
      <c r="C31" s="493" t="str">
        <f>VLOOKUP(B31,Begriffe!$A$6:$E$442,Begriffe!$D$1+2)</f>
        <v xml:space="preserve">Relative Raumluftfeuchte </v>
      </c>
      <c r="D31" s="21"/>
      <c r="E31" s="179"/>
      <c r="F31" s="21" t="str">
        <f>Begriffe!$F$225</f>
        <v>Sommer</v>
      </c>
      <c r="G31" s="21" t="str">
        <f>Begriffe!$F$311</f>
        <v>Auslegung Kühlung</v>
      </c>
      <c r="H31" s="21"/>
      <c r="I31" s="261" t="s">
        <v>5</v>
      </c>
      <c r="J31" s="188" t="s">
        <v>6</v>
      </c>
      <c r="K31" s="188"/>
      <c r="L31" s="1164"/>
      <c r="M31" s="1157">
        <f>IF(L31&lt;&gt;"",L31,INDEX(Eingabedaten!$D$10:$CY$54,nutzid,MATCH($C31,Eingabedaten!$D$7:$CY$7,0)))</f>
        <v>60</v>
      </c>
      <c r="N31" s="265"/>
      <c r="O31" s="265"/>
      <c r="P31" s="493">
        <v>0</v>
      </c>
      <c r="Q31" s="989">
        <v>1</v>
      </c>
      <c r="R31" s="493">
        <v>0</v>
      </c>
      <c r="S31" s="131"/>
      <c r="T31" s="298"/>
      <c r="U31" s="298"/>
      <c r="V31" s="150"/>
      <c r="W31" s="1123"/>
      <c r="X31" s="299"/>
      <c r="Y31" s="150"/>
      <c r="Z31" s="299"/>
      <c r="AA31" s="299"/>
      <c r="AB31" s="150"/>
      <c r="AC31" s="299"/>
      <c r="AD31" s="299"/>
      <c r="AE31" s="150"/>
      <c r="AF31" s="150"/>
      <c r="AG31" s="131"/>
      <c r="AH31" s="131"/>
      <c r="AI31" s="131"/>
      <c r="AJ31" s="131"/>
      <c r="AK31" s="131"/>
      <c r="AL31" s="131"/>
      <c r="AM31" s="131"/>
      <c r="AN31" s="152"/>
      <c r="AO31" s="152"/>
      <c r="AP31" s="154"/>
      <c r="AQ31" s="154"/>
      <c r="AR31" s="100"/>
      <c r="AS31" s="100"/>
      <c r="AT31" s="100"/>
      <c r="AU31" s="100"/>
      <c r="AV31" s="100"/>
      <c r="AW31" s="100"/>
      <c r="AX31" s="100"/>
      <c r="AY31" s="100"/>
      <c r="AZ31" s="100"/>
      <c r="BA31" s="100"/>
      <c r="BB31" s="100"/>
      <c r="BC31" s="100"/>
      <c r="BD31" s="100"/>
      <c r="BE31" s="100"/>
      <c r="BF31" s="100"/>
      <c r="BG31" s="100"/>
      <c r="BH31" s="100"/>
      <c r="BI31" s="100"/>
      <c r="BJ31" s="100"/>
      <c r="BK31" s="100"/>
      <c r="BL31" s="100"/>
      <c r="BM31" s="100"/>
      <c r="BN31" s="100"/>
      <c r="BO31" s="100"/>
      <c r="BP31" s="100"/>
      <c r="BQ31" s="100"/>
      <c r="BR31" s="100"/>
      <c r="BS31" s="100"/>
      <c r="BT31" s="100"/>
      <c r="BU31" s="100"/>
      <c r="BV31" s="100"/>
      <c r="BW31" s="100"/>
      <c r="BX31" s="100"/>
      <c r="BY31" s="100"/>
      <c r="BZ31" s="100"/>
      <c r="CA31" s="100"/>
      <c r="CB31" s="100"/>
      <c r="CC31" s="100"/>
      <c r="CD31" s="100"/>
      <c r="CE31" s="100"/>
      <c r="CF31" s="100"/>
      <c r="CG31" s="100"/>
      <c r="CH31" s="100"/>
      <c r="CI31" s="100"/>
      <c r="CJ31" s="100"/>
      <c r="CK31" s="100"/>
      <c r="CL31" s="100"/>
      <c r="CM31" s="100"/>
      <c r="CN31" s="100"/>
      <c r="CO31" s="100"/>
      <c r="CP31" s="100"/>
      <c r="CQ31" s="100"/>
      <c r="CR31" s="100"/>
      <c r="CS31" s="100"/>
      <c r="CT31" s="100"/>
      <c r="CU31" s="100"/>
      <c r="CV31" s="101"/>
      <c r="CW31" s="101"/>
      <c r="CX31" s="101"/>
      <c r="CY31" s="101"/>
      <c r="CZ31" s="101"/>
      <c r="DA31" s="101"/>
      <c r="DB31" s="101"/>
      <c r="DC31" s="101"/>
      <c r="DD31" s="101"/>
      <c r="DE31" s="101"/>
      <c r="DF31" s="101"/>
      <c r="DG31" s="101"/>
      <c r="DH31" s="101"/>
      <c r="DI31" s="101"/>
      <c r="DJ31" s="101"/>
      <c r="DK31" s="101"/>
      <c r="DL31" s="101"/>
      <c r="DM31" s="101"/>
      <c r="DN31" s="101"/>
      <c r="DO31" s="101"/>
      <c r="DP31" s="101"/>
      <c r="DQ31" s="101"/>
      <c r="DR31" s="101"/>
      <c r="DS31" s="101"/>
      <c r="DT31" s="101"/>
      <c r="DU31" s="101"/>
      <c r="DV31" s="101"/>
      <c r="DW31" s="101"/>
      <c r="DX31" s="101"/>
      <c r="DY31" s="101"/>
      <c r="DZ31" s="101"/>
      <c r="EA31" s="101"/>
      <c r="EB31" s="101"/>
      <c r="EC31" s="101"/>
      <c r="ED31" s="101"/>
      <c r="EE31" s="102"/>
      <c r="EF31" s="102"/>
      <c r="EG31" s="102"/>
      <c r="EH31" s="102"/>
      <c r="EI31" s="102"/>
      <c r="EJ31" s="102"/>
      <c r="EK31" s="102"/>
      <c r="EL31" s="102"/>
      <c r="EM31" s="102"/>
      <c r="EN31" s="102"/>
      <c r="EO31" s="102"/>
      <c r="EP31" s="102"/>
      <c r="EQ31" s="102"/>
      <c r="ER31" s="102"/>
      <c r="ES31" s="102"/>
      <c r="ET31" s="102"/>
      <c r="EU31" s="102"/>
      <c r="EV31" s="102"/>
      <c r="EW31" s="102"/>
      <c r="EX31" s="102"/>
      <c r="EY31" s="102"/>
      <c r="EZ31" s="102"/>
      <c r="FA31" s="102"/>
      <c r="FB31" s="102"/>
      <c r="FC31" s="102"/>
      <c r="FD31" s="102"/>
      <c r="FE31" s="102"/>
      <c r="FF31" s="102"/>
      <c r="FG31" s="102"/>
      <c r="FH31" s="102"/>
      <c r="FI31" s="102"/>
      <c r="FJ31" s="102"/>
      <c r="FK31" s="102"/>
      <c r="FL31" s="102"/>
      <c r="FM31" s="102"/>
      <c r="FN31" s="102"/>
    </row>
    <row r="32" spans="1:170" s="19" customFormat="1" ht="18" customHeight="1">
      <c r="A32" s="1808"/>
      <c r="B32" s="416"/>
      <c r="C32" s="21"/>
      <c r="D32" s="21"/>
      <c r="E32" s="179"/>
      <c r="F32" s="21" t="str">
        <f>Begriffe!$F$226</f>
        <v>Winter</v>
      </c>
      <c r="G32" s="21" t="str">
        <f>Begriffe!$F$312</f>
        <v>Auslegung Heizung</v>
      </c>
      <c r="H32" s="21"/>
      <c r="I32" s="261" t="s">
        <v>5</v>
      </c>
      <c r="J32" s="188" t="s">
        <v>6</v>
      </c>
      <c r="K32" s="188"/>
      <c r="L32" s="1164"/>
      <c r="M32" s="1159">
        <f>IF(L32&lt;&gt;"",L32,INDEX(Eingabedaten!$D$10:$CY$54,nutzid,MATCH($C31,Eingabedaten!$D$7:$CY$7,0)+1))</f>
        <v>30</v>
      </c>
      <c r="N32" s="265"/>
      <c r="O32" s="265"/>
      <c r="P32" s="493">
        <v>0</v>
      </c>
      <c r="Q32" s="989">
        <v>1</v>
      </c>
      <c r="R32" s="493">
        <v>0</v>
      </c>
      <c r="S32" s="131"/>
      <c r="T32" s="298"/>
      <c r="U32" s="298"/>
      <c r="V32" s="150"/>
      <c r="W32" s="299"/>
      <c r="X32" s="299"/>
      <c r="Y32" s="150"/>
      <c r="Z32" s="299"/>
      <c r="AA32" s="299"/>
      <c r="AB32" s="150"/>
      <c r="AC32" s="299"/>
      <c r="AD32" s="299"/>
      <c r="AE32" s="150"/>
      <c r="AF32" s="150"/>
      <c r="AG32" s="131"/>
      <c r="AH32" s="131"/>
      <c r="AI32" s="131"/>
      <c r="AJ32" s="131"/>
      <c r="AK32" s="131"/>
      <c r="AL32" s="131"/>
      <c r="AM32" s="131"/>
      <c r="AN32" s="152"/>
      <c r="AO32" s="152"/>
      <c r="AP32" s="154"/>
      <c r="AQ32" s="154"/>
      <c r="AR32" s="100"/>
      <c r="AS32" s="100"/>
      <c r="AT32" s="100"/>
      <c r="AU32" s="100"/>
      <c r="AV32" s="100"/>
      <c r="AW32" s="100"/>
      <c r="AX32" s="100"/>
      <c r="AY32" s="100"/>
      <c r="AZ32" s="100"/>
      <c r="BA32" s="100"/>
      <c r="BB32" s="100"/>
      <c r="BC32" s="100"/>
      <c r="BD32" s="100"/>
      <c r="BE32" s="100"/>
      <c r="BF32" s="100"/>
      <c r="BG32" s="100"/>
      <c r="BH32" s="100"/>
      <c r="BI32" s="100"/>
      <c r="BJ32" s="100"/>
      <c r="BK32" s="100"/>
      <c r="BL32" s="100"/>
      <c r="BM32" s="100"/>
      <c r="BN32" s="100"/>
      <c r="BO32" s="100"/>
      <c r="BP32" s="100"/>
      <c r="BQ32" s="100"/>
      <c r="BR32" s="100"/>
      <c r="BS32" s="100"/>
      <c r="BT32" s="100"/>
      <c r="BU32" s="100"/>
      <c r="BV32" s="100"/>
      <c r="BW32" s="100"/>
      <c r="BX32" s="100"/>
      <c r="BY32" s="100"/>
      <c r="BZ32" s="100"/>
      <c r="CA32" s="100"/>
      <c r="CB32" s="100"/>
      <c r="CC32" s="100"/>
      <c r="CD32" s="100"/>
      <c r="CE32" s="100"/>
      <c r="CF32" s="100"/>
      <c r="CG32" s="100"/>
      <c r="CH32" s="100"/>
      <c r="CI32" s="100"/>
      <c r="CJ32" s="100"/>
      <c r="CK32" s="100"/>
      <c r="CL32" s="100"/>
      <c r="CM32" s="100"/>
      <c r="CN32" s="100"/>
      <c r="CO32" s="100"/>
      <c r="CP32" s="100"/>
      <c r="CQ32" s="100"/>
      <c r="CR32" s="100"/>
      <c r="CS32" s="100"/>
      <c r="CT32" s="100"/>
      <c r="CU32" s="100"/>
      <c r="CV32" s="101"/>
      <c r="CW32" s="101"/>
      <c r="CX32" s="101"/>
      <c r="CY32" s="101"/>
      <c r="CZ32" s="101"/>
      <c r="DA32" s="101"/>
      <c r="DB32" s="101"/>
      <c r="DC32" s="101"/>
      <c r="DD32" s="101"/>
      <c r="DE32" s="101"/>
      <c r="DF32" s="101"/>
      <c r="DG32" s="101"/>
      <c r="DH32" s="101"/>
      <c r="DI32" s="101"/>
      <c r="DJ32" s="101"/>
      <c r="DK32" s="101"/>
      <c r="DL32" s="101"/>
      <c r="DM32" s="101"/>
      <c r="DN32" s="101"/>
      <c r="DO32" s="101"/>
      <c r="DP32" s="101"/>
      <c r="DQ32" s="101"/>
      <c r="DR32" s="101"/>
      <c r="DS32" s="101"/>
      <c r="DT32" s="101"/>
      <c r="DU32" s="101"/>
      <c r="DV32" s="101"/>
      <c r="DW32" s="101"/>
      <c r="DX32" s="101"/>
      <c r="DY32" s="101"/>
      <c r="DZ32" s="101"/>
      <c r="EA32" s="101"/>
      <c r="EB32" s="101"/>
      <c r="EC32" s="101"/>
      <c r="ED32" s="101"/>
      <c r="EE32" s="102"/>
      <c r="EF32" s="102"/>
      <c r="EG32" s="102"/>
      <c r="EH32" s="102"/>
      <c r="EI32" s="102"/>
      <c r="EJ32" s="102"/>
      <c r="EK32" s="102"/>
      <c r="EL32" s="102"/>
      <c r="EM32" s="102"/>
      <c r="EN32" s="102"/>
      <c r="EO32" s="102"/>
      <c r="EP32" s="102"/>
      <c r="EQ32" s="102"/>
      <c r="ER32" s="102"/>
      <c r="ES32" s="102"/>
      <c r="ET32" s="102"/>
      <c r="EU32" s="102"/>
      <c r="EV32" s="102"/>
      <c r="EW32" s="102"/>
      <c r="EX32" s="102"/>
      <c r="EY32" s="102"/>
      <c r="EZ32" s="102"/>
      <c r="FA32" s="102"/>
      <c r="FB32" s="102"/>
      <c r="FC32" s="102"/>
      <c r="FD32" s="102"/>
      <c r="FE32" s="102"/>
      <c r="FF32" s="102"/>
      <c r="FG32" s="102"/>
      <c r="FH32" s="102"/>
      <c r="FI32" s="102"/>
      <c r="FJ32" s="102"/>
      <c r="FK32" s="102"/>
      <c r="FL32" s="102"/>
      <c r="FM32" s="102"/>
      <c r="FN32" s="102"/>
    </row>
    <row r="33" spans="1:170" s="19" customFormat="1" ht="18" customHeight="1">
      <c r="A33" s="1808"/>
      <c r="B33" s="416">
        <v>148</v>
      </c>
      <c r="C33" s="493" t="str">
        <f>VLOOKUP(B33,Begriffe!$A$6:$E$442,Begriffe!$D$1+2)</f>
        <v>Maximale Luftgeschwindigkeit</v>
      </c>
      <c r="D33" s="21"/>
      <c r="E33" s="179"/>
      <c r="F33" s="21" t="str">
        <f>Begriffe!$F$225</f>
        <v>Sommer</v>
      </c>
      <c r="G33" s="21" t="str">
        <f>Begriffe!$F$311</f>
        <v>Auslegung Kühlung</v>
      </c>
      <c r="H33" s="21"/>
      <c r="I33" s="178" t="s">
        <v>917</v>
      </c>
      <c r="J33" s="188" t="s">
        <v>7</v>
      </c>
      <c r="K33" s="16"/>
      <c r="L33" s="13"/>
      <c r="M33" s="314">
        <f>IF(L33&lt;&gt;"",L33,IF(M29=0,0,ROUND((0.001*M29*M29-0.036*M29+0.439)*2,2)/2))</f>
        <v>0.18</v>
      </c>
      <c r="N33" s="314"/>
      <c r="O33" s="314"/>
      <c r="P33" s="493">
        <v>1</v>
      </c>
      <c r="Q33" s="989">
        <v>1</v>
      </c>
      <c r="R33" s="493">
        <v>0</v>
      </c>
      <c r="S33" s="131"/>
      <c r="T33" s="298"/>
      <c r="U33" s="298"/>
      <c r="V33" s="150"/>
      <c r="W33" s="299"/>
      <c r="X33" s="299"/>
      <c r="Y33" s="150"/>
      <c r="Z33" s="299"/>
      <c r="AA33" s="299"/>
      <c r="AB33" s="150"/>
      <c r="AC33" s="299"/>
      <c r="AD33" s="299"/>
      <c r="AE33" s="150"/>
      <c r="AF33" s="150"/>
      <c r="AG33" s="131"/>
      <c r="AH33" s="131"/>
      <c r="AI33" s="131"/>
      <c r="AJ33" s="131"/>
      <c r="AK33" s="131"/>
      <c r="AL33" s="131"/>
      <c r="AM33" s="131"/>
      <c r="AN33" s="152"/>
      <c r="AO33" s="152"/>
      <c r="AP33" s="154"/>
      <c r="AQ33" s="154"/>
      <c r="AR33" s="100"/>
      <c r="AS33" s="100"/>
      <c r="AT33" s="100"/>
      <c r="AU33" s="100"/>
      <c r="AV33" s="100"/>
      <c r="AW33" s="100"/>
      <c r="AX33" s="100"/>
      <c r="AY33" s="100"/>
      <c r="AZ33" s="100"/>
      <c r="BA33" s="100"/>
      <c r="BB33" s="100"/>
      <c r="BC33" s="100"/>
      <c r="BD33" s="100"/>
      <c r="BE33" s="100"/>
      <c r="BF33" s="100"/>
      <c r="BG33" s="100"/>
      <c r="BH33" s="100"/>
      <c r="BI33" s="100"/>
      <c r="BJ33" s="100"/>
      <c r="BK33" s="100"/>
      <c r="BL33" s="100"/>
      <c r="BM33" s="100"/>
      <c r="BN33" s="100"/>
      <c r="BO33" s="100"/>
      <c r="BP33" s="100"/>
      <c r="BQ33" s="100"/>
      <c r="BR33" s="100"/>
      <c r="BS33" s="100"/>
      <c r="BT33" s="100"/>
      <c r="BU33" s="100"/>
      <c r="BV33" s="100"/>
      <c r="BW33" s="100"/>
      <c r="BX33" s="100"/>
      <c r="BY33" s="100"/>
      <c r="BZ33" s="100"/>
      <c r="CA33" s="100"/>
      <c r="CB33" s="100"/>
      <c r="CC33" s="100"/>
      <c r="CD33" s="100"/>
      <c r="CE33" s="100"/>
      <c r="CF33" s="100"/>
      <c r="CG33" s="100"/>
      <c r="CH33" s="100"/>
      <c r="CI33" s="100"/>
      <c r="CJ33" s="100"/>
      <c r="CK33" s="100"/>
      <c r="CL33" s="100"/>
      <c r="CM33" s="100"/>
      <c r="CN33" s="100"/>
      <c r="CO33" s="100"/>
      <c r="CP33" s="100"/>
      <c r="CQ33" s="100"/>
      <c r="CR33" s="100"/>
      <c r="CS33" s="100"/>
      <c r="CT33" s="100"/>
      <c r="CU33" s="100"/>
      <c r="CV33" s="101"/>
      <c r="CW33" s="101"/>
      <c r="CX33" s="101"/>
      <c r="CY33" s="101"/>
      <c r="CZ33" s="101"/>
      <c r="DA33" s="101"/>
      <c r="DB33" s="101"/>
      <c r="DC33" s="101"/>
      <c r="DD33" s="101"/>
      <c r="DE33" s="101"/>
      <c r="DF33" s="101"/>
      <c r="DG33" s="101"/>
      <c r="DH33" s="101"/>
      <c r="DI33" s="101"/>
      <c r="DJ33" s="101"/>
      <c r="DK33" s="101"/>
      <c r="DL33" s="101"/>
      <c r="DM33" s="101"/>
      <c r="DN33" s="101"/>
      <c r="DO33" s="101"/>
      <c r="DP33" s="101"/>
      <c r="DQ33" s="101"/>
      <c r="DR33" s="101"/>
      <c r="DS33" s="101"/>
      <c r="DT33" s="101"/>
      <c r="DU33" s="101"/>
      <c r="DV33" s="101"/>
      <c r="DW33" s="101"/>
      <c r="DX33" s="101"/>
      <c r="DY33" s="101"/>
      <c r="DZ33" s="101"/>
      <c r="EA33" s="101"/>
      <c r="EB33" s="101"/>
      <c r="EC33" s="101"/>
      <c r="ED33" s="101"/>
      <c r="EE33" s="102"/>
      <c r="EF33" s="102"/>
      <c r="EG33" s="102"/>
      <c r="EH33" s="102"/>
      <c r="EI33" s="102"/>
      <c r="EJ33" s="102"/>
      <c r="EK33" s="102"/>
      <c r="EL33" s="102"/>
      <c r="EM33" s="102"/>
      <c r="EN33" s="102"/>
      <c r="EO33" s="102"/>
      <c r="EP33" s="102"/>
      <c r="EQ33" s="102"/>
      <c r="ER33" s="102"/>
      <c r="ES33" s="102"/>
      <c r="ET33" s="102"/>
      <c r="EU33" s="102"/>
      <c r="EV33" s="102"/>
      <c r="EW33" s="102"/>
      <c r="EX33" s="102"/>
      <c r="EY33" s="102"/>
      <c r="EZ33" s="102"/>
      <c r="FA33" s="102"/>
      <c r="FB33" s="102"/>
      <c r="FC33" s="102"/>
      <c r="FD33" s="102"/>
      <c r="FE33" s="102"/>
      <c r="FF33" s="102"/>
      <c r="FG33" s="102"/>
      <c r="FH33" s="102"/>
      <c r="FI33" s="102"/>
      <c r="FJ33" s="102"/>
      <c r="FK33" s="102"/>
      <c r="FL33" s="102"/>
      <c r="FM33" s="102"/>
      <c r="FN33" s="102"/>
    </row>
    <row r="34" spans="1:170" s="19" customFormat="1" ht="18" customHeight="1">
      <c r="A34" s="1808"/>
      <c r="B34" s="416"/>
      <c r="C34" s="21"/>
      <c r="D34" s="21"/>
      <c r="E34" s="179"/>
      <c r="F34" s="21" t="str">
        <f>Begriffe!$F$226</f>
        <v>Winter</v>
      </c>
      <c r="G34" s="21" t="str">
        <f>Begriffe!$F$312</f>
        <v>Auslegung Heizung</v>
      </c>
      <c r="H34" s="21"/>
      <c r="I34" s="178" t="s">
        <v>917</v>
      </c>
      <c r="J34" s="188" t="s">
        <v>7</v>
      </c>
      <c r="K34" s="16"/>
      <c r="L34" s="13"/>
      <c r="M34" s="314">
        <f>IF(L34&lt;&gt;"",L34,IF(M30=0,0,ROUND((0.001*M30*M30-0.036*M30+0.439)*2,2)/2))</f>
        <v>0.125</v>
      </c>
      <c r="N34" s="314"/>
      <c r="O34" s="314"/>
      <c r="P34" s="493">
        <v>1</v>
      </c>
      <c r="Q34" s="989">
        <v>1</v>
      </c>
      <c r="R34" s="493">
        <v>0</v>
      </c>
      <c r="S34" s="131"/>
      <c r="T34" s="298"/>
      <c r="U34" s="298"/>
      <c r="V34" s="150"/>
      <c r="W34" s="299"/>
      <c r="X34" s="299"/>
      <c r="Y34" s="150"/>
      <c r="Z34" s="299"/>
      <c r="AA34" s="299"/>
      <c r="AB34" s="150"/>
      <c r="AC34" s="299"/>
      <c r="AD34" s="299"/>
      <c r="AE34" s="150"/>
      <c r="AF34" s="150"/>
      <c r="AG34" s="131"/>
      <c r="AH34" s="131"/>
      <c r="AI34" s="131"/>
      <c r="AJ34" s="131"/>
      <c r="AK34" s="131"/>
      <c r="AL34" s="131"/>
      <c r="AM34" s="131"/>
      <c r="AN34" s="152"/>
      <c r="AO34" s="152"/>
      <c r="AP34" s="154"/>
      <c r="AQ34" s="154"/>
      <c r="AR34" s="100"/>
      <c r="AS34" s="100"/>
      <c r="AT34" s="100"/>
      <c r="AU34" s="100"/>
      <c r="AV34" s="100"/>
      <c r="AW34" s="100"/>
      <c r="AX34" s="100"/>
      <c r="AY34" s="100"/>
      <c r="AZ34" s="100"/>
      <c r="BA34" s="100"/>
      <c r="BB34" s="100"/>
      <c r="BC34" s="100"/>
      <c r="BD34" s="100"/>
      <c r="BE34" s="100"/>
      <c r="BF34" s="100"/>
      <c r="BG34" s="100"/>
      <c r="BH34" s="100"/>
      <c r="BI34" s="100"/>
      <c r="BJ34" s="100"/>
      <c r="BK34" s="100"/>
      <c r="BL34" s="100"/>
      <c r="BM34" s="100"/>
      <c r="BN34" s="100"/>
      <c r="BO34" s="100"/>
      <c r="BP34" s="100"/>
      <c r="BQ34" s="100"/>
      <c r="BR34" s="100"/>
      <c r="BS34" s="100"/>
      <c r="BT34" s="100"/>
      <c r="BU34" s="100"/>
      <c r="BV34" s="100"/>
      <c r="BW34" s="100"/>
      <c r="BX34" s="100"/>
      <c r="BY34" s="100"/>
      <c r="BZ34" s="100"/>
      <c r="CA34" s="100"/>
      <c r="CB34" s="100"/>
      <c r="CC34" s="100"/>
      <c r="CD34" s="100"/>
      <c r="CE34" s="100"/>
      <c r="CF34" s="100"/>
      <c r="CG34" s="100"/>
      <c r="CH34" s="100"/>
      <c r="CI34" s="100"/>
      <c r="CJ34" s="100"/>
      <c r="CK34" s="100"/>
      <c r="CL34" s="100"/>
      <c r="CM34" s="100"/>
      <c r="CN34" s="100"/>
      <c r="CO34" s="100"/>
      <c r="CP34" s="100"/>
      <c r="CQ34" s="100"/>
      <c r="CR34" s="100"/>
      <c r="CS34" s="100"/>
      <c r="CT34" s="100"/>
      <c r="CU34" s="100"/>
      <c r="CV34" s="101"/>
      <c r="CW34" s="101"/>
      <c r="CX34" s="101"/>
      <c r="CY34" s="101"/>
      <c r="CZ34" s="101"/>
      <c r="DA34" s="101"/>
      <c r="DB34" s="101"/>
      <c r="DC34" s="101"/>
      <c r="DD34" s="101"/>
      <c r="DE34" s="101"/>
      <c r="DF34" s="101"/>
      <c r="DG34" s="101"/>
      <c r="DH34" s="101"/>
      <c r="DI34" s="101"/>
      <c r="DJ34" s="101"/>
      <c r="DK34" s="101"/>
      <c r="DL34" s="101"/>
      <c r="DM34" s="101"/>
      <c r="DN34" s="101"/>
      <c r="DO34" s="101"/>
      <c r="DP34" s="101"/>
      <c r="DQ34" s="101"/>
      <c r="DR34" s="101"/>
      <c r="DS34" s="101"/>
      <c r="DT34" s="101"/>
      <c r="DU34" s="101"/>
      <c r="DV34" s="101"/>
      <c r="DW34" s="101"/>
      <c r="DX34" s="101"/>
      <c r="DY34" s="101"/>
      <c r="DZ34" s="101"/>
      <c r="EA34" s="101"/>
      <c r="EB34" s="101"/>
      <c r="EC34" s="101"/>
      <c r="ED34" s="101"/>
      <c r="EE34" s="102"/>
      <c r="EF34" s="102"/>
      <c r="EG34" s="102"/>
      <c r="EH34" s="102"/>
      <c r="EI34" s="102"/>
      <c r="EJ34" s="102"/>
      <c r="EK34" s="102"/>
      <c r="EL34" s="102"/>
      <c r="EM34" s="102"/>
      <c r="EN34" s="102"/>
      <c r="EO34" s="102"/>
      <c r="EP34" s="102"/>
      <c r="EQ34" s="102"/>
      <c r="ER34" s="102"/>
      <c r="ES34" s="102"/>
      <c r="ET34" s="102"/>
      <c r="EU34" s="102"/>
      <c r="EV34" s="102"/>
      <c r="EW34" s="102"/>
      <c r="EX34" s="102"/>
      <c r="EY34" s="102"/>
      <c r="EZ34" s="102"/>
      <c r="FA34" s="102"/>
      <c r="FB34" s="102"/>
      <c r="FC34" s="102"/>
      <c r="FD34" s="102"/>
      <c r="FE34" s="102"/>
      <c r="FF34" s="102"/>
      <c r="FG34" s="102"/>
      <c r="FH34" s="102"/>
      <c r="FI34" s="102"/>
      <c r="FJ34" s="102"/>
      <c r="FK34" s="102"/>
      <c r="FL34" s="102"/>
      <c r="FM34" s="102"/>
      <c r="FN34" s="102"/>
    </row>
    <row r="35" spans="1:170" s="13" customFormat="1" ht="18" customHeight="1">
      <c r="A35" s="1808"/>
      <c r="B35" s="416"/>
      <c r="C35" s="176" t="str">
        <f>Begriffe!F200</f>
        <v>Raumakustik</v>
      </c>
      <c r="F35" s="493"/>
      <c r="I35" s="180"/>
      <c r="J35" s="173"/>
      <c r="K35" s="131"/>
      <c r="M35" s="181"/>
      <c r="N35" s="320"/>
      <c r="O35" s="320"/>
      <c r="P35" s="493">
        <v>0</v>
      </c>
      <c r="Q35" s="989">
        <v>1</v>
      </c>
      <c r="R35" s="493">
        <v>0</v>
      </c>
      <c r="S35" s="131"/>
      <c r="T35" s="298"/>
      <c r="U35" s="298"/>
      <c r="V35" s="150"/>
      <c r="W35" s="299"/>
      <c r="X35" s="299"/>
      <c r="Y35" s="150"/>
      <c r="Z35" s="299"/>
      <c r="AA35" s="299"/>
      <c r="AB35" s="131"/>
      <c r="AC35" s="298"/>
      <c r="AD35" s="298"/>
      <c r="AE35" s="131"/>
      <c r="AF35" s="131"/>
      <c r="AG35" s="131"/>
      <c r="AH35" s="131"/>
      <c r="AI35" s="131"/>
      <c r="AJ35" s="131"/>
      <c r="AK35" s="131"/>
      <c r="AL35" s="131"/>
      <c r="AM35" s="131"/>
      <c r="AN35" s="131"/>
      <c r="AO35" s="131"/>
      <c r="AP35" s="131"/>
      <c r="AQ35" s="131"/>
      <c r="AR35" s="94"/>
      <c r="AS35" s="94"/>
      <c r="AT35" s="94"/>
      <c r="AU35" s="94"/>
      <c r="AV35" s="94"/>
      <c r="AW35" s="94"/>
      <c r="AX35" s="94"/>
      <c r="AY35" s="94"/>
      <c r="AZ35" s="94"/>
      <c r="BA35" s="94"/>
      <c r="BB35" s="94"/>
      <c r="BC35" s="94"/>
      <c r="BD35" s="94"/>
      <c r="BE35" s="94"/>
      <c r="BF35" s="94"/>
      <c r="BG35" s="94"/>
      <c r="BH35" s="94"/>
      <c r="BI35" s="94"/>
      <c r="BJ35" s="94"/>
      <c r="BK35" s="94"/>
      <c r="BL35" s="94"/>
      <c r="BM35" s="94"/>
      <c r="BN35" s="94"/>
      <c r="BO35" s="94"/>
      <c r="BP35" s="94"/>
      <c r="BQ35" s="94"/>
      <c r="BR35" s="94"/>
      <c r="BS35" s="94"/>
      <c r="BT35" s="94"/>
      <c r="BU35" s="94"/>
      <c r="BV35" s="94"/>
      <c r="BW35" s="94"/>
      <c r="BX35" s="94"/>
      <c r="BY35" s="94"/>
      <c r="BZ35" s="94"/>
      <c r="CA35" s="94"/>
      <c r="CB35" s="94"/>
      <c r="CC35" s="94"/>
      <c r="CD35" s="94"/>
      <c r="CE35" s="94"/>
      <c r="CF35" s="94"/>
      <c r="CG35" s="94"/>
      <c r="CH35" s="94"/>
      <c r="CI35" s="94"/>
      <c r="CJ35" s="94"/>
      <c r="CK35" s="94"/>
      <c r="CL35" s="94"/>
      <c r="CM35" s="94"/>
      <c r="CN35" s="94"/>
      <c r="CO35" s="94"/>
      <c r="CP35" s="94"/>
      <c r="CQ35" s="94"/>
      <c r="CR35" s="94"/>
      <c r="CS35" s="94"/>
      <c r="CT35" s="94"/>
      <c r="CU35" s="94"/>
      <c r="CV35" s="104"/>
      <c r="CW35" s="104"/>
      <c r="CX35" s="104"/>
      <c r="CY35" s="104"/>
      <c r="CZ35" s="104"/>
      <c r="DA35" s="104"/>
      <c r="DB35" s="104"/>
      <c r="DC35" s="104"/>
      <c r="DD35" s="104"/>
      <c r="DE35" s="104"/>
      <c r="DF35" s="104"/>
      <c r="DG35" s="104"/>
      <c r="DH35" s="104"/>
      <c r="DI35" s="104"/>
      <c r="DJ35" s="104"/>
      <c r="DK35" s="104"/>
      <c r="DL35" s="104"/>
      <c r="DM35" s="104"/>
      <c r="DN35" s="104"/>
      <c r="DO35" s="104"/>
      <c r="DP35" s="104"/>
      <c r="DQ35" s="104"/>
      <c r="DR35" s="104"/>
      <c r="DS35" s="104"/>
      <c r="DT35" s="104"/>
      <c r="DU35" s="104"/>
      <c r="DV35" s="104"/>
      <c r="DW35" s="104"/>
      <c r="DX35" s="104"/>
      <c r="DY35" s="104"/>
      <c r="DZ35" s="104"/>
      <c r="EA35" s="104"/>
      <c r="EB35" s="104"/>
      <c r="EC35" s="104"/>
      <c r="ED35" s="104"/>
      <c r="EE35" s="88"/>
      <c r="EF35" s="88"/>
      <c r="EG35" s="88"/>
      <c r="EH35" s="88"/>
      <c r="EI35" s="88"/>
      <c r="EJ35" s="88"/>
      <c r="EK35" s="88"/>
      <c r="EL35" s="88"/>
      <c r="EM35" s="88"/>
      <c r="EN35" s="88"/>
      <c r="EO35" s="88"/>
      <c r="EP35" s="88"/>
      <c r="EQ35" s="88"/>
      <c r="ER35" s="88"/>
      <c r="ES35" s="88"/>
      <c r="ET35" s="88"/>
      <c r="EU35" s="88"/>
      <c r="EV35" s="88"/>
      <c r="EW35" s="88"/>
      <c r="EX35" s="88"/>
      <c r="EY35" s="88"/>
      <c r="EZ35" s="88"/>
      <c r="FA35" s="88"/>
      <c r="FB35" s="88"/>
      <c r="FC35" s="88"/>
      <c r="FD35" s="88"/>
      <c r="FE35" s="88"/>
      <c r="FF35" s="88"/>
      <c r="FG35" s="88"/>
      <c r="FH35" s="88"/>
      <c r="FI35" s="88"/>
      <c r="FJ35" s="88"/>
      <c r="FK35" s="88"/>
      <c r="FL35" s="88"/>
      <c r="FM35" s="88"/>
      <c r="FN35" s="88"/>
    </row>
    <row r="36" spans="1:170" s="19" customFormat="1" ht="25.65" customHeight="1">
      <c r="A36" s="1808"/>
      <c r="B36" s="416">
        <v>142</v>
      </c>
      <c r="C36" s="493" t="str">
        <f>VLOOKUP(B36,Begriffe!$A$6:$E$442,Begriffe!$D$1+2)</f>
        <v>Lärmempfindlichkeit</v>
      </c>
      <c r="D36" s="21"/>
      <c r="E36" s="21"/>
      <c r="F36" s="21"/>
      <c r="G36" s="1814" t="str">
        <f>Begriffe!F313</f>
        <v>Aussen-/Innenlärm, Trittschall</v>
      </c>
      <c r="H36" s="1815"/>
      <c r="I36" s="215" t="s">
        <v>272</v>
      </c>
      <c r="J36" s="212" t="s">
        <v>272</v>
      </c>
      <c r="K36" s="188"/>
      <c r="L36" s="1160"/>
      <c r="M36" s="1157">
        <f>IF(L36&lt;&gt;"",L36,INDEX(Eingabedaten!$D$10:$CY$54,nutzid,MATCH($C36,Eingabedaten!$D$7:$CY$7,0)))</f>
        <v>0</v>
      </c>
      <c r="N36" s="321"/>
      <c r="O36" s="322"/>
      <c r="P36" s="493">
        <v>0</v>
      </c>
      <c r="Q36" s="989">
        <v>1</v>
      </c>
      <c r="R36" s="493">
        <v>0</v>
      </c>
      <c r="S36" s="131"/>
      <c r="T36" s="298"/>
      <c r="U36" s="298"/>
      <c r="V36" s="150"/>
      <c r="W36" s="299"/>
      <c r="X36" s="299"/>
      <c r="Y36" s="150"/>
      <c r="Z36" s="299"/>
      <c r="AA36" s="299"/>
      <c r="AB36" s="131"/>
      <c r="AC36" s="298"/>
      <c r="AD36" s="298"/>
      <c r="AE36" s="131"/>
      <c r="AF36" s="131"/>
      <c r="AG36" s="131"/>
      <c r="AH36" s="131"/>
      <c r="AI36" s="131"/>
      <c r="AJ36" s="131"/>
      <c r="AK36" s="131"/>
      <c r="AL36" s="131"/>
      <c r="AM36" s="131"/>
      <c r="AN36" s="152"/>
      <c r="AO36" s="152"/>
      <c r="AP36" s="154"/>
      <c r="AQ36" s="154"/>
      <c r="AR36" s="100"/>
      <c r="AS36" s="100"/>
      <c r="AT36" s="100"/>
      <c r="AU36" s="100"/>
      <c r="AV36" s="100"/>
      <c r="AW36" s="100"/>
      <c r="AX36" s="100"/>
      <c r="AY36" s="100"/>
      <c r="AZ36" s="100"/>
      <c r="BA36" s="100"/>
      <c r="BB36" s="100"/>
      <c r="BC36" s="100"/>
      <c r="BD36" s="100"/>
      <c r="BE36" s="100"/>
      <c r="BF36" s="100"/>
      <c r="BG36" s="100"/>
      <c r="BH36" s="100"/>
      <c r="BI36" s="100"/>
      <c r="BJ36" s="100"/>
      <c r="BK36" s="100"/>
      <c r="BL36" s="100"/>
      <c r="BM36" s="100"/>
      <c r="BN36" s="100"/>
      <c r="BO36" s="100"/>
      <c r="BP36" s="100"/>
      <c r="BQ36" s="100"/>
      <c r="BR36" s="100"/>
      <c r="BS36" s="100"/>
      <c r="BT36" s="100"/>
      <c r="BU36" s="100"/>
      <c r="BV36" s="100"/>
      <c r="BW36" s="100"/>
      <c r="BX36" s="100"/>
      <c r="BY36" s="100"/>
      <c r="BZ36" s="100"/>
      <c r="CA36" s="100"/>
      <c r="CB36" s="100"/>
      <c r="CC36" s="100"/>
      <c r="CD36" s="100"/>
      <c r="CE36" s="100"/>
      <c r="CF36" s="100"/>
      <c r="CG36" s="100"/>
      <c r="CH36" s="100"/>
      <c r="CI36" s="100"/>
      <c r="CJ36" s="100"/>
      <c r="CK36" s="100"/>
      <c r="CL36" s="100"/>
      <c r="CM36" s="100"/>
      <c r="CN36" s="100"/>
      <c r="CO36" s="100"/>
      <c r="CP36" s="100"/>
      <c r="CQ36" s="100"/>
      <c r="CR36" s="100"/>
      <c r="CS36" s="100"/>
      <c r="CT36" s="100"/>
      <c r="CU36" s="100"/>
      <c r="CV36" s="101"/>
      <c r="CW36" s="101"/>
      <c r="CX36" s="101"/>
      <c r="CY36" s="101"/>
      <c r="CZ36" s="101"/>
      <c r="DA36" s="101"/>
      <c r="DB36" s="101"/>
      <c r="DC36" s="101"/>
      <c r="DD36" s="101"/>
      <c r="DE36" s="101"/>
      <c r="DF36" s="101"/>
      <c r="DG36" s="101"/>
      <c r="DH36" s="101"/>
      <c r="DI36" s="101"/>
      <c r="DJ36" s="101"/>
      <c r="DK36" s="101"/>
      <c r="DL36" s="101"/>
      <c r="DM36" s="101"/>
      <c r="DN36" s="101"/>
      <c r="DO36" s="101"/>
      <c r="DP36" s="101"/>
      <c r="DQ36" s="101"/>
      <c r="DR36" s="101"/>
      <c r="DS36" s="101"/>
      <c r="DT36" s="101"/>
      <c r="DU36" s="101"/>
      <c r="DV36" s="101"/>
      <c r="DW36" s="101"/>
      <c r="DX36" s="101"/>
      <c r="DY36" s="101"/>
      <c r="DZ36" s="101"/>
      <c r="EA36" s="101"/>
      <c r="EB36" s="101"/>
      <c r="EC36" s="101"/>
      <c r="ED36" s="101"/>
      <c r="EE36" s="102"/>
      <c r="EF36" s="102"/>
      <c r="EG36" s="102"/>
      <c r="EH36" s="102"/>
      <c r="EI36" s="102"/>
      <c r="EJ36" s="102"/>
      <c r="EK36" s="102"/>
      <c r="EL36" s="102"/>
      <c r="EM36" s="102"/>
      <c r="EN36" s="102"/>
      <c r="EO36" s="102"/>
      <c r="EP36" s="102"/>
      <c r="EQ36" s="102"/>
      <c r="ER36" s="102"/>
      <c r="ES36" s="102"/>
      <c r="ET36" s="102"/>
      <c r="EU36" s="102"/>
      <c r="EV36" s="102"/>
      <c r="EW36" s="102"/>
      <c r="EX36" s="102"/>
      <c r="EY36" s="102"/>
      <c r="EZ36" s="102"/>
      <c r="FA36" s="102"/>
      <c r="FB36" s="102"/>
      <c r="FC36" s="102"/>
      <c r="FD36" s="102"/>
      <c r="FE36" s="102"/>
      <c r="FF36" s="102"/>
      <c r="FG36" s="102"/>
      <c r="FH36" s="102"/>
      <c r="FI36" s="102"/>
      <c r="FJ36" s="102"/>
      <c r="FK36" s="102"/>
      <c r="FL36" s="102"/>
      <c r="FM36" s="102"/>
      <c r="FN36" s="102"/>
    </row>
    <row r="37" spans="1:170" s="19" customFormat="1" ht="25.65" customHeight="1">
      <c r="A37" s="1808"/>
      <c r="B37" s="416">
        <v>108</v>
      </c>
      <c r="C37" s="1816" t="str">
        <f>VLOOKUP(B37,Begriffe!$A$6:$E$442,Begriffe!$D$1+2)</f>
        <v>Beurteilungspegel für Geräusche haustechnischer Anlagen</v>
      </c>
      <c r="D37" s="1816"/>
      <c r="E37" s="1816"/>
      <c r="F37" s="1816"/>
      <c r="G37" s="494" t="str">
        <f>Begriffe!F314</f>
        <v>Auslegung Dauergeräusche</v>
      </c>
      <c r="H37" s="21"/>
      <c r="I37" s="209" t="s">
        <v>884</v>
      </c>
      <c r="J37" s="210" t="s">
        <v>9</v>
      </c>
      <c r="K37" s="188"/>
      <c r="L37" s="1164"/>
      <c r="M37" s="1157">
        <f>IF(L37&lt;&gt;"",L37,INDEX(Eingabedaten!$D$10:$CY$54,nutzid,MATCH($C37,Eingabedaten!$D$7:$CY$7,0)))</f>
        <v>35</v>
      </c>
      <c r="N37" s="1025"/>
      <c r="O37" s="1026"/>
      <c r="P37" s="493">
        <v>0</v>
      </c>
      <c r="Q37" s="989">
        <v>1</v>
      </c>
      <c r="R37" s="493">
        <v>0</v>
      </c>
      <c r="S37"/>
      <c r="T37"/>
      <c r="U37"/>
      <c r="V37"/>
      <c r="W37"/>
      <c r="X37"/>
      <c r="Y37"/>
      <c r="Z37"/>
      <c r="AA37" s="299"/>
      <c r="AB37" s="131"/>
      <c r="AC37" s="298"/>
      <c r="AD37" s="298"/>
      <c r="AE37" s="131"/>
      <c r="AF37" s="131"/>
      <c r="AG37" s="131"/>
      <c r="AH37" s="131"/>
      <c r="AI37" s="131"/>
      <c r="AJ37" s="131"/>
      <c r="AK37" s="131"/>
      <c r="AL37" s="131"/>
      <c r="AM37" s="131"/>
      <c r="AN37" s="152"/>
      <c r="AO37" s="152"/>
      <c r="AP37" s="154"/>
      <c r="AQ37" s="154"/>
      <c r="AR37" s="100"/>
      <c r="AS37" s="100"/>
      <c r="AT37" s="100"/>
      <c r="AU37" s="100"/>
      <c r="AV37" s="100"/>
      <c r="AW37" s="100"/>
      <c r="AX37" s="100"/>
      <c r="AY37" s="100"/>
      <c r="AZ37" s="100"/>
      <c r="BA37" s="100"/>
      <c r="BB37" s="100"/>
      <c r="BC37" s="100"/>
      <c r="BD37" s="100"/>
      <c r="BE37" s="100"/>
      <c r="BF37" s="100"/>
      <c r="BG37" s="100"/>
      <c r="BH37" s="100"/>
      <c r="BI37" s="100"/>
      <c r="BJ37" s="100"/>
      <c r="BK37" s="100"/>
      <c r="BL37" s="100"/>
      <c r="BM37" s="100"/>
      <c r="BN37" s="100"/>
      <c r="BO37" s="100"/>
      <c r="BP37" s="100"/>
      <c r="BQ37" s="100"/>
      <c r="BR37" s="100"/>
      <c r="BS37" s="100"/>
      <c r="BT37" s="100"/>
      <c r="BU37" s="100"/>
      <c r="BV37" s="100"/>
      <c r="BW37" s="100"/>
      <c r="BX37" s="100"/>
      <c r="BY37" s="100"/>
      <c r="BZ37" s="100"/>
      <c r="CA37" s="100"/>
      <c r="CB37" s="100"/>
      <c r="CC37" s="100"/>
      <c r="CD37" s="100"/>
      <c r="CE37" s="100"/>
      <c r="CF37" s="100"/>
      <c r="CG37" s="100"/>
      <c r="CH37" s="100"/>
      <c r="CI37" s="100"/>
      <c r="CJ37" s="100"/>
      <c r="CK37" s="100"/>
      <c r="CL37" s="100"/>
      <c r="CM37" s="100"/>
      <c r="CN37" s="100"/>
      <c r="CO37" s="100"/>
      <c r="CP37" s="100"/>
      <c r="CQ37" s="100"/>
      <c r="CR37" s="100"/>
      <c r="CS37" s="100"/>
      <c r="CT37" s="100"/>
      <c r="CU37" s="100"/>
      <c r="CV37" s="101"/>
      <c r="CW37" s="101"/>
      <c r="CX37" s="101"/>
      <c r="CY37" s="101"/>
      <c r="CZ37" s="101"/>
      <c r="DA37" s="101"/>
      <c r="DB37" s="101"/>
      <c r="DC37" s="101"/>
      <c r="DD37" s="101"/>
      <c r="DE37" s="101"/>
      <c r="DF37" s="101"/>
      <c r="DG37" s="101"/>
      <c r="DH37" s="101"/>
      <c r="DI37" s="101"/>
      <c r="DJ37" s="101"/>
      <c r="DK37" s="101"/>
      <c r="DL37" s="101"/>
      <c r="DM37" s="101"/>
      <c r="DN37" s="101"/>
      <c r="DO37" s="101"/>
      <c r="DP37" s="101"/>
      <c r="DQ37" s="101"/>
      <c r="DR37" s="101"/>
      <c r="DS37" s="101"/>
      <c r="DT37" s="101"/>
      <c r="DU37" s="101"/>
      <c r="DV37" s="101"/>
      <c r="DW37" s="101"/>
      <c r="DX37" s="101"/>
      <c r="DY37" s="101"/>
      <c r="DZ37" s="101"/>
      <c r="EA37" s="101"/>
      <c r="EB37" s="101"/>
      <c r="EC37" s="101"/>
      <c r="ED37" s="101"/>
      <c r="EE37" s="102"/>
      <c r="EF37" s="102"/>
      <c r="EG37" s="102"/>
      <c r="EH37" s="102"/>
      <c r="EI37" s="102"/>
      <c r="EJ37" s="102"/>
      <c r="EK37" s="102"/>
      <c r="EL37" s="102"/>
      <c r="EM37" s="102"/>
      <c r="EN37" s="102"/>
      <c r="EO37" s="102"/>
      <c r="EP37" s="102"/>
      <c r="EQ37" s="102"/>
      <c r="ER37" s="102"/>
      <c r="ES37" s="102"/>
      <c r="ET37" s="102"/>
      <c r="EU37" s="102"/>
      <c r="EV37" s="102"/>
      <c r="EW37" s="102"/>
      <c r="EX37" s="102"/>
      <c r="EY37" s="102"/>
      <c r="EZ37" s="102"/>
      <c r="FA37" s="102"/>
      <c r="FB37" s="102"/>
      <c r="FC37" s="102"/>
      <c r="FD37" s="102"/>
      <c r="FE37" s="102"/>
      <c r="FF37" s="102"/>
      <c r="FG37" s="102"/>
      <c r="FH37" s="102"/>
      <c r="FI37" s="102"/>
      <c r="FJ37" s="102"/>
      <c r="FK37" s="102"/>
      <c r="FL37" s="102"/>
      <c r="FM37" s="102"/>
      <c r="FN37" s="102"/>
    </row>
    <row r="38" spans="1:170" s="19" customFormat="1" ht="18" customHeight="1">
      <c r="A38" s="1808"/>
      <c r="B38" s="416">
        <v>149</v>
      </c>
      <c r="C38" s="493" t="str">
        <f>VLOOKUP(B38,Begriffe!$A$6:$E$442,Begriffe!$D$1+2)</f>
        <v>Nachhallzeit</v>
      </c>
      <c r="D38" s="21"/>
      <c r="E38" s="21"/>
      <c r="F38" s="21"/>
      <c r="G38" s="494" t="str">
        <f>Begriffe!F315</f>
        <v>mit Möblierung</v>
      </c>
      <c r="H38" s="21"/>
      <c r="I38" s="178" t="s">
        <v>10</v>
      </c>
      <c r="J38" s="188" t="s">
        <v>11</v>
      </c>
      <c r="K38" s="188"/>
      <c r="L38" s="1162"/>
      <c r="M38" s="872">
        <f>IF(L38&lt;&gt;"",L38,INDEX(Eingabedaten!$D$10:$CY$54,nutzid,MATCH($C38,Eingabedaten!$D$7:$CY$7,0)))</f>
        <v>0.9</v>
      </c>
      <c r="N38" s="931"/>
      <c r="O38" s="931"/>
      <c r="P38" s="493">
        <v>0</v>
      </c>
      <c r="Q38" s="989">
        <v>1</v>
      </c>
      <c r="R38" s="493">
        <v>0</v>
      </c>
      <c r="S38"/>
      <c r="T38"/>
      <c r="U38"/>
      <c r="V38"/>
      <c r="W38"/>
      <c r="X38"/>
      <c r="Y38"/>
      <c r="Z38"/>
      <c r="AA38" s="299"/>
      <c r="AB38" s="150"/>
      <c r="AC38" s="299"/>
      <c r="AD38" s="299"/>
      <c r="AE38" s="150"/>
      <c r="AF38" s="150"/>
      <c r="AG38" s="150"/>
      <c r="AH38" s="150"/>
      <c r="AI38" s="150"/>
      <c r="AJ38" s="150"/>
      <c r="AK38" s="150"/>
      <c r="AL38" s="131"/>
      <c r="AM38" s="131"/>
      <c r="AN38" s="152"/>
      <c r="AO38" s="152"/>
      <c r="AP38" s="154"/>
      <c r="AQ38" s="154"/>
      <c r="AR38" s="100"/>
      <c r="AS38" s="100"/>
      <c r="AT38" s="100"/>
      <c r="AU38" s="100"/>
      <c r="AV38" s="100"/>
      <c r="AW38" s="100"/>
      <c r="AX38" s="100"/>
      <c r="AY38" s="100"/>
      <c r="AZ38" s="100"/>
      <c r="BA38" s="100"/>
      <c r="BB38" s="100"/>
      <c r="BC38" s="100"/>
      <c r="BD38" s="100"/>
      <c r="BE38" s="100"/>
      <c r="BF38" s="100"/>
      <c r="BG38" s="100"/>
      <c r="BH38" s="100"/>
      <c r="BI38" s="100"/>
      <c r="BJ38" s="100"/>
      <c r="BK38" s="100"/>
      <c r="BL38" s="100"/>
      <c r="BM38" s="100"/>
      <c r="BN38" s="100"/>
      <c r="BO38" s="100"/>
      <c r="BP38" s="100"/>
      <c r="BQ38" s="100"/>
      <c r="BR38" s="100"/>
      <c r="BS38" s="100"/>
      <c r="BT38" s="100"/>
      <c r="BU38" s="100"/>
      <c r="BV38" s="100"/>
      <c r="BW38" s="100"/>
      <c r="BX38" s="100"/>
      <c r="BY38" s="100"/>
      <c r="BZ38" s="100"/>
      <c r="CA38" s="100"/>
      <c r="CB38" s="100"/>
      <c r="CC38" s="100"/>
      <c r="CD38" s="100"/>
      <c r="CE38" s="100"/>
      <c r="CF38" s="100"/>
      <c r="CG38" s="100"/>
      <c r="CH38" s="100"/>
      <c r="CI38" s="100"/>
      <c r="CJ38" s="100"/>
      <c r="CK38" s="100"/>
      <c r="CL38" s="100"/>
      <c r="CM38" s="100"/>
      <c r="CN38" s="100"/>
      <c r="CO38" s="100"/>
      <c r="CP38" s="100"/>
      <c r="CQ38" s="100"/>
      <c r="CR38" s="100"/>
      <c r="CS38" s="100"/>
      <c r="CT38" s="100"/>
      <c r="CU38" s="100"/>
      <c r="CV38" s="101"/>
      <c r="CW38" s="101"/>
      <c r="CX38" s="101"/>
      <c r="CY38" s="101"/>
      <c r="CZ38" s="101"/>
      <c r="DA38" s="101"/>
      <c r="DB38" s="101"/>
      <c r="DC38" s="101"/>
      <c r="DD38" s="101"/>
      <c r="DE38" s="101"/>
      <c r="DF38" s="101"/>
      <c r="DG38" s="101"/>
      <c r="DH38" s="101"/>
      <c r="DI38" s="101"/>
      <c r="DJ38" s="101"/>
      <c r="DK38" s="101"/>
      <c r="DL38" s="101"/>
      <c r="DM38" s="101"/>
      <c r="DN38" s="101"/>
      <c r="DO38" s="101"/>
      <c r="DP38" s="101"/>
      <c r="DQ38" s="101"/>
      <c r="DR38" s="101"/>
      <c r="DS38" s="101"/>
      <c r="DT38" s="101"/>
      <c r="DU38" s="101"/>
      <c r="DV38" s="101"/>
      <c r="DW38" s="101"/>
      <c r="DX38" s="101"/>
      <c r="DY38" s="101"/>
      <c r="DZ38" s="101"/>
      <c r="EA38" s="101"/>
      <c r="EB38" s="101"/>
      <c r="EC38" s="101"/>
      <c r="ED38" s="101"/>
      <c r="EE38" s="102"/>
      <c r="EF38" s="102"/>
      <c r="EG38" s="102"/>
      <c r="EH38" s="102"/>
      <c r="EI38" s="102"/>
      <c r="EJ38" s="102"/>
      <c r="EK38" s="102"/>
      <c r="EL38" s="102"/>
      <c r="EM38" s="102"/>
      <c r="EN38" s="102"/>
      <c r="EO38" s="102"/>
      <c r="EP38" s="102"/>
      <c r="EQ38" s="102"/>
      <c r="ER38" s="102"/>
      <c r="ES38" s="102"/>
      <c r="ET38" s="102"/>
      <c r="EU38" s="102"/>
      <c r="EV38" s="102"/>
      <c r="EW38" s="102"/>
      <c r="EX38" s="102"/>
      <c r="EY38" s="102"/>
      <c r="EZ38" s="102"/>
      <c r="FA38" s="102"/>
      <c r="FB38" s="102"/>
      <c r="FC38" s="102"/>
      <c r="FD38" s="102"/>
      <c r="FE38" s="102"/>
      <c r="FF38" s="102"/>
      <c r="FG38" s="102"/>
      <c r="FH38" s="102"/>
      <c r="FI38" s="102"/>
      <c r="FJ38" s="102"/>
      <c r="FK38" s="102"/>
      <c r="FL38" s="102"/>
      <c r="FM38" s="102"/>
      <c r="FN38" s="102"/>
    </row>
    <row r="39" spans="1:170" s="21" customFormat="1" ht="18" customHeight="1">
      <c r="A39" s="1809"/>
      <c r="B39" s="416"/>
      <c r="C39" s="176"/>
      <c r="I39" s="178"/>
      <c r="J39" s="188"/>
      <c r="K39" s="188"/>
      <c r="L39" s="188"/>
      <c r="M39" s="183"/>
      <c r="N39" s="323"/>
      <c r="O39" s="324"/>
      <c r="P39" s="493">
        <v>0</v>
      </c>
      <c r="Q39" s="989">
        <v>1</v>
      </c>
      <c r="R39" s="493">
        <v>0</v>
      </c>
      <c r="S39"/>
      <c r="T39"/>
      <c r="U39"/>
      <c r="V39"/>
      <c r="W39"/>
      <c r="X39"/>
      <c r="Y39"/>
      <c r="Z39"/>
      <c r="AA39" s="299"/>
      <c r="AB39" s="150"/>
      <c r="AC39" s="299"/>
      <c r="AD39" s="299"/>
      <c r="AE39" s="150"/>
      <c r="AF39" s="150"/>
      <c r="AG39" s="131"/>
      <c r="AH39" s="131"/>
      <c r="AI39" s="131"/>
      <c r="AJ39" s="131"/>
      <c r="AK39" s="131"/>
      <c r="AL39" s="131"/>
      <c r="AM39" s="131"/>
      <c r="AN39" s="131"/>
      <c r="AO39" s="131"/>
      <c r="AP39" s="131"/>
      <c r="AQ39" s="131"/>
      <c r="AR39" s="94"/>
      <c r="AS39" s="94"/>
      <c r="AT39" s="94"/>
      <c r="AU39" s="94"/>
      <c r="AV39" s="94"/>
      <c r="AW39" s="94"/>
      <c r="AX39" s="94"/>
      <c r="AY39" s="94"/>
      <c r="AZ39" s="94"/>
      <c r="BA39" s="94"/>
      <c r="BB39" s="94"/>
      <c r="BC39" s="94"/>
      <c r="BD39" s="94"/>
      <c r="BE39" s="94"/>
      <c r="BF39" s="94"/>
      <c r="BG39" s="94"/>
      <c r="BH39" s="94"/>
      <c r="BI39" s="94"/>
      <c r="BJ39" s="94"/>
      <c r="BK39" s="94"/>
      <c r="BL39" s="94"/>
      <c r="BM39" s="94"/>
      <c r="BN39" s="94"/>
      <c r="BO39" s="94"/>
      <c r="BP39" s="94"/>
      <c r="BQ39" s="94"/>
      <c r="BR39" s="94"/>
      <c r="BS39" s="94"/>
      <c r="BT39" s="94"/>
      <c r="BU39" s="94"/>
      <c r="BV39" s="94"/>
      <c r="BW39" s="94"/>
      <c r="BX39" s="94"/>
      <c r="BY39" s="94"/>
      <c r="BZ39" s="94"/>
      <c r="CA39" s="94"/>
      <c r="CB39" s="94"/>
      <c r="CC39" s="94"/>
      <c r="CD39" s="94"/>
      <c r="CE39" s="94"/>
      <c r="CF39" s="94"/>
      <c r="CG39" s="94"/>
      <c r="CH39" s="94"/>
      <c r="CI39" s="94"/>
      <c r="CJ39" s="94"/>
      <c r="CK39" s="94"/>
      <c r="CL39" s="94"/>
      <c r="CM39" s="94"/>
      <c r="CN39" s="94"/>
      <c r="CO39" s="94"/>
      <c r="CP39" s="94"/>
      <c r="CQ39" s="94"/>
      <c r="CR39" s="94"/>
      <c r="CS39" s="94"/>
      <c r="CT39" s="94"/>
      <c r="CU39" s="94"/>
      <c r="CV39" s="104"/>
      <c r="CW39" s="104"/>
      <c r="CX39" s="104"/>
      <c r="CY39" s="104"/>
      <c r="CZ39" s="104"/>
      <c r="DA39" s="104"/>
      <c r="DB39" s="104"/>
      <c r="DC39" s="104"/>
      <c r="DD39" s="104"/>
      <c r="DE39" s="104"/>
      <c r="DF39" s="104"/>
      <c r="DG39" s="104"/>
      <c r="DH39" s="104"/>
      <c r="DI39" s="104"/>
      <c r="DJ39" s="104"/>
      <c r="DK39" s="104"/>
      <c r="DL39" s="104"/>
      <c r="DM39" s="104"/>
      <c r="DN39" s="104"/>
      <c r="DO39" s="104"/>
      <c r="DP39" s="104"/>
      <c r="DQ39" s="104"/>
      <c r="DR39" s="104"/>
      <c r="DS39" s="104"/>
      <c r="DT39" s="104"/>
      <c r="DU39" s="104"/>
      <c r="DV39" s="104"/>
      <c r="DW39" s="104"/>
      <c r="DX39" s="104"/>
      <c r="DY39" s="104"/>
      <c r="DZ39" s="104"/>
      <c r="EA39" s="104"/>
      <c r="EB39" s="104"/>
      <c r="EC39" s="104"/>
      <c r="ED39" s="104"/>
      <c r="EE39" s="88"/>
      <c r="EF39" s="88"/>
      <c r="EG39" s="88"/>
      <c r="EH39" s="88"/>
      <c r="EI39" s="88"/>
      <c r="EJ39" s="88"/>
      <c r="EK39" s="88"/>
      <c r="EL39" s="88"/>
      <c r="EM39" s="88"/>
      <c r="EN39" s="88"/>
      <c r="EO39" s="88"/>
      <c r="EP39" s="88"/>
      <c r="EQ39" s="88"/>
      <c r="ER39" s="88"/>
      <c r="ES39" s="88"/>
      <c r="ET39" s="88"/>
      <c r="EU39" s="88"/>
      <c r="EV39" s="88"/>
      <c r="EW39" s="88"/>
      <c r="EX39" s="88"/>
      <c r="EY39" s="88"/>
      <c r="EZ39" s="88"/>
      <c r="FA39" s="88"/>
      <c r="FB39" s="88"/>
      <c r="FC39" s="88"/>
      <c r="FD39" s="88"/>
      <c r="FE39" s="88"/>
      <c r="FF39" s="88"/>
      <c r="FG39" s="88"/>
      <c r="FH39" s="88"/>
      <c r="FI39" s="88"/>
      <c r="FJ39" s="88"/>
      <c r="FK39" s="88"/>
      <c r="FL39" s="88"/>
      <c r="FM39" s="88"/>
      <c r="FN39" s="88"/>
    </row>
    <row r="40" spans="1:170" s="12" customFormat="1" ht="2.1" customHeight="1">
      <c r="A40" s="198"/>
      <c r="B40" s="1142"/>
      <c r="C40" s="200"/>
      <c r="D40" s="200"/>
      <c r="E40" s="200"/>
      <c r="F40" s="200"/>
      <c r="G40" s="200"/>
      <c r="H40" s="200"/>
      <c r="I40" s="201"/>
      <c r="J40" s="200"/>
      <c r="K40" s="200"/>
      <c r="L40" s="201"/>
      <c r="M40" s="202"/>
      <c r="N40" s="997"/>
      <c r="O40" s="997"/>
      <c r="P40" s="493">
        <v>0</v>
      </c>
      <c r="Q40" s="989">
        <v>1</v>
      </c>
      <c r="R40" s="493">
        <v>0</v>
      </c>
      <c r="S40" s="311"/>
      <c r="T40" s="301"/>
      <c r="U40" s="301"/>
      <c r="V40" s="311"/>
      <c r="W40" s="301"/>
      <c r="X40" s="301"/>
      <c r="Y40" s="311"/>
      <c r="Z40" s="301"/>
      <c r="AA40" s="301"/>
      <c r="AB40" s="311"/>
      <c r="AC40" s="301"/>
      <c r="AD40" s="301"/>
      <c r="AN40" s="156"/>
      <c r="AO40" s="156"/>
      <c r="AP40" s="157"/>
      <c r="AQ40" s="157"/>
      <c r="AR40" s="106"/>
      <c r="AS40" s="106"/>
      <c r="AT40" s="106"/>
      <c r="AU40" s="106"/>
      <c r="AV40" s="106"/>
      <c r="AW40" s="106"/>
      <c r="AX40" s="106"/>
      <c r="AY40" s="106"/>
      <c r="AZ40" s="106"/>
      <c r="BA40" s="106"/>
      <c r="BB40" s="106"/>
      <c r="BC40" s="106"/>
      <c r="BD40" s="106"/>
      <c r="BE40" s="106"/>
      <c r="BF40" s="106"/>
      <c r="BG40" s="106"/>
      <c r="BH40" s="106"/>
      <c r="BI40" s="106"/>
      <c r="BJ40" s="106"/>
      <c r="BK40" s="106"/>
      <c r="BL40" s="106"/>
      <c r="BM40" s="106"/>
      <c r="BN40" s="106"/>
      <c r="BO40" s="106"/>
      <c r="BP40" s="106"/>
      <c r="BQ40" s="106"/>
      <c r="BR40" s="106"/>
      <c r="BS40" s="106"/>
      <c r="BT40" s="106"/>
      <c r="BU40" s="106"/>
      <c r="BV40" s="106"/>
      <c r="BW40" s="106"/>
      <c r="BX40" s="106"/>
      <c r="BY40" s="106"/>
      <c r="BZ40" s="106"/>
      <c r="CA40" s="106"/>
      <c r="CB40" s="106"/>
      <c r="CC40" s="106"/>
      <c r="CD40" s="106"/>
      <c r="CE40" s="106"/>
      <c r="CF40" s="106"/>
      <c r="CG40" s="106"/>
      <c r="CH40" s="106"/>
      <c r="CI40" s="106"/>
      <c r="CJ40" s="106"/>
      <c r="CK40" s="106"/>
      <c r="CL40" s="106"/>
      <c r="CM40" s="106"/>
      <c r="CN40" s="106"/>
      <c r="CO40" s="106"/>
      <c r="CP40" s="106"/>
      <c r="CQ40" s="106"/>
      <c r="CR40" s="106"/>
      <c r="CS40" s="106"/>
      <c r="CT40" s="106"/>
      <c r="CU40" s="106"/>
      <c r="CV40" s="107"/>
      <c r="CW40" s="107"/>
      <c r="CX40" s="107"/>
      <c r="CY40" s="107"/>
      <c r="CZ40" s="107"/>
      <c r="DA40" s="107"/>
      <c r="DB40" s="107"/>
      <c r="DC40" s="107"/>
      <c r="DD40" s="107"/>
      <c r="DE40" s="107"/>
      <c r="DF40" s="107"/>
      <c r="DG40" s="107"/>
      <c r="DH40" s="107"/>
      <c r="DI40" s="107"/>
      <c r="DJ40" s="107"/>
      <c r="DK40" s="107"/>
      <c r="DL40" s="107"/>
      <c r="DM40" s="107"/>
      <c r="DN40" s="107"/>
      <c r="DO40" s="107"/>
      <c r="DP40" s="107"/>
      <c r="DQ40" s="107"/>
      <c r="DR40" s="107"/>
      <c r="DS40" s="107"/>
      <c r="DT40" s="107"/>
      <c r="DU40" s="107"/>
      <c r="DV40" s="107"/>
      <c r="DW40" s="107"/>
      <c r="DX40" s="107"/>
      <c r="DY40" s="107"/>
      <c r="DZ40" s="107"/>
      <c r="EA40" s="107"/>
      <c r="EB40" s="107"/>
      <c r="EC40" s="107"/>
      <c r="ED40" s="107"/>
      <c r="EE40" s="105"/>
      <c r="EF40" s="105"/>
      <c r="EG40" s="105"/>
      <c r="EH40" s="105"/>
      <c r="EI40" s="105"/>
      <c r="EJ40" s="105"/>
      <c r="EK40" s="105"/>
      <c r="EL40" s="105"/>
      <c r="EM40" s="105"/>
      <c r="EN40" s="105"/>
      <c r="EO40" s="105"/>
      <c r="EP40" s="105"/>
      <c r="EQ40" s="105"/>
      <c r="ER40" s="105"/>
      <c r="ES40" s="105"/>
      <c r="ET40" s="105"/>
      <c r="EU40" s="105"/>
      <c r="EV40" s="105"/>
      <c r="EW40" s="105"/>
      <c r="EX40" s="105"/>
      <c r="EY40" s="105"/>
      <c r="EZ40" s="105"/>
      <c r="FA40" s="105"/>
      <c r="FB40" s="105"/>
      <c r="FC40" s="105"/>
      <c r="FD40" s="105"/>
      <c r="FE40" s="105"/>
      <c r="FF40" s="105"/>
      <c r="FG40" s="105"/>
      <c r="FH40" s="105"/>
      <c r="FI40" s="105"/>
      <c r="FJ40" s="105"/>
      <c r="FK40" s="105"/>
      <c r="FL40" s="105"/>
      <c r="FM40" s="105"/>
      <c r="FN40" s="105"/>
    </row>
    <row r="41" spans="1:170" s="5" customFormat="1" ht="18" hidden="1" customHeight="1">
      <c r="A41" s="1808" t="str">
        <f>Begriffe!F201</f>
        <v>Personen</v>
      </c>
      <c r="B41" s="416"/>
      <c r="K41" s="1133"/>
      <c r="L41" s="988"/>
      <c r="N41" s="988"/>
      <c r="P41" s="493">
        <v>0</v>
      </c>
      <c r="Q41" s="989">
        <v>0</v>
      </c>
      <c r="R41" s="493">
        <v>0</v>
      </c>
      <c r="S41" s="82"/>
      <c r="U41" s="302"/>
      <c r="V41" s="312"/>
      <c r="W41" s="302"/>
      <c r="X41" s="302"/>
      <c r="Y41" s="312"/>
      <c r="Z41" s="302"/>
      <c r="AA41" s="302"/>
      <c r="AB41" s="312"/>
      <c r="AC41" s="302"/>
      <c r="AD41" s="302"/>
      <c r="AM41" s="82"/>
      <c r="AN41" s="158"/>
      <c r="AO41" s="158"/>
      <c r="AP41" s="159"/>
      <c r="AQ41" s="159"/>
      <c r="AR41" s="108"/>
      <c r="AS41" s="108"/>
      <c r="AT41" s="108"/>
      <c r="AU41" s="108"/>
      <c r="AV41" s="108"/>
      <c r="AW41" s="108"/>
      <c r="AX41" s="108"/>
      <c r="AY41" s="108"/>
      <c r="AZ41" s="108"/>
      <c r="BA41" s="108"/>
      <c r="BB41" s="108"/>
      <c r="BC41" s="108"/>
      <c r="BD41" s="108"/>
      <c r="BE41" s="108"/>
      <c r="BF41" s="108"/>
      <c r="BG41" s="108"/>
      <c r="BH41" s="108"/>
      <c r="BI41" s="108"/>
      <c r="BJ41" s="108"/>
      <c r="BK41" s="108"/>
      <c r="BL41" s="108"/>
      <c r="BM41" s="108"/>
      <c r="BN41" s="108"/>
      <c r="BO41" s="108"/>
      <c r="BP41" s="108"/>
      <c r="BQ41" s="108"/>
      <c r="BR41" s="108"/>
      <c r="BS41" s="108"/>
      <c r="BT41" s="108"/>
      <c r="BU41" s="108"/>
      <c r="BV41" s="108"/>
      <c r="BW41" s="108"/>
      <c r="BX41" s="108"/>
      <c r="BY41" s="108"/>
      <c r="BZ41" s="108"/>
      <c r="CA41" s="108"/>
      <c r="CB41" s="108"/>
      <c r="CC41" s="108"/>
      <c r="CD41" s="108"/>
      <c r="CE41" s="108"/>
      <c r="CF41" s="108"/>
      <c r="CG41" s="108"/>
      <c r="CH41" s="108"/>
      <c r="CI41" s="108"/>
      <c r="CJ41" s="108"/>
      <c r="CK41" s="108"/>
      <c r="CL41" s="108"/>
      <c r="CM41" s="108"/>
      <c r="CN41" s="108"/>
      <c r="CO41" s="108"/>
      <c r="CP41" s="108"/>
      <c r="CQ41" s="108"/>
      <c r="CR41" s="108"/>
      <c r="CS41" s="108"/>
      <c r="CT41" s="108"/>
      <c r="CU41" s="108"/>
      <c r="CV41" s="109"/>
      <c r="CW41" s="109"/>
      <c r="CX41" s="109"/>
      <c r="CY41" s="109"/>
      <c r="CZ41" s="109"/>
      <c r="DA41" s="109"/>
      <c r="DB41" s="109"/>
      <c r="DC41" s="109"/>
      <c r="DD41" s="109"/>
      <c r="DE41" s="109"/>
      <c r="DF41" s="109"/>
      <c r="DG41" s="109"/>
      <c r="DH41" s="109"/>
      <c r="DI41" s="109"/>
      <c r="DJ41" s="109"/>
      <c r="DK41" s="109"/>
      <c r="DL41" s="109"/>
      <c r="DM41" s="109"/>
      <c r="DN41" s="109"/>
      <c r="DO41" s="109"/>
      <c r="DP41" s="109"/>
      <c r="DQ41" s="109"/>
      <c r="DR41" s="109"/>
      <c r="DS41" s="109"/>
      <c r="DT41" s="109"/>
      <c r="DU41" s="109"/>
      <c r="DV41" s="109"/>
      <c r="DW41" s="109"/>
      <c r="DX41" s="109"/>
      <c r="DY41" s="109"/>
      <c r="DZ41" s="109"/>
      <c r="EA41" s="109"/>
      <c r="EB41" s="109"/>
      <c r="EC41" s="109"/>
      <c r="ED41" s="109"/>
      <c r="EE41" s="110"/>
      <c r="EF41" s="110"/>
      <c r="EG41" s="110"/>
      <c r="EH41" s="110"/>
      <c r="EI41" s="110"/>
      <c r="EJ41" s="110"/>
      <c r="EK41" s="110"/>
      <c r="EL41" s="110"/>
      <c r="EM41" s="110"/>
      <c r="EN41" s="110"/>
      <c r="EO41" s="110"/>
      <c r="EP41" s="110"/>
      <c r="EQ41" s="110"/>
      <c r="ER41" s="110"/>
      <c r="ES41" s="110"/>
      <c r="ET41" s="110"/>
      <c r="EU41" s="110"/>
      <c r="EV41" s="110"/>
      <c r="EW41" s="110"/>
      <c r="EX41" s="110"/>
      <c r="EY41" s="110"/>
      <c r="EZ41" s="110"/>
      <c r="FA41" s="110"/>
      <c r="FB41" s="110"/>
      <c r="FC41" s="110"/>
      <c r="FD41" s="110"/>
      <c r="FE41" s="110"/>
      <c r="FF41" s="110"/>
      <c r="FG41" s="110"/>
      <c r="FH41" s="110"/>
      <c r="FI41" s="110"/>
      <c r="FJ41" s="110"/>
      <c r="FK41" s="110"/>
      <c r="FL41" s="110"/>
      <c r="FM41" s="110"/>
      <c r="FN41" s="110"/>
    </row>
    <row r="42" spans="1:170" s="5" customFormat="1" ht="18" customHeight="1">
      <c r="A42" s="1808"/>
      <c r="B42" s="416"/>
      <c r="C42" s="1813" t="str">
        <f>Begriffe!F63</f>
        <v>Personenprofil</v>
      </c>
      <c r="D42" s="1"/>
      <c r="E42" s="329"/>
      <c r="F42" s="329"/>
      <c r="G42" s="1"/>
      <c r="H42" s="330"/>
      <c r="I42" s="1819" t="str">
        <f>Begriffe!F32</f>
        <v>Jahresprofil</v>
      </c>
      <c r="J42" s="331"/>
      <c r="K42" s="331"/>
      <c r="L42" s="331"/>
      <c r="M42" s="332"/>
      <c r="N42" s="333"/>
      <c r="O42" s="216"/>
      <c r="P42" s="493">
        <v>0</v>
      </c>
      <c r="Q42" s="989">
        <v>1</v>
      </c>
      <c r="R42" s="493">
        <v>0</v>
      </c>
      <c r="S42" s="131"/>
      <c r="T42" s="302"/>
      <c r="U42" s="302"/>
      <c r="V42" s="312"/>
      <c r="W42" s="302"/>
      <c r="X42" s="302"/>
      <c r="Y42" s="312"/>
      <c r="Z42" s="302"/>
      <c r="AA42" s="302"/>
      <c r="AB42" s="312"/>
      <c r="AC42" s="302"/>
      <c r="AD42" s="302"/>
      <c r="AM42" s="13"/>
      <c r="AN42" s="160"/>
      <c r="AO42" s="16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c r="CY42" s="110"/>
      <c r="CZ42" s="110"/>
      <c r="DA42" s="110"/>
      <c r="DB42" s="110"/>
      <c r="DC42" s="110"/>
      <c r="DD42" s="110"/>
      <c r="DE42" s="109"/>
      <c r="DF42" s="109"/>
      <c r="DG42" s="109"/>
      <c r="DH42" s="109"/>
      <c r="DI42" s="109"/>
      <c r="DJ42" s="109"/>
      <c r="DK42" s="109"/>
      <c r="DL42" s="109"/>
      <c r="DM42" s="109"/>
      <c r="DN42" s="109"/>
      <c r="DO42" s="109"/>
      <c r="DP42" s="109"/>
      <c r="DQ42" s="109"/>
      <c r="DR42" s="109"/>
      <c r="DS42" s="109"/>
      <c r="DT42" s="109"/>
      <c r="DU42" s="109"/>
      <c r="DV42" s="109"/>
      <c r="DW42" s="109"/>
      <c r="DX42" s="109"/>
      <c r="DY42" s="109"/>
      <c r="DZ42" s="109"/>
      <c r="EA42" s="109"/>
      <c r="EB42" s="109"/>
      <c r="EC42" s="109"/>
      <c r="ED42" s="109"/>
      <c r="EE42" s="110"/>
      <c r="EF42" s="110"/>
      <c r="EG42" s="110"/>
      <c r="EH42" s="110"/>
      <c r="EI42" s="110"/>
      <c r="EJ42" s="110"/>
      <c r="EK42" s="110"/>
      <c r="EL42" s="110"/>
      <c r="EM42" s="110"/>
      <c r="EN42" s="110"/>
      <c r="EO42" s="110"/>
      <c r="EP42" s="110"/>
      <c r="EQ42" s="110"/>
      <c r="ER42" s="110"/>
      <c r="ES42" s="110"/>
      <c r="ET42" s="110"/>
      <c r="EU42" s="110"/>
      <c r="EV42" s="110"/>
      <c r="EW42" s="110"/>
      <c r="EX42" s="110"/>
      <c r="EY42" s="110"/>
      <c r="EZ42" s="110"/>
      <c r="FA42" s="110"/>
      <c r="FB42" s="110"/>
      <c r="FC42" s="110"/>
      <c r="FD42" s="110"/>
      <c r="FE42" s="110"/>
      <c r="FF42" s="110"/>
      <c r="FG42" s="110"/>
      <c r="FH42" s="110"/>
      <c r="FI42" s="110"/>
      <c r="FJ42" s="110"/>
      <c r="FK42" s="110"/>
      <c r="FL42" s="110"/>
      <c r="FM42" s="110"/>
      <c r="FN42" s="110"/>
    </row>
    <row r="43" spans="1:170" s="5" customFormat="1" ht="18" customHeight="1">
      <c r="A43" s="1808"/>
      <c r="B43" s="416"/>
      <c r="C43" s="1813"/>
      <c r="D43" s="1"/>
      <c r="E43" s="329"/>
      <c r="F43" s="329"/>
      <c r="G43" s="1"/>
      <c r="H43" s="330"/>
      <c r="I43" s="1819"/>
      <c r="J43" s="331"/>
      <c r="K43" s="331"/>
      <c r="L43" s="331"/>
      <c r="M43" s="332"/>
      <c r="N43" s="333"/>
      <c r="O43" s="216"/>
      <c r="P43" s="493">
        <v>0</v>
      </c>
      <c r="Q43" s="417">
        <v>1</v>
      </c>
      <c r="R43" s="493">
        <v>0</v>
      </c>
      <c r="S43" s="85"/>
      <c r="T43" s="302"/>
      <c r="U43" s="302"/>
      <c r="V43" s="312"/>
      <c r="W43" s="302"/>
      <c r="X43" s="302"/>
      <c r="Y43" s="312"/>
      <c r="Z43" s="302"/>
      <c r="AA43" s="302"/>
      <c r="AB43" s="312"/>
      <c r="AC43" s="302"/>
      <c r="AD43" s="302"/>
      <c r="AM43" s="85"/>
      <c r="AN43" s="160"/>
      <c r="AO43" s="16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c r="CY43" s="110"/>
      <c r="CZ43" s="110"/>
      <c r="DA43" s="110"/>
      <c r="DB43" s="110"/>
      <c r="DC43" s="110"/>
      <c r="DD43" s="110"/>
      <c r="DE43" s="109"/>
      <c r="DF43" s="109"/>
      <c r="DG43" s="109"/>
      <c r="DH43" s="109"/>
      <c r="DI43" s="109"/>
      <c r="DJ43" s="109"/>
      <c r="DK43" s="109"/>
      <c r="DL43" s="109"/>
      <c r="DM43" s="109"/>
      <c r="DN43" s="109"/>
      <c r="DO43" s="109"/>
      <c r="DP43" s="109"/>
      <c r="DQ43" s="109"/>
      <c r="DR43" s="109"/>
      <c r="DS43" s="109"/>
      <c r="DT43" s="109"/>
      <c r="DU43" s="109"/>
      <c r="DV43" s="109"/>
      <c r="DW43" s="109"/>
      <c r="DX43" s="109"/>
      <c r="DY43" s="109"/>
      <c r="DZ43" s="109"/>
      <c r="EA43" s="109"/>
      <c r="EB43" s="109"/>
      <c r="EC43" s="109"/>
      <c r="ED43" s="109"/>
      <c r="EE43" s="110"/>
      <c r="EF43" s="110"/>
      <c r="EG43" s="110"/>
      <c r="EH43" s="110"/>
      <c r="EI43" s="110"/>
      <c r="EJ43" s="110"/>
      <c r="EK43" s="110"/>
      <c r="EL43" s="110"/>
      <c r="EM43" s="110"/>
      <c r="EN43" s="110"/>
      <c r="EO43" s="110"/>
      <c r="EP43" s="110"/>
      <c r="EQ43" s="110"/>
      <c r="ER43" s="110"/>
      <c r="ES43" s="110"/>
      <c r="ET43" s="110"/>
      <c r="EU43" s="110"/>
      <c r="EV43" s="110"/>
      <c r="EW43" s="110"/>
      <c r="EX43" s="110"/>
      <c r="EY43" s="110"/>
      <c r="EZ43" s="110"/>
      <c r="FA43" s="110"/>
      <c r="FB43" s="110"/>
      <c r="FC43" s="110"/>
      <c r="FD43" s="110"/>
      <c r="FE43" s="110"/>
      <c r="FF43" s="110"/>
      <c r="FG43" s="110"/>
      <c r="FH43" s="110"/>
      <c r="FI43" s="110"/>
      <c r="FJ43" s="110"/>
      <c r="FK43" s="110"/>
      <c r="FL43" s="110"/>
      <c r="FM43" s="110"/>
      <c r="FN43" s="110"/>
    </row>
    <row r="44" spans="1:170" s="5" customFormat="1" ht="18" customHeight="1">
      <c r="A44" s="1808"/>
      <c r="B44" s="416"/>
      <c r="C44" s="1813"/>
      <c r="D44" s="1"/>
      <c r="E44" s="329"/>
      <c r="F44" s="329"/>
      <c r="G44" s="1"/>
      <c r="H44" s="330"/>
      <c r="I44" s="1819"/>
      <c r="J44" s="331"/>
      <c r="K44" s="331"/>
      <c r="L44" s="331"/>
      <c r="M44" s="332"/>
      <c r="N44" s="333"/>
      <c r="O44" s="216"/>
      <c r="P44" s="493">
        <v>0</v>
      </c>
      <c r="Q44" s="989">
        <v>1</v>
      </c>
      <c r="R44" s="493">
        <v>0</v>
      </c>
      <c r="S44" s="312"/>
      <c r="T44" s="302"/>
      <c r="U44" s="302"/>
      <c r="V44" s="312"/>
      <c r="W44" s="302"/>
      <c r="X44" s="302"/>
      <c r="Y44" s="312"/>
      <c r="Z44" s="302"/>
      <c r="AA44" s="302"/>
      <c r="AB44" s="312"/>
      <c r="AC44" s="302"/>
      <c r="AD44" s="302"/>
      <c r="AM44" s="1"/>
      <c r="AN44" s="160"/>
      <c r="AO44" s="16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c r="CY44" s="110"/>
      <c r="CZ44" s="110"/>
      <c r="DA44" s="110"/>
      <c r="DB44" s="110"/>
      <c r="DC44" s="110"/>
      <c r="DD44" s="110"/>
      <c r="DE44" s="109"/>
      <c r="DF44" s="109"/>
      <c r="DG44" s="109"/>
      <c r="DH44" s="109"/>
      <c r="DI44" s="109"/>
      <c r="DJ44" s="109"/>
      <c r="DK44" s="109"/>
      <c r="DL44" s="109"/>
      <c r="DM44" s="109"/>
      <c r="DN44" s="109"/>
      <c r="DO44" s="109"/>
      <c r="DP44" s="109"/>
      <c r="DQ44" s="109"/>
      <c r="DR44" s="109"/>
      <c r="DS44" s="109"/>
      <c r="DT44" s="109"/>
      <c r="DU44" s="109"/>
      <c r="DV44" s="109"/>
      <c r="DW44" s="109"/>
      <c r="DX44" s="109"/>
      <c r="DY44" s="109"/>
      <c r="DZ44" s="109"/>
      <c r="EA44" s="109"/>
      <c r="EB44" s="109"/>
      <c r="EC44" s="109"/>
      <c r="ED44" s="109"/>
      <c r="EE44" s="110"/>
      <c r="EF44" s="110"/>
      <c r="EG44" s="110"/>
      <c r="EH44" s="110"/>
      <c r="EI44" s="110"/>
      <c r="EJ44" s="110"/>
      <c r="EK44" s="110"/>
      <c r="EL44" s="110"/>
      <c r="EM44" s="110"/>
      <c r="EN44" s="110"/>
      <c r="EO44" s="110"/>
      <c r="EP44" s="110"/>
      <c r="EQ44" s="110"/>
      <c r="ER44" s="110"/>
      <c r="ES44" s="110"/>
      <c r="ET44" s="110"/>
      <c r="EU44" s="110"/>
      <c r="EV44" s="110"/>
      <c r="EW44" s="110"/>
      <c r="EX44" s="110"/>
      <c r="EY44" s="110"/>
      <c r="EZ44" s="110"/>
      <c r="FA44" s="110"/>
      <c r="FB44" s="110"/>
      <c r="FC44" s="110"/>
      <c r="FD44" s="110"/>
      <c r="FE44" s="110"/>
      <c r="FF44" s="110"/>
      <c r="FG44" s="110"/>
      <c r="FH44" s="110"/>
      <c r="FI44" s="110"/>
      <c r="FJ44" s="110"/>
      <c r="FK44" s="110"/>
      <c r="FL44" s="110"/>
      <c r="FM44" s="110"/>
      <c r="FN44" s="110"/>
    </row>
    <row r="45" spans="1:170" s="5" customFormat="1" ht="18" customHeight="1">
      <c r="A45" s="1808"/>
      <c r="B45" s="416"/>
      <c r="C45" s="1813"/>
      <c r="D45" s="1"/>
      <c r="E45" s="329"/>
      <c r="F45" s="329"/>
      <c r="G45" s="1"/>
      <c r="H45" s="330"/>
      <c r="I45" s="1819"/>
      <c r="J45" s="331"/>
      <c r="K45" s="331"/>
      <c r="L45" s="331"/>
      <c r="M45" s="332"/>
      <c r="N45" s="333"/>
      <c r="O45" s="216"/>
      <c r="P45" s="493">
        <v>0</v>
      </c>
      <c r="Q45" s="989">
        <v>1</v>
      </c>
      <c r="R45" s="493">
        <v>0</v>
      </c>
      <c r="S45" s="312"/>
      <c r="T45" s="302"/>
      <c r="U45" s="302"/>
      <c r="V45" s="312"/>
      <c r="W45" s="302"/>
      <c r="X45" s="302"/>
      <c r="Y45" s="312"/>
      <c r="Z45" s="302"/>
      <c r="AA45" s="302"/>
      <c r="AB45" s="312"/>
      <c r="AC45" s="302"/>
      <c r="AD45" s="302"/>
      <c r="AM45" s="1"/>
      <c r="AN45" s="160"/>
      <c r="AO45" s="16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c r="CY45" s="110"/>
      <c r="CZ45" s="110"/>
      <c r="DA45" s="110"/>
      <c r="DB45" s="110"/>
      <c r="DC45" s="110"/>
      <c r="DD45" s="110"/>
      <c r="DE45" s="109"/>
      <c r="DF45" s="109"/>
      <c r="DG45" s="109"/>
      <c r="DH45" s="109"/>
      <c r="DI45" s="109"/>
      <c r="DJ45" s="109"/>
      <c r="DK45" s="109"/>
      <c r="DL45" s="109"/>
      <c r="DM45" s="109"/>
      <c r="DN45" s="109"/>
      <c r="DO45" s="109"/>
      <c r="DP45" s="109"/>
      <c r="DQ45" s="109"/>
      <c r="DR45" s="109"/>
      <c r="DS45" s="109"/>
      <c r="DT45" s="109"/>
      <c r="DU45" s="109"/>
      <c r="DV45" s="109"/>
      <c r="DW45" s="109"/>
      <c r="DX45" s="109"/>
      <c r="DY45" s="109"/>
      <c r="DZ45" s="109"/>
      <c r="EA45" s="109"/>
      <c r="EB45" s="109"/>
      <c r="EC45" s="109"/>
      <c r="ED45" s="109"/>
      <c r="EE45" s="110"/>
      <c r="EF45" s="110"/>
      <c r="EG45" s="110"/>
      <c r="EH45" s="110"/>
      <c r="EI45" s="110"/>
      <c r="EJ45" s="110"/>
      <c r="EK45" s="110"/>
      <c r="EL45" s="110"/>
      <c r="EM45" s="110"/>
      <c r="EN45" s="110"/>
      <c r="EO45" s="110"/>
      <c r="EP45" s="110"/>
      <c r="EQ45" s="110"/>
      <c r="ER45" s="110"/>
      <c r="ES45" s="110"/>
      <c r="ET45" s="110"/>
      <c r="EU45" s="110"/>
      <c r="EV45" s="110"/>
      <c r="EW45" s="110"/>
      <c r="EX45" s="110"/>
      <c r="EY45" s="110"/>
      <c r="EZ45" s="110"/>
      <c r="FA45" s="110"/>
      <c r="FB45" s="110"/>
      <c r="FC45" s="110"/>
      <c r="FD45" s="110"/>
      <c r="FE45" s="110"/>
      <c r="FF45" s="110"/>
      <c r="FG45" s="110"/>
      <c r="FH45" s="110"/>
      <c r="FI45" s="110"/>
      <c r="FJ45" s="110"/>
      <c r="FK45" s="110"/>
      <c r="FL45" s="110"/>
      <c r="FM45" s="110"/>
      <c r="FN45" s="110"/>
    </row>
    <row r="46" spans="1:170" s="5" customFormat="1" ht="18" customHeight="1">
      <c r="A46" s="1808"/>
      <c r="B46" s="416"/>
      <c r="C46" s="1813"/>
      <c r="D46" s="1"/>
      <c r="E46" s="329"/>
      <c r="F46" s="329"/>
      <c r="G46" s="1"/>
      <c r="H46" s="330"/>
      <c r="I46" s="1819"/>
      <c r="J46" s="331"/>
      <c r="K46" s="331"/>
      <c r="L46" s="331"/>
      <c r="M46" s="332"/>
      <c r="N46" s="333"/>
      <c r="O46" s="216"/>
      <c r="P46" s="493">
        <v>0</v>
      </c>
      <c r="Q46" s="989">
        <v>1</v>
      </c>
      <c r="R46" s="493">
        <v>0</v>
      </c>
      <c r="S46" s="131"/>
      <c r="T46" s="302"/>
      <c r="U46" s="302"/>
      <c r="V46" s="312"/>
      <c r="W46" s="302"/>
      <c r="X46" s="302"/>
      <c r="Y46" s="312"/>
      <c r="Z46" s="302"/>
      <c r="AA46" s="302"/>
      <c r="AB46" s="312"/>
      <c r="AC46" s="302"/>
      <c r="AD46" s="302"/>
      <c r="AM46" s="1"/>
      <c r="AN46" s="160"/>
      <c r="AO46" s="16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c r="CY46" s="110"/>
      <c r="CZ46" s="110"/>
      <c r="DA46" s="110"/>
      <c r="DB46" s="110"/>
      <c r="DC46" s="110"/>
      <c r="DD46" s="110"/>
      <c r="DE46" s="109"/>
      <c r="DF46" s="109"/>
      <c r="DG46" s="109"/>
      <c r="DH46" s="109"/>
      <c r="DI46" s="109"/>
      <c r="DJ46" s="109"/>
      <c r="DK46" s="109"/>
      <c r="DL46" s="109"/>
      <c r="DM46" s="109"/>
      <c r="DN46" s="109"/>
      <c r="DO46" s="109"/>
      <c r="DP46" s="109"/>
      <c r="DQ46" s="109"/>
      <c r="DR46" s="109"/>
      <c r="DS46" s="109"/>
      <c r="DT46" s="109"/>
      <c r="DU46" s="109"/>
      <c r="DV46" s="109"/>
      <c r="DW46" s="109"/>
      <c r="DX46" s="109"/>
      <c r="DY46" s="109"/>
      <c r="DZ46" s="109"/>
      <c r="EA46" s="109"/>
      <c r="EB46" s="109"/>
      <c r="EC46" s="109"/>
      <c r="ED46" s="109"/>
      <c r="EE46" s="110"/>
      <c r="EF46" s="110"/>
      <c r="EG46" s="110"/>
      <c r="EH46" s="110"/>
      <c r="EI46" s="110"/>
      <c r="EJ46" s="110"/>
      <c r="EK46" s="110"/>
      <c r="EL46" s="110"/>
      <c r="EM46" s="110"/>
      <c r="EN46" s="110"/>
      <c r="EO46" s="110"/>
      <c r="EP46" s="110"/>
      <c r="EQ46" s="110"/>
      <c r="ER46" s="110"/>
      <c r="ES46" s="110"/>
      <c r="ET46" s="110"/>
      <c r="EU46" s="110"/>
      <c r="EV46" s="110"/>
      <c r="EW46" s="110"/>
      <c r="EX46" s="110"/>
      <c r="EY46" s="110"/>
      <c r="EZ46" s="110"/>
      <c r="FA46" s="110"/>
      <c r="FB46" s="110"/>
      <c r="FC46" s="110"/>
      <c r="FD46" s="110"/>
      <c r="FE46" s="110"/>
      <c r="FF46" s="110"/>
      <c r="FG46" s="110"/>
      <c r="FH46" s="110"/>
      <c r="FI46" s="110"/>
      <c r="FJ46" s="110"/>
      <c r="FK46" s="110"/>
      <c r="FL46" s="110"/>
      <c r="FM46" s="110"/>
      <c r="FN46" s="110"/>
    </row>
    <row r="47" spans="1:170" s="5" customFormat="1" ht="18" customHeight="1">
      <c r="A47" s="1808"/>
      <c r="B47" s="416"/>
      <c r="C47" s="186"/>
      <c r="D47" s="1"/>
      <c r="E47" s="329"/>
      <c r="F47" s="329"/>
      <c r="G47" s="1"/>
      <c r="H47" s="330"/>
      <c r="I47" s="334"/>
      <c r="J47" s="335"/>
      <c r="K47" s="335"/>
      <c r="L47" s="335"/>
      <c r="M47" s="336"/>
      <c r="N47" s="337"/>
      <c r="O47" s="217"/>
      <c r="P47" s="493">
        <v>0</v>
      </c>
      <c r="Q47" s="989">
        <v>1</v>
      </c>
      <c r="R47" s="493">
        <v>0</v>
      </c>
      <c r="S47" s="131"/>
      <c r="T47" s="303"/>
      <c r="U47" s="260"/>
      <c r="V47" s="36"/>
      <c r="W47" s="232"/>
      <c r="X47" s="304"/>
      <c r="Y47" s="36"/>
      <c r="Z47" s="232"/>
      <c r="AA47" s="232"/>
      <c r="AB47" s="85"/>
      <c r="AC47" s="260"/>
      <c r="AD47" s="260"/>
      <c r="AE47" s="85"/>
      <c r="AF47" s="85"/>
      <c r="AG47" s="85"/>
      <c r="AH47" s="85"/>
      <c r="AI47" s="85"/>
      <c r="AJ47" s="85"/>
      <c r="AK47" s="85"/>
      <c r="AL47" s="85"/>
      <c r="AM47" s="1"/>
      <c r="AN47" s="160"/>
      <c r="AO47" s="16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c r="CY47" s="110"/>
      <c r="CZ47" s="110"/>
      <c r="DA47" s="110"/>
      <c r="DB47" s="110"/>
      <c r="DC47" s="110"/>
      <c r="DD47" s="110"/>
      <c r="DE47" s="109"/>
      <c r="DF47" s="109"/>
      <c r="DG47" s="109"/>
      <c r="DH47" s="109"/>
      <c r="DI47" s="109"/>
      <c r="DJ47" s="109"/>
      <c r="DK47" s="109"/>
      <c r="DL47" s="109"/>
      <c r="DM47" s="109"/>
      <c r="DN47" s="109"/>
      <c r="DO47" s="109"/>
      <c r="DP47" s="109"/>
      <c r="DQ47" s="109"/>
      <c r="DR47" s="109"/>
      <c r="DS47" s="109"/>
      <c r="DT47" s="109"/>
      <c r="DU47" s="109"/>
      <c r="DV47" s="109"/>
      <c r="DW47" s="109"/>
      <c r="DX47" s="109"/>
      <c r="DY47" s="109"/>
      <c r="DZ47" s="109"/>
      <c r="EA47" s="109"/>
      <c r="EB47" s="109"/>
      <c r="EC47" s="109"/>
      <c r="ED47" s="109"/>
      <c r="EE47" s="110"/>
      <c r="EF47" s="110"/>
      <c r="EG47" s="110"/>
      <c r="EH47" s="110"/>
      <c r="EI47" s="110"/>
      <c r="EJ47" s="110"/>
      <c r="EK47" s="110"/>
      <c r="EL47" s="110"/>
      <c r="EM47" s="110"/>
      <c r="EN47" s="110"/>
      <c r="EO47" s="110"/>
      <c r="EP47" s="110"/>
      <c r="EQ47" s="110"/>
      <c r="ER47" s="110"/>
      <c r="ES47" s="110"/>
      <c r="ET47" s="110"/>
      <c r="EU47" s="110"/>
      <c r="EV47" s="110"/>
      <c r="EW47" s="110"/>
      <c r="EX47" s="110"/>
      <c r="EY47" s="110"/>
      <c r="EZ47" s="110"/>
      <c r="FA47" s="110"/>
      <c r="FB47" s="110"/>
      <c r="FC47" s="110"/>
      <c r="FD47" s="110"/>
      <c r="FE47" s="110"/>
      <c r="FF47" s="110"/>
      <c r="FG47" s="110"/>
      <c r="FH47" s="110"/>
      <c r="FI47" s="110"/>
      <c r="FJ47" s="110"/>
      <c r="FK47" s="110"/>
      <c r="FL47" s="110"/>
      <c r="FM47" s="110"/>
      <c r="FN47" s="110"/>
    </row>
    <row r="48" spans="1:170" s="5" customFormat="1" ht="18" customHeight="1">
      <c r="A48" s="1808"/>
      <c r="B48" s="416">
        <v>152</v>
      </c>
      <c r="C48" s="493" t="str">
        <f>VLOOKUP(B48,Begriffe!$A$6:$E$442,Begriffe!$D$1+2)</f>
        <v>Nutzungsstunden pro Tag</v>
      </c>
      <c r="D48" s="1146"/>
      <c r="E48" s="1132"/>
      <c r="F48" s="1132"/>
      <c r="G48" s="1132"/>
      <c r="H48" s="184"/>
      <c r="I48" s="209" t="s">
        <v>1187</v>
      </c>
      <c r="J48" s="210" t="s">
        <v>17</v>
      </c>
      <c r="K48" s="188"/>
      <c r="L48" s="1162"/>
      <c r="M48" s="931">
        <f>IF(L48&lt;&gt;"",L48,Profile!$C$66)</f>
        <v>20</v>
      </c>
      <c r="N48" s="1183"/>
      <c r="O48" s="982"/>
      <c r="P48" s="493">
        <v>1</v>
      </c>
      <c r="Q48" s="989">
        <v>1</v>
      </c>
      <c r="R48" s="493">
        <v>0</v>
      </c>
      <c r="S48" s="131"/>
      <c r="T48" s="303"/>
      <c r="U48" s="260"/>
      <c r="V48" s="36"/>
      <c r="W48" s="232"/>
      <c r="X48" s="304"/>
      <c r="Y48" s="36"/>
      <c r="Z48" s="232"/>
      <c r="AA48" s="232"/>
      <c r="AB48" s="85"/>
      <c r="AC48" s="260"/>
      <c r="AD48" s="260"/>
      <c r="AE48" s="85"/>
      <c r="AF48" s="85"/>
      <c r="AG48" s="85"/>
      <c r="AH48" s="85"/>
      <c r="AI48" s="85"/>
      <c r="AJ48" s="85"/>
      <c r="AK48" s="85"/>
      <c r="AL48" s="85"/>
      <c r="AM48" s="1"/>
      <c r="AN48" s="160"/>
      <c r="AO48" s="16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c r="CY48" s="110"/>
      <c r="CZ48" s="110"/>
      <c r="DA48" s="110"/>
      <c r="DB48" s="110"/>
      <c r="DC48" s="110"/>
      <c r="DD48" s="110"/>
      <c r="DE48" s="109"/>
      <c r="DF48" s="109"/>
      <c r="DG48" s="109"/>
      <c r="DH48" s="109"/>
      <c r="DI48" s="109"/>
      <c r="DJ48" s="109"/>
      <c r="DK48" s="109"/>
      <c r="DL48" s="109"/>
      <c r="DM48" s="109"/>
      <c r="DN48" s="109"/>
      <c r="DO48" s="109"/>
      <c r="DP48" s="109"/>
      <c r="DQ48" s="109"/>
      <c r="DR48" s="109"/>
      <c r="DS48" s="109"/>
      <c r="DT48" s="109"/>
      <c r="DU48" s="109"/>
      <c r="DV48" s="109"/>
      <c r="DW48" s="109"/>
      <c r="DX48" s="109"/>
      <c r="DY48" s="109"/>
      <c r="DZ48" s="109"/>
      <c r="EA48" s="109"/>
      <c r="EB48" s="109"/>
      <c r="EC48" s="109"/>
      <c r="ED48" s="109"/>
      <c r="EE48" s="110"/>
      <c r="EF48" s="110"/>
      <c r="EG48" s="110"/>
      <c r="EH48" s="110"/>
      <c r="EI48" s="110"/>
      <c r="EJ48" s="110"/>
      <c r="EK48" s="110"/>
      <c r="EL48" s="110"/>
      <c r="EM48" s="110"/>
      <c r="EN48" s="110"/>
      <c r="EO48" s="110"/>
      <c r="EP48" s="110"/>
      <c r="EQ48" s="110"/>
      <c r="ER48" s="110"/>
      <c r="ES48" s="110"/>
      <c r="ET48" s="110"/>
      <c r="EU48" s="110"/>
      <c r="EV48" s="110"/>
      <c r="EW48" s="110"/>
      <c r="EX48" s="110"/>
      <c r="EY48" s="110"/>
      <c r="EZ48" s="110"/>
      <c r="FA48" s="110"/>
      <c r="FB48" s="110"/>
      <c r="FC48" s="110"/>
      <c r="FD48" s="110"/>
      <c r="FE48" s="110"/>
      <c r="FF48" s="110"/>
      <c r="FG48" s="110"/>
      <c r="FH48" s="110"/>
      <c r="FI48" s="110"/>
      <c r="FJ48" s="110"/>
      <c r="FK48" s="110"/>
      <c r="FL48" s="110"/>
      <c r="FM48" s="110"/>
      <c r="FN48" s="110"/>
    </row>
    <row r="49" spans="1:170" s="5" customFormat="1" ht="18" customHeight="1">
      <c r="A49" s="1808"/>
      <c r="B49" s="416">
        <v>175</v>
      </c>
      <c r="C49" s="493" t="str">
        <f>VLOOKUP(B49,Begriffe!$A$6:$E$442,Begriffe!$D$1+2)</f>
        <v>Volllaststunden pro Tag</v>
      </c>
      <c r="D49" s="1146"/>
      <c r="E49" s="1132"/>
      <c r="F49" s="1132"/>
      <c r="G49" s="1132"/>
      <c r="H49" s="21"/>
      <c r="I49" s="178" t="s">
        <v>1188</v>
      </c>
      <c r="J49" s="188" t="s">
        <v>17</v>
      </c>
      <c r="K49" s="188"/>
      <c r="L49" s="1162"/>
      <c r="M49" s="931">
        <f>IF(L49&lt;&gt;"",L49,Profile!$B$66)</f>
        <v>11.299999999999999</v>
      </c>
      <c r="N49" s="1184"/>
      <c r="O49" s="1024"/>
      <c r="P49" s="493">
        <v>1</v>
      </c>
      <c r="Q49" s="989">
        <v>1</v>
      </c>
      <c r="R49" s="493">
        <v>1</v>
      </c>
      <c r="S49" s="131"/>
      <c r="T49" s="303"/>
      <c r="U49" s="260"/>
      <c r="V49" s="36"/>
      <c r="W49" s="232"/>
      <c r="X49" s="304"/>
      <c r="Y49" s="36"/>
      <c r="Z49" s="232"/>
      <c r="AA49" s="232"/>
      <c r="AB49" s="85"/>
      <c r="AC49" s="260"/>
      <c r="AD49" s="260"/>
      <c r="AE49" s="85"/>
      <c r="AF49" s="85"/>
      <c r="AG49" s="85"/>
      <c r="AH49" s="85"/>
      <c r="AI49" s="85"/>
      <c r="AJ49" s="85"/>
      <c r="AK49" s="85"/>
      <c r="AL49" s="85"/>
      <c r="AM49" s="1"/>
      <c r="AN49" s="160"/>
      <c r="AO49" s="16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c r="CY49" s="110"/>
      <c r="CZ49" s="110"/>
      <c r="DA49" s="110"/>
      <c r="DB49" s="110"/>
      <c r="DC49" s="110"/>
      <c r="DD49" s="110"/>
      <c r="DE49" s="109"/>
      <c r="DF49" s="109"/>
      <c r="DG49" s="109"/>
      <c r="DH49" s="109"/>
      <c r="DI49" s="109"/>
      <c r="DJ49" s="109"/>
      <c r="DK49" s="109"/>
      <c r="DL49" s="109"/>
      <c r="DM49" s="109"/>
      <c r="DN49" s="109"/>
      <c r="DO49" s="109"/>
      <c r="DP49" s="109"/>
      <c r="DQ49" s="109"/>
      <c r="DR49" s="109"/>
      <c r="DS49" s="109"/>
      <c r="DT49" s="109"/>
      <c r="DU49" s="109"/>
      <c r="DV49" s="109"/>
      <c r="DW49" s="109"/>
      <c r="DX49" s="109"/>
      <c r="DY49" s="109"/>
      <c r="DZ49" s="109"/>
      <c r="EA49" s="109"/>
      <c r="EB49" s="109"/>
      <c r="EC49" s="109"/>
      <c r="ED49" s="109"/>
      <c r="EE49" s="110"/>
      <c r="EF49" s="110"/>
      <c r="EG49" s="110"/>
      <c r="EH49" s="110"/>
      <c r="EI49" s="110"/>
      <c r="EJ49" s="110"/>
      <c r="EK49" s="110"/>
      <c r="EL49" s="110"/>
      <c r="EM49" s="110"/>
      <c r="EN49" s="110"/>
      <c r="EO49" s="110"/>
      <c r="EP49" s="110"/>
      <c r="EQ49" s="110"/>
      <c r="ER49" s="110"/>
      <c r="ES49" s="110"/>
      <c r="ET49" s="110"/>
      <c r="EU49" s="110"/>
      <c r="EV49" s="110"/>
      <c r="EW49" s="110"/>
      <c r="EX49" s="110"/>
      <c r="EY49" s="110"/>
      <c r="EZ49" s="110"/>
      <c r="FA49" s="110"/>
      <c r="FB49" s="110"/>
      <c r="FC49" s="110"/>
      <c r="FD49" s="110"/>
      <c r="FE49" s="110"/>
      <c r="FF49" s="110"/>
      <c r="FG49" s="110"/>
      <c r="FH49" s="110"/>
      <c r="FI49" s="110"/>
      <c r="FJ49" s="110"/>
      <c r="FK49" s="110"/>
      <c r="FL49" s="110"/>
      <c r="FM49" s="110"/>
      <c r="FN49" s="110"/>
    </row>
    <row r="50" spans="1:170" s="5" customFormat="1" ht="18" customHeight="1">
      <c r="A50" s="1808"/>
      <c r="B50" s="416">
        <v>164</v>
      </c>
      <c r="C50" s="493" t="str">
        <f>VLOOKUP(B50,Begriffe!$A$6:$E$442,Begriffe!$D$1+2)</f>
        <v>Ruhetage pro Woche</v>
      </c>
      <c r="D50" s="1146"/>
      <c r="E50" s="1132"/>
      <c r="F50" s="1132"/>
      <c r="G50" s="1132"/>
      <c r="H50" s="13"/>
      <c r="I50" s="178" t="s">
        <v>1189</v>
      </c>
      <c r="J50" s="173" t="s">
        <v>48</v>
      </c>
      <c r="K50" s="173"/>
      <c r="L50" s="1164"/>
      <c r="M50" s="984">
        <f>IF(L50&lt;&gt;"",L50,INDEX(Eingabedaten!$D$10:$FY$54,nutzid,MATCH(C50,Eingabedaten!$D$7:$FY$7,0)))</f>
        <v>0</v>
      </c>
      <c r="N50" s="1185"/>
      <c r="O50" s="931"/>
      <c r="P50" s="493">
        <v>0</v>
      </c>
      <c r="Q50" s="989">
        <v>1</v>
      </c>
      <c r="R50" s="493">
        <v>0</v>
      </c>
      <c r="S50" s="131"/>
      <c r="T50" s="303"/>
      <c r="U50" s="260"/>
      <c r="V50" s="36"/>
      <c r="W50" s="232"/>
      <c r="X50" s="304"/>
      <c r="Y50" s="36"/>
      <c r="Z50" s="232"/>
      <c r="AA50" s="232"/>
      <c r="AB50" s="85"/>
      <c r="AC50" s="260"/>
      <c r="AD50" s="260"/>
      <c r="AE50" s="85"/>
      <c r="AF50" s="85"/>
      <c r="AG50" s="85"/>
      <c r="AH50" s="85"/>
      <c r="AI50" s="85"/>
      <c r="AJ50" s="85"/>
      <c r="AK50" s="85"/>
      <c r="AL50" s="85"/>
      <c r="AM50" s="1"/>
      <c r="AN50" s="160"/>
      <c r="AO50" s="16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c r="CY50" s="110"/>
      <c r="CZ50" s="110"/>
      <c r="DA50" s="110"/>
      <c r="DB50" s="110"/>
      <c r="DC50" s="110"/>
      <c r="DD50" s="110"/>
      <c r="DE50" s="109"/>
      <c r="DF50" s="109"/>
      <c r="DG50" s="109"/>
      <c r="DH50" s="109"/>
      <c r="DI50" s="109"/>
      <c r="DJ50" s="109"/>
      <c r="DK50" s="109"/>
      <c r="DL50" s="109"/>
      <c r="DM50" s="109"/>
      <c r="DN50" s="109"/>
      <c r="DO50" s="109"/>
      <c r="DP50" s="109"/>
      <c r="DQ50" s="109"/>
      <c r="DR50" s="109"/>
      <c r="DS50" s="109"/>
      <c r="DT50" s="109"/>
      <c r="DU50" s="109"/>
      <c r="DV50" s="109"/>
      <c r="DW50" s="109"/>
      <c r="DX50" s="109"/>
      <c r="DY50" s="109"/>
      <c r="DZ50" s="109"/>
      <c r="EA50" s="109"/>
      <c r="EB50" s="109"/>
      <c r="EC50" s="109"/>
      <c r="ED50" s="109"/>
      <c r="EE50" s="110"/>
      <c r="EF50" s="110"/>
      <c r="EG50" s="110"/>
      <c r="EH50" s="110"/>
      <c r="EI50" s="110"/>
      <c r="EJ50" s="110"/>
      <c r="EK50" s="110"/>
      <c r="EL50" s="110"/>
      <c r="EM50" s="110"/>
      <c r="EN50" s="110"/>
      <c r="EO50" s="110"/>
      <c r="EP50" s="110"/>
      <c r="EQ50" s="110"/>
      <c r="ER50" s="110"/>
      <c r="ES50" s="110"/>
      <c r="ET50" s="110"/>
      <c r="EU50" s="110"/>
      <c r="EV50" s="110"/>
      <c r="EW50" s="110"/>
      <c r="EX50" s="110"/>
      <c r="EY50" s="110"/>
      <c r="EZ50" s="110"/>
      <c r="FA50" s="110"/>
      <c r="FB50" s="110"/>
      <c r="FC50" s="110"/>
      <c r="FD50" s="110"/>
      <c r="FE50" s="110"/>
      <c r="FF50" s="110"/>
      <c r="FG50" s="110"/>
      <c r="FH50" s="110"/>
      <c r="FI50" s="110"/>
      <c r="FJ50" s="110"/>
      <c r="FK50" s="110"/>
      <c r="FL50" s="110"/>
      <c r="FM50" s="110"/>
      <c r="FN50" s="110"/>
    </row>
    <row r="51" spans="1:170" s="5" customFormat="1" ht="18" customHeight="1">
      <c r="A51" s="1808"/>
      <c r="B51" s="416">
        <v>154</v>
      </c>
      <c r="C51" s="493" t="str">
        <f>VLOOKUP(B51,Begriffe!$A$6:$E$442,Begriffe!$D$1+2)</f>
        <v>Nutzungstage pro Jahr</v>
      </c>
      <c r="D51" s="1146"/>
      <c r="E51" s="1132"/>
      <c r="F51" s="1132"/>
      <c r="G51" s="1132"/>
      <c r="H51" s="13"/>
      <c r="I51" s="178" t="s">
        <v>1190</v>
      </c>
      <c r="J51" s="871" t="s">
        <v>48</v>
      </c>
      <c r="K51" s="871"/>
      <c r="L51" s="1166"/>
      <c r="M51" s="187">
        <f>365-52*M50</f>
        <v>365</v>
      </c>
      <c r="N51" s="1186"/>
      <c r="O51" s="931"/>
      <c r="P51" s="493">
        <v>1</v>
      </c>
      <c r="Q51" s="989">
        <v>1</v>
      </c>
      <c r="R51" s="493">
        <v>0</v>
      </c>
      <c r="S51" s="131"/>
      <c r="T51" s="303"/>
      <c r="U51" s="260"/>
      <c r="V51" s="36"/>
      <c r="W51" s="232"/>
      <c r="X51" s="304"/>
      <c r="Y51" s="36"/>
      <c r="Z51" s="232"/>
      <c r="AA51" s="232"/>
      <c r="AB51" s="85"/>
      <c r="AC51" s="260"/>
      <c r="AD51" s="260"/>
      <c r="AE51" s="85"/>
      <c r="AF51" s="85"/>
      <c r="AG51" s="85"/>
      <c r="AH51" s="85"/>
      <c r="AI51" s="85"/>
      <c r="AJ51" s="85"/>
      <c r="AK51" s="85"/>
      <c r="AL51" s="85"/>
      <c r="AM51" s="1"/>
      <c r="AN51" s="160"/>
      <c r="AO51" s="16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c r="CY51" s="110"/>
      <c r="CZ51" s="110"/>
      <c r="DA51" s="110"/>
      <c r="DB51" s="110"/>
      <c r="DC51" s="110"/>
      <c r="DD51" s="110"/>
      <c r="DE51" s="109"/>
      <c r="DF51" s="109"/>
      <c r="DG51" s="109"/>
      <c r="DH51" s="109"/>
      <c r="DI51" s="109"/>
      <c r="DJ51" s="109"/>
      <c r="DK51" s="109"/>
      <c r="DL51" s="109"/>
      <c r="DM51" s="109"/>
      <c r="DN51" s="109"/>
      <c r="DO51" s="109"/>
      <c r="DP51" s="109"/>
      <c r="DQ51" s="109"/>
      <c r="DR51" s="109"/>
      <c r="DS51" s="109"/>
      <c r="DT51" s="109"/>
      <c r="DU51" s="109"/>
      <c r="DV51" s="109"/>
      <c r="DW51" s="109"/>
      <c r="DX51" s="109"/>
      <c r="DY51" s="109"/>
      <c r="DZ51" s="109"/>
      <c r="EA51" s="109"/>
      <c r="EB51" s="109"/>
      <c r="EC51" s="109"/>
      <c r="ED51" s="109"/>
      <c r="EE51" s="110"/>
      <c r="EF51" s="110"/>
      <c r="EG51" s="110"/>
      <c r="EH51" s="110"/>
      <c r="EI51" s="110"/>
      <c r="EJ51" s="110"/>
      <c r="EK51" s="110"/>
      <c r="EL51" s="110"/>
      <c r="EM51" s="110"/>
      <c r="EN51" s="110"/>
      <c r="EO51" s="110"/>
      <c r="EP51" s="110"/>
      <c r="EQ51" s="110"/>
      <c r="ER51" s="110"/>
      <c r="ES51" s="110"/>
      <c r="ET51" s="110"/>
      <c r="EU51" s="110"/>
      <c r="EV51" s="110"/>
      <c r="EW51" s="110"/>
      <c r="EX51" s="110"/>
      <c r="EY51" s="110"/>
      <c r="EZ51" s="110"/>
      <c r="FA51" s="110"/>
      <c r="FB51" s="110"/>
      <c r="FC51" s="110"/>
      <c r="FD51" s="110"/>
      <c r="FE51" s="110"/>
      <c r="FF51" s="110"/>
      <c r="FG51" s="110"/>
      <c r="FH51" s="110"/>
      <c r="FI51" s="110"/>
      <c r="FJ51" s="110"/>
      <c r="FK51" s="110"/>
      <c r="FL51" s="110"/>
      <c r="FM51" s="110"/>
      <c r="FN51" s="110"/>
    </row>
    <row r="52" spans="1:170" s="5" customFormat="1" ht="18" customHeight="1">
      <c r="A52" s="1808"/>
      <c r="B52" s="416">
        <v>124</v>
      </c>
      <c r="C52" s="493" t="str">
        <f>VLOOKUP(B52,Begriffe!$A$6:$E$442,Begriffe!$D$1+2)</f>
        <v>Jahresgleichzeitigkeit</v>
      </c>
      <c r="D52" s="1146"/>
      <c r="E52" s="1132"/>
      <c r="F52" s="1132"/>
      <c r="G52" s="1132"/>
      <c r="H52" s="1106"/>
      <c r="I52" s="178" t="s">
        <v>1191</v>
      </c>
      <c r="J52" s="188" t="s">
        <v>18</v>
      </c>
      <c r="K52" s="188"/>
      <c r="L52" s="1165"/>
      <c r="M52" s="1187">
        <f>IF(L52&lt;&gt;"",L52,INDEX(Eingabedaten!$FL$10:$FQ$54,nutzid,MATCH(C52,Eingabedaten!$FL$7:$FQ$7,0)))</f>
        <v>0.7</v>
      </c>
      <c r="N52" s="183"/>
      <c r="O52" s="183"/>
      <c r="P52" s="493">
        <v>1</v>
      </c>
      <c r="Q52" s="989">
        <v>1</v>
      </c>
      <c r="R52" s="493">
        <v>0</v>
      </c>
      <c r="S52" s="131"/>
      <c r="T52" s="303"/>
      <c r="U52" s="260"/>
      <c r="V52" s="36"/>
      <c r="W52" s="232"/>
      <c r="X52" s="304"/>
      <c r="Y52" s="36"/>
      <c r="Z52" s="232"/>
      <c r="AA52" s="232"/>
      <c r="AB52" s="85"/>
      <c r="AC52" s="260"/>
      <c r="AD52" s="260"/>
      <c r="AE52" s="85"/>
      <c r="AF52" s="85"/>
      <c r="AG52" s="85"/>
      <c r="AH52" s="85"/>
      <c r="AI52" s="85"/>
      <c r="AJ52" s="85"/>
      <c r="AK52" s="85"/>
      <c r="AL52" s="85"/>
      <c r="AM52" s="1"/>
      <c r="AN52" s="160"/>
      <c r="AO52" s="16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c r="CY52" s="110"/>
      <c r="CZ52" s="110"/>
      <c r="DA52" s="110"/>
      <c r="DB52" s="110"/>
      <c r="DC52" s="110"/>
      <c r="DD52" s="110"/>
      <c r="DE52" s="109"/>
      <c r="DF52" s="109"/>
      <c r="DG52" s="109"/>
      <c r="DH52" s="109"/>
      <c r="DI52" s="109"/>
      <c r="DJ52" s="109"/>
      <c r="DK52" s="109"/>
      <c r="DL52" s="109"/>
      <c r="DM52" s="109"/>
      <c r="DN52" s="109"/>
      <c r="DO52" s="109"/>
      <c r="DP52" s="109"/>
      <c r="DQ52" s="109"/>
      <c r="DR52" s="109"/>
      <c r="DS52" s="109"/>
      <c r="DT52" s="109"/>
      <c r="DU52" s="109"/>
      <c r="DV52" s="109"/>
      <c r="DW52" s="109"/>
      <c r="DX52" s="109"/>
      <c r="DY52" s="109"/>
      <c r="DZ52" s="109"/>
      <c r="EA52" s="109"/>
      <c r="EB52" s="109"/>
      <c r="EC52" s="109"/>
      <c r="ED52" s="109"/>
      <c r="EE52" s="110"/>
      <c r="EF52" s="110"/>
      <c r="EG52" s="110"/>
      <c r="EH52" s="110"/>
      <c r="EI52" s="110"/>
      <c r="EJ52" s="110"/>
      <c r="EK52" s="110"/>
      <c r="EL52" s="110"/>
      <c r="EM52" s="110"/>
      <c r="EN52" s="110"/>
      <c r="EO52" s="110"/>
      <c r="EP52" s="110"/>
      <c r="EQ52" s="110"/>
      <c r="ER52" s="110"/>
      <c r="ES52" s="110"/>
      <c r="ET52" s="110"/>
      <c r="EU52" s="110"/>
      <c r="EV52" s="110"/>
      <c r="EW52" s="110"/>
      <c r="EX52" s="110"/>
      <c r="EY52" s="110"/>
      <c r="EZ52" s="110"/>
      <c r="FA52" s="110"/>
      <c r="FB52" s="110"/>
      <c r="FC52" s="110"/>
      <c r="FD52" s="110"/>
      <c r="FE52" s="110"/>
      <c r="FF52" s="110"/>
      <c r="FG52" s="110"/>
      <c r="FH52" s="110"/>
      <c r="FI52" s="110"/>
      <c r="FJ52" s="110"/>
      <c r="FK52" s="110"/>
      <c r="FL52" s="110"/>
      <c r="FM52" s="110"/>
      <c r="FN52" s="110"/>
    </row>
    <row r="53" spans="1:170" s="5" customFormat="1" ht="18" customHeight="1">
      <c r="A53" s="1808"/>
      <c r="B53" s="416">
        <v>174</v>
      </c>
      <c r="C53" s="493" t="str">
        <f>VLOOKUP(B53,Begriffe!$A$6:$E$442,Begriffe!$D$1+2)</f>
        <v>Volllaststunden pro Jahr</v>
      </c>
      <c r="D53" s="1146"/>
      <c r="E53" s="1132"/>
      <c r="F53" s="1132"/>
      <c r="G53" s="1132"/>
      <c r="H53" s="21"/>
      <c r="I53" s="178" t="s">
        <v>1192</v>
      </c>
      <c r="J53" s="188" t="s">
        <v>17</v>
      </c>
      <c r="K53" s="188"/>
      <c r="L53" s="1166"/>
      <c r="M53" s="1188">
        <f>ROUND(M49*M51*M52,-1)</f>
        <v>2890</v>
      </c>
      <c r="N53" s="931"/>
      <c r="O53" s="931"/>
      <c r="P53" s="493">
        <v>0</v>
      </c>
      <c r="Q53" s="989">
        <v>1</v>
      </c>
      <c r="R53" s="493">
        <v>0</v>
      </c>
      <c r="S53" s="131"/>
      <c r="T53" s="303"/>
      <c r="U53" s="260"/>
      <c r="V53" s="36"/>
      <c r="W53" s="232"/>
      <c r="X53" s="304"/>
      <c r="Y53" s="36"/>
      <c r="Z53" s="232"/>
      <c r="AA53" s="232"/>
      <c r="AB53" s="85"/>
      <c r="AC53" s="260"/>
      <c r="AD53" s="260"/>
      <c r="AE53" s="85"/>
      <c r="AF53" s="85"/>
      <c r="AG53" s="85"/>
      <c r="AH53" s="85"/>
      <c r="AI53" s="85"/>
      <c r="AJ53" s="85"/>
      <c r="AK53" s="85"/>
      <c r="AL53" s="85"/>
      <c r="AM53" s="1"/>
      <c r="AN53" s="160"/>
      <c r="AO53" s="16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c r="CY53" s="110"/>
      <c r="CZ53" s="110"/>
      <c r="DA53" s="110"/>
      <c r="DB53" s="110"/>
      <c r="DC53" s="110"/>
      <c r="DD53" s="110"/>
      <c r="DE53" s="109"/>
      <c r="DF53" s="109"/>
      <c r="DG53" s="109"/>
      <c r="DH53" s="109"/>
      <c r="DI53" s="109"/>
      <c r="DJ53" s="109"/>
      <c r="DK53" s="109"/>
      <c r="DL53" s="109"/>
      <c r="DM53" s="109"/>
      <c r="DN53" s="109"/>
      <c r="DO53" s="109"/>
      <c r="DP53" s="109"/>
      <c r="DQ53" s="109"/>
      <c r="DR53" s="109"/>
      <c r="DS53" s="109"/>
      <c r="DT53" s="109"/>
      <c r="DU53" s="109"/>
      <c r="DV53" s="109"/>
      <c r="DW53" s="109"/>
      <c r="DX53" s="109"/>
      <c r="DY53" s="109"/>
      <c r="DZ53" s="109"/>
      <c r="EA53" s="109"/>
      <c r="EB53" s="109"/>
      <c r="EC53" s="109"/>
      <c r="ED53" s="109"/>
      <c r="EE53" s="110"/>
      <c r="EF53" s="110"/>
      <c r="EG53" s="110"/>
      <c r="EH53" s="110"/>
      <c r="EI53" s="110"/>
      <c r="EJ53" s="110"/>
      <c r="EK53" s="110"/>
      <c r="EL53" s="110"/>
      <c r="EM53" s="110"/>
      <c r="EN53" s="110"/>
      <c r="EO53" s="110"/>
      <c r="EP53" s="110"/>
      <c r="EQ53" s="110"/>
      <c r="ER53" s="110"/>
      <c r="ES53" s="110"/>
      <c r="ET53" s="110"/>
      <c r="EU53" s="110"/>
      <c r="EV53" s="110"/>
      <c r="EW53" s="110"/>
      <c r="EX53" s="110"/>
      <c r="EY53" s="110"/>
      <c r="EZ53" s="110"/>
      <c r="FA53" s="110"/>
      <c r="FB53" s="110"/>
      <c r="FC53" s="110"/>
      <c r="FD53" s="110"/>
      <c r="FE53" s="110"/>
      <c r="FF53" s="110"/>
      <c r="FG53" s="110"/>
      <c r="FH53" s="110"/>
      <c r="FI53" s="110"/>
      <c r="FJ53" s="110"/>
      <c r="FK53" s="110"/>
      <c r="FL53" s="110"/>
      <c r="FM53" s="110"/>
      <c r="FN53" s="110"/>
    </row>
    <row r="54" spans="1:170" s="18" customFormat="1" ht="18" customHeight="1">
      <c r="A54" s="1808"/>
      <c r="B54" s="416">
        <v>156</v>
      </c>
      <c r="C54" s="493" t="str">
        <f>VLOOKUP(B54,Begriffe!$A$6:$E$442,Begriffe!$D$1+2)</f>
        <v>Personenfläche</v>
      </c>
      <c r="D54" s="177"/>
      <c r="E54" s="184"/>
      <c r="F54" s="184" t="str">
        <f>Begriffe!F316</f>
        <v>Nettogeschossfläche pro Person</v>
      </c>
      <c r="G54" s="184"/>
      <c r="H54" s="184"/>
      <c r="I54" s="209" t="s">
        <v>700</v>
      </c>
      <c r="J54" s="210" t="s">
        <v>822</v>
      </c>
      <c r="K54" s="188"/>
      <c r="L54" s="1164"/>
      <c r="M54" s="984">
        <f>IF(L54&lt;&gt;"",L54,INDEX(Eingabedaten!$D$10:$GE$54,nutzid,MATCH($C54,Eingabedaten!$D$7:$GE$7,0)))</f>
        <v>5</v>
      </c>
      <c r="N54" s="982"/>
      <c r="O54" s="982"/>
      <c r="P54" s="493">
        <v>1</v>
      </c>
      <c r="Q54" s="989">
        <v>1</v>
      </c>
      <c r="R54" s="493">
        <v>0</v>
      </c>
      <c r="S54" s="131"/>
      <c r="T54" s="300"/>
      <c r="U54" s="300"/>
      <c r="V54" s="310"/>
      <c r="W54" s="300"/>
      <c r="X54" s="300"/>
      <c r="Y54" s="310"/>
      <c r="Z54" s="300"/>
      <c r="AA54" s="300"/>
      <c r="AB54" s="85"/>
      <c r="AC54" s="260"/>
      <c r="AD54" s="260"/>
      <c r="AE54" s="130"/>
      <c r="AF54" s="130"/>
      <c r="AG54" s="130"/>
      <c r="AH54" s="130"/>
      <c r="AI54" s="130"/>
      <c r="AJ54" s="130"/>
      <c r="AK54" s="130"/>
      <c r="AL54" s="130"/>
      <c r="AM54" s="13"/>
      <c r="AN54" s="161"/>
      <c r="AO54" s="161"/>
      <c r="AR54" s="99"/>
      <c r="AS54" s="99"/>
      <c r="AT54" s="99"/>
      <c r="AU54" s="99"/>
      <c r="AV54" s="99"/>
      <c r="AW54" s="99"/>
      <c r="AX54" s="99"/>
      <c r="AY54" s="99"/>
      <c r="AZ54" s="99"/>
      <c r="BA54" s="99"/>
      <c r="BB54" s="99"/>
      <c r="BC54" s="99"/>
      <c r="BD54" s="99"/>
      <c r="BE54" s="99"/>
      <c r="BF54" s="99"/>
      <c r="BG54" s="99"/>
      <c r="BH54" s="99"/>
      <c r="BI54" s="99"/>
      <c r="BJ54" s="99"/>
      <c r="BK54" s="99"/>
      <c r="BL54" s="99"/>
      <c r="BM54" s="99"/>
      <c r="BN54" s="99"/>
      <c r="BO54" s="99"/>
      <c r="BP54" s="99"/>
      <c r="BQ54" s="99"/>
      <c r="BR54" s="99"/>
      <c r="BS54" s="99"/>
      <c r="BT54" s="99"/>
      <c r="BU54" s="99"/>
      <c r="BV54" s="99"/>
      <c r="BW54" s="99"/>
      <c r="BX54" s="99"/>
      <c r="BY54" s="99"/>
      <c r="BZ54" s="99"/>
      <c r="CA54" s="99"/>
      <c r="CB54" s="99"/>
      <c r="CC54" s="99"/>
      <c r="CD54" s="99"/>
      <c r="CE54" s="99"/>
      <c r="CF54" s="99"/>
      <c r="CG54" s="99"/>
      <c r="CH54" s="99"/>
      <c r="CI54" s="99"/>
      <c r="CJ54" s="99"/>
      <c r="CK54" s="99"/>
      <c r="CL54" s="99"/>
      <c r="CM54" s="99"/>
      <c r="CN54" s="99"/>
      <c r="CO54" s="99"/>
      <c r="CP54" s="99"/>
      <c r="CQ54" s="99"/>
      <c r="CR54" s="99"/>
      <c r="CS54" s="99"/>
      <c r="CT54" s="99"/>
      <c r="CU54" s="99"/>
      <c r="CV54" s="99"/>
      <c r="CW54" s="99"/>
      <c r="CX54" s="99"/>
      <c r="CY54" s="99"/>
      <c r="CZ54" s="99"/>
      <c r="DA54" s="99"/>
      <c r="DB54" s="99"/>
      <c r="DC54" s="99"/>
      <c r="DD54" s="99"/>
      <c r="DE54" s="96"/>
      <c r="DF54" s="96"/>
      <c r="DG54" s="96"/>
      <c r="DH54" s="96"/>
      <c r="DI54" s="96"/>
      <c r="DJ54" s="96"/>
      <c r="DK54" s="96"/>
      <c r="DL54" s="96"/>
      <c r="DM54" s="96"/>
      <c r="DN54" s="96"/>
      <c r="DO54" s="96"/>
      <c r="DP54" s="96"/>
      <c r="DQ54" s="96"/>
      <c r="DR54" s="96"/>
      <c r="DS54" s="96"/>
      <c r="DT54" s="96"/>
      <c r="DU54" s="96"/>
      <c r="DV54" s="96"/>
      <c r="DW54" s="96"/>
      <c r="DX54" s="96"/>
      <c r="DY54" s="96"/>
      <c r="DZ54" s="96"/>
      <c r="EA54" s="96"/>
      <c r="EB54" s="96"/>
      <c r="EC54" s="96"/>
      <c r="ED54" s="96"/>
      <c r="EE54" s="99"/>
      <c r="EF54" s="99"/>
      <c r="EG54" s="99"/>
      <c r="EH54" s="99"/>
      <c r="EI54" s="99"/>
      <c r="EJ54" s="99"/>
      <c r="EK54" s="99"/>
      <c r="EL54" s="99"/>
      <c r="EM54" s="99"/>
      <c r="EN54" s="99"/>
      <c r="EO54" s="99"/>
      <c r="EP54" s="99"/>
      <c r="EQ54" s="99"/>
      <c r="ER54" s="99"/>
      <c r="ES54" s="99"/>
      <c r="ET54" s="99"/>
      <c r="EU54" s="99"/>
      <c r="EV54" s="99"/>
      <c r="EW54" s="99"/>
      <c r="EX54" s="99"/>
      <c r="EY54" s="99"/>
      <c r="EZ54" s="99"/>
      <c r="FA54" s="99"/>
      <c r="FB54" s="99"/>
      <c r="FC54" s="99"/>
      <c r="FD54" s="99"/>
      <c r="FE54" s="99"/>
      <c r="FF54" s="99"/>
      <c r="FG54" s="99"/>
      <c r="FH54" s="99"/>
      <c r="FI54" s="99"/>
      <c r="FJ54" s="99"/>
      <c r="FK54" s="99"/>
      <c r="FL54" s="99"/>
      <c r="FM54" s="99"/>
      <c r="FN54" s="99"/>
    </row>
    <row r="55" spans="1:170" s="18" customFormat="1" ht="18" customHeight="1">
      <c r="A55" s="1808"/>
      <c r="B55" s="416">
        <v>101</v>
      </c>
      <c r="C55" s="493" t="str">
        <f>VLOOKUP(B55,Begriffe!$A$6:$E$442,Begriffe!$D$1+2)</f>
        <v>Aktivitätsgrad</v>
      </c>
      <c r="D55" s="177"/>
      <c r="E55" s="177"/>
      <c r="F55" s="21"/>
      <c r="G55" s="177"/>
      <c r="H55" s="21"/>
      <c r="I55" s="178" t="s">
        <v>13</v>
      </c>
      <c r="J55" s="188" t="s">
        <v>14</v>
      </c>
      <c r="K55" s="188"/>
      <c r="L55" s="1162"/>
      <c r="M55" s="931">
        <f>IF(L55&lt;&gt;"",L55,INDEX(Eingabedaten!$D$10:$GE$54,nutzid,MATCH($C55,Eingabedaten!$D$7:$GE$7,0)))</f>
        <v>1.2</v>
      </c>
      <c r="N55" s="931"/>
      <c r="O55" s="1024"/>
      <c r="P55" s="493">
        <v>0</v>
      </c>
      <c r="Q55" s="989">
        <v>1</v>
      </c>
      <c r="R55" s="493">
        <v>0</v>
      </c>
      <c r="S55" s="131"/>
      <c r="T55" s="298"/>
      <c r="U55" s="298"/>
      <c r="V55" s="150"/>
      <c r="W55" s="299"/>
      <c r="X55" s="299"/>
      <c r="Y55" s="150"/>
      <c r="Z55" s="299"/>
      <c r="AA55" s="299"/>
      <c r="AB55" s="131"/>
      <c r="AC55" s="298"/>
      <c r="AD55" s="298"/>
      <c r="AE55" s="131"/>
      <c r="AF55" s="131"/>
      <c r="AG55" s="131"/>
      <c r="AH55" s="131"/>
      <c r="AI55" s="131"/>
      <c r="AJ55" s="131"/>
      <c r="AK55" s="131"/>
      <c r="AL55" s="131"/>
      <c r="AM55" s="131"/>
      <c r="AN55" s="152"/>
      <c r="AO55" s="152"/>
      <c r="AP55" s="153"/>
      <c r="AQ55" s="153"/>
      <c r="AR55" s="95"/>
      <c r="AS55" s="95"/>
      <c r="AT55" s="95"/>
      <c r="AU55" s="95"/>
      <c r="AV55" s="95"/>
      <c r="AW55" s="95"/>
      <c r="AX55" s="95"/>
      <c r="AY55" s="95"/>
      <c r="AZ55" s="95"/>
      <c r="BA55" s="95"/>
      <c r="BB55" s="95"/>
      <c r="BC55" s="95"/>
      <c r="BD55" s="95"/>
      <c r="BE55" s="95"/>
      <c r="BF55" s="95"/>
      <c r="BG55" s="95"/>
      <c r="BH55" s="95"/>
      <c r="BI55" s="95"/>
      <c r="BJ55" s="95"/>
      <c r="BK55" s="95"/>
      <c r="BL55" s="95"/>
      <c r="BM55" s="95"/>
      <c r="BN55" s="95"/>
      <c r="BO55" s="95"/>
      <c r="BP55" s="95"/>
      <c r="BQ55" s="95"/>
      <c r="BR55" s="95"/>
      <c r="BS55" s="95"/>
      <c r="BT55" s="95"/>
      <c r="BU55" s="95"/>
      <c r="BV55" s="95"/>
      <c r="BW55" s="95"/>
      <c r="BX55" s="95"/>
      <c r="BY55" s="95"/>
      <c r="BZ55" s="95"/>
      <c r="CA55" s="95"/>
      <c r="CB55" s="95"/>
      <c r="CC55" s="95"/>
      <c r="CD55" s="95"/>
      <c r="CE55" s="95"/>
      <c r="CF55" s="95"/>
      <c r="CG55" s="95"/>
      <c r="CH55" s="95"/>
      <c r="CI55" s="95"/>
      <c r="CJ55" s="95"/>
      <c r="CK55" s="95"/>
      <c r="CL55" s="95"/>
      <c r="CM55" s="95"/>
      <c r="CN55" s="95"/>
      <c r="CO55" s="95"/>
      <c r="CP55" s="95"/>
      <c r="CQ55" s="95"/>
      <c r="CR55" s="95"/>
      <c r="CS55" s="95"/>
      <c r="CT55" s="95"/>
      <c r="CU55" s="95"/>
      <c r="CV55" s="96"/>
      <c r="CW55" s="96"/>
      <c r="CX55" s="96"/>
      <c r="CY55" s="96"/>
      <c r="CZ55" s="96"/>
      <c r="DA55" s="96"/>
      <c r="DB55" s="96"/>
      <c r="DC55" s="96"/>
      <c r="DD55" s="96"/>
      <c r="DE55" s="96"/>
      <c r="DF55" s="96"/>
      <c r="DG55" s="96"/>
      <c r="DH55" s="96"/>
      <c r="DI55" s="96"/>
      <c r="DJ55" s="96"/>
      <c r="DK55" s="96"/>
      <c r="DL55" s="96"/>
      <c r="DM55" s="96"/>
      <c r="DN55" s="96"/>
      <c r="DO55" s="96"/>
      <c r="DP55" s="96"/>
      <c r="DQ55" s="96"/>
      <c r="DR55" s="96"/>
      <c r="DS55" s="96"/>
      <c r="DT55" s="96"/>
      <c r="DU55" s="96"/>
      <c r="DV55" s="96"/>
      <c r="DW55" s="96"/>
      <c r="DX55" s="96"/>
      <c r="DY55" s="96"/>
      <c r="DZ55" s="96"/>
      <c r="EA55" s="96"/>
      <c r="EB55" s="96"/>
      <c r="EC55" s="96"/>
      <c r="ED55" s="96"/>
      <c r="EE55" s="99"/>
      <c r="EF55" s="99"/>
      <c r="EG55" s="99"/>
      <c r="EH55" s="99"/>
      <c r="EI55" s="99"/>
      <c r="EJ55" s="99"/>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row>
    <row r="56" spans="1:170" s="18" customFormat="1" ht="18" customHeight="1">
      <c r="A56" s="1808"/>
      <c r="B56" s="416">
        <v>178</v>
      </c>
      <c r="C56" s="1816" t="str">
        <f>VLOOKUP(B56,Begriffe!$A$6:$E$442,Begriffe!$D$1+2)</f>
        <v>Wärmedämmwert der Bekleidung</v>
      </c>
      <c r="D56" s="1816"/>
      <c r="E56" s="1816"/>
      <c r="F56" s="21" t="str">
        <f>Begriffe!$F$225</f>
        <v>Sommer</v>
      </c>
      <c r="G56" s="161"/>
      <c r="H56" s="13"/>
      <c r="I56" s="275" t="s">
        <v>216</v>
      </c>
      <c r="J56" s="173" t="s">
        <v>15</v>
      </c>
      <c r="K56" s="173"/>
      <c r="L56" s="1162"/>
      <c r="M56" s="931">
        <f>IF(L56&lt;&gt;"",L56,INDEX(Eingabedaten!$D$10:$GE$54,nutzid,MATCH($C56,Eingabedaten!$D$7:$GE$7,0)))</f>
        <v>0.5</v>
      </c>
      <c r="N56" s="931"/>
      <c r="O56" s="931"/>
      <c r="P56" s="493">
        <v>0</v>
      </c>
      <c r="Q56" s="989">
        <v>1</v>
      </c>
      <c r="R56" s="493">
        <v>0</v>
      </c>
      <c r="S56" s="131"/>
      <c r="T56" s="298"/>
      <c r="U56" s="298"/>
      <c r="V56" s="150"/>
      <c r="W56" s="299"/>
      <c r="X56" s="299"/>
      <c r="Y56" s="150"/>
      <c r="Z56" s="299"/>
      <c r="AA56" s="299"/>
      <c r="AB56" s="131"/>
      <c r="AC56" s="298"/>
      <c r="AD56" s="298"/>
      <c r="AE56" s="131"/>
      <c r="AF56" s="131"/>
      <c r="AG56" s="131"/>
      <c r="AH56" s="131"/>
      <c r="AI56" s="131"/>
      <c r="AJ56" s="131"/>
      <c r="AK56" s="131"/>
      <c r="AL56" s="131"/>
      <c r="AM56" s="131"/>
      <c r="AN56" s="152"/>
      <c r="AO56" s="152"/>
      <c r="AP56" s="153"/>
      <c r="AQ56" s="153"/>
      <c r="AR56" s="95"/>
      <c r="AS56" s="95"/>
      <c r="AT56" s="95"/>
      <c r="AU56" s="95"/>
      <c r="AV56" s="95"/>
      <c r="AW56" s="95"/>
      <c r="AX56" s="95"/>
      <c r="AY56" s="95"/>
      <c r="AZ56" s="95"/>
      <c r="BA56" s="95"/>
      <c r="BB56" s="95"/>
      <c r="BC56" s="95"/>
      <c r="BD56" s="95"/>
      <c r="BE56" s="95"/>
      <c r="BF56" s="95"/>
      <c r="BG56" s="95"/>
      <c r="BH56" s="95"/>
      <c r="BI56" s="95"/>
      <c r="BJ56" s="95"/>
      <c r="BK56" s="95"/>
      <c r="BL56" s="95"/>
      <c r="BM56" s="95"/>
      <c r="BN56" s="95"/>
      <c r="BO56" s="95"/>
      <c r="BP56" s="95"/>
      <c r="BQ56" s="95"/>
      <c r="BR56" s="95"/>
      <c r="BS56" s="95"/>
      <c r="BT56" s="95"/>
      <c r="BU56" s="95"/>
      <c r="BV56" s="95"/>
      <c r="BW56" s="95"/>
      <c r="BX56" s="95"/>
      <c r="BY56" s="95"/>
      <c r="BZ56" s="95"/>
      <c r="CA56" s="95"/>
      <c r="CB56" s="95"/>
      <c r="CC56" s="95"/>
      <c r="CD56" s="95"/>
      <c r="CE56" s="95"/>
      <c r="CF56" s="95"/>
      <c r="CG56" s="95"/>
      <c r="CH56" s="95"/>
      <c r="CI56" s="95"/>
      <c r="CJ56" s="95"/>
      <c r="CK56" s="95"/>
      <c r="CL56" s="95"/>
      <c r="CM56" s="95"/>
      <c r="CN56" s="95"/>
      <c r="CO56" s="95"/>
      <c r="CP56" s="95"/>
      <c r="CQ56" s="95"/>
      <c r="CR56" s="95"/>
      <c r="CS56" s="95"/>
      <c r="CT56" s="95"/>
      <c r="CU56" s="95"/>
      <c r="CV56" s="96"/>
      <c r="CW56" s="96"/>
      <c r="CX56" s="96"/>
      <c r="CY56" s="96"/>
      <c r="CZ56" s="96"/>
      <c r="DA56" s="96"/>
      <c r="DB56" s="96"/>
      <c r="DC56" s="96"/>
      <c r="DD56" s="96"/>
      <c r="DE56" s="96"/>
      <c r="DF56" s="96"/>
      <c r="DG56" s="96"/>
      <c r="DH56" s="96"/>
      <c r="DI56" s="96"/>
      <c r="DJ56" s="96"/>
      <c r="DK56" s="96"/>
      <c r="DL56" s="96"/>
      <c r="DM56" s="96"/>
      <c r="DN56" s="96"/>
      <c r="DO56" s="96"/>
      <c r="DP56" s="96"/>
      <c r="DQ56" s="96"/>
      <c r="DR56" s="96"/>
      <c r="DS56" s="96"/>
      <c r="DT56" s="96"/>
      <c r="DU56" s="96"/>
      <c r="DV56" s="96"/>
      <c r="DW56" s="96"/>
      <c r="DX56" s="96"/>
      <c r="DY56" s="96"/>
      <c r="DZ56" s="96"/>
      <c r="EA56" s="96"/>
      <c r="EB56" s="96"/>
      <c r="EC56" s="96"/>
      <c r="ED56" s="96"/>
      <c r="EE56" s="99"/>
      <c r="EF56" s="99"/>
      <c r="EG56" s="99"/>
      <c r="EH56" s="99"/>
      <c r="EI56" s="99"/>
      <c r="EJ56" s="99"/>
      <c r="EK56" s="99"/>
      <c r="EL56" s="99"/>
      <c r="EM56" s="99"/>
      <c r="EN56" s="99"/>
      <c r="EO56" s="99"/>
      <c r="EP56" s="99"/>
      <c r="EQ56" s="99"/>
      <c r="ER56" s="99"/>
      <c r="ES56" s="99"/>
      <c r="ET56" s="99"/>
      <c r="EU56" s="99"/>
      <c r="EV56" s="99"/>
      <c r="EW56" s="99"/>
      <c r="EX56" s="99"/>
      <c r="EY56" s="99"/>
      <c r="EZ56" s="99"/>
      <c r="FA56" s="99"/>
      <c r="FB56" s="99"/>
      <c r="FC56" s="99"/>
      <c r="FD56" s="99"/>
      <c r="FE56" s="99"/>
      <c r="FF56" s="99"/>
      <c r="FG56" s="99"/>
      <c r="FH56" s="99"/>
      <c r="FI56" s="99"/>
      <c r="FJ56" s="99"/>
      <c r="FK56" s="99"/>
      <c r="FL56" s="99"/>
      <c r="FM56" s="99"/>
      <c r="FN56" s="99"/>
    </row>
    <row r="57" spans="1:170" s="18" customFormat="1" ht="18" customHeight="1">
      <c r="A57" s="1808"/>
      <c r="B57" s="416"/>
      <c r="C57" s="13"/>
      <c r="D57" s="161"/>
      <c r="E57" s="161"/>
      <c r="F57" s="21" t="str">
        <f>Begriffe!$F$226</f>
        <v>Winter</v>
      </c>
      <c r="G57" s="161"/>
      <c r="H57" s="13"/>
      <c r="I57" s="275" t="s">
        <v>216</v>
      </c>
      <c r="J57" s="173" t="s">
        <v>15</v>
      </c>
      <c r="K57" s="173"/>
      <c r="L57" s="1162"/>
      <c r="M57" s="931">
        <f>IF(L57&lt;&gt;"",L57,INDEX(Eingabedaten!$D$10:$GE$54,nutzid,MATCH($C56,Eingabedaten!$D$7:$GE$7,0)+1))</f>
        <v>1</v>
      </c>
      <c r="N57" s="931"/>
      <c r="O57" s="931"/>
      <c r="P57" s="493">
        <v>0</v>
      </c>
      <c r="Q57" s="989">
        <v>1</v>
      </c>
      <c r="R57" s="493">
        <v>0</v>
      </c>
      <c r="S57" s="131"/>
      <c r="T57" s="298"/>
      <c r="U57" s="298"/>
      <c r="V57" s="150"/>
      <c r="W57" s="299"/>
      <c r="X57" s="299"/>
      <c r="Y57" s="150"/>
      <c r="Z57" s="299"/>
      <c r="AA57" s="299"/>
      <c r="AB57" s="131"/>
      <c r="AC57" s="298"/>
      <c r="AD57" s="298"/>
      <c r="AE57" s="131"/>
      <c r="AF57" s="131"/>
      <c r="AG57" s="131"/>
      <c r="AH57" s="131"/>
      <c r="AI57" s="131"/>
      <c r="AJ57" s="131"/>
      <c r="AK57" s="131"/>
      <c r="AL57" s="131"/>
      <c r="AM57" s="131"/>
      <c r="AN57" s="152"/>
      <c r="AO57" s="152"/>
      <c r="AP57" s="153"/>
      <c r="AQ57" s="153"/>
      <c r="AR57" s="95"/>
      <c r="AS57" s="95"/>
      <c r="AT57" s="95"/>
      <c r="AU57" s="95"/>
      <c r="AV57" s="95"/>
      <c r="AW57" s="95"/>
      <c r="AX57" s="95"/>
      <c r="AY57" s="95"/>
      <c r="AZ57" s="95"/>
      <c r="BA57" s="95"/>
      <c r="BB57" s="95"/>
      <c r="BC57" s="95"/>
      <c r="BD57" s="95"/>
      <c r="BE57" s="95"/>
      <c r="BF57" s="95"/>
      <c r="BG57" s="95"/>
      <c r="BH57" s="95"/>
      <c r="BI57" s="95"/>
      <c r="BJ57" s="95"/>
      <c r="BK57" s="95"/>
      <c r="BL57" s="95"/>
      <c r="BM57" s="95"/>
      <c r="BN57" s="95"/>
      <c r="BO57" s="95"/>
      <c r="BP57" s="95"/>
      <c r="BQ57" s="95"/>
      <c r="BR57" s="95"/>
      <c r="BS57" s="95"/>
      <c r="BT57" s="95"/>
      <c r="BU57" s="95"/>
      <c r="BV57" s="95"/>
      <c r="BW57" s="95"/>
      <c r="BX57" s="95"/>
      <c r="BY57" s="95"/>
      <c r="BZ57" s="95"/>
      <c r="CA57" s="95"/>
      <c r="CB57" s="95"/>
      <c r="CC57" s="95"/>
      <c r="CD57" s="95"/>
      <c r="CE57" s="95"/>
      <c r="CF57" s="95"/>
      <c r="CG57" s="95"/>
      <c r="CH57" s="95"/>
      <c r="CI57" s="95"/>
      <c r="CJ57" s="95"/>
      <c r="CK57" s="95"/>
      <c r="CL57" s="95"/>
      <c r="CM57" s="95"/>
      <c r="CN57" s="95"/>
      <c r="CO57" s="95"/>
      <c r="CP57" s="95"/>
      <c r="CQ57" s="95"/>
      <c r="CR57" s="95"/>
      <c r="CS57" s="95"/>
      <c r="CT57" s="95"/>
      <c r="CU57" s="95"/>
      <c r="CV57" s="96"/>
      <c r="CW57" s="96"/>
      <c r="CX57" s="96"/>
      <c r="CY57" s="96"/>
      <c r="CZ57" s="96"/>
      <c r="DA57" s="96"/>
      <c r="DB57" s="96"/>
      <c r="DC57" s="96"/>
      <c r="DD57" s="96"/>
      <c r="DE57" s="96"/>
      <c r="DF57" s="96"/>
      <c r="DG57" s="96"/>
      <c r="DH57" s="96"/>
      <c r="DI57" s="96"/>
      <c r="DJ57" s="96"/>
      <c r="DK57" s="96"/>
      <c r="DL57" s="96"/>
      <c r="DM57" s="96"/>
      <c r="DN57" s="96"/>
      <c r="DO57" s="96"/>
      <c r="DP57" s="96"/>
      <c r="DQ57" s="96"/>
      <c r="DR57" s="96"/>
      <c r="DS57" s="96"/>
      <c r="DT57" s="96"/>
      <c r="DU57" s="96"/>
      <c r="DV57" s="96"/>
      <c r="DW57" s="96"/>
      <c r="DX57" s="96"/>
      <c r="DY57" s="96"/>
      <c r="DZ57" s="96"/>
      <c r="EA57" s="96"/>
      <c r="EB57" s="96"/>
      <c r="EC57" s="96"/>
      <c r="ED57" s="96"/>
      <c r="EE57" s="99"/>
      <c r="EF57" s="99"/>
      <c r="EG57" s="99"/>
      <c r="EH57" s="99"/>
      <c r="EI57" s="99"/>
      <c r="EJ57" s="99"/>
      <c r="EK57" s="99"/>
      <c r="EL57" s="99"/>
      <c r="EM57" s="99"/>
      <c r="EN57" s="99"/>
      <c r="EO57" s="99"/>
      <c r="EP57" s="99"/>
      <c r="EQ57" s="99"/>
      <c r="ER57" s="99"/>
      <c r="ES57" s="99"/>
      <c r="ET57" s="99"/>
      <c r="EU57" s="99"/>
      <c r="EV57" s="99"/>
      <c r="EW57" s="99"/>
      <c r="EX57" s="99"/>
      <c r="EY57" s="99"/>
      <c r="EZ57" s="99"/>
      <c r="FA57" s="99"/>
      <c r="FB57" s="99"/>
      <c r="FC57" s="99"/>
      <c r="FD57" s="99"/>
      <c r="FE57" s="99"/>
      <c r="FF57" s="99"/>
      <c r="FG57" s="99"/>
      <c r="FH57" s="99"/>
      <c r="FI57" s="99"/>
      <c r="FJ57" s="99"/>
      <c r="FK57" s="99"/>
      <c r="FL57" s="99"/>
      <c r="FM57" s="99"/>
      <c r="FN57" s="99"/>
    </row>
    <row r="58" spans="1:170" s="18" customFormat="1" ht="18" customHeight="1">
      <c r="A58" s="1808"/>
      <c r="B58" s="416">
        <v>183</v>
      </c>
      <c r="C58" s="493" t="str">
        <f>VLOOKUP(B58,Begriffe!$A$6:$E$442,Begriffe!$D$1+2)</f>
        <v>Wärmeeintragsleistung Personen</v>
      </c>
      <c r="D58" s="177"/>
      <c r="E58" s="177"/>
      <c r="F58" s="1151" t="str">
        <f>Begriffe!$F$317</f>
        <v>bei</v>
      </c>
      <c r="G58" s="1150">
        <v>24</v>
      </c>
      <c r="H58" s="1106">
        <f>IF(M55="",0,ROUND(((0.865-(0.025*G58))*(M55*58*1.8)+35)*2,-1)/2)</f>
        <v>70</v>
      </c>
      <c r="I58" s="262" t="s">
        <v>897</v>
      </c>
      <c r="J58" s="188" t="s">
        <v>68</v>
      </c>
      <c r="K58" s="188"/>
      <c r="L58" s="1167"/>
      <c r="M58" s="183">
        <f>IF(OR($H58=0,M$54=0),0,ROUND($H58/M$54,1))</f>
        <v>14</v>
      </c>
      <c r="N58" s="183"/>
      <c r="O58" s="183"/>
      <c r="P58" s="493">
        <v>1</v>
      </c>
      <c r="Q58" s="989">
        <v>1</v>
      </c>
      <c r="R58" s="493">
        <v>1</v>
      </c>
      <c r="S58" s="494"/>
      <c r="T58" s="298"/>
      <c r="U58" s="298"/>
      <c r="V58" s="150"/>
      <c r="W58" s="299"/>
      <c r="X58" s="299"/>
      <c r="Y58" s="150"/>
      <c r="Z58" s="299"/>
      <c r="AA58" s="299"/>
      <c r="AB58" s="131"/>
      <c r="AC58" s="298"/>
      <c r="AD58" s="298"/>
      <c r="AE58" s="131"/>
      <c r="AF58" s="131"/>
      <c r="AG58" s="131"/>
      <c r="AH58" s="131"/>
      <c r="AI58" s="131"/>
      <c r="AJ58" s="131"/>
      <c r="AK58" s="131"/>
      <c r="AL58" s="131"/>
      <c r="AM58" s="131"/>
      <c r="AN58" s="152"/>
      <c r="AO58" s="152"/>
      <c r="AP58" s="153"/>
      <c r="AQ58" s="153"/>
      <c r="AR58" s="95"/>
      <c r="AS58" s="95"/>
      <c r="AT58" s="95"/>
      <c r="AU58" s="95"/>
      <c r="AV58" s="95"/>
      <c r="AW58" s="95"/>
      <c r="AX58" s="95"/>
      <c r="AY58" s="95"/>
      <c r="AZ58" s="95"/>
      <c r="BA58" s="95"/>
      <c r="BB58" s="95"/>
      <c r="BC58" s="95"/>
      <c r="BD58" s="95"/>
      <c r="BE58" s="95"/>
      <c r="BF58" s="95"/>
      <c r="BG58" s="95"/>
      <c r="BH58" s="95"/>
      <c r="BI58" s="95"/>
      <c r="BJ58" s="95"/>
      <c r="BK58" s="95"/>
      <c r="BL58" s="95"/>
      <c r="BM58" s="95"/>
      <c r="BN58" s="95"/>
      <c r="BO58" s="95"/>
      <c r="BP58" s="95"/>
      <c r="BQ58" s="95"/>
      <c r="BR58" s="95"/>
      <c r="BS58" s="95"/>
      <c r="BT58" s="95"/>
      <c r="BU58" s="95"/>
      <c r="BV58" s="95"/>
      <c r="BW58" s="95"/>
      <c r="BX58" s="95"/>
      <c r="BY58" s="95"/>
      <c r="BZ58" s="95"/>
      <c r="CA58" s="95"/>
      <c r="CB58" s="95"/>
      <c r="CC58" s="95"/>
      <c r="CD58" s="95"/>
      <c r="CE58" s="95"/>
      <c r="CF58" s="95"/>
      <c r="CG58" s="95"/>
      <c r="CH58" s="95"/>
      <c r="CI58" s="95"/>
      <c r="CJ58" s="95"/>
      <c r="CK58" s="95"/>
      <c r="CL58" s="95"/>
      <c r="CM58" s="95"/>
      <c r="CN58" s="95"/>
      <c r="CO58" s="95"/>
      <c r="CP58" s="95"/>
      <c r="CQ58" s="95"/>
      <c r="CR58" s="96"/>
      <c r="CS58" s="96"/>
      <c r="CT58" s="96"/>
      <c r="CU58" s="96"/>
      <c r="CV58" s="96"/>
      <c r="CW58" s="96"/>
      <c r="CX58" s="96"/>
      <c r="CY58" s="96"/>
      <c r="CZ58" s="96"/>
      <c r="DA58" s="96"/>
      <c r="DB58" s="96"/>
      <c r="DC58" s="96"/>
      <c r="DD58" s="96"/>
      <c r="DE58" s="96"/>
      <c r="DF58" s="96"/>
      <c r="DG58" s="96"/>
      <c r="DH58" s="96"/>
      <c r="DI58" s="96"/>
      <c r="DJ58" s="96"/>
      <c r="DK58" s="96"/>
      <c r="DL58" s="96"/>
      <c r="DM58" s="96"/>
      <c r="DN58" s="96"/>
      <c r="DO58" s="96"/>
      <c r="DP58" s="96"/>
      <c r="DQ58" s="96"/>
      <c r="DR58" s="96"/>
      <c r="DS58" s="96"/>
      <c r="DT58" s="96"/>
      <c r="DU58" s="96"/>
      <c r="DV58" s="96"/>
      <c r="DW58" s="96"/>
      <c r="DX58" s="96"/>
      <c r="DY58" s="96"/>
      <c r="DZ58" s="96"/>
      <c r="EA58" s="99"/>
      <c r="EB58" s="99"/>
      <c r="EC58" s="99"/>
      <c r="ED58" s="99"/>
      <c r="EE58" s="99"/>
      <c r="EF58" s="99"/>
      <c r="EG58" s="99"/>
      <c r="EH58" s="99"/>
      <c r="EI58" s="99"/>
      <c r="EJ58" s="99"/>
      <c r="EK58" s="99"/>
      <c r="EL58" s="99"/>
      <c r="EM58" s="99"/>
      <c r="EN58" s="99"/>
      <c r="EO58" s="99"/>
      <c r="EP58" s="99"/>
      <c r="EQ58" s="99"/>
      <c r="ER58" s="99"/>
      <c r="ES58" s="99"/>
      <c r="ET58" s="99"/>
      <c r="EU58" s="99"/>
      <c r="EV58" s="99"/>
      <c r="EW58" s="99"/>
      <c r="EX58" s="99"/>
      <c r="EY58" s="99"/>
      <c r="EZ58" s="99"/>
      <c r="FA58" s="99"/>
      <c r="FB58" s="99"/>
      <c r="FC58" s="99"/>
      <c r="FD58" s="99"/>
      <c r="FE58" s="99"/>
      <c r="FF58" s="99"/>
      <c r="FG58" s="99"/>
      <c r="FH58" s="99"/>
      <c r="FI58" s="99"/>
      <c r="FJ58" s="99"/>
      <c r="FK58" s="99"/>
      <c r="FL58" s="99"/>
      <c r="FM58" s="99"/>
      <c r="FN58" s="99"/>
    </row>
    <row r="59" spans="1:170" s="18" customFormat="1" ht="18" hidden="1" customHeight="1">
      <c r="A59" s="1808"/>
      <c r="B59" s="30"/>
      <c r="C59" s="932" t="s">
        <v>805</v>
      </c>
      <c r="D59" s="932"/>
      <c r="E59" s="932"/>
      <c r="F59" s="932"/>
      <c r="G59" s="932"/>
      <c r="H59" s="932"/>
      <c r="I59" s="1108" t="s">
        <v>806</v>
      </c>
      <c r="J59" s="934" t="s">
        <v>804</v>
      </c>
      <c r="K59" s="934"/>
      <c r="L59" s="1109"/>
      <c r="M59" s="1110">
        <f>$M58*$M$49</f>
        <v>158.19999999999999</v>
      </c>
      <c r="N59" s="1110">
        <f>$M58*$M$49</f>
        <v>158.19999999999999</v>
      </c>
      <c r="O59" s="1110">
        <f>$M58*$M$49</f>
        <v>158.19999999999999</v>
      </c>
      <c r="P59" s="493">
        <v>0</v>
      </c>
      <c r="Q59" s="989">
        <v>0</v>
      </c>
      <c r="R59" s="493">
        <v>1</v>
      </c>
      <c r="S59" s="494"/>
      <c r="T59" s="298"/>
      <c r="U59" s="298"/>
      <c r="V59" s="150"/>
      <c r="W59" s="299"/>
      <c r="X59" s="299"/>
      <c r="Y59" s="150"/>
      <c r="Z59" s="299"/>
      <c r="AA59" s="299"/>
      <c r="AB59" s="131"/>
      <c r="AC59" s="298"/>
      <c r="AD59" s="298"/>
      <c r="AE59" s="131"/>
      <c r="AF59" s="131"/>
      <c r="AG59" s="131"/>
      <c r="AH59" s="131"/>
      <c r="AI59" s="131"/>
      <c r="AJ59" s="131"/>
      <c r="AK59" s="131"/>
      <c r="AL59" s="131"/>
      <c r="AM59" s="131"/>
      <c r="AN59" s="152"/>
      <c r="AO59" s="152"/>
      <c r="AP59" s="153"/>
      <c r="AQ59" s="153"/>
      <c r="AR59" s="95"/>
      <c r="AS59" s="95"/>
      <c r="AT59" s="95"/>
      <c r="AU59" s="95"/>
      <c r="AV59" s="95"/>
      <c r="AW59" s="95"/>
      <c r="AX59" s="95"/>
      <c r="AY59" s="95"/>
      <c r="AZ59" s="95"/>
      <c r="BA59" s="95"/>
      <c r="BB59" s="95"/>
      <c r="BC59" s="95"/>
      <c r="BD59" s="95"/>
      <c r="BE59" s="95"/>
      <c r="BF59" s="95"/>
      <c r="BG59" s="95"/>
      <c r="BH59" s="95"/>
      <c r="BI59" s="95"/>
      <c r="BJ59" s="95"/>
      <c r="BK59" s="95"/>
      <c r="BL59" s="95"/>
      <c r="BM59" s="95"/>
      <c r="BN59" s="95"/>
      <c r="BO59" s="95"/>
      <c r="BP59" s="95"/>
      <c r="BQ59" s="95"/>
      <c r="BR59" s="95"/>
      <c r="BS59" s="95"/>
      <c r="BT59" s="95"/>
      <c r="BU59" s="95"/>
      <c r="BV59" s="95"/>
      <c r="BW59" s="95"/>
      <c r="BX59" s="95"/>
      <c r="BY59" s="95"/>
      <c r="BZ59" s="95"/>
      <c r="CA59" s="95"/>
      <c r="CB59" s="95"/>
      <c r="CC59" s="95"/>
      <c r="CD59" s="95"/>
      <c r="CE59" s="95"/>
      <c r="CF59" s="95"/>
      <c r="CG59" s="95"/>
      <c r="CH59" s="95"/>
      <c r="CI59" s="95"/>
      <c r="CJ59" s="95"/>
      <c r="CK59" s="95"/>
      <c r="CL59" s="95"/>
      <c r="CM59" s="95"/>
      <c r="CN59" s="95"/>
      <c r="CO59" s="95"/>
      <c r="CP59" s="95"/>
      <c r="CQ59" s="95"/>
      <c r="CR59" s="96"/>
      <c r="CS59" s="96"/>
      <c r="CT59" s="96"/>
      <c r="CU59" s="96"/>
      <c r="CV59" s="96"/>
      <c r="CW59" s="96"/>
      <c r="CX59" s="96"/>
      <c r="CY59" s="96"/>
      <c r="CZ59" s="96"/>
      <c r="DA59" s="96"/>
      <c r="DB59" s="96"/>
      <c r="DC59" s="96"/>
      <c r="DD59" s="96"/>
      <c r="DE59" s="96"/>
      <c r="DF59" s="96"/>
      <c r="DG59" s="96"/>
      <c r="DH59" s="96"/>
      <c r="DI59" s="96"/>
      <c r="DJ59" s="96"/>
      <c r="DK59" s="96"/>
      <c r="DL59" s="96"/>
      <c r="DM59" s="96"/>
      <c r="DN59" s="96"/>
      <c r="DO59" s="96"/>
      <c r="DP59" s="96"/>
      <c r="DQ59" s="96"/>
      <c r="DR59" s="96"/>
      <c r="DS59" s="96"/>
      <c r="DT59" s="96"/>
      <c r="DU59" s="96"/>
      <c r="DV59" s="96"/>
      <c r="DW59" s="96"/>
      <c r="DX59" s="96"/>
      <c r="DY59" s="96"/>
      <c r="DZ59" s="96"/>
      <c r="EA59" s="99"/>
      <c r="EB59" s="99"/>
      <c r="EC59" s="99"/>
      <c r="ED59" s="99"/>
      <c r="EE59" s="99"/>
      <c r="EF59" s="99"/>
      <c r="EG59" s="99"/>
      <c r="EH59" s="99"/>
      <c r="EI59" s="99"/>
      <c r="EJ59" s="99"/>
      <c r="EK59" s="99"/>
      <c r="EL59" s="99"/>
      <c r="EM59" s="99"/>
      <c r="EN59" s="99"/>
      <c r="EO59" s="99"/>
      <c r="EP59" s="99"/>
      <c r="EQ59" s="99"/>
      <c r="ER59" s="99"/>
      <c r="ES59" s="99"/>
      <c r="ET59" s="99"/>
      <c r="EU59" s="99"/>
      <c r="EV59" s="99"/>
      <c r="EW59" s="99"/>
      <c r="EX59" s="99"/>
      <c r="EY59" s="99"/>
      <c r="EZ59" s="99"/>
      <c r="FA59" s="99"/>
      <c r="FB59" s="99"/>
      <c r="FC59" s="99"/>
      <c r="FD59" s="99"/>
      <c r="FE59" s="99"/>
      <c r="FF59" s="99"/>
      <c r="FG59" s="99"/>
      <c r="FH59" s="99"/>
      <c r="FI59" s="99"/>
      <c r="FJ59" s="99"/>
      <c r="FK59" s="99"/>
      <c r="FL59" s="99"/>
      <c r="FM59" s="99"/>
      <c r="FN59" s="99"/>
    </row>
    <row r="60" spans="1:170" s="18" customFormat="1" ht="18" customHeight="1">
      <c r="A60" s="1808"/>
      <c r="B60" s="416">
        <v>116</v>
      </c>
      <c r="C60" s="493" t="str">
        <f>VLOOKUP(B60,Begriffe!$A$6:$E$442,Begriffe!$D$1+2)</f>
        <v>Feuchteproduktion Personen</v>
      </c>
      <c r="D60" s="177"/>
      <c r="E60" s="177"/>
      <c r="F60" s="1151" t="str">
        <f>Begriffe!$F$317</f>
        <v>bei</v>
      </c>
      <c r="G60" s="1150">
        <v>24</v>
      </c>
      <c r="H60" s="1107">
        <f>IF(OR(G60="",M54=""),0,IF(M54&gt;0,ROUND((10/7*(($M$55*58*1.8)-((0.865-(0.025*G60))*($M$55*58*1.8)+35)))*2,-1)/2,""))</f>
        <v>80</v>
      </c>
      <c r="I60" s="178" t="s">
        <v>923</v>
      </c>
      <c r="J60" s="272" t="s">
        <v>239</v>
      </c>
      <c r="K60" s="1179"/>
      <c r="L60" s="338"/>
      <c r="M60" s="273">
        <f>IF(OR($H60="",M$54=""),0,ROUND($H60/M$54*2,0)/2)</f>
        <v>16</v>
      </c>
      <c r="N60" s="183"/>
      <c r="O60" s="183"/>
      <c r="P60" s="493">
        <v>1</v>
      </c>
      <c r="Q60" s="989">
        <v>1</v>
      </c>
      <c r="R60" s="493">
        <v>0</v>
      </c>
      <c r="S60" s="494"/>
      <c r="T60" s="298"/>
      <c r="U60" s="298"/>
      <c r="V60" s="150"/>
      <c r="W60" s="299"/>
      <c r="X60" s="299"/>
      <c r="Y60" s="150"/>
      <c r="Z60" s="299"/>
      <c r="AA60" s="299"/>
      <c r="AB60" s="131"/>
      <c r="AC60" s="298"/>
      <c r="AD60" s="298"/>
      <c r="AE60" s="131"/>
      <c r="AF60" s="131"/>
      <c r="AG60" s="131"/>
      <c r="AH60" s="131"/>
      <c r="AI60" s="131"/>
      <c r="AJ60" s="131"/>
      <c r="AK60" s="131"/>
      <c r="AL60" s="131"/>
      <c r="AM60" s="131"/>
      <c r="AN60" s="152"/>
      <c r="AO60" s="152"/>
      <c r="AP60" s="153"/>
      <c r="AQ60" s="153"/>
      <c r="AR60" s="95"/>
      <c r="AS60" s="95"/>
      <c r="AT60" s="95"/>
      <c r="AU60" s="95"/>
      <c r="AV60" s="95"/>
      <c r="AW60" s="95"/>
      <c r="AX60" s="95"/>
      <c r="AY60" s="95"/>
      <c r="AZ60" s="95"/>
      <c r="BA60" s="95"/>
      <c r="BB60" s="95"/>
      <c r="BC60" s="95"/>
      <c r="BD60" s="95"/>
      <c r="BE60" s="95"/>
      <c r="BF60" s="95"/>
      <c r="BG60" s="95"/>
      <c r="BH60" s="95"/>
      <c r="BI60" s="95"/>
      <c r="BJ60" s="95"/>
      <c r="BK60" s="95"/>
      <c r="BL60" s="95"/>
      <c r="BM60" s="95"/>
      <c r="BN60" s="95"/>
      <c r="BO60" s="95"/>
      <c r="BP60" s="95"/>
      <c r="BQ60" s="95"/>
      <c r="BR60" s="95"/>
      <c r="BS60" s="95"/>
      <c r="BT60" s="95"/>
      <c r="BU60" s="95"/>
      <c r="BV60" s="95"/>
      <c r="BW60" s="95"/>
      <c r="BX60" s="95"/>
      <c r="BY60" s="95"/>
      <c r="BZ60" s="95"/>
      <c r="CA60" s="95"/>
      <c r="CB60" s="95"/>
      <c r="CC60" s="95"/>
      <c r="CD60" s="95"/>
      <c r="CE60" s="95"/>
      <c r="CF60" s="95"/>
      <c r="CG60" s="95"/>
      <c r="CH60" s="95"/>
      <c r="CI60" s="95"/>
      <c r="CJ60" s="95"/>
      <c r="CK60" s="95"/>
      <c r="CL60" s="95"/>
      <c r="CM60" s="95"/>
      <c r="CN60" s="95"/>
      <c r="CO60" s="95"/>
      <c r="CP60" s="95"/>
      <c r="CQ60" s="95"/>
      <c r="CR60" s="96"/>
      <c r="CS60" s="96"/>
      <c r="CT60" s="96"/>
      <c r="CU60" s="96"/>
      <c r="CV60" s="96"/>
      <c r="CW60" s="96"/>
      <c r="CX60" s="96"/>
      <c r="CY60" s="96"/>
      <c r="CZ60" s="96"/>
      <c r="DA60" s="96"/>
      <c r="DB60" s="96"/>
      <c r="DC60" s="96"/>
      <c r="DD60" s="96"/>
      <c r="DE60" s="96"/>
      <c r="DF60" s="96"/>
      <c r="DG60" s="96"/>
      <c r="DH60" s="96"/>
      <c r="DI60" s="96"/>
      <c r="DJ60" s="96"/>
      <c r="DK60" s="96"/>
      <c r="DL60" s="96"/>
      <c r="DM60" s="96"/>
      <c r="DN60" s="96"/>
      <c r="DO60" s="96"/>
      <c r="DP60" s="96"/>
      <c r="DQ60" s="96"/>
      <c r="DR60" s="96"/>
      <c r="DS60" s="96"/>
      <c r="DT60" s="96"/>
      <c r="DU60" s="96"/>
      <c r="DV60" s="96"/>
      <c r="DW60" s="96"/>
      <c r="DX60" s="96"/>
      <c r="DY60" s="96"/>
      <c r="DZ60" s="96"/>
      <c r="EA60" s="99"/>
      <c r="EB60" s="99"/>
      <c r="EC60" s="99"/>
      <c r="ED60" s="99"/>
      <c r="EE60" s="99"/>
      <c r="EF60" s="99"/>
      <c r="EG60" s="99"/>
      <c r="EH60" s="99"/>
      <c r="EI60" s="99"/>
      <c r="EJ60" s="99"/>
      <c r="EK60" s="99"/>
      <c r="EL60" s="99"/>
      <c r="EM60" s="99"/>
      <c r="EN60" s="99"/>
      <c r="EO60" s="99"/>
      <c r="EP60" s="99"/>
      <c r="EQ60" s="99"/>
      <c r="ER60" s="99"/>
      <c r="ES60" s="99"/>
      <c r="ET60" s="99"/>
      <c r="EU60" s="99"/>
      <c r="EV60" s="99"/>
      <c r="EW60" s="99"/>
      <c r="EX60" s="99"/>
      <c r="EY60" s="99"/>
      <c r="EZ60" s="99"/>
      <c r="FA60" s="99"/>
      <c r="FB60" s="99"/>
      <c r="FC60" s="99"/>
      <c r="FD60" s="99"/>
      <c r="FE60" s="99"/>
      <c r="FF60" s="99"/>
      <c r="FG60" s="99"/>
      <c r="FH60" s="99"/>
      <c r="FI60" s="99"/>
      <c r="FJ60" s="99"/>
      <c r="FK60" s="99"/>
      <c r="FL60" s="99"/>
      <c r="FM60" s="99"/>
      <c r="FN60" s="99"/>
    </row>
    <row r="61" spans="1:170" s="18" customFormat="1" ht="18" customHeight="1">
      <c r="A61" s="1808"/>
      <c r="B61" s="416">
        <v>117</v>
      </c>
      <c r="C61" s="21" t="str">
        <f>VLOOKUP(B61,Begriffe!$A$6:$E$442,Begriffe!$D$1+2)</f>
        <v>Feuchtequellen (ohne Personen)</v>
      </c>
      <c r="D61" s="21"/>
      <c r="E61" s="21"/>
      <c r="F61" s="21" t="str">
        <f>Begriffe!F318</f>
        <v>z.B. Pflanzen</v>
      </c>
      <c r="G61" s="21"/>
      <c r="H61" s="21"/>
      <c r="I61" s="178" t="s">
        <v>924</v>
      </c>
      <c r="J61" s="188" t="s">
        <v>239</v>
      </c>
      <c r="K61" s="188"/>
      <c r="L61" s="1168"/>
      <c r="M61" s="188">
        <f>IF(L61&lt;&gt;"",L61,INDEX(Eingabedaten!$D$10:$GE$54,nutzid,MATCH($C61,Eingabedaten!$D$7:$GE$7,0)))</f>
        <v>0.5</v>
      </c>
      <c r="N61" s="931"/>
      <c r="O61" s="931"/>
      <c r="P61" s="493">
        <v>0</v>
      </c>
      <c r="Q61" s="989">
        <v>1</v>
      </c>
      <c r="R61" s="493">
        <v>0</v>
      </c>
      <c r="S61" s="494"/>
      <c r="T61" s="298"/>
      <c r="U61" s="298"/>
      <c r="V61" s="150"/>
      <c r="W61" s="299"/>
      <c r="X61" s="299"/>
      <c r="Y61" s="150"/>
      <c r="Z61" s="299"/>
      <c r="AA61" s="299"/>
      <c r="AB61" s="131"/>
      <c r="AC61" s="298"/>
      <c r="AD61" s="298"/>
      <c r="AE61" s="131"/>
      <c r="AF61" s="131"/>
      <c r="AG61" s="131"/>
      <c r="AH61" s="131"/>
      <c r="AI61" s="131"/>
      <c r="AJ61" s="131"/>
      <c r="AK61" s="131"/>
      <c r="AL61" s="131"/>
      <c r="AM61" s="131"/>
      <c r="AN61" s="152"/>
      <c r="AO61" s="152"/>
      <c r="AP61" s="153"/>
      <c r="AQ61" s="153"/>
      <c r="AR61" s="95"/>
      <c r="AS61" s="95"/>
      <c r="AT61" s="95"/>
      <c r="AU61" s="95"/>
      <c r="AV61" s="95"/>
      <c r="AW61" s="95"/>
      <c r="AX61" s="95"/>
      <c r="AY61" s="95"/>
      <c r="AZ61" s="95"/>
      <c r="BA61" s="95"/>
      <c r="BB61" s="95"/>
      <c r="BC61" s="95"/>
      <c r="BD61" s="95"/>
      <c r="BE61" s="95"/>
      <c r="BF61" s="95"/>
      <c r="BG61" s="95"/>
      <c r="BH61" s="95"/>
      <c r="BI61" s="95"/>
      <c r="BJ61" s="95"/>
      <c r="BK61" s="95"/>
      <c r="BL61" s="95"/>
      <c r="BM61" s="95"/>
      <c r="BN61" s="95"/>
      <c r="BO61" s="95"/>
      <c r="BP61" s="95"/>
      <c r="BQ61" s="95"/>
      <c r="BR61" s="95"/>
      <c r="BS61" s="95"/>
      <c r="BT61" s="95"/>
      <c r="BU61" s="95"/>
      <c r="BV61" s="95"/>
      <c r="BW61" s="95"/>
      <c r="BX61" s="95"/>
      <c r="BY61" s="95"/>
      <c r="BZ61" s="95"/>
      <c r="CA61" s="95"/>
      <c r="CB61" s="95"/>
      <c r="CC61" s="95"/>
      <c r="CD61" s="95"/>
      <c r="CE61" s="95"/>
      <c r="CF61" s="95"/>
      <c r="CG61" s="95"/>
      <c r="CH61" s="95"/>
      <c r="CI61" s="95"/>
      <c r="CJ61" s="95"/>
      <c r="CK61" s="95"/>
      <c r="CL61" s="95"/>
      <c r="CM61" s="95"/>
      <c r="CN61" s="95"/>
      <c r="CO61" s="95"/>
      <c r="CP61" s="95"/>
      <c r="CQ61" s="95"/>
      <c r="CR61" s="96"/>
      <c r="CS61" s="96"/>
      <c r="CT61" s="96"/>
      <c r="CU61" s="96"/>
      <c r="CV61" s="96"/>
      <c r="CW61" s="96"/>
      <c r="CX61" s="96"/>
      <c r="CY61" s="96"/>
      <c r="CZ61" s="96"/>
      <c r="DA61" s="96"/>
      <c r="DB61" s="96"/>
      <c r="DC61" s="96"/>
      <c r="DD61" s="96"/>
      <c r="DE61" s="96"/>
      <c r="DF61" s="96"/>
      <c r="DG61" s="96"/>
      <c r="DH61" s="96"/>
      <c r="DI61" s="96"/>
      <c r="DJ61" s="96"/>
      <c r="DK61" s="96"/>
      <c r="DL61" s="96"/>
      <c r="DM61" s="96"/>
      <c r="DN61" s="96"/>
      <c r="DO61" s="96"/>
      <c r="DP61" s="96"/>
      <c r="DQ61" s="96"/>
      <c r="DR61" s="96"/>
      <c r="DS61" s="96"/>
      <c r="DT61" s="96"/>
      <c r="DU61" s="96"/>
      <c r="DV61" s="96"/>
      <c r="DW61" s="96"/>
      <c r="DX61" s="96"/>
      <c r="DY61" s="96"/>
      <c r="DZ61" s="96"/>
      <c r="EA61" s="99"/>
      <c r="EB61" s="99"/>
      <c r="EC61" s="99"/>
      <c r="ED61" s="99"/>
      <c r="EE61" s="99"/>
      <c r="EF61" s="99"/>
      <c r="EG61" s="99"/>
      <c r="EH61" s="99"/>
      <c r="EI61" s="99"/>
      <c r="EJ61" s="99"/>
      <c r="EK61" s="99"/>
      <c r="EL61" s="99"/>
      <c r="EM61" s="99"/>
      <c r="EN61" s="99"/>
      <c r="EO61" s="99"/>
      <c r="EP61" s="99"/>
      <c r="EQ61" s="99"/>
      <c r="ER61" s="99"/>
      <c r="ES61" s="99"/>
      <c r="ET61" s="99"/>
      <c r="EU61" s="99"/>
      <c r="EV61" s="99"/>
      <c r="EW61" s="99"/>
      <c r="EX61" s="99"/>
      <c r="EY61" s="99"/>
      <c r="EZ61" s="99"/>
      <c r="FA61" s="99"/>
      <c r="FB61" s="99"/>
      <c r="FC61" s="99"/>
      <c r="FD61" s="99"/>
      <c r="FE61" s="99"/>
      <c r="FF61" s="99"/>
      <c r="FG61" s="99"/>
      <c r="FH61" s="99"/>
      <c r="FI61" s="99"/>
      <c r="FJ61" s="99"/>
      <c r="FK61" s="99"/>
      <c r="FL61" s="99"/>
      <c r="FM61" s="99"/>
      <c r="FN61" s="99"/>
    </row>
    <row r="62" spans="1:170" s="12" customFormat="1" ht="2.1" customHeight="1">
      <c r="A62" s="198"/>
      <c r="B62" s="1142"/>
      <c r="C62" s="200"/>
      <c r="D62" s="200"/>
      <c r="E62" s="200"/>
      <c r="F62" s="200"/>
      <c r="G62" s="200"/>
      <c r="H62" s="200"/>
      <c r="I62" s="201"/>
      <c r="J62" s="201"/>
      <c r="K62" s="201"/>
      <c r="L62" s="201"/>
      <c r="M62" s="201"/>
      <c r="N62" s="997"/>
      <c r="O62" s="997"/>
      <c r="P62" s="493">
        <v>0</v>
      </c>
      <c r="Q62" s="989">
        <v>1</v>
      </c>
      <c r="R62" s="493">
        <v>0</v>
      </c>
      <c r="S62" s="82"/>
      <c r="T62" s="301"/>
      <c r="U62" s="301"/>
      <c r="V62" s="311"/>
      <c r="W62" s="301"/>
      <c r="X62" s="301"/>
      <c r="Y62" s="311"/>
      <c r="Z62" s="301"/>
      <c r="AA62" s="301"/>
      <c r="AB62" s="311"/>
      <c r="AC62" s="301"/>
      <c r="AD62" s="301"/>
      <c r="AM62" s="82"/>
      <c r="AN62" s="156"/>
      <c r="AO62" s="156"/>
      <c r="AP62" s="157"/>
      <c r="AQ62" s="157"/>
      <c r="AR62" s="106"/>
      <c r="AS62" s="106"/>
      <c r="AT62" s="106"/>
      <c r="AU62" s="106"/>
      <c r="AV62" s="106"/>
      <c r="AW62" s="106"/>
      <c r="AX62" s="106"/>
      <c r="AY62" s="106"/>
      <c r="AZ62" s="106"/>
      <c r="BA62" s="106"/>
      <c r="BB62" s="106"/>
      <c r="BC62" s="106"/>
      <c r="BD62" s="106"/>
      <c r="BE62" s="106"/>
      <c r="BF62" s="106"/>
      <c r="BG62" s="106"/>
      <c r="BH62" s="106"/>
      <c r="BI62" s="106"/>
      <c r="BJ62" s="106"/>
      <c r="BK62" s="106"/>
      <c r="BL62" s="106"/>
      <c r="BM62" s="106"/>
      <c r="BN62" s="106"/>
      <c r="BO62" s="106"/>
      <c r="BP62" s="106"/>
      <c r="BQ62" s="106"/>
      <c r="BR62" s="106"/>
      <c r="BS62" s="106"/>
      <c r="BT62" s="106"/>
      <c r="BU62" s="106"/>
      <c r="BV62" s="106"/>
      <c r="BW62" s="106"/>
      <c r="BX62" s="106"/>
      <c r="BY62" s="106"/>
      <c r="BZ62" s="106"/>
      <c r="CA62" s="106"/>
      <c r="CB62" s="106"/>
      <c r="CC62" s="106"/>
      <c r="CD62" s="106"/>
      <c r="CE62" s="106"/>
      <c r="CF62" s="106"/>
      <c r="CG62" s="106"/>
      <c r="CH62" s="106"/>
      <c r="CI62" s="106"/>
      <c r="CJ62" s="106"/>
      <c r="CK62" s="106"/>
      <c r="CL62" s="106"/>
      <c r="CM62" s="106"/>
      <c r="CN62" s="106"/>
      <c r="CO62" s="106"/>
      <c r="CP62" s="106"/>
      <c r="CQ62" s="106"/>
      <c r="CR62" s="106"/>
      <c r="CS62" s="106"/>
      <c r="CT62" s="106"/>
      <c r="CU62" s="106"/>
      <c r="CV62" s="107"/>
      <c r="CW62" s="107"/>
      <c r="CX62" s="107"/>
      <c r="CY62" s="107"/>
      <c r="CZ62" s="107"/>
      <c r="DA62" s="107"/>
      <c r="DB62" s="107"/>
      <c r="DC62" s="107"/>
      <c r="DD62" s="107"/>
      <c r="DE62" s="107"/>
      <c r="DF62" s="107"/>
      <c r="DG62" s="107"/>
      <c r="DH62" s="107"/>
      <c r="DI62" s="107"/>
      <c r="DJ62" s="107"/>
      <c r="DK62" s="107"/>
      <c r="DL62" s="107"/>
      <c r="DM62" s="107"/>
      <c r="DN62" s="107"/>
      <c r="DO62" s="107"/>
      <c r="DP62" s="107"/>
      <c r="DQ62" s="107"/>
      <c r="DR62" s="107"/>
      <c r="DS62" s="107"/>
      <c r="DT62" s="107"/>
      <c r="DU62" s="107"/>
      <c r="DV62" s="107"/>
      <c r="DW62" s="107"/>
      <c r="DX62" s="107"/>
      <c r="DY62" s="107"/>
      <c r="DZ62" s="107"/>
      <c r="EA62" s="107"/>
      <c r="EB62" s="107"/>
      <c r="EC62" s="107"/>
      <c r="ED62" s="107"/>
      <c r="EE62" s="105"/>
      <c r="EF62" s="105"/>
      <c r="EG62" s="105"/>
      <c r="EH62" s="105"/>
      <c r="EI62" s="105"/>
      <c r="EJ62" s="105"/>
      <c r="EK62" s="105"/>
      <c r="EL62" s="105"/>
      <c r="EM62" s="105"/>
      <c r="EN62" s="105"/>
      <c r="EO62" s="105"/>
      <c r="EP62" s="105"/>
      <c r="EQ62" s="105"/>
      <c r="ER62" s="105"/>
      <c r="ES62" s="105"/>
      <c r="ET62" s="105"/>
      <c r="EU62" s="105"/>
      <c r="EV62" s="105"/>
      <c r="EW62" s="105"/>
      <c r="EX62" s="105"/>
      <c r="EY62" s="105"/>
      <c r="EZ62" s="105"/>
      <c r="FA62" s="105"/>
      <c r="FB62" s="105"/>
      <c r="FC62" s="105"/>
      <c r="FD62" s="105"/>
      <c r="FE62" s="105"/>
      <c r="FF62" s="105"/>
      <c r="FG62" s="105"/>
      <c r="FH62" s="105"/>
      <c r="FI62" s="105"/>
      <c r="FJ62" s="105"/>
      <c r="FK62" s="105"/>
      <c r="FL62" s="105"/>
      <c r="FM62" s="105"/>
      <c r="FN62" s="105"/>
    </row>
    <row r="63" spans="1:170" s="5" customFormat="1" ht="18" customHeight="1">
      <c r="A63" s="1808" t="str">
        <f>Begriffe!F202</f>
        <v>Geräte</v>
      </c>
      <c r="B63" s="416"/>
      <c r="C63" s="1812" t="str">
        <f>Begriffe!F24</f>
        <v>Geräteprofil</v>
      </c>
      <c r="D63" s="1"/>
      <c r="E63" s="329"/>
      <c r="F63" s="329"/>
      <c r="G63" s="1"/>
      <c r="H63" s="330"/>
      <c r="I63" s="339"/>
      <c r="J63" s="340"/>
      <c r="K63" s="340"/>
      <c r="L63" s="340"/>
      <c r="M63" s="341"/>
      <c r="N63" s="340"/>
      <c r="O63" s="270"/>
      <c r="P63" s="990">
        <v>0</v>
      </c>
      <c r="Q63" s="995">
        <v>1</v>
      </c>
      <c r="R63" s="990">
        <v>0</v>
      </c>
      <c r="S63" s="36"/>
      <c r="T63" s="302"/>
      <c r="U63" s="302"/>
      <c r="V63" s="312"/>
      <c r="W63" s="302"/>
      <c r="X63" s="302"/>
      <c r="Y63" s="312"/>
      <c r="Z63" s="302"/>
      <c r="AA63" s="302"/>
      <c r="AB63" s="312"/>
      <c r="AC63" s="302"/>
      <c r="AD63" s="302"/>
      <c r="AM63" s="1"/>
      <c r="AN63" s="160"/>
      <c r="AO63" s="16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c r="CY63" s="110"/>
      <c r="CZ63" s="110"/>
      <c r="DA63" s="110"/>
      <c r="DB63" s="110"/>
      <c r="DC63" s="110"/>
      <c r="DD63" s="110"/>
      <c r="DE63" s="109"/>
      <c r="DF63" s="109"/>
      <c r="DG63" s="109"/>
      <c r="DH63" s="109"/>
      <c r="DI63" s="109"/>
      <c r="DJ63" s="109"/>
      <c r="DK63" s="109"/>
      <c r="DL63" s="109"/>
      <c r="DM63" s="109"/>
      <c r="DN63" s="109"/>
      <c r="DO63" s="109"/>
      <c r="DP63" s="109"/>
      <c r="DQ63" s="109"/>
      <c r="DR63" s="109"/>
      <c r="DS63" s="109"/>
      <c r="DT63" s="109"/>
      <c r="DU63" s="109"/>
      <c r="DV63" s="109"/>
      <c r="DW63" s="109"/>
      <c r="DX63" s="109"/>
      <c r="DY63" s="109"/>
      <c r="DZ63" s="109"/>
      <c r="EA63" s="109"/>
      <c r="EB63" s="109"/>
      <c r="EC63" s="109"/>
      <c r="ED63" s="109"/>
      <c r="EE63" s="110"/>
      <c r="EF63" s="110"/>
      <c r="EG63" s="110"/>
      <c r="EH63" s="110"/>
      <c r="EI63" s="110"/>
      <c r="EJ63" s="110"/>
      <c r="EK63" s="110"/>
      <c r="EL63" s="110"/>
      <c r="EM63" s="110"/>
      <c r="EN63" s="110"/>
      <c r="EO63" s="110"/>
      <c r="EP63" s="110"/>
      <c r="EQ63" s="110"/>
      <c r="ER63" s="110"/>
      <c r="ES63" s="110"/>
      <c r="ET63" s="110"/>
      <c r="EU63" s="110"/>
      <c r="EV63" s="110"/>
      <c r="EW63" s="110"/>
      <c r="EX63" s="110"/>
      <c r="EY63" s="110"/>
      <c r="EZ63" s="110"/>
      <c r="FA63" s="110"/>
      <c r="FB63" s="110"/>
      <c r="FC63" s="110"/>
      <c r="FD63" s="110"/>
      <c r="FE63" s="110"/>
      <c r="FF63" s="110"/>
      <c r="FG63" s="110"/>
      <c r="FH63" s="110"/>
      <c r="FI63" s="110"/>
      <c r="FJ63" s="110"/>
      <c r="FK63" s="110"/>
      <c r="FL63" s="110"/>
      <c r="FM63" s="110"/>
      <c r="FN63" s="110"/>
    </row>
    <row r="64" spans="1:170" s="5" customFormat="1" ht="18" customHeight="1">
      <c r="A64" s="1808"/>
      <c r="B64" s="416"/>
      <c r="C64" s="1813"/>
      <c r="D64" s="1"/>
      <c r="E64" s="329"/>
      <c r="F64" s="329"/>
      <c r="G64" s="1"/>
      <c r="H64" s="330"/>
      <c r="I64" s="339"/>
      <c r="J64" s="340"/>
      <c r="K64" s="340"/>
      <c r="L64" s="340"/>
      <c r="M64" s="341"/>
      <c r="N64" s="340"/>
      <c r="O64" s="270"/>
      <c r="P64" s="990">
        <v>0</v>
      </c>
      <c r="Q64" s="995">
        <v>1</v>
      </c>
      <c r="R64" s="990">
        <v>0</v>
      </c>
      <c r="S64" s="36"/>
      <c r="T64" s="302"/>
      <c r="U64" s="302"/>
      <c r="V64" s="312"/>
      <c r="W64" s="302"/>
      <c r="X64" s="302"/>
      <c r="Y64" s="312"/>
      <c r="Z64" s="302"/>
      <c r="AA64" s="302"/>
      <c r="AB64" s="312"/>
      <c r="AC64" s="302"/>
      <c r="AD64" s="302"/>
      <c r="AM64" s="1"/>
      <c r="AN64" s="160"/>
      <c r="AO64" s="16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c r="CY64" s="110"/>
      <c r="CZ64" s="110"/>
      <c r="DA64" s="110"/>
      <c r="DB64" s="110"/>
      <c r="DC64" s="110"/>
      <c r="DD64" s="110"/>
      <c r="DE64" s="109"/>
      <c r="DF64" s="109"/>
      <c r="DG64" s="109"/>
      <c r="DH64" s="109"/>
      <c r="DI64" s="109"/>
      <c r="DJ64" s="109"/>
      <c r="DK64" s="109"/>
      <c r="DL64" s="109"/>
      <c r="DM64" s="109"/>
      <c r="DN64" s="109"/>
      <c r="DO64" s="109"/>
      <c r="DP64" s="109"/>
      <c r="DQ64" s="109"/>
      <c r="DR64" s="109"/>
      <c r="DS64" s="109"/>
      <c r="DT64" s="109"/>
      <c r="DU64" s="109"/>
      <c r="DV64" s="109"/>
      <c r="DW64" s="109"/>
      <c r="DX64" s="109"/>
      <c r="DY64" s="109"/>
      <c r="DZ64" s="109"/>
      <c r="EA64" s="109"/>
      <c r="EB64" s="109"/>
      <c r="EC64" s="109"/>
      <c r="ED64" s="109"/>
      <c r="EE64" s="110"/>
      <c r="EF64" s="110"/>
      <c r="EG64" s="110"/>
      <c r="EH64" s="110"/>
      <c r="EI64" s="110"/>
      <c r="EJ64" s="110"/>
      <c r="EK64" s="110"/>
      <c r="EL64" s="110"/>
      <c r="EM64" s="110"/>
      <c r="EN64" s="110"/>
      <c r="EO64" s="110"/>
      <c r="EP64" s="110"/>
      <c r="EQ64" s="110"/>
      <c r="ER64" s="110"/>
      <c r="ES64" s="110"/>
      <c r="ET64" s="110"/>
      <c r="EU64" s="110"/>
      <c r="EV64" s="110"/>
      <c r="EW64" s="110"/>
      <c r="EX64" s="110"/>
      <c r="EY64" s="110"/>
      <c r="EZ64" s="110"/>
      <c r="FA64" s="110"/>
      <c r="FB64" s="110"/>
      <c r="FC64" s="110"/>
      <c r="FD64" s="110"/>
      <c r="FE64" s="110"/>
      <c r="FF64" s="110"/>
      <c r="FG64" s="110"/>
      <c r="FH64" s="110"/>
      <c r="FI64" s="110"/>
      <c r="FJ64" s="110"/>
      <c r="FK64" s="110"/>
      <c r="FL64" s="110"/>
      <c r="FM64" s="110"/>
      <c r="FN64" s="110"/>
    </row>
    <row r="65" spans="1:170" s="5" customFormat="1" ht="18" customHeight="1">
      <c r="A65" s="1808"/>
      <c r="B65" s="416"/>
      <c r="C65" s="1813"/>
      <c r="D65" s="1"/>
      <c r="E65" s="329"/>
      <c r="F65" s="329"/>
      <c r="G65" s="1"/>
      <c r="H65" s="330"/>
      <c r="I65" s="339"/>
      <c r="J65" s="340"/>
      <c r="K65" s="340"/>
      <c r="L65" s="340"/>
      <c r="M65" s="341"/>
      <c r="N65" s="340"/>
      <c r="O65" s="270"/>
      <c r="P65" s="990">
        <v>0</v>
      </c>
      <c r="Q65" s="995">
        <v>1</v>
      </c>
      <c r="R65" s="990">
        <v>0</v>
      </c>
      <c r="S65" s="36"/>
      <c r="T65" s="260"/>
      <c r="U65" s="260"/>
      <c r="V65" s="85"/>
      <c r="W65" s="260"/>
      <c r="X65" s="260"/>
      <c r="Y65" s="85"/>
      <c r="Z65" s="260"/>
      <c r="AA65" s="260"/>
      <c r="AB65" s="85"/>
      <c r="AC65" s="260"/>
      <c r="AD65" s="260"/>
      <c r="AE65" s="1"/>
      <c r="AF65" s="1"/>
      <c r="AG65" s="1"/>
      <c r="AH65" s="1"/>
      <c r="AI65" s="1"/>
      <c r="AJ65" s="1"/>
      <c r="AK65" s="1"/>
      <c r="AL65" s="1"/>
      <c r="AM65" s="1"/>
      <c r="AN65" s="160"/>
      <c r="AO65" s="16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c r="CY65" s="110"/>
      <c r="CZ65" s="110"/>
      <c r="DA65" s="110"/>
      <c r="DB65" s="110"/>
      <c r="DC65" s="110"/>
      <c r="DD65" s="110"/>
      <c r="DE65" s="109"/>
      <c r="DF65" s="109"/>
      <c r="DG65" s="109"/>
      <c r="DH65" s="109"/>
      <c r="DI65" s="109"/>
      <c r="DJ65" s="109"/>
      <c r="DK65" s="109"/>
      <c r="DL65" s="109"/>
      <c r="DM65" s="109"/>
      <c r="DN65" s="109"/>
      <c r="DO65" s="109"/>
      <c r="DP65" s="109"/>
      <c r="DQ65" s="109"/>
      <c r="DR65" s="109"/>
      <c r="DS65" s="109"/>
      <c r="DT65" s="109"/>
      <c r="DU65" s="109"/>
      <c r="DV65" s="109"/>
      <c r="DW65" s="109"/>
      <c r="DX65" s="109"/>
      <c r="DY65" s="109"/>
      <c r="DZ65" s="109"/>
      <c r="EA65" s="109"/>
      <c r="EB65" s="109"/>
      <c r="EC65" s="109"/>
      <c r="ED65" s="109"/>
      <c r="EE65" s="110"/>
      <c r="EF65" s="110"/>
      <c r="EG65" s="110"/>
      <c r="EH65" s="110"/>
      <c r="EI65" s="110"/>
      <c r="EJ65" s="110"/>
      <c r="EK65" s="110"/>
      <c r="EL65" s="110"/>
      <c r="EM65" s="110"/>
      <c r="EN65" s="110"/>
      <c r="EO65" s="110"/>
      <c r="EP65" s="110"/>
      <c r="EQ65" s="110"/>
      <c r="ER65" s="110"/>
      <c r="ES65" s="110"/>
      <c r="ET65" s="110"/>
      <c r="EU65" s="110"/>
      <c r="EV65" s="110"/>
      <c r="EW65" s="110"/>
      <c r="EX65" s="110"/>
      <c r="EY65" s="110"/>
      <c r="EZ65" s="110"/>
      <c r="FA65" s="110"/>
      <c r="FB65" s="110"/>
      <c r="FC65" s="110"/>
      <c r="FD65" s="110"/>
      <c r="FE65" s="110"/>
      <c r="FF65" s="110"/>
      <c r="FG65" s="110"/>
      <c r="FH65" s="110"/>
      <c r="FI65" s="110"/>
      <c r="FJ65" s="110"/>
      <c r="FK65" s="110"/>
      <c r="FL65" s="110"/>
      <c r="FM65" s="110"/>
      <c r="FN65" s="110"/>
    </row>
    <row r="66" spans="1:170" s="5" customFormat="1" ht="18" customHeight="1">
      <c r="A66" s="1808"/>
      <c r="B66" s="416"/>
      <c r="C66" s="1813"/>
      <c r="D66" s="1"/>
      <c r="E66" s="329"/>
      <c r="F66" s="329"/>
      <c r="G66" s="1"/>
      <c r="H66" s="330"/>
      <c r="I66" s="339"/>
      <c r="J66" s="340"/>
      <c r="K66" s="340"/>
      <c r="L66" s="340"/>
      <c r="M66" s="341"/>
      <c r="N66" s="340"/>
      <c r="O66" s="270"/>
      <c r="P66" s="990">
        <v>0</v>
      </c>
      <c r="Q66" s="995">
        <v>1</v>
      </c>
      <c r="R66" s="990">
        <v>0</v>
      </c>
      <c r="S66" s="36"/>
      <c r="T66" s="260"/>
      <c r="U66" s="260"/>
      <c r="V66" s="85"/>
      <c r="W66" s="260"/>
      <c r="X66" s="260"/>
      <c r="Y66" s="85"/>
      <c r="Z66" s="260"/>
      <c r="AA66" s="260"/>
      <c r="AB66" s="85"/>
      <c r="AC66" s="260"/>
      <c r="AD66" s="260"/>
      <c r="AE66" s="1"/>
      <c r="AF66" s="1"/>
      <c r="AG66" s="1"/>
      <c r="AH66" s="1"/>
      <c r="AI66" s="1"/>
      <c r="AJ66" s="1"/>
      <c r="AK66" s="1"/>
      <c r="AL66" s="1"/>
      <c r="AM66" s="1"/>
      <c r="AN66" s="160"/>
      <c r="AO66" s="16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c r="CY66" s="110"/>
      <c r="CZ66" s="110"/>
      <c r="DA66" s="110"/>
      <c r="DB66" s="110"/>
      <c r="DC66" s="110"/>
      <c r="DD66" s="110"/>
      <c r="DE66" s="109"/>
      <c r="DF66" s="109"/>
      <c r="DG66" s="109"/>
      <c r="DH66" s="109"/>
      <c r="DI66" s="109"/>
      <c r="DJ66" s="109"/>
      <c r="DK66" s="109"/>
      <c r="DL66" s="109"/>
      <c r="DM66" s="109"/>
      <c r="DN66" s="109"/>
      <c r="DO66" s="109"/>
      <c r="DP66" s="109"/>
      <c r="DQ66" s="109"/>
      <c r="DR66" s="109"/>
      <c r="DS66" s="109"/>
      <c r="DT66" s="109"/>
      <c r="DU66" s="109"/>
      <c r="DV66" s="109"/>
      <c r="DW66" s="109"/>
      <c r="DX66" s="109"/>
      <c r="DY66" s="109"/>
      <c r="DZ66" s="109"/>
      <c r="EA66" s="109"/>
      <c r="EB66" s="109"/>
      <c r="EC66" s="109"/>
      <c r="ED66" s="109"/>
      <c r="EE66" s="110"/>
      <c r="EF66" s="110"/>
      <c r="EG66" s="110"/>
      <c r="EH66" s="110"/>
      <c r="EI66" s="110"/>
      <c r="EJ66" s="110"/>
      <c r="EK66" s="110"/>
      <c r="EL66" s="110"/>
      <c r="EM66" s="110"/>
      <c r="EN66" s="110"/>
      <c r="EO66" s="110"/>
      <c r="EP66" s="110"/>
      <c r="EQ66" s="110"/>
      <c r="ER66" s="110"/>
      <c r="ES66" s="110"/>
      <c r="ET66" s="110"/>
      <c r="EU66" s="110"/>
      <c r="EV66" s="110"/>
      <c r="EW66" s="110"/>
      <c r="EX66" s="110"/>
      <c r="EY66" s="110"/>
      <c r="EZ66" s="110"/>
      <c r="FA66" s="110"/>
      <c r="FB66" s="110"/>
      <c r="FC66" s="110"/>
      <c r="FD66" s="110"/>
      <c r="FE66" s="110"/>
      <c r="FF66" s="110"/>
      <c r="FG66" s="110"/>
      <c r="FH66" s="110"/>
      <c r="FI66" s="110"/>
      <c r="FJ66" s="110"/>
      <c r="FK66" s="110"/>
      <c r="FL66" s="110"/>
      <c r="FM66" s="110"/>
      <c r="FN66" s="110"/>
    </row>
    <row r="67" spans="1:170" s="5" customFormat="1" ht="18" customHeight="1">
      <c r="A67" s="1808"/>
      <c r="B67" s="416"/>
      <c r="C67" s="1813"/>
      <c r="D67" s="1"/>
      <c r="E67" s="329"/>
      <c r="F67" s="329"/>
      <c r="G67" s="1"/>
      <c r="H67" s="330"/>
      <c r="I67" s="339"/>
      <c r="J67" s="340"/>
      <c r="K67" s="340"/>
      <c r="L67" s="340"/>
      <c r="M67" s="341"/>
      <c r="N67" s="340"/>
      <c r="O67" s="270"/>
      <c r="P67" s="990">
        <v>0</v>
      </c>
      <c r="Q67" s="995">
        <v>1</v>
      </c>
      <c r="R67" s="990">
        <v>0</v>
      </c>
      <c r="S67" s="36"/>
      <c r="T67" s="260"/>
      <c r="U67" s="260"/>
      <c r="V67" s="85"/>
      <c r="W67" s="260"/>
      <c r="X67" s="260"/>
      <c r="Y67" s="85"/>
      <c r="Z67" s="260"/>
      <c r="AA67" s="260"/>
      <c r="AB67" s="85"/>
      <c r="AC67" s="260"/>
      <c r="AD67" s="260"/>
      <c r="AE67" s="1"/>
      <c r="AF67" s="1"/>
      <c r="AG67" s="1"/>
      <c r="AH67" s="1"/>
      <c r="AI67" s="1"/>
      <c r="AJ67" s="1"/>
      <c r="AK67" s="1"/>
      <c r="AL67" s="1"/>
      <c r="AM67" s="1"/>
      <c r="AN67" s="160"/>
      <c r="AO67" s="16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c r="CY67" s="110"/>
      <c r="CZ67" s="110"/>
      <c r="DA67" s="110"/>
      <c r="DB67" s="110"/>
      <c r="DC67" s="110"/>
      <c r="DD67" s="110"/>
      <c r="DE67" s="109"/>
      <c r="DF67" s="109"/>
      <c r="DG67" s="109"/>
      <c r="DH67" s="109"/>
      <c r="DI67" s="109"/>
      <c r="DJ67" s="109"/>
      <c r="DK67" s="109"/>
      <c r="DL67" s="109"/>
      <c r="DM67" s="109"/>
      <c r="DN67" s="109"/>
      <c r="DO67" s="109"/>
      <c r="DP67" s="109"/>
      <c r="DQ67" s="109"/>
      <c r="DR67" s="109"/>
      <c r="DS67" s="109"/>
      <c r="DT67" s="109"/>
      <c r="DU67" s="109"/>
      <c r="DV67" s="109"/>
      <c r="DW67" s="109"/>
      <c r="DX67" s="109"/>
      <c r="DY67" s="109"/>
      <c r="DZ67" s="109"/>
      <c r="EA67" s="109"/>
      <c r="EB67" s="109"/>
      <c r="EC67" s="109"/>
      <c r="ED67" s="109"/>
      <c r="EE67" s="110"/>
      <c r="EF67" s="110"/>
      <c r="EG67" s="110"/>
      <c r="EH67" s="110"/>
      <c r="EI67" s="110"/>
      <c r="EJ67" s="110"/>
      <c r="EK67" s="110"/>
      <c r="EL67" s="110"/>
      <c r="EM67" s="110"/>
      <c r="EN67" s="110"/>
      <c r="EO67" s="110"/>
      <c r="EP67" s="110"/>
      <c r="EQ67" s="110"/>
      <c r="ER67" s="110"/>
      <c r="ES67" s="110"/>
      <c r="ET67" s="110"/>
      <c r="EU67" s="110"/>
      <c r="EV67" s="110"/>
      <c r="EW67" s="110"/>
      <c r="EX67" s="110"/>
      <c r="EY67" s="110"/>
      <c r="EZ67" s="110"/>
      <c r="FA67" s="110"/>
      <c r="FB67" s="110"/>
      <c r="FC67" s="110"/>
      <c r="FD67" s="110"/>
      <c r="FE67" s="110"/>
      <c r="FF67" s="110"/>
      <c r="FG67" s="110"/>
      <c r="FH67" s="110"/>
      <c r="FI67" s="110"/>
      <c r="FJ67" s="110"/>
      <c r="FK67" s="110"/>
      <c r="FL67" s="110"/>
      <c r="FM67" s="110"/>
      <c r="FN67" s="110"/>
    </row>
    <row r="68" spans="1:170" s="5" customFormat="1" ht="15">
      <c r="A68" s="1808"/>
      <c r="B68" s="416"/>
      <c r="C68" s="160"/>
      <c r="D68" s="1"/>
      <c r="E68" s="329"/>
      <c r="F68" s="329"/>
      <c r="G68" s="1"/>
      <c r="H68" s="330"/>
      <c r="I68" s="339"/>
      <c r="J68" s="340"/>
      <c r="K68" s="340"/>
      <c r="L68" s="340"/>
      <c r="M68" s="341"/>
      <c r="N68" s="340"/>
      <c r="O68" s="270"/>
      <c r="P68" s="990">
        <v>0</v>
      </c>
      <c r="Q68" s="995">
        <v>1</v>
      </c>
      <c r="R68" s="990">
        <v>0</v>
      </c>
      <c r="S68" s="36"/>
      <c r="T68" s="260"/>
      <c r="U68" s="260"/>
      <c r="V68" s="85"/>
      <c r="W68" s="260"/>
      <c r="X68" s="260"/>
      <c r="Y68" s="85"/>
      <c r="Z68" s="260"/>
      <c r="AA68" s="260"/>
      <c r="AB68" s="85"/>
      <c r="AC68" s="260"/>
      <c r="AD68" s="260"/>
      <c r="AE68" s="1"/>
      <c r="AF68" s="1"/>
      <c r="AG68" s="1"/>
      <c r="AH68" s="1"/>
      <c r="AI68" s="1"/>
      <c r="AJ68" s="1"/>
      <c r="AK68" s="1"/>
      <c r="AL68" s="1"/>
      <c r="AM68" s="1"/>
      <c r="AN68" s="160"/>
      <c r="AO68" s="16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c r="CY68" s="110"/>
      <c r="CZ68" s="110"/>
      <c r="DA68" s="110"/>
      <c r="DB68" s="110"/>
      <c r="DC68" s="110"/>
      <c r="DD68" s="110"/>
      <c r="DE68" s="109"/>
      <c r="DF68" s="109"/>
      <c r="DG68" s="109"/>
      <c r="DH68" s="109"/>
      <c r="DI68" s="109"/>
      <c r="DJ68" s="109"/>
      <c r="DK68" s="109"/>
      <c r="DL68" s="109"/>
      <c r="DM68" s="109"/>
      <c r="DN68" s="109"/>
      <c r="DO68" s="109"/>
      <c r="DP68" s="109"/>
      <c r="DQ68" s="109"/>
      <c r="DR68" s="109"/>
      <c r="DS68" s="109"/>
      <c r="DT68" s="109"/>
      <c r="DU68" s="109"/>
      <c r="DV68" s="109"/>
      <c r="DW68" s="109"/>
      <c r="DX68" s="109"/>
      <c r="DY68" s="109"/>
      <c r="DZ68" s="109"/>
      <c r="EA68" s="109"/>
      <c r="EB68" s="109"/>
      <c r="EC68" s="109"/>
      <c r="ED68" s="109"/>
      <c r="EE68" s="110"/>
      <c r="EF68" s="110"/>
      <c r="EG68" s="110"/>
      <c r="EH68" s="110"/>
      <c r="EI68" s="110"/>
      <c r="EJ68" s="110"/>
      <c r="EK68" s="110"/>
      <c r="EL68" s="110"/>
      <c r="EM68" s="110"/>
      <c r="EN68" s="110"/>
      <c r="EO68" s="110"/>
      <c r="EP68" s="110"/>
      <c r="EQ68" s="110"/>
      <c r="ER68" s="110"/>
      <c r="ES68" s="110"/>
      <c r="ET68" s="110"/>
      <c r="EU68" s="110"/>
      <c r="EV68" s="110"/>
      <c r="EW68" s="110"/>
      <c r="EX68" s="110"/>
      <c r="EY68" s="110"/>
      <c r="EZ68" s="110"/>
      <c r="FA68" s="110"/>
      <c r="FB68" s="110"/>
      <c r="FC68" s="110"/>
      <c r="FD68" s="110"/>
      <c r="FE68" s="110"/>
      <c r="FF68" s="110"/>
      <c r="FG68" s="110"/>
      <c r="FH68" s="110"/>
      <c r="FI68" s="110"/>
      <c r="FJ68" s="110"/>
      <c r="FK68" s="110"/>
      <c r="FL68" s="110"/>
      <c r="FM68" s="110"/>
      <c r="FN68" s="110"/>
    </row>
    <row r="69" spans="1:170" s="5" customFormat="1" ht="18" customHeight="1">
      <c r="A69" s="1808"/>
      <c r="B69" s="416">
        <v>176</v>
      </c>
      <c r="C69" s="493" t="str">
        <f>VLOOKUP(B69,Begriffe!$A$6:$E$442,Begriffe!$D$1+2)</f>
        <v>Volllaststunden pro Tag</v>
      </c>
      <c r="D69" s="1"/>
      <c r="E69" s="329"/>
      <c r="F69" s="329"/>
      <c r="G69" s="1"/>
      <c r="H69" s="330"/>
      <c r="I69" s="1152" t="s">
        <v>1184</v>
      </c>
      <c r="J69" s="1147" t="s">
        <v>17</v>
      </c>
      <c r="K69" s="1147"/>
      <c r="L69" s="340"/>
      <c r="M69" s="341">
        <f>IF(L69&lt;&gt;"",L69,Profile!$D$66)</f>
        <v>11.7</v>
      </c>
      <c r="N69" s="340"/>
      <c r="O69" s="270"/>
      <c r="P69" s="990">
        <v>0</v>
      </c>
      <c r="Q69" s="995">
        <v>1</v>
      </c>
      <c r="R69" s="990">
        <v>0</v>
      </c>
      <c r="S69" s="36"/>
      <c r="T69" s="260"/>
      <c r="U69" s="260"/>
      <c r="V69" s="85"/>
      <c r="W69" s="260"/>
      <c r="X69" s="260"/>
      <c r="Y69" s="85"/>
      <c r="Z69" s="260"/>
      <c r="AA69" s="260"/>
      <c r="AB69" s="85"/>
      <c r="AC69" s="260"/>
      <c r="AD69" s="260"/>
      <c r="AE69" s="1"/>
      <c r="AF69" s="1"/>
      <c r="AG69" s="1"/>
      <c r="AH69" s="1"/>
      <c r="AI69" s="1"/>
      <c r="AJ69" s="1"/>
      <c r="AK69" s="1"/>
      <c r="AL69" s="1"/>
      <c r="AM69" s="1"/>
      <c r="AN69" s="160"/>
      <c r="AO69" s="16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c r="CY69" s="110"/>
      <c r="CZ69" s="110"/>
      <c r="DA69" s="110"/>
      <c r="DB69" s="110"/>
      <c r="DC69" s="110"/>
      <c r="DD69" s="110"/>
      <c r="DE69" s="109"/>
      <c r="DF69" s="109"/>
      <c r="DG69" s="109"/>
      <c r="DH69" s="109"/>
      <c r="DI69" s="109"/>
      <c r="DJ69" s="109"/>
      <c r="DK69" s="109"/>
      <c r="DL69" s="109"/>
      <c r="DM69" s="109"/>
      <c r="DN69" s="109"/>
      <c r="DO69" s="109"/>
      <c r="DP69" s="109"/>
      <c r="DQ69" s="109"/>
      <c r="DR69" s="109"/>
      <c r="DS69" s="109"/>
      <c r="DT69" s="109"/>
      <c r="DU69" s="109"/>
      <c r="DV69" s="109"/>
      <c r="DW69" s="109"/>
      <c r="DX69" s="109"/>
      <c r="DY69" s="109"/>
      <c r="DZ69" s="109"/>
      <c r="EA69" s="109"/>
      <c r="EB69" s="109"/>
      <c r="EC69" s="109"/>
      <c r="ED69" s="109"/>
      <c r="EE69" s="110"/>
      <c r="EF69" s="110"/>
      <c r="EG69" s="110"/>
      <c r="EH69" s="110"/>
      <c r="EI69" s="110"/>
      <c r="EJ69" s="110"/>
      <c r="EK69" s="110"/>
      <c r="EL69" s="110"/>
      <c r="EM69" s="110"/>
      <c r="EN69" s="110"/>
      <c r="EO69" s="110"/>
      <c r="EP69" s="110"/>
      <c r="EQ69" s="110"/>
      <c r="ER69" s="110"/>
      <c r="ES69" s="110"/>
      <c r="ET69" s="110"/>
      <c r="EU69" s="110"/>
      <c r="EV69" s="110"/>
      <c r="EW69" s="110"/>
      <c r="EX69" s="110"/>
      <c r="EY69" s="110"/>
      <c r="EZ69" s="110"/>
      <c r="FA69" s="110"/>
      <c r="FB69" s="110"/>
      <c r="FC69" s="110"/>
      <c r="FD69" s="110"/>
      <c r="FE69" s="110"/>
      <c r="FF69" s="110"/>
      <c r="FG69" s="110"/>
      <c r="FH69" s="110"/>
      <c r="FI69" s="110"/>
      <c r="FJ69" s="110"/>
      <c r="FK69" s="110"/>
      <c r="FL69" s="110"/>
      <c r="FM69" s="110"/>
      <c r="FN69" s="110"/>
    </row>
    <row r="70" spans="1:170" s="18" customFormat="1" ht="18" customHeight="1">
      <c r="A70" s="1808"/>
      <c r="B70" s="416">
        <v>113</v>
      </c>
      <c r="C70" s="493" t="str">
        <f>VLOOKUP(B70,Begriffe!$A$6:$E$442,Begriffe!$D$1+2)</f>
        <v>Elektrische Leistung der Geräte</v>
      </c>
      <c r="D70" s="21"/>
      <c r="E70" s="21"/>
      <c r="F70" s="21"/>
      <c r="G70" s="21" t="str">
        <f>Begriffe!F319</f>
        <v>Maximaler Stundenwert</v>
      </c>
      <c r="H70" s="21"/>
      <c r="I70" s="178" t="s">
        <v>664</v>
      </c>
      <c r="J70" s="188" t="s">
        <v>68</v>
      </c>
      <c r="K70" s="188"/>
      <c r="L70" s="1162"/>
      <c r="M70" s="265">
        <f>IF(L70&lt;&gt;"",L70,INDEX(Eingabedaten!$D$10:$CY$54,nutzid,MATCH($C70,Eingabedaten!$D$7:$CY$7,0)))</f>
        <v>7</v>
      </c>
      <c r="N70" s="265">
        <f>INDEX(Eingabedaten!$D$10:$CY$54,nutzid,MATCH($C70,Eingabedaten!$D$7:$CY$7,0)+1)</f>
        <v>3</v>
      </c>
      <c r="O70" s="265">
        <f>INDEX(Eingabedaten!$D$10:$CY$54,nutzid,MATCH($C70,Eingabedaten!$D$7:$CY$7,0)+2)</f>
        <v>15</v>
      </c>
      <c r="P70" s="921">
        <v>1</v>
      </c>
      <c r="Q70" s="994">
        <v>1</v>
      </c>
      <c r="R70" s="921">
        <v>1</v>
      </c>
      <c r="S70" s="36"/>
      <c r="T70" s="298"/>
      <c r="U70" s="298"/>
      <c r="V70" s="150"/>
      <c r="W70" s="299"/>
      <c r="X70" s="299"/>
      <c r="Y70" s="150"/>
      <c r="Z70" s="299"/>
      <c r="AA70" s="299"/>
      <c r="AB70" s="131"/>
      <c r="AC70" s="298"/>
      <c r="AD70" s="298"/>
      <c r="AE70" s="13"/>
      <c r="AF70" s="13"/>
      <c r="AG70" s="13"/>
      <c r="AH70" s="13"/>
      <c r="AI70" s="13"/>
      <c r="AJ70" s="13"/>
      <c r="AK70" s="13"/>
      <c r="AL70" s="13"/>
      <c r="AM70" s="13"/>
      <c r="AN70" s="161"/>
      <c r="AO70" s="161"/>
      <c r="AR70" s="99"/>
      <c r="AS70" s="99"/>
      <c r="AT70" s="99"/>
      <c r="AU70" s="99"/>
      <c r="AV70" s="99"/>
      <c r="AW70" s="99"/>
      <c r="AX70" s="99"/>
      <c r="AY70" s="99"/>
      <c r="AZ70" s="99"/>
      <c r="BA70" s="99"/>
      <c r="BB70" s="99"/>
      <c r="BC70" s="99"/>
      <c r="BD70" s="99"/>
      <c r="BE70" s="99"/>
      <c r="BF70" s="99"/>
      <c r="BG70" s="99"/>
      <c r="BH70" s="99"/>
      <c r="BI70" s="99"/>
      <c r="BJ70" s="99"/>
      <c r="BK70" s="99"/>
      <c r="BL70" s="99"/>
      <c r="BM70" s="99"/>
      <c r="BN70" s="99"/>
      <c r="BO70" s="99"/>
      <c r="BP70" s="99"/>
      <c r="BQ70" s="99"/>
      <c r="BR70" s="99"/>
      <c r="BS70" s="99"/>
      <c r="BT70" s="99"/>
      <c r="BU70" s="99"/>
      <c r="BV70" s="99"/>
      <c r="BW70" s="99"/>
      <c r="BX70" s="99"/>
      <c r="BY70" s="99"/>
      <c r="BZ70" s="99"/>
      <c r="CA70" s="99"/>
      <c r="CB70" s="99"/>
      <c r="CC70" s="99"/>
      <c r="CD70" s="99"/>
      <c r="CE70" s="99"/>
      <c r="CF70" s="99"/>
      <c r="CG70" s="99"/>
      <c r="CH70" s="99"/>
      <c r="CI70" s="99"/>
      <c r="CJ70" s="99"/>
      <c r="CK70" s="99"/>
      <c r="CL70" s="99"/>
      <c r="CM70" s="99"/>
      <c r="CN70" s="99"/>
      <c r="CO70" s="99"/>
      <c r="CP70" s="99"/>
      <c r="CQ70" s="99"/>
      <c r="CR70" s="99"/>
      <c r="CS70" s="99"/>
      <c r="CT70" s="99"/>
      <c r="CU70" s="99"/>
      <c r="CV70" s="99"/>
      <c r="CW70" s="99"/>
      <c r="CX70" s="99"/>
      <c r="CY70" s="99"/>
      <c r="CZ70" s="99"/>
      <c r="DA70" s="96"/>
      <c r="DB70" s="96"/>
      <c r="DC70" s="96"/>
      <c r="DD70" s="96"/>
      <c r="DE70" s="96"/>
      <c r="DF70" s="96"/>
      <c r="DG70" s="96"/>
      <c r="DH70" s="96"/>
      <c r="DI70" s="96"/>
      <c r="DJ70" s="96"/>
      <c r="DK70" s="96"/>
      <c r="DL70" s="96"/>
      <c r="DM70" s="96"/>
      <c r="DN70" s="96"/>
      <c r="DO70" s="96"/>
      <c r="DP70" s="96"/>
      <c r="DQ70" s="96"/>
      <c r="DR70" s="96"/>
      <c r="DS70" s="96"/>
      <c r="DT70" s="96"/>
      <c r="DU70" s="96"/>
      <c r="DV70" s="96"/>
      <c r="DW70" s="96"/>
      <c r="DX70" s="96"/>
      <c r="DY70" s="96"/>
      <c r="DZ70" s="96"/>
      <c r="EA70" s="99"/>
      <c r="EB70" s="99"/>
      <c r="EC70" s="99"/>
      <c r="ED70" s="99"/>
      <c r="EE70" s="99"/>
      <c r="EF70" s="99"/>
      <c r="EG70" s="99"/>
      <c r="EH70" s="99"/>
      <c r="EI70" s="99"/>
      <c r="EJ70" s="99"/>
      <c r="EK70" s="99"/>
      <c r="EL70" s="99"/>
      <c r="EM70" s="99"/>
      <c r="EN70" s="99"/>
      <c r="EO70" s="99"/>
      <c r="EP70" s="99"/>
      <c r="EQ70" s="99"/>
      <c r="ER70" s="99"/>
      <c r="ES70" s="99"/>
      <c r="ET70" s="99"/>
      <c r="EU70" s="99"/>
      <c r="EV70" s="99"/>
      <c r="EW70" s="99"/>
      <c r="EX70" s="99"/>
      <c r="EY70" s="99"/>
      <c r="EZ70" s="99"/>
      <c r="FA70" s="99"/>
      <c r="FB70" s="99"/>
      <c r="FC70" s="99"/>
      <c r="FD70" s="99"/>
      <c r="FE70" s="99"/>
      <c r="FF70" s="99"/>
      <c r="FG70" s="99"/>
      <c r="FH70" s="99"/>
      <c r="FI70" s="99"/>
      <c r="FJ70" s="99"/>
      <c r="FK70" s="99"/>
      <c r="FL70" s="99"/>
      <c r="FM70" s="99"/>
      <c r="FN70" s="99"/>
    </row>
    <row r="71" spans="1:170" s="18" customFormat="1" ht="18" customHeight="1">
      <c r="A71" s="1808"/>
      <c r="B71" s="416">
        <v>143</v>
      </c>
      <c r="C71" s="493" t="str">
        <f>VLOOKUP(B71,Begriffe!$A$6:$E$442,Begriffe!$D$1+2)</f>
        <v>Leistung ausserhalb der Nutzungszeit</v>
      </c>
      <c r="D71" s="21"/>
      <c r="E71" s="21"/>
      <c r="F71" s="21"/>
      <c r="G71" s="21"/>
      <c r="H71" s="21"/>
      <c r="I71" s="1152" t="s">
        <v>1185</v>
      </c>
      <c r="J71" s="188" t="s">
        <v>6</v>
      </c>
      <c r="K71" s="188"/>
      <c r="L71" s="1166"/>
      <c r="M71" s="984">
        <f>INDEX(Eingabedaten!$D$10:$EV$54,nutzid,MATCH($C71,Eingabedaten!$D$7:$EV$7,0))</f>
        <v>10</v>
      </c>
      <c r="N71" s="343"/>
      <c r="O71" s="264"/>
      <c r="P71" s="921">
        <v>0</v>
      </c>
      <c r="Q71" s="994">
        <v>1</v>
      </c>
      <c r="R71" s="921">
        <v>0</v>
      </c>
      <c r="S71" s="36"/>
      <c r="T71" s="298"/>
      <c r="U71" s="298"/>
      <c r="V71" s="150"/>
      <c r="W71" s="299"/>
      <c r="X71" s="299"/>
      <c r="Y71" s="150"/>
      <c r="Z71" s="299"/>
      <c r="AA71" s="299"/>
      <c r="AB71" s="131"/>
      <c r="AC71" s="298"/>
      <c r="AD71" s="298"/>
      <c r="AE71" s="13"/>
      <c r="AF71" s="13"/>
      <c r="AG71" s="13"/>
      <c r="AH71" s="13"/>
      <c r="AI71" s="13"/>
      <c r="AJ71" s="13"/>
      <c r="AK71" s="13"/>
      <c r="AL71" s="13"/>
      <c r="AM71" s="13"/>
      <c r="AN71" s="161"/>
      <c r="AO71" s="161"/>
      <c r="AR71" s="99"/>
      <c r="AS71" s="99"/>
      <c r="AT71" s="99"/>
      <c r="AU71" s="99"/>
      <c r="AV71" s="99"/>
      <c r="AW71" s="99"/>
      <c r="AX71" s="99"/>
      <c r="AY71" s="99"/>
      <c r="AZ71" s="99"/>
      <c r="BA71" s="99"/>
      <c r="BB71" s="99"/>
      <c r="BC71" s="99"/>
      <c r="BD71" s="99"/>
      <c r="BE71" s="99"/>
      <c r="BF71" s="99"/>
      <c r="BG71" s="99"/>
      <c r="BH71" s="99"/>
      <c r="BI71" s="99"/>
      <c r="BJ71" s="99"/>
      <c r="BK71" s="99"/>
      <c r="BL71" s="99"/>
      <c r="BM71" s="99"/>
      <c r="BN71" s="99"/>
      <c r="BO71" s="99"/>
      <c r="BP71" s="99"/>
      <c r="BQ71" s="99"/>
      <c r="BR71" s="99"/>
      <c r="BS71" s="99"/>
      <c r="BT71" s="99"/>
      <c r="BU71" s="99"/>
      <c r="BV71" s="99"/>
      <c r="BW71" s="99"/>
      <c r="BX71" s="99"/>
      <c r="BY71" s="99"/>
      <c r="BZ71" s="99"/>
      <c r="CA71" s="99"/>
      <c r="CB71" s="99"/>
      <c r="CC71" s="99"/>
      <c r="CD71" s="99"/>
      <c r="CE71" s="99"/>
      <c r="CF71" s="99"/>
      <c r="CG71" s="99"/>
      <c r="CH71" s="99"/>
      <c r="CI71" s="99"/>
      <c r="CJ71" s="99"/>
      <c r="CK71" s="99"/>
      <c r="CL71" s="99"/>
      <c r="CM71" s="99"/>
      <c r="CN71" s="99"/>
      <c r="CO71" s="99"/>
      <c r="CP71" s="99"/>
      <c r="CQ71" s="99"/>
      <c r="CR71" s="99"/>
      <c r="CS71" s="99"/>
      <c r="CT71" s="99"/>
      <c r="CU71" s="99"/>
      <c r="CV71" s="99"/>
      <c r="CW71" s="99"/>
      <c r="CX71" s="99"/>
      <c r="CY71" s="99"/>
      <c r="CZ71" s="99"/>
      <c r="DA71" s="96"/>
      <c r="DB71" s="96"/>
      <c r="DC71" s="96"/>
      <c r="DD71" s="96"/>
      <c r="DE71" s="96"/>
      <c r="DF71" s="96"/>
      <c r="DG71" s="96"/>
      <c r="DH71" s="96"/>
      <c r="DI71" s="96"/>
      <c r="DJ71" s="96"/>
      <c r="DK71" s="96"/>
      <c r="DL71" s="96"/>
      <c r="DM71" s="96"/>
      <c r="DN71" s="96"/>
      <c r="DO71" s="96"/>
      <c r="DP71" s="96"/>
      <c r="DQ71" s="96"/>
      <c r="DR71" s="96"/>
      <c r="DS71" s="96"/>
      <c r="DT71" s="96"/>
      <c r="DU71" s="96"/>
      <c r="DV71" s="96"/>
      <c r="DW71" s="96"/>
      <c r="DX71" s="96"/>
      <c r="DY71" s="96"/>
      <c r="DZ71" s="96"/>
      <c r="EA71" s="99"/>
      <c r="EB71" s="99"/>
      <c r="EC71" s="99"/>
      <c r="ED71" s="99"/>
      <c r="EE71" s="99"/>
      <c r="EF71" s="99"/>
      <c r="EG71" s="99"/>
      <c r="EH71" s="99"/>
      <c r="EI71" s="99"/>
      <c r="EJ71" s="99"/>
      <c r="EK71" s="99"/>
      <c r="EL71" s="99"/>
      <c r="EM71" s="99"/>
      <c r="EN71" s="99"/>
      <c r="EO71" s="99"/>
      <c r="EP71" s="99"/>
      <c r="EQ71" s="99"/>
      <c r="ER71" s="99"/>
      <c r="ES71" s="99"/>
      <c r="ET71" s="99"/>
      <c r="EU71" s="99"/>
      <c r="EV71" s="99"/>
      <c r="EW71" s="99"/>
      <c r="EX71" s="99"/>
      <c r="EY71" s="99"/>
      <c r="EZ71" s="99"/>
      <c r="FA71" s="99"/>
      <c r="FB71" s="99"/>
      <c r="FC71" s="99"/>
      <c r="FD71" s="99"/>
      <c r="FE71" s="99"/>
      <c r="FF71" s="99"/>
      <c r="FG71" s="99"/>
      <c r="FH71" s="99"/>
      <c r="FI71" s="99"/>
      <c r="FJ71" s="99"/>
      <c r="FK71" s="99"/>
      <c r="FL71" s="99"/>
      <c r="FM71" s="99"/>
      <c r="FN71" s="99"/>
    </row>
    <row r="72" spans="1:170" s="18" customFormat="1" ht="18" customHeight="1">
      <c r="A72" s="1808"/>
      <c r="B72" s="416">
        <v>181</v>
      </c>
      <c r="C72" s="493" t="str">
        <f>VLOOKUP(B72,Begriffe!$A$6:$E$442,Begriffe!$D$1+2)</f>
        <v>Wärmeeintragsleistung der Geräte</v>
      </c>
      <c r="D72" s="21"/>
      <c r="E72" s="21"/>
      <c r="F72" s="21"/>
      <c r="G72" s="21"/>
      <c r="H72" s="21"/>
      <c r="I72" s="262" t="s">
        <v>720</v>
      </c>
      <c r="J72" s="188" t="s">
        <v>68</v>
      </c>
      <c r="K72" s="188"/>
      <c r="L72" s="1164"/>
      <c r="M72" s="931">
        <f>IF(L72&lt;&gt;"",L72,INDEX(Eingabedaten!$D$10:$CY$54,nutzid,MATCH($C72,Eingabedaten!$D$7:$CY$7,0)))</f>
        <v>7</v>
      </c>
      <c r="N72" s="931">
        <f>INDEX(Eingabedaten!$D$10:$CY$54,nutzid,MATCH($C72,Eingabedaten!$D$7:$CY$7,0)+1)</f>
        <v>3</v>
      </c>
      <c r="O72" s="931">
        <f>INDEX(Eingabedaten!$D$10:$CY$54,nutzid,MATCH($C72,Eingabedaten!$D$7:$CY$7,0)+2)</f>
        <v>15</v>
      </c>
      <c r="P72" s="921">
        <v>0</v>
      </c>
      <c r="Q72" s="994">
        <v>1</v>
      </c>
      <c r="R72" s="921">
        <v>0</v>
      </c>
      <c r="S72" s="36"/>
      <c r="T72" s="298"/>
      <c r="U72" s="298"/>
      <c r="V72" s="150"/>
      <c r="W72" s="299"/>
      <c r="X72" s="299"/>
      <c r="Y72" s="150"/>
      <c r="Z72" s="299"/>
      <c r="AA72" s="299"/>
      <c r="AB72" s="131"/>
      <c r="AC72" s="298"/>
      <c r="AD72" s="298"/>
      <c r="AE72" s="13"/>
      <c r="AF72" s="13"/>
      <c r="AG72" s="13"/>
      <c r="AH72" s="13"/>
      <c r="AI72" s="13"/>
      <c r="AJ72" s="13"/>
      <c r="AK72" s="13"/>
      <c r="AL72" s="13"/>
      <c r="AM72" s="13"/>
      <c r="AN72" s="161"/>
      <c r="AO72" s="161"/>
      <c r="AR72" s="99"/>
      <c r="AS72" s="99"/>
      <c r="AT72" s="99"/>
      <c r="AU72" s="99"/>
      <c r="AV72" s="99"/>
      <c r="AW72" s="99"/>
      <c r="AX72" s="99"/>
      <c r="AY72" s="99"/>
      <c r="AZ72" s="99"/>
      <c r="BA72" s="99"/>
      <c r="BB72" s="99"/>
      <c r="BC72" s="99"/>
      <c r="BD72" s="99"/>
      <c r="BE72" s="99"/>
      <c r="BF72" s="99"/>
      <c r="BG72" s="99"/>
      <c r="BH72" s="99"/>
      <c r="BI72" s="99"/>
      <c r="BJ72" s="99"/>
      <c r="BK72" s="99"/>
      <c r="BL72" s="99"/>
      <c r="BM72" s="99"/>
      <c r="BN72" s="99"/>
      <c r="BO72" s="99"/>
      <c r="BP72" s="99"/>
      <c r="BQ72" s="99"/>
      <c r="BR72" s="99"/>
      <c r="BS72" s="99"/>
      <c r="BT72" s="99"/>
      <c r="BU72" s="99"/>
      <c r="BV72" s="99"/>
      <c r="BW72" s="99"/>
      <c r="BX72" s="99"/>
      <c r="BY72" s="99"/>
      <c r="BZ72" s="99"/>
      <c r="CA72" s="99"/>
      <c r="CB72" s="99"/>
      <c r="CC72" s="99"/>
      <c r="CD72" s="99"/>
      <c r="CE72" s="99"/>
      <c r="CF72" s="99"/>
      <c r="CG72" s="99"/>
      <c r="CH72" s="99"/>
      <c r="CI72" s="99"/>
      <c r="CJ72" s="99"/>
      <c r="CK72" s="99"/>
      <c r="CL72" s="99"/>
      <c r="CM72" s="99"/>
      <c r="CN72" s="99"/>
      <c r="CO72" s="99"/>
      <c r="CP72" s="99"/>
      <c r="CQ72" s="99"/>
      <c r="CR72" s="99"/>
      <c r="CS72" s="99"/>
      <c r="CT72" s="99"/>
      <c r="CU72" s="99"/>
      <c r="CV72" s="99"/>
      <c r="CW72" s="99"/>
      <c r="CX72" s="99"/>
      <c r="CY72" s="99"/>
      <c r="CZ72" s="99"/>
      <c r="DA72" s="96"/>
      <c r="DB72" s="96"/>
      <c r="DC72" s="96"/>
      <c r="DD72" s="96"/>
      <c r="DE72" s="96"/>
      <c r="DF72" s="96"/>
      <c r="DG72" s="96"/>
      <c r="DH72" s="96"/>
      <c r="DI72" s="96"/>
      <c r="DJ72" s="96"/>
      <c r="DK72" s="96"/>
      <c r="DL72" s="96"/>
      <c r="DM72" s="96"/>
      <c r="DN72" s="96"/>
      <c r="DO72" s="96"/>
      <c r="DP72" s="96"/>
      <c r="DQ72" s="96"/>
      <c r="DR72" s="96"/>
      <c r="DS72" s="96"/>
      <c r="DT72" s="96"/>
      <c r="DU72" s="96"/>
      <c r="DV72" s="96"/>
      <c r="DW72" s="96"/>
      <c r="DX72" s="96"/>
      <c r="DY72" s="96"/>
      <c r="DZ72" s="96"/>
      <c r="EA72" s="99"/>
      <c r="EB72" s="99"/>
      <c r="EC72" s="99"/>
      <c r="ED72" s="99"/>
      <c r="EE72" s="99"/>
      <c r="EF72" s="99"/>
      <c r="EG72" s="99"/>
      <c r="EH72" s="99"/>
      <c r="EI72" s="99"/>
      <c r="EJ72" s="99"/>
      <c r="EK72" s="99"/>
      <c r="EL72" s="99"/>
      <c r="EM72" s="99"/>
      <c r="EN72" s="99"/>
      <c r="EO72" s="99"/>
      <c r="EP72" s="99"/>
      <c r="EQ72" s="99"/>
      <c r="ER72" s="99"/>
      <c r="ES72" s="99"/>
      <c r="ET72" s="99"/>
      <c r="EU72" s="99"/>
      <c r="EV72" s="99"/>
      <c r="EW72" s="99"/>
      <c r="EX72" s="99"/>
      <c r="EY72" s="99"/>
      <c r="EZ72" s="99"/>
      <c r="FA72" s="99"/>
      <c r="FB72" s="99"/>
      <c r="FC72" s="99"/>
      <c r="FD72" s="99"/>
      <c r="FE72" s="99"/>
      <c r="FF72" s="99"/>
      <c r="FG72" s="99"/>
      <c r="FH72" s="99"/>
      <c r="FI72" s="99"/>
      <c r="FJ72" s="99"/>
      <c r="FK72" s="99"/>
      <c r="FL72" s="99"/>
      <c r="FM72" s="99"/>
      <c r="FN72" s="99"/>
    </row>
    <row r="73" spans="1:170" s="18" customFormat="1" ht="15.6" hidden="1">
      <c r="A73" s="1808"/>
      <c r="B73" s="416"/>
      <c r="C73" s="21" t="s">
        <v>802</v>
      </c>
      <c r="D73" s="21"/>
      <c r="E73" s="21"/>
      <c r="F73" s="21"/>
      <c r="G73" s="21"/>
      <c r="H73" s="21"/>
      <c r="I73" s="209" t="s">
        <v>803</v>
      </c>
      <c r="J73" s="188" t="s">
        <v>804</v>
      </c>
      <c r="K73" s="188"/>
      <c r="L73" s="342"/>
      <c r="M73" s="931">
        <f>M72*$M$69</f>
        <v>81.899999999999991</v>
      </c>
      <c r="N73" s="931">
        <f>N72*$M$69</f>
        <v>35.099999999999994</v>
      </c>
      <c r="O73" s="931">
        <f>O72*$M$69</f>
        <v>175.5</v>
      </c>
      <c r="P73" s="921">
        <v>0</v>
      </c>
      <c r="Q73" s="994">
        <v>0</v>
      </c>
      <c r="R73" s="921">
        <v>0</v>
      </c>
      <c r="S73" s="36"/>
      <c r="T73" s="298"/>
      <c r="U73" s="298"/>
      <c r="V73" s="150"/>
      <c r="W73" s="299"/>
      <c r="X73" s="299"/>
      <c r="Y73" s="150"/>
      <c r="Z73" s="299"/>
      <c r="AA73" s="299"/>
      <c r="AB73" s="131"/>
      <c r="AC73" s="298"/>
      <c r="AD73" s="298"/>
      <c r="AE73" s="13"/>
      <c r="AF73" s="13"/>
      <c r="AG73" s="13"/>
      <c r="AH73" s="13"/>
      <c r="AI73" s="13"/>
      <c r="AJ73" s="13"/>
      <c r="AK73" s="13"/>
      <c r="AL73" s="13"/>
      <c r="AM73" s="13"/>
      <c r="AN73" s="161"/>
      <c r="AO73" s="161"/>
      <c r="AR73" s="99"/>
      <c r="AS73" s="99"/>
      <c r="AT73" s="99"/>
      <c r="AU73" s="99"/>
      <c r="AV73" s="99"/>
      <c r="AW73" s="99"/>
      <c r="AX73" s="99"/>
      <c r="AY73" s="99"/>
      <c r="AZ73" s="99"/>
      <c r="BA73" s="99"/>
      <c r="BB73" s="99"/>
      <c r="BC73" s="99"/>
      <c r="BD73" s="99"/>
      <c r="BE73" s="99"/>
      <c r="BF73" s="99"/>
      <c r="BG73" s="99"/>
      <c r="BH73" s="99"/>
      <c r="BI73" s="99"/>
      <c r="BJ73" s="99"/>
      <c r="BK73" s="99"/>
      <c r="BL73" s="99"/>
      <c r="BM73" s="99"/>
      <c r="BN73" s="99"/>
      <c r="BO73" s="99"/>
      <c r="BP73" s="99"/>
      <c r="BQ73" s="99"/>
      <c r="BR73" s="99"/>
      <c r="BS73" s="99"/>
      <c r="BT73" s="99"/>
      <c r="BU73" s="99"/>
      <c r="BV73" s="99"/>
      <c r="BW73" s="99"/>
      <c r="BX73" s="99"/>
      <c r="BY73" s="99"/>
      <c r="BZ73" s="99"/>
      <c r="CA73" s="99"/>
      <c r="CB73" s="99"/>
      <c r="CC73" s="99"/>
      <c r="CD73" s="99"/>
      <c r="CE73" s="99"/>
      <c r="CF73" s="99"/>
      <c r="CG73" s="99"/>
      <c r="CH73" s="99"/>
      <c r="CI73" s="99"/>
      <c r="CJ73" s="99"/>
      <c r="CK73" s="99"/>
      <c r="CL73" s="99"/>
      <c r="CM73" s="99"/>
      <c r="CN73" s="99"/>
      <c r="CO73" s="99"/>
      <c r="CP73" s="99"/>
      <c r="CQ73" s="99"/>
      <c r="CR73" s="99"/>
      <c r="CS73" s="99"/>
      <c r="CT73" s="99"/>
      <c r="CU73" s="99"/>
      <c r="CV73" s="99"/>
      <c r="CW73" s="99"/>
      <c r="CX73" s="99"/>
      <c r="CY73" s="99"/>
      <c r="CZ73" s="99"/>
      <c r="DA73" s="96"/>
      <c r="DB73" s="96"/>
      <c r="DC73" s="96"/>
      <c r="DD73" s="96"/>
      <c r="DE73" s="96"/>
      <c r="DF73" s="96"/>
      <c r="DG73" s="96"/>
      <c r="DH73" s="96"/>
      <c r="DI73" s="96"/>
      <c r="DJ73" s="96"/>
      <c r="DK73" s="96"/>
      <c r="DL73" s="96"/>
      <c r="DM73" s="96"/>
      <c r="DN73" s="96"/>
      <c r="DO73" s="96"/>
      <c r="DP73" s="96"/>
      <c r="DQ73" s="96"/>
      <c r="DR73" s="96"/>
      <c r="DS73" s="96"/>
      <c r="DT73" s="96"/>
      <c r="DU73" s="96"/>
      <c r="DV73" s="96"/>
      <c r="DW73" s="96"/>
      <c r="DX73" s="96"/>
      <c r="DY73" s="96"/>
      <c r="DZ73" s="96"/>
      <c r="EA73" s="99"/>
      <c r="EB73" s="99"/>
      <c r="EC73" s="99"/>
      <c r="ED73" s="99"/>
      <c r="EE73" s="99"/>
      <c r="EF73" s="99"/>
      <c r="EG73" s="99"/>
      <c r="EH73" s="99"/>
      <c r="EI73" s="99"/>
      <c r="EJ73" s="99"/>
      <c r="EK73" s="99"/>
      <c r="EL73" s="99"/>
      <c r="EM73" s="99"/>
      <c r="EN73" s="99"/>
      <c r="EO73" s="99"/>
      <c r="EP73" s="99"/>
      <c r="EQ73" s="99"/>
      <c r="ER73" s="99"/>
      <c r="ES73" s="99"/>
      <c r="ET73" s="99"/>
      <c r="EU73" s="99"/>
      <c r="EV73" s="99"/>
      <c r="EW73" s="99"/>
      <c r="EX73" s="99"/>
      <c r="EY73" s="99"/>
      <c r="EZ73" s="99"/>
      <c r="FA73" s="99"/>
      <c r="FB73" s="99"/>
      <c r="FC73" s="99"/>
      <c r="FD73" s="99"/>
      <c r="FE73" s="99"/>
      <c r="FF73" s="99"/>
      <c r="FG73" s="99"/>
      <c r="FH73" s="99"/>
      <c r="FI73" s="99"/>
      <c r="FJ73" s="99"/>
      <c r="FK73" s="99"/>
      <c r="FL73" s="99"/>
      <c r="FM73" s="99"/>
      <c r="FN73" s="99"/>
    </row>
    <row r="74" spans="1:170" s="18" customFormat="1" ht="18" customHeight="1">
      <c r="A74" s="1808"/>
      <c r="B74" s="416">
        <v>127</v>
      </c>
      <c r="C74" s="493" t="str">
        <f>VLOOKUP(B74,Begriffe!$A$6:$E$442,Begriffe!$D$1+2)</f>
        <v>Jährliche Volllaststunden der Geräte</v>
      </c>
      <c r="D74" s="21"/>
      <c r="E74" s="21"/>
      <c r="F74" s="21"/>
      <c r="G74" s="21"/>
      <c r="H74" s="21"/>
      <c r="I74" s="178" t="s">
        <v>665</v>
      </c>
      <c r="J74" s="188" t="s">
        <v>17</v>
      </c>
      <c r="K74" s="188"/>
      <c r="L74" s="1166"/>
      <c r="M74" s="1017">
        <f>ROUND(Profile!$L$291,-1)</f>
        <v>2990</v>
      </c>
      <c r="N74" s="1017">
        <f>M74</f>
        <v>2990</v>
      </c>
      <c r="O74" s="1017">
        <f>M74</f>
        <v>2990</v>
      </c>
      <c r="P74" s="921">
        <v>1</v>
      </c>
      <c r="Q74" s="994">
        <v>1</v>
      </c>
      <c r="R74" s="921">
        <v>0</v>
      </c>
      <c r="S74" s="36"/>
      <c r="T74" s="298"/>
      <c r="U74" s="298"/>
      <c r="V74" s="150"/>
      <c r="W74" s="299"/>
      <c r="X74" s="299"/>
      <c r="Y74" s="150"/>
      <c r="Z74" s="299"/>
      <c r="AA74" s="299"/>
      <c r="AB74" s="131"/>
      <c r="AC74" s="298"/>
      <c r="AD74" s="298"/>
      <c r="AE74" s="13"/>
      <c r="AF74" s="13"/>
      <c r="AG74" s="13"/>
      <c r="AH74" s="13"/>
      <c r="AI74" s="13"/>
      <c r="AJ74" s="13"/>
      <c r="AK74" s="13"/>
      <c r="AL74" s="13"/>
      <c r="AM74" s="13"/>
      <c r="AN74" s="161"/>
      <c r="AO74" s="161"/>
      <c r="AR74" s="99"/>
      <c r="AS74" s="99"/>
      <c r="AT74" s="99"/>
      <c r="AU74" s="99"/>
      <c r="AV74" s="99"/>
      <c r="AW74" s="99"/>
      <c r="AX74" s="99"/>
      <c r="AY74" s="99"/>
      <c r="AZ74" s="99"/>
      <c r="BA74" s="99"/>
      <c r="BB74" s="99"/>
      <c r="BC74" s="99"/>
      <c r="BD74" s="99"/>
      <c r="BE74" s="99"/>
      <c r="BF74" s="99"/>
      <c r="BG74" s="99"/>
      <c r="BH74" s="99"/>
      <c r="BI74" s="99"/>
      <c r="BJ74" s="99"/>
      <c r="BK74" s="99"/>
      <c r="BL74" s="99"/>
      <c r="BM74" s="99"/>
      <c r="BN74" s="99"/>
      <c r="BO74" s="99"/>
      <c r="BP74" s="99"/>
      <c r="BQ74" s="99"/>
      <c r="BR74" s="99"/>
      <c r="BS74" s="99"/>
      <c r="BT74" s="99"/>
      <c r="BU74" s="99"/>
      <c r="BV74" s="99"/>
      <c r="BW74" s="99"/>
      <c r="BX74" s="99"/>
      <c r="BY74" s="99"/>
      <c r="BZ74" s="99"/>
      <c r="CA74" s="99"/>
      <c r="CB74" s="99"/>
      <c r="CC74" s="99"/>
      <c r="CD74" s="99"/>
      <c r="CE74" s="99"/>
      <c r="CF74" s="99"/>
      <c r="CG74" s="99"/>
      <c r="CH74" s="99"/>
      <c r="CI74" s="99"/>
      <c r="CJ74" s="99"/>
      <c r="CK74" s="99"/>
      <c r="CL74" s="99"/>
      <c r="CM74" s="99"/>
      <c r="CN74" s="99"/>
      <c r="CO74" s="99"/>
      <c r="CP74" s="99"/>
      <c r="CQ74" s="99"/>
      <c r="CR74" s="99"/>
      <c r="CS74" s="99"/>
      <c r="CT74" s="99"/>
      <c r="CU74" s="99"/>
      <c r="CV74" s="99"/>
      <c r="CW74" s="99"/>
      <c r="CX74" s="99"/>
      <c r="CY74" s="99"/>
      <c r="CZ74" s="99"/>
      <c r="DA74" s="96"/>
      <c r="DB74" s="96"/>
      <c r="DC74" s="96"/>
      <c r="DD74" s="96"/>
      <c r="DE74" s="96"/>
      <c r="DF74" s="96"/>
      <c r="DG74" s="96"/>
      <c r="DH74" s="96"/>
      <c r="DI74" s="96"/>
      <c r="DJ74" s="96"/>
      <c r="DK74" s="96"/>
      <c r="DL74" s="96"/>
      <c r="DM74" s="96"/>
      <c r="DN74" s="96"/>
      <c r="DO74" s="96"/>
      <c r="DP74" s="96"/>
      <c r="DQ74" s="96"/>
      <c r="DR74" s="96"/>
      <c r="DS74" s="96"/>
      <c r="DT74" s="96"/>
      <c r="DU74" s="96"/>
      <c r="DV74" s="96"/>
      <c r="DW74" s="96"/>
      <c r="DX74" s="96"/>
      <c r="DY74" s="96"/>
      <c r="DZ74" s="96"/>
      <c r="EA74" s="99"/>
      <c r="EB74" s="99"/>
      <c r="EC74" s="99"/>
      <c r="ED74" s="99"/>
      <c r="EE74" s="99"/>
      <c r="EF74" s="99"/>
      <c r="EG74" s="99"/>
      <c r="EH74" s="99"/>
      <c r="EI74" s="99"/>
      <c r="EJ74" s="99"/>
      <c r="EK74" s="99"/>
      <c r="EL74" s="99"/>
      <c r="EM74" s="99"/>
      <c r="EN74" s="99"/>
      <c r="EO74" s="99"/>
      <c r="EP74" s="99"/>
      <c r="EQ74" s="99"/>
      <c r="ER74" s="99"/>
      <c r="ES74" s="99"/>
      <c r="ET74" s="99"/>
      <c r="EU74" s="99"/>
      <c r="EV74" s="99"/>
      <c r="EW74" s="99"/>
      <c r="EX74" s="99"/>
      <c r="EY74" s="99"/>
      <c r="EZ74" s="99"/>
      <c r="FA74" s="99"/>
      <c r="FB74" s="99"/>
      <c r="FC74" s="99"/>
      <c r="FD74" s="99"/>
      <c r="FE74" s="99"/>
      <c r="FF74" s="99"/>
      <c r="FG74" s="99"/>
      <c r="FH74" s="99"/>
      <c r="FI74" s="99"/>
      <c r="FJ74" s="99"/>
      <c r="FK74" s="99"/>
      <c r="FL74" s="99"/>
      <c r="FM74" s="99"/>
      <c r="FN74" s="99"/>
    </row>
    <row r="75" spans="1:170" s="18" customFormat="1" ht="18" customHeight="1">
      <c r="A75" s="1809"/>
      <c r="B75" s="416">
        <v>134</v>
      </c>
      <c r="C75" s="21" t="str">
        <f>VLOOKUP(B75,Begriffe!$A$6:$E$442,Begriffe!$D$1+2)</f>
        <v>Jährlicher Elektrizitätsbedarf der Geräte</v>
      </c>
      <c r="D75" s="179"/>
      <c r="E75" s="179"/>
      <c r="F75" s="179"/>
      <c r="G75" s="179"/>
      <c r="H75" s="344"/>
      <c r="I75" s="271" t="s">
        <v>669</v>
      </c>
      <c r="J75" s="272" t="s">
        <v>77</v>
      </c>
      <c r="K75" s="272"/>
      <c r="L75" s="1169"/>
      <c r="M75" s="1023">
        <f>M70*M74/1000</f>
        <v>20.93</v>
      </c>
      <c r="N75" s="1023">
        <f>N70*N74/1000</f>
        <v>8.9700000000000006</v>
      </c>
      <c r="O75" s="1023">
        <f>O70*O74/1000</f>
        <v>44.85</v>
      </c>
      <c r="P75" s="921">
        <v>1</v>
      </c>
      <c r="Q75" s="989">
        <v>1</v>
      </c>
      <c r="R75" s="921">
        <v>0</v>
      </c>
      <c r="S75" s="131"/>
      <c r="T75" s="298"/>
      <c r="U75" s="298"/>
      <c r="V75" s="150"/>
      <c r="W75" s="299"/>
      <c r="X75" s="299"/>
      <c r="Y75" s="150"/>
      <c r="Z75" s="299"/>
      <c r="AA75" s="299"/>
      <c r="AB75" s="131"/>
      <c r="AC75" s="298"/>
      <c r="AD75" s="298"/>
      <c r="AE75" s="13"/>
      <c r="AF75" s="13"/>
      <c r="AG75" s="13"/>
      <c r="AH75" s="13"/>
      <c r="AI75" s="13"/>
      <c r="AJ75" s="13"/>
      <c r="AK75" s="13"/>
      <c r="AL75" s="13"/>
      <c r="AM75" s="13"/>
      <c r="AN75" s="161"/>
      <c r="AO75" s="161"/>
      <c r="AR75" s="99"/>
      <c r="AS75" s="99"/>
      <c r="AT75" s="99"/>
      <c r="AU75" s="99"/>
      <c r="AV75" s="99"/>
      <c r="AW75" s="99"/>
      <c r="AX75" s="99"/>
      <c r="AY75" s="99"/>
      <c r="AZ75" s="99"/>
      <c r="BA75" s="99"/>
      <c r="BB75" s="99"/>
      <c r="BC75" s="99"/>
      <c r="BD75" s="99"/>
      <c r="BE75" s="99"/>
      <c r="BF75" s="99"/>
      <c r="BG75" s="99"/>
      <c r="BH75" s="99"/>
      <c r="BI75" s="99"/>
      <c r="BJ75" s="99"/>
      <c r="BK75" s="99"/>
      <c r="BL75" s="99"/>
      <c r="BM75" s="99"/>
      <c r="BN75" s="99"/>
      <c r="BO75" s="99"/>
      <c r="BP75" s="99"/>
      <c r="BQ75" s="99"/>
      <c r="BR75" s="99"/>
      <c r="BS75" s="99"/>
      <c r="BT75" s="99"/>
      <c r="BU75" s="99"/>
      <c r="BV75" s="99"/>
      <c r="BW75" s="99"/>
      <c r="BX75" s="99"/>
      <c r="BY75" s="99"/>
      <c r="BZ75" s="99"/>
      <c r="CA75" s="99"/>
      <c r="CB75" s="99"/>
      <c r="CC75" s="99"/>
      <c r="CD75" s="99"/>
      <c r="CE75" s="99"/>
      <c r="CF75" s="99"/>
      <c r="CG75" s="99"/>
      <c r="CH75" s="99"/>
      <c r="CI75" s="99"/>
      <c r="CJ75" s="99"/>
      <c r="CK75" s="99"/>
      <c r="CL75" s="99"/>
      <c r="CM75" s="99"/>
      <c r="CN75" s="99"/>
      <c r="CO75" s="99"/>
      <c r="CP75" s="99"/>
      <c r="CQ75" s="99"/>
      <c r="CR75" s="99"/>
      <c r="CS75" s="99"/>
      <c r="CT75" s="99"/>
      <c r="CU75" s="99"/>
      <c r="CV75" s="99"/>
      <c r="CW75" s="99"/>
      <c r="CX75" s="99"/>
      <c r="CY75" s="99"/>
      <c r="CZ75" s="99"/>
      <c r="DA75" s="96"/>
      <c r="DB75" s="96"/>
      <c r="DC75" s="96"/>
      <c r="DD75" s="96"/>
      <c r="DE75" s="96"/>
      <c r="DF75" s="96"/>
      <c r="DG75" s="96"/>
      <c r="DH75" s="96"/>
      <c r="DI75" s="96"/>
      <c r="DJ75" s="96"/>
      <c r="DK75" s="96"/>
      <c r="DL75" s="96"/>
      <c r="DM75" s="96"/>
      <c r="DN75" s="96"/>
      <c r="DO75" s="96"/>
      <c r="DP75" s="96"/>
      <c r="DQ75" s="96"/>
      <c r="DR75" s="96"/>
      <c r="DS75" s="96"/>
      <c r="DT75" s="96"/>
      <c r="DU75" s="96"/>
      <c r="DV75" s="96"/>
      <c r="DW75" s="96"/>
      <c r="DX75" s="96"/>
      <c r="DY75" s="96"/>
      <c r="DZ75" s="96"/>
      <c r="EA75" s="99"/>
      <c r="EB75" s="99"/>
      <c r="EC75" s="99"/>
      <c r="ED75" s="99"/>
      <c r="EE75" s="99"/>
      <c r="EF75" s="99"/>
      <c r="EG75" s="99"/>
      <c r="EH75" s="99"/>
      <c r="EI75" s="99"/>
      <c r="EJ75" s="99"/>
      <c r="EK75" s="99"/>
      <c r="EL75" s="99"/>
      <c r="EM75" s="99"/>
      <c r="EN75" s="99"/>
      <c r="EO75" s="99"/>
      <c r="EP75" s="99"/>
      <c r="EQ75" s="99"/>
      <c r="ER75" s="99"/>
      <c r="ES75" s="99"/>
      <c r="ET75" s="99"/>
      <c r="EU75" s="99"/>
      <c r="EV75" s="99"/>
      <c r="EW75" s="99"/>
      <c r="EX75" s="99"/>
      <c r="EY75" s="99"/>
      <c r="EZ75" s="99"/>
      <c r="FA75" s="99"/>
      <c r="FB75" s="99"/>
      <c r="FC75" s="99"/>
      <c r="FD75" s="99"/>
      <c r="FE75" s="99"/>
      <c r="FF75" s="99"/>
      <c r="FG75" s="99"/>
      <c r="FH75" s="99"/>
      <c r="FI75" s="99"/>
      <c r="FJ75" s="99"/>
      <c r="FK75" s="99"/>
      <c r="FL75" s="99"/>
      <c r="FM75" s="99"/>
      <c r="FN75" s="99"/>
    </row>
    <row r="76" spans="1:170" s="12" customFormat="1" ht="2.1" customHeight="1">
      <c r="A76" s="198"/>
      <c r="B76" s="1142"/>
      <c r="C76" s="200"/>
      <c r="D76" s="200"/>
      <c r="E76" s="200"/>
      <c r="F76" s="200"/>
      <c r="G76" s="200"/>
      <c r="H76" s="200"/>
      <c r="I76" s="206"/>
      <c r="J76" s="207"/>
      <c r="K76" s="207"/>
      <c r="L76" s="206"/>
      <c r="M76" s="208"/>
      <c r="N76" s="997"/>
      <c r="O76" s="997"/>
      <c r="P76" s="921">
        <v>0</v>
      </c>
      <c r="Q76" s="994">
        <v>1</v>
      </c>
      <c r="R76" s="921">
        <v>0</v>
      </c>
      <c r="S76" s="82"/>
      <c r="T76" s="255"/>
      <c r="U76" s="255"/>
      <c r="V76" s="36"/>
      <c r="W76" s="232"/>
      <c r="X76" s="232"/>
      <c r="Y76" s="36"/>
      <c r="Z76" s="232"/>
      <c r="AA76" s="232"/>
      <c r="AB76" s="82"/>
      <c r="AC76" s="255"/>
      <c r="AD76" s="255"/>
      <c r="AE76" s="82"/>
      <c r="AF76" s="82"/>
      <c r="AG76" s="82"/>
      <c r="AH76" s="82"/>
      <c r="AI76" s="82"/>
      <c r="AJ76" s="82"/>
      <c r="AK76" s="82"/>
      <c r="AL76" s="82"/>
      <c r="AM76" s="82"/>
      <c r="AN76" s="156"/>
      <c r="AO76" s="156"/>
      <c r="AP76" s="157"/>
      <c r="AQ76" s="157"/>
      <c r="AR76" s="106"/>
      <c r="AS76" s="106"/>
      <c r="AT76" s="106"/>
      <c r="AU76" s="106"/>
      <c r="AV76" s="106"/>
      <c r="AW76" s="106"/>
      <c r="AX76" s="106"/>
      <c r="AY76" s="106"/>
      <c r="AZ76" s="106"/>
      <c r="BA76" s="106"/>
      <c r="BB76" s="106"/>
      <c r="BC76" s="106"/>
      <c r="BD76" s="106"/>
      <c r="BE76" s="106"/>
      <c r="BF76" s="106"/>
      <c r="BG76" s="106"/>
      <c r="BH76" s="106"/>
      <c r="BI76" s="106"/>
      <c r="BJ76" s="106"/>
      <c r="BK76" s="106"/>
      <c r="BL76" s="106"/>
      <c r="BM76" s="106"/>
      <c r="BN76" s="106"/>
      <c r="BO76" s="106"/>
      <c r="BP76" s="106"/>
      <c r="BQ76" s="106"/>
      <c r="BR76" s="106"/>
      <c r="BS76" s="106"/>
      <c r="BT76" s="106"/>
      <c r="BU76" s="106"/>
      <c r="BV76" s="106"/>
      <c r="BW76" s="106"/>
      <c r="BX76" s="106"/>
      <c r="BY76" s="106"/>
      <c r="BZ76" s="106"/>
      <c r="CA76" s="106"/>
      <c r="CB76" s="106"/>
      <c r="CC76" s="106"/>
      <c r="CD76" s="106"/>
      <c r="CE76" s="106"/>
      <c r="CF76" s="106"/>
      <c r="CG76" s="106"/>
      <c r="CH76" s="106"/>
      <c r="CI76" s="106"/>
      <c r="CJ76" s="106"/>
      <c r="CK76" s="106"/>
      <c r="CL76" s="106"/>
      <c r="CM76" s="106"/>
      <c r="CN76" s="106"/>
      <c r="CO76" s="106"/>
      <c r="CP76" s="106"/>
      <c r="CQ76" s="106"/>
      <c r="CR76" s="106"/>
      <c r="CS76" s="106"/>
      <c r="CT76" s="106"/>
      <c r="CU76" s="106"/>
      <c r="CV76" s="107"/>
      <c r="CW76" s="107"/>
      <c r="CX76" s="107"/>
      <c r="CY76" s="107"/>
      <c r="CZ76" s="107"/>
      <c r="DA76" s="107"/>
      <c r="DB76" s="107"/>
      <c r="DC76" s="107"/>
      <c r="DD76" s="107"/>
      <c r="DE76" s="107"/>
      <c r="DF76" s="107"/>
      <c r="DG76" s="107"/>
      <c r="DH76" s="107"/>
      <c r="DI76" s="107"/>
      <c r="DJ76" s="107"/>
      <c r="DK76" s="107"/>
      <c r="DL76" s="107"/>
      <c r="DM76" s="107"/>
      <c r="DN76" s="107"/>
      <c r="DO76" s="107"/>
      <c r="DP76" s="107"/>
      <c r="DQ76" s="107"/>
      <c r="DR76" s="107"/>
      <c r="DS76" s="107"/>
      <c r="DT76" s="107"/>
      <c r="DU76" s="107"/>
      <c r="DV76" s="107"/>
      <c r="DW76" s="107"/>
      <c r="DX76" s="107"/>
      <c r="DY76" s="107"/>
      <c r="DZ76" s="107"/>
      <c r="EA76" s="107"/>
      <c r="EB76" s="107"/>
      <c r="EC76" s="107"/>
      <c r="ED76" s="107"/>
      <c r="EE76" s="105"/>
      <c r="EF76" s="105"/>
      <c r="EG76" s="105"/>
      <c r="EH76" s="105"/>
      <c r="EI76" s="105"/>
      <c r="EJ76" s="105"/>
      <c r="EK76" s="105"/>
      <c r="EL76" s="105"/>
      <c r="EM76" s="105"/>
      <c r="EN76" s="105"/>
      <c r="EO76" s="105"/>
      <c r="EP76" s="105"/>
      <c r="EQ76" s="105"/>
      <c r="ER76" s="105"/>
      <c r="ES76" s="105"/>
      <c r="ET76" s="105"/>
      <c r="EU76" s="105"/>
      <c r="EV76" s="105"/>
      <c r="EW76" s="105"/>
      <c r="EX76" s="105"/>
      <c r="EY76" s="105"/>
      <c r="EZ76" s="105"/>
      <c r="FA76" s="105"/>
      <c r="FB76" s="105"/>
      <c r="FC76" s="105"/>
      <c r="FD76" s="105"/>
      <c r="FE76" s="105"/>
      <c r="FF76" s="105"/>
      <c r="FG76" s="105"/>
      <c r="FH76" s="105"/>
      <c r="FI76" s="105"/>
      <c r="FJ76" s="105"/>
      <c r="FK76" s="105"/>
      <c r="FL76" s="105"/>
      <c r="FM76" s="105"/>
      <c r="FN76" s="105"/>
    </row>
    <row r="77" spans="1:170" s="18" customFormat="1" ht="18" customHeight="1">
      <c r="A77" s="1810" t="str">
        <f>Begriffe!F203</f>
        <v>Beleuchtung</v>
      </c>
      <c r="B77" s="416">
        <v>107</v>
      </c>
      <c r="C77" s="21" t="str">
        <f>VLOOKUP(B77,Begriffe!$A$6:$E$442,Begriffe!$D$1+2)</f>
        <v>Beleuchtungsstärke</v>
      </c>
      <c r="D77" s="21"/>
      <c r="E77" s="21"/>
      <c r="F77" s="21" t="str">
        <f>Begriffe!F320</f>
        <v>Wartungswert</v>
      </c>
      <c r="G77" s="21"/>
      <c r="H77" s="21"/>
      <c r="I77" s="209" t="s">
        <v>86</v>
      </c>
      <c r="J77" s="210" t="s">
        <v>21</v>
      </c>
      <c r="K77" s="16"/>
      <c r="L77" s="1171"/>
      <c r="M77" s="983">
        <f>IF(L77&lt;&gt;"",L77,INDEX(Eingabedaten!$D$10:$CY$54,nutzid,MATCH($C77,Eingabedaten!$D$7:$CY$7,0)))</f>
        <v>300</v>
      </c>
      <c r="N77" s="1021"/>
      <c r="O77" s="1021"/>
      <c r="P77" s="493">
        <v>0</v>
      </c>
      <c r="Q77" s="989">
        <v>1</v>
      </c>
      <c r="R77" s="493">
        <v>0</v>
      </c>
      <c r="S77" s="131"/>
      <c r="T77" s="298"/>
      <c r="U77" s="298"/>
      <c r="V77" s="150"/>
      <c r="W77" s="299"/>
      <c r="X77" s="1192"/>
      <c r="Y77" s="150"/>
      <c r="Z77" s="299"/>
      <c r="AA77" s="299"/>
      <c r="AB77" s="131"/>
      <c r="AC77" s="298"/>
      <c r="AD77" s="298"/>
      <c r="AE77" s="13"/>
      <c r="AF77" s="13"/>
      <c r="AG77" s="13"/>
      <c r="AH77" s="13"/>
      <c r="AI77" s="13"/>
      <c r="AJ77" s="13"/>
      <c r="AK77" s="13"/>
      <c r="AL77" s="13"/>
      <c r="AM77" s="13"/>
      <c r="AN77" s="161"/>
      <c r="AO77" s="161"/>
      <c r="AR77" s="99"/>
      <c r="AS77" s="99"/>
      <c r="AT77" s="99"/>
      <c r="AU77" s="99"/>
      <c r="AV77" s="99"/>
      <c r="AW77" s="99"/>
      <c r="AX77" s="99"/>
      <c r="AY77" s="99"/>
      <c r="AZ77" s="99"/>
      <c r="BA77" s="99"/>
      <c r="BB77" s="99"/>
      <c r="BC77" s="99"/>
      <c r="BD77" s="99"/>
      <c r="BE77" s="99"/>
      <c r="BF77" s="99"/>
      <c r="BG77" s="99"/>
      <c r="BH77" s="99"/>
      <c r="BI77" s="99"/>
      <c r="BJ77" s="99"/>
      <c r="BK77" s="99"/>
      <c r="BL77" s="99"/>
      <c r="BM77" s="99"/>
      <c r="BN77" s="99"/>
      <c r="BO77" s="99"/>
      <c r="BP77" s="99"/>
      <c r="BQ77" s="99"/>
      <c r="BR77" s="99"/>
      <c r="BS77" s="99"/>
      <c r="BT77" s="99"/>
      <c r="BU77" s="99"/>
      <c r="BV77" s="99"/>
      <c r="BW77" s="99"/>
      <c r="BX77" s="99"/>
      <c r="BY77" s="99"/>
      <c r="BZ77" s="99"/>
      <c r="CA77" s="99"/>
      <c r="CB77" s="99"/>
      <c r="CC77" s="99"/>
      <c r="CD77" s="99"/>
      <c r="CE77" s="99"/>
      <c r="CF77" s="99"/>
      <c r="CG77" s="99"/>
      <c r="CH77" s="99"/>
      <c r="CI77" s="99"/>
      <c r="CJ77" s="99"/>
      <c r="CK77" s="99"/>
      <c r="CL77" s="99"/>
      <c r="CM77" s="99"/>
      <c r="CN77" s="99"/>
      <c r="CO77" s="99"/>
      <c r="CP77" s="99"/>
      <c r="CQ77" s="99"/>
      <c r="CR77" s="99"/>
      <c r="CS77" s="99"/>
      <c r="CT77" s="99"/>
      <c r="CU77" s="99"/>
      <c r="CV77" s="99"/>
      <c r="CW77" s="99"/>
      <c r="CX77" s="99"/>
      <c r="CY77" s="99"/>
      <c r="CZ77" s="99"/>
      <c r="DA77" s="99"/>
      <c r="DB77" s="99"/>
      <c r="DC77" s="99"/>
      <c r="DD77" s="99"/>
      <c r="DE77" s="96"/>
      <c r="DF77" s="96"/>
      <c r="DG77" s="96"/>
      <c r="DH77" s="96"/>
      <c r="DI77" s="96"/>
      <c r="DJ77" s="96"/>
      <c r="DK77" s="96"/>
      <c r="DL77" s="96"/>
      <c r="DM77" s="96"/>
      <c r="DN77" s="96"/>
      <c r="DO77" s="96"/>
      <c r="DP77" s="96"/>
      <c r="DQ77" s="96"/>
      <c r="DR77" s="96"/>
      <c r="DS77" s="96"/>
      <c r="DT77" s="96"/>
      <c r="DU77" s="96"/>
      <c r="DV77" s="96"/>
      <c r="DW77" s="96"/>
      <c r="DX77" s="96"/>
      <c r="DY77" s="96"/>
      <c r="DZ77" s="96"/>
      <c r="EA77" s="96"/>
      <c r="EB77" s="96"/>
      <c r="EC77" s="96"/>
      <c r="ED77" s="96"/>
      <c r="EE77" s="99"/>
      <c r="EF77" s="99"/>
      <c r="EG77" s="99"/>
      <c r="EH77" s="99"/>
      <c r="EI77" s="99"/>
      <c r="EJ77" s="99"/>
      <c r="EK77" s="99"/>
      <c r="EL77" s="99"/>
      <c r="EM77" s="99"/>
      <c r="EN77" s="99"/>
      <c r="EO77" s="99"/>
      <c r="EP77" s="99"/>
      <c r="EQ77" s="99"/>
      <c r="ER77" s="99"/>
      <c r="ES77" s="99"/>
      <c r="ET77" s="99"/>
      <c r="EU77" s="99"/>
      <c r="EV77" s="99"/>
      <c r="EW77" s="99"/>
      <c r="EX77" s="99"/>
      <c r="EY77" s="99"/>
      <c r="EZ77" s="99"/>
      <c r="FA77" s="99"/>
      <c r="FB77" s="99"/>
      <c r="FC77" s="99"/>
      <c r="FD77" s="99"/>
      <c r="FE77" s="99"/>
      <c r="FF77" s="99"/>
      <c r="FG77" s="99"/>
      <c r="FH77" s="99"/>
      <c r="FI77" s="99"/>
      <c r="FJ77" s="99"/>
      <c r="FK77" s="99"/>
      <c r="FL77" s="99"/>
      <c r="FM77" s="99"/>
      <c r="FN77" s="99"/>
    </row>
    <row r="78" spans="1:170" s="18" customFormat="1" ht="18" customHeight="1">
      <c r="A78" s="1808"/>
      <c r="B78" s="416">
        <v>121</v>
      </c>
      <c r="C78" s="493" t="str">
        <f>VLOOKUP(B78,Begriffe!$A$6:$E$442,Begriffe!$D$1+2)</f>
        <v>Glasflächenzahl</v>
      </c>
      <c r="D78" s="21"/>
      <c r="E78" s="179"/>
      <c r="F78" s="21"/>
      <c r="G78" s="21"/>
      <c r="H78" s="21"/>
      <c r="I78" s="180" t="s">
        <v>271</v>
      </c>
      <c r="J78" s="188" t="s">
        <v>272</v>
      </c>
      <c r="K78" s="188"/>
      <c r="L78" s="188"/>
      <c r="M78" s="314">
        <f>M20%/M13*$M8*$M10/(M11)</f>
        <v>0.19607843137254902</v>
      </c>
      <c r="N78" s="314"/>
      <c r="O78" s="314"/>
      <c r="P78" s="493">
        <v>1</v>
      </c>
      <c r="Q78" s="989">
        <v>1</v>
      </c>
      <c r="R78" s="493">
        <v>0</v>
      </c>
      <c r="S78" s="131"/>
      <c r="T78" s="298"/>
      <c r="U78" s="298"/>
      <c r="V78" s="150"/>
      <c r="W78" s="299"/>
      <c r="X78" s="1192"/>
      <c r="Y78" s="150"/>
      <c r="Z78" s="299"/>
      <c r="AA78" s="299"/>
      <c r="AB78" s="131"/>
      <c r="AC78" s="298"/>
      <c r="AD78" s="298"/>
      <c r="AE78" s="13"/>
      <c r="AF78" s="13"/>
      <c r="AG78" s="13"/>
      <c r="AH78" s="13"/>
      <c r="AI78" s="13"/>
      <c r="AJ78" s="13"/>
      <c r="AK78" s="13"/>
      <c r="AL78" s="13"/>
      <c r="AM78" s="13"/>
      <c r="AN78" s="161"/>
      <c r="AO78" s="161"/>
      <c r="AR78" s="99"/>
      <c r="AS78" s="99"/>
      <c r="AT78" s="99"/>
      <c r="AU78" s="99"/>
      <c r="AV78" s="99"/>
      <c r="AW78" s="99"/>
      <c r="AX78" s="99"/>
      <c r="AY78" s="99"/>
      <c r="AZ78" s="99"/>
      <c r="BA78" s="99"/>
      <c r="BB78" s="99"/>
      <c r="BC78" s="99"/>
      <c r="BD78" s="99"/>
      <c r="BE78" s="99"/>
      <c r="BF78" s="99"/>
      <c r="BG78" s="99"/>
      <c r="BH78" s="99"/>
      <c r="BI78" s="99"/>
      <c r="BJ78" s="99"/>
      <c r="BK78" s="99"/>
      <c r="BL78" s="99"/>
      <c r="BM78" s="99"/>
      <c r="BN78" s="99"/>
      <c r="BO78" s="99"/>
      <c r="BP78" s="99"/>
      <c r="BQ78" s="99"/>
      <c r="BR78" s="99"/>
      <c r="BS78" s="99"/>
      <c r="BT78" s="99"/>
      <c r="BU78" s="99"/>
      <c r="BV78" s="99"/>
      <c r="BW78" s="99"/>
      <c r="BX78" s="99"/>
      <c r="BY78" s="99"/>
      <c r="BZ78" s="99"/>
      <c r="CA78" s="99"/>
      <c r="CB78" s="99"/>
      <c r="CC78" s="99"/>
      <c r="CD78" s="99"/>
      <c r="CE78" s="99"/>
      <c r="CF78" s="99"/>
      <c r="CG78" s="99"/>
      <c r="CH78" s="99"/>
      <c r="CI78" s="99"/>
      <c r="CJ78" s="99"/>
      <c r="CK78" s="99"/>
      <c r="CL78" s="99"/>
      <c r="CM78" s="99"/>
      <c r="CN78" s="99"/>
      <c r="CO78" s="99"/>
      <c r="CP78" s="99"/>
      <c r="CQ78" s="99"/>
      <c r="CR78" s="99"/>
      <c r="CS78" s="99"/>
      <c r="CT78" s="99"/>
      <c r="CU78" s="99"/>
      <c r="CV78" s="99"/>
      <c r="CW78" s="99"/>
      <c r="CX78" s="99"/>
      <c r="CY78" s="99"/>
      <c r="CZ78" s="99"/>
      <c r="DA78" s="99"/>
      <c r="DB78" s="99"/>
      <c r="DC78" s="99"/>
      <c r="DD78" s="99"/>
      <c r="DE78" s="96"/>
      <c r="DF78" s="96"/>
      <c r="DG78" s="96"/>
      <c r="DH78" s="96"/>
      <c r="DI78" s="96"/>
      <c r="DJ78" s="96"/>
      <c r="DK78" s="96"/>
      <c r="DL78" s="96"/>
      <c r="DM78" s="96"/>
      <c r="DN78" s="96"/>
      <c r="DO78" s="96"/>
      <c r="DP78" s="96"/>
      <c r="DQ78" s="96"/>
      <c r="DR78" s="96"/>
      <c r="DS78" s="96"/>
      <c r="DT78" s="96"/>
      <c r="DU78" s="96"/>
      <c r="DV78" s="96"/>
      <c r="DW78" s="96"/>
      <c r="DX78" s="96"/>
      <c r="DY78" s="96"/>
      <c r="DZ78" s="96"/>
      <c r="EA78" s="96"/>
      <c r="EB78" s="96"/>
      <c r="EC78" s="96"/>
      <c r="ED78" s="96"/>
      <c r="EE78" s="99"/>
      <c r="EF78" s="99"/>
      <c r="EG78" s="99"/>
      <c r="EH78" s="99"/>
      <c r="EI78" s="99"/>
      <c r="EJ78" s="99"/>
      <c r="EK78" s="99"/>
      <c r="EL78" s="99"/>
      <c r="EM78" s="99"/>
      <c r="EN78" s="99"/>
      <c r="EO78" s="99"/>
      <c r="EP78" s="99"/>
      <c r="EQ78" s="99"/>
      <c r="ER78" s="99"/>
      <c r="ES78" s="99"/>
      <c r="ET78" s="99"/>
      <c r="EU78" s="99"/>
      <c r="EV78" s="99"/>
      <c r="EW78" s="99"/>
      <c r="EX78" s="99"/>
      <c r="EY78" s="99"/>
      <c r="EZ78" s="99"/>
      <c r="FA78" s="99"/>
      <c r="FB78" s="99"/>
      <c r="FC78" s="99"/>
      <c r="FD78" s="99"/>
      <c r="FE78" s="99"/>
      <c r="FF78" s="99"/>
      <c r="FG78" s="99"/>
      <c r="FH78" s="99"/>
      <c r="FI78" s="99"/>
      <c r="FJ78" s="99"/>
      <c r="FK78" s="99"/>
      <c r="FL78" s="99"/>
      <c r="FM78" s="99"/>
      <c r="FN78" s="99"/>
    </row>
    <row r="79" spans="1:170" s="18" customFormat="1" ht="18" customHeight="1">
      <c r="A79" s="1808"/>
      <c r="B79" s="416">
        <v>109</v>
      </c>
      <c r="C79" s="493" t="str">
        <f>VLOOKUP(B79,Begriffe!$A$6:$E$442,Begriffe!$D$1+2)</f>
        <v>Bewertungsebene</v>
      </c>
      <c r="D79" s="177"/>
      <c r="E79" s="177"/>
      <c r="F79" s="21" t="str">
        <f>Begriffe!F321</f>
        <v>Höhe = 0.75 m oder 0.05 m</v>
      </c>
      <c r="G79" s="177"/>
      <c r="H79" s="177"/>
      <c r="I79" s="178" t="s">
        <v>204</v>
      </c>
      <c r="J79" s="188" t="s">
        <v>35</v>
      </c>
      <c r="K79" s="188"/>
      <c r="L79" s="173"/>
      <c r="M79" s="986">
        <f>INDEX(Eingabedaten!$D$10:$CY$54,nutzid,MATCH($C79,Eingabedaten!$D$7:$CY$7,0))</f>
        <v>0.75</v>
      </c>
      <c r="N79" s="345"/>
      <c r="O79" s="345"/>
      <c r="P79" s="493">
        <v>0</v>
      </c>
      <c r="Q79" s="989">
        <v>1</v>
      </c>
      <c r="R79" s="493">
        <v>0</v>
      </c>
      <c r="S79" s="131"/>
      <c r="T79" s="298"/>
      <c r="U79" s="298"/>
      <c r="V79" s="150"/>
      <c r="W79" s="299"/>
      <c r="X79" s="1192"/>
      <c r="Y79" s="150"/>
      <c r="Z79" s="299"/>
      <c r="AA79" s="299"/>
      <c r="AB79" s="131"/>
      <c r="AC79" s="298"/>
      <c r="AD79" s="298"/>
      <c r="AE79" s="13"/>
      <c r="AF79" s="13"/>
      <c r="AG79" s="13"/>
      <c r="AH79" s="13"/>
      <c r="AI79" s="13"/>
      <c r="AJ79" s="13"/>
      <c r="AK79" s="13"/>
      <c r="AL79" s="13"/>
      <c r="AM79" s="13"/>
      <c r="AN79" s="161"/>
      <c r="AO79" s="161"/>
      <c r="AR79" s="99"/>
      <c r="AS79" s="99"/>
      <c r="AT79" s="99"/>
      <c r="AU79" s="99"/>
      <c r="AV79" s="99"/>
      <c r="AW79" s="99"/>
      <c r="AX79" s="99"/>
      <c r="AY79" s="99"/>
      <c r="AZ79" s="99"/>
      <c r="BA79" s="99"/>
      <c r="BB79" s="99"/>
      <c r="BC79" s="99"/>
      <c r="BD79" s="99"/>
      <c r="BE79" s="99"/>
      <c r="BF79" s="99"/>
      <c r="BG79" s="99"/>
      <c r="BH79" s="99"/>
      <c r="BI79" s="99"/>
      <c r="BJ79" s="99"/>
      <c r="BK79" s="99"/>
      <c r="BL79" s="99"/>
      <c r="BM79" s="99"/>
      <c r="BN79" s="99"/>
      <c r="BO79" s="99"/>
      <c r="BP79" s="99"/>
      <c r="BQ79" s="99"/>
      <c r="BR79" s="99"/>
      <c r="BS79" s="99"/>
      <c r="BT79" s="99"/>
      <c r="BU79" s="99"/>
      <c r="BV79" s="99"/>
      <c r="BW79" s="99"/>
      <c r="BX79" s="99"/>
      <c r="BY79" s="99"/>
      <c r="BZ79" s="99"/>
      <c r="CA79" s="99"/>
      <c r="CB79" s="99"/>
      <c r="CC79" s="99"/>
      <c r="CD79" s="99"/>
      <c r="CE79" s="99"/>
      <c r="CF79" s="99"/>
      <c r="CG79" s="99"/>
      <c r="CH79" s="99"/>
      <c r="CI79" s="99"/>
      <c r="CJ79" s="99"/>
      <c r="CK79" s="99"/>
      <c r="CL79" s="99"/>
      <c r="CM79" s="99"/>
      <c r="CN79" s="99"/>
      <c r="CO79" s="99"/>
      <c r="CP79" s="99"/>
      <c r="CQ79" s="99"/>
      <c r="CR79" s="99"/>
      <c r="CS79" s="99"/>
      <c r="CT79" s="99"/>
      <c r="CU79" s="99"/>
      <c r="CV79" s="99"/>
      <c r="CW79" s="99"/>
      <c r="CX79" s="99"/>
      <c r="CY79" s="99"/>
      <c r="CZ79" s="99"/>
      <c r="DA79" s="99"/>
      <c r="DB79" s="99"/>
      <c r="DC79" s="99"/>
      <c r="DD79" s="99"/>
      <c r="DE79" s="96"/>
      <c r="DF79" s="96"/>
      <c r="DG79" s="96"/>
      <c r="DH79" s="96"/>
      <c r="DI79" s="96"/>
      <c r="DJ79" s="96"/>
      <c r="DK79" s="96"/>
      <c r="DL79" s="96"/>
      <c r="DM79" s="96"/>
      <c r="DN79" s="96"/>
      <c r="DO79" s="96"/>
      <c r="DP79" s="96"/>
      <c r="DQ79" s="96"/>
      <c r="DR79" s="96"/>
      <c r="DS79" s="96"/>
      <c r="DT79" s="96"/>
      <c r="DU79" s="96"/>
      <c r="DV79" s="96"/>
      <c r="DW79" s="96"/>
      <c r="DX79" s="96"/>
      <c r="DY79" s="96"/>
      <c r="DZ79" s="96"/>
      <c r="EA79" s="96"/>
      <c r="EB79" s="96"/>
      <c r="EC79" s="96"/>
      <c r="ED79" s="96"/>
      <c r="EE79" s="99"/>
      <c r="EF79" s="99"/>
      <c r="EG79" s="99"/>
      <c r="EH79" s="99"/>
      <c r="EI79" s="99"/>
      <c r="EJ79" s="99"/>
      <c r="EK79" s="99"/>
      <c r="EL79" s="99"/>
      <c r="EM79" s="99"/>
      <c r="EN79" s="99"/>
      <c r="EO79" s="99"/>
      <c r="EP79" s="99"/>
      <c r="EQ79" s="99"/>
      <c r="ER79" s="99"/>
      <c r="ES79" s="99"/>
      <c r="ET79" s="99"/>
      <c r="EU79" s="99"/>
      <c r="EV79" s="99"/>
      <c r="EW79" s="99"/>
      <c r="EX79" s="99"/>
      <c r="EY79" s="99"/>
      <c r="EZ79" s="99"/>
      <c r="FA79" s="99"/>
      <c r="FB79" s="99"/>
      <c r="FC79" s="99"/>
      <c r="FD79" s="99"/>
      <c r="FE79" s="99"/>
      <c r="FF79" s="99"/>
      <c r="FG79" s="99"/>
      <c r="FH79" s="99"/>
      <c r="FI79" s="99"/>
      <c r="FJ79" s="99"/>
      <c r="FK79" s="99"/>
      <c r="FL79" s="99"/>
      <c r="FM79" s="99"/>
      <c r="FN79" s="99"/>
    </row>
    <row r="80" spans="1:170" s="19" customFormat="1" ht="18" customHeight="1">
      <c r="A80" s="1808"/>
      <c r="B80" s="416">
        <v>159</v>
      </c>
      <c r="C80" s="493" t="str">
        <f>VLOOKUP(B80,Begriffe!$A$6:$E$442,Begriffe!$D$1+2)</f>
        <v>Raumindex</v>
      </c>
      <c r="D80" s="177"/>
      <c r="E80" s="177"/>
      <c r="F80" s="177"/>
      <c r="G80" s="177"/>
      <c r="H80" s="177"/>
      <c r="I80" s="180" t="s">
        <v>209</v>
      </c>
      <c r="J80" s="188" t="s">
        <v>272</v>
      </c>
      <c r="K80" s="188"/>
      <c r="L80" s="173"/>
      <c r="M80" s="183">
        <f>(M8*M9)/((M10-M79)*(M8+M9))</f>
        <v>1.8461538461538463</v>
      </c>
      <c r="N80" s="871"/>
      <c r="O80" s="871"/>
      <c r="P80" s="493">
        <v>1</v>
      </c>
      <c r="Q80" s="989">
        <v>1</v>
      </c>
      <c r="R80" s="493">
        <v>0</v>
      </c>
      <c r="S80" s="131"/>
      <c r="T80" s="298"/>
      <c r="U80" s="298"/>
      <c r="V80" s="150"/>
      <c r="W80" s="299"/>
      <c r="X80" s="299"/>
      <c r="Y80" s="150"/>
      <c r="Z80" s="299"/>
      <c r="AA80" s="299"/>
      <c r="AB80" s="131"/>
      <c r="AC80" s="298"/>
      <c r="AD80" s="298"/>
      <c r="AE80" s="13"/>
      <c r="AF80" s="13"/>
      <c r="AG80" s="13"/>
      <c r="AH80" s="13"/>
      <c r="AI80" s="13"/>
      <c r="AJ80" s="13"/>
      <c r="AK80" s="13"/>
      <c r="AL80" s="13"/>
      <c r="AM80" s="13"/>
      <c r="AN80" s="13"/>
      <c r="AO80" s="13"/>
      <c r="AP80" s="155"/>
      <c r="AQ80" s="155"/>
      <c r="AR80" s="102"/>
      <c r="AS80" s="102"/>
      <c r="AT80" s="102"/>
      <c r="AU80" s="102"/>
      <c r="AV80" s="102"/>
      <c r="AW80" s="102"/>
      <c r="AX80" s="102"/>
      <c r="AY80" s="102"/>
      <c r="AZ80" s="102"/>
      <c r="BA80" s="102"/>
      <c r="BB80" s="102"/>
      <c r="BC80" s="102"/>
      <c r="BD80" s="102"/>
      <c r="BE80" s="102"/>
      <c r="BF80" s="102"/>
      <c r="BG80" s="102"/>
      <c r="BH80" s="102"/>
      <c r="BI80" s="102"/>
      <c r="BJ80" s="102"/>
      <c r="BK80" s="102"/>
      <c r="BL80" s="102"/>
      <c r="BM80" s="102"/>
      <c r="BN80" s="102"/>
      <c r="BO80" s="102"/>
      <c r="BP80" s="102"/>
      <c r="BQ80" s="102"/>
      <c r="BR80" s="102"/>
      <c r="BS80" s="102"/>
      <c r="BT80" s="102"/>
      <c r="BU80" s="102"/>
      <c r="BV80" s="102"/>
      <c r="BW80" s="102"/>
      <c r="BX80" s="102"/>
      <c r="BY80" s="102"/>
      <c r="BZ80" s="102"/>
      <c r="CA80" s="102"/>
      <c r="CB80" s="102"/>
      <c r="CC80" s="102"/>
      <c r="CD80" s="102"/>
      <c r="CE80" s="102"/>
      <c r="CF80" s="102"/>
      <c r="CG80" s="102"/>
      <c r="CH80" s="102"/>
      <c r="CI80" s="102"/>
      <c r="CJ80" s="102"/>
      <c r="CK80" s="102"/>
      <c r="CL80" s="102"/>
      <c r="CM80" s="102"/>
      <c r="CN80" s="102"/>
      <c r="CO80" s="102"/>
      <c r="CP80" s="102"/>
      <c r="CQ80" s="102"/>
      <c r="CR80" s="102"/>
      <c r="CS80" s="102"/>
      <c r="CT80" s="102"/>
      <c r="CU80" s="102"/>
      <c r="CV80" s="102"/>
      <c r="CW80" s="102"/>
      <c r="CX80" s="102"/>
      <c r="CY80" s="102"/>
      <c r="CZ80" s="102"/>
      <c r="DA80" s="102"/>
      <c r="DB80" s="102"/>
      <c r="DC80" s="102"/>
      <c r="DD80" s="102"/>
      <c r="DE80" s="101"/>
      <c r="DF80" s="101"/>
      <c r="DG80" s="101"/>
      <c r="DH80" s="101"/>
      <c r="DI80" s="101"/>
      <c r="DJ80" s="101"/>
      <c r="DK80" s="101"/>
      <c r="DL80" s="101"/>
      <c r="DM80" s="101"/>
      <c r="DN80" s="101"/>
      <c r="DO80" s="101"/>
      <c r="DP80" s="101"/>
      <c r="DQ80" s="101"/>
      <c r="DR80" s="101"/>
      <c r="DS80" s="101"/>
      <c r="DT80" s="101"/>
      <c r="DU80" s="101"/>
      <c r="DV80" s="101"/>
      <c r="DW80" s="101"/>
      <c r="DX80" s="101"/>
      <c r="DY80" s="101"/>
      <c r="DZ80" s="101"/>
      <c r="EA80" s="101"/>
      <c r="EB80" s="101"/>
      <c r="EC80" s="101"/>
      <c r="ED80" s="101"/>
      <c r="EE80" s="102"/>
      <c r="EF80" s="102"/>
      <c r="EG80" s="102"/>
      <c r="EH80" s="102"/>
      <c r="EI80" s="102"/>
      <c r="EJ80" s="102"/>
      <c r="EK80" s="102"/>
      <c r="EL80" s="102"/>
      <c r="EM80" s="102"/>
      <c r="EN80" s="102"/>
      <c r="EO80" s="102"/>
      <c r="EP80" s="102"/>
      <c r="EQ80" s="102"/>
      <c r="ER80" s="102"/>
      <c r="ES80" s="102"/>
      <c r="ET80" s="102"/>
      <c r="EU80" s="102"/>
      <c r="EV80" s="102"/>
      <c r="EW80" s="102"/>
      <c r="EX80" s="102"/>
      <c r="EY80" s="102"/>
      <c r="EZ80" s="102"/>
      <c r="FA80" s="102"/>
      <c r="FB80" s="102"/>
      <c r="FC80" s="102"/>
      <c r="FD80" s="102"/>
      <c r="FE80" s="102"/>
      <c r="FF80" s="102"/>
      <c r="FG80" s="102"/>
      <c r="FH80" s="102"/>
      <c r="FI80" s="102"/>
      <c r="FJ80" s="102"/>
      <c r="FK80" s="102"/>
      <c r="FL80" s="102"/>
      <c r="FM80" s="102"/>
      <c r="FN80" s="102"/>
    </row>
    <row r="81" spans="1:170" s="19" customFormat="1" ht="18" hidden="1" customHeight="1">
      <c r="A81" s="1808"/>
      <c r="B81" s="171"/>
      <c r="C81" s="26" t="s">
        <v>85</v>
      </c>
      <c r="D81" s="32"/>
      <c r="E81" s="32"/>
      <c r="F81" s="32"/>
      <c r="G81" s="32"/>
      <c r="H81" s="32"/>
      <c r="I81" s="27" t="s">
        <v>20</v>
      </c>
      <c r="J81" s="33" t="s">
        <v>18</v>
      </c>
      <c r="K81" s="33"/>
      <c r="L81" s="25"/>
      <c r="M81" s="1027">
        <v>1.25</v>
      </c>
      <c r="N81" s="1027">
        <v>1.25</v>
      </c>
      <c r="O81" s="1027">
        <v>1.25</v>
      </c>
      <c r="P81" s="493">
        <v>0</v>
      </c>
      <c r="Q81" s="989">
        <v>0</v>
      </c>
      <c r="R81" s="493">
        <v>0</v>
      </c>
      <c r="S81" s="131"/>
      <c r="T81" s="298"/>
      <c r="U81" s="298"/>
      <c r="V81" s="150"/>
      <c r="W81" s="299"/>
      <c r="X81" s="299"/>
      <c r="Y81" s="150"/>
      <c r="Z81" s="299"/>
      <c r="AA81" s="299"/>
      <c r="AB81" s="131"/>
      <c r="AC81" s="298"/>
      <c r="AD81" s="298"/>
      <c r="AE81" s="13"/>
      <c r="AF81" s="13"/>
      <c r="AG81" s="13"/>
      <c r="AH81" s="13"/>
      <c r="AI81" s="13"/>
      <c r="AJ81" s="13"/>
      <c r="AK81" s="13"/>
      <c r="AL81" s="13"/>
      <c r="AM81" s="13"/>
      <c r="AN81" s="13"/>
      <c r="AO81" s="13"/>
      <c r="AP81" s="155"/>
      <c r="AQ81" s="155"/>
      <c r="AR81" s="102"/>
      <c r="AS81" s="102"/>
      <c r="AT81" s="102"/>
      <c r="AU81" s="102"/>
      <c r="AV81" s="102"/>
      <c r="AW81" s="102"/>
      <c r="AX81" s="102"/>
      <c r="AY81" s="102"/>
      <c r="AZ81" s="102"/>
      <c r="BA81" s="102"/>
      <c r="BB81" s="102"/>
      <c r="BC81" s="102"/>
      <c r="BD81" s="102"/>
      <c r="BE81" s="102"/>
      <c r="BF81" s="102"/>
      <c r="BG81" s="102"/>
      <c r="BH81" s="102"/>
      <c r="BI81" s="102"/>
      <c r="BJ81" s="102"/>
      <c r="BK81" s="102"/>
      <c r="BL81" s="102"/>
      <c r="BM81" s="102"/>
      <c r="BN81" s="102"/>
      <c r="BO81" s="102"/>
      <c r="BP81" s="102"/>
      <c r="BQ81" s="102"/>
      <c r="BR81" s="102"/>
      <c r="BS81" s="102"/>
      <c r="BT81" s="102"/>
      <c r="BU81" s="102"/>
      <c r="BV81" s="102"/>
      <c r="BW81" s="102"/>
      <c r="BX81" s="102"/>
      <c r="BY81" s="102"/>
      <c r="BZ81" s="102"/>
      <c r="CA81" s="102"/>
      <c r="CB81" s="102"/>
      <c r="CC81" s="102"/>
      <c r="CD81" s="102"/>
      <c r="CE81" s="102"/>
      <c r="CF81" s="102"/>
      <c r="CG81" s="102"/>
      <c r="CH81" s="102"/>
      <c r="CI81" s="102"/>
      <c r="CJ81" s="102"/>
      <c r="CK81" s="102"/>
      <c r="CL81" s="102"/>
      <c r="CM81" s="102"/>
      <c r="CN81" s="102"/>
      <c r="CO81" s="102"/>
      <c r="CP81" s="102"/>
      <c r="CQ81" s="102"/>
      <c r="CR81" s="102"/>
      <c r="CS81" s="102"/>
      <c r="CT81" s="102"/>
      <c r="CU81" s="102"/>
      <c r="CV81" s="102"/>
      <c r="CW81" s="102"/>
      <c r="CX81" s="102"/>
      <c r="CY81" s="102"/>
      <c r="CZ81" s="102"/>
      <c r="DA81" s="102"/>
      <c r="DB81" s="102"/>
      <c r="DC81" s="102"/>
      <c r="DD81" s="102"/>
      <c r="DE81" s="101"/>
      <c r="DF81" s="101"/>
      <c r="DG81" s="101"/>
      <c r="DH81" s="101"/>
      <c r="DI81" s="101"/>
      <c r="DJ81" s="101"/>
      <c r="DK81" s="101"/>
      <c r="DL81" s="101"/>
      <c r="DM81" s="101"/>
      <c r="DN81" s="101"/>
      <c r="DO81" s="101"/>
      <c r="DP81" s="101"/>
      <c r="DQ81" s="101"/>
      <c r="DR81" s="101"/>
      <c r="DS81" s="101"/>
      <c r="DT81" s="101"/>
      <c r="DU81" s="101"/>
      <c r="DV81" s="101"/>
      <c r="DW81" s="101"/>
      <c r="DX81" s="101"/>
      <c r="DY81" s="101"/>
      <c r="DZ81" s="101"/>
      <c r="EA81" s="101"/>
      <c r="EB81" s="101"/>
      <c r="EC81" s="101"/>
      <c r="ED81" s="101"/>
      <c r="EE81" s="102"/>
      <c r="EF81" s="102"/>
      <c r="EG81" s="102"/>
      <c r="EH81" s="102"/>
      <c r="EI81" s="102"/>
      <c r="EJ81" s="102"/>
      <c r="EK81" s="102"/>
      <c r="EL81" s="102"/>
      <c r="EM81" s="102"/>
      <c r="EN81" s="102"/>
      <c r="EO81" s="102"/>
      <c r="EP81" s="102"/>
      <c r="EQ81" s="102"/>
      <c r="ER81" s="102"/>
      <c r="ES81" s="102"/>
      <c r="ET81" s="102"/>
      <c r="EU81" s="102"/>
      <c r="EV81" s="102"/>
      <c r="EW81" s="102"/>
      <c r="EX81" s="102"/>
      <c r="EY81" s="102"/>
      <c r="EZ81" s="102"/>
      <c r="FA81" s="102"/>
      <c r="FB81" s="102"/>
      <c r="FC81" s="102"/>
      <c r="FD81" s="102"/>
      <c r="FE81" s="102"/>
      <c r="FF81" s="102"/>
      <c r="FG81" s="102"/>
      <c r="FH81" s="102"/>
      <c r="FI81" s="102"/>
      <c r="FJ81" s="102"/>
      <c r="FK81" s="102"/>
      <c r="FL81" s="102"/>
      <c r="FM81" s="102"/>
      <c r="FN81" s="102"/>
    </row>
    <row r="82" spans="1:170" s="19" customFormat="1" ht="18" customHeight="1">
      <c r="A82" s="1808"/>
      <c r="B82" s="416">
        <v>145</v>
      </c>
      <c r="C82" s="493" t="str">
        <f>VLOOKUP(B82,Begriffe!$A$6:$E$442,Begriffe!$D$1+2)</f>
        <v>Leuchten-Lichtausbeute</v>
      </c>
      <c r="D82" s="21"/>
      <c r="E82" s="179"/>
      <c r="F82" s="21"/>
      <c r="G82" s="21"/>
      <c r="H82" s="21"/>
      <c r="I82" s="239" t="s">
        <v>200</v>
      </c>
      <c r="J82" s="188" t="s">
        <v>97</v>
      </c>
      <c r="K82" s="188"/>
      <c r="L82" s="1173"/>
      <c r="M82" s="187">
        <f>IF(L82&lt;&gt;"",L82,(0.7*(43+M77/14)))</f>
        <v>45.1</v>
      </c>
      <c r="N82" s="187">
        <f>0.7*(64+M77/14)</f>
        <v>59.8</v>
      </c>
      <c r="O82" s="187">
        <f>M82</f>
        <v>45.1</v>
      </c>
      <c r="P82" s="493">
        <v>1</v>
      </c>
      <c r="Q82" s="989">
        <v>1</v>
      </c>
      <c r="R82" s="493">
        <v>0</v>
      </c>
      <c r="S82" s="131"/>
      <c r="T82" s="298"/>
      <c r="U82" s="298"/>
      <c r="V82" s="150"/>
      <c r="W82" s="299"/>
      <c r="X82" s="299"/>
      <c r="Y82" s="150"/>
      <c r="Z82" s="299"/>
      <c r="AA82" s="299"/>
      <c r="AB82" s="131"/>
      <c r="AC82" s="298"/>
      <c r="AD82" s="298"/>
      <c r="AE82" s="13"/>
      <c r="AF82" s="13"/>
      <c r="AG82" s="13"/>
      <c r="AH82" s="13"/>
      <c r="AI82" s="13"/>
      <c r="AJ82" s="13"/>
      <c r="AK82" s="13"/>
      <c r="AL82" s="13"/>
      <c r="AM82" s="13"/>
      <c r="AN82" s="13"/>
      <c r="AO82" s="13"/>
      <c r="AP82" s="155"/>
      <c r="AQ82" s="155"/>
      <c r="AR82" s="102"/>
      <c r="AS82" s="102"/>
      <c r="AT82" s="102"/>
      <c r="AU82" s="102"/>
      <c r="AV82" s="102"/>
      <c r="AW82" s="102"/>
      <c r="AX82" s="102"/>
      <c r="AY82" s="102"/>
      <c r="AZ82" s="102"/>
      <c r="BA82" s="102"/>
      <c r="BB82" s="102"/>
      <c r="BC82" s="102"/>
      <c r="BD82" s="102"/>
      <c r="BE82" s="102"/>
      <c r="BF82" s="102"/>
      <c r="BG82" s="102"/>
      <c r="BH82" s="102"/>
      <c r="BI82" s="102"/>
      <c r="BJ82" s="102"/>
      <c r="BK82" s="102"/>
      <c r="BL82" s="102"/>
      <c r="BM82" s="102"/>
      <c r="BN82" s="102"/>
      <c r="BO82" s="102"/>
      <c r="BP82" s="102"/>
      <c r="BQ82" s="102"/>
      <c r="BR82" s="102"/>
      <c r="BS82" s="102"/>
      <c r="BT82" s="102"/>
      <c r="BU82" s="102"/>
      <c r="BV82" s="102"/>
      <c r="BW82" s="102"/>
      <c r="BX82" s="102"/>
      <c r="BY82" s="102"/>
      <c r="BZ82" s="102"/>
      <c r="CA82" s="102"/>
      <c r="CB82" s="102"/>
      <c r="CC82" s="102"/>
      <c r="CD82" s="102"/>
      <c r="CE82" s="102"/>
      <c r="CF82" s="102"/>
      <c r="CG82" s="102"/>
      <c r="CH82" s="102"/>
      <c r="CI82" s="102"/>
      <c r="CJ82" s="102"/>
      <c r="CK82" s="102"/>
      <c r="CL82" s="102"/>
      <c r="CM82" s="102"/>
      <c r="CN82" s="102"/>
      <c r="CO82" s="102"/>
      <c r="CP82" s="102"/>
      <c r="CQ82" s="102"/>
      <c r="CR82" s="102"/>
      <c r="CS82" s="102"/>
      <c r="CT82" s="102"/>
      <c r="CU82" s="102"/>
      <c r="CV82" s="102"/>
      <c r="CW82" s="102"/>
      <c r="CX82" s="102"/>
      <c r="CY82" s="102"/>
      <c r="CZ82" s="102"/>
      <c r="DA82" s="102"/>
      <c r="DB82" s="102"/>
      <c r="DC82" s="102"/>
      <c r="DD82" s="102"/>
      <c r="DE82" s="101"/>
      <c r="DF82" s="101"/>
      <c r="DG82" s="101"/>
      <c r="DH82" s="101"/>
      <c r="DI82" s="101"/>
      <c r="DJ82" s="101"/>
      <c r="DK82" s="101"/>
      <c r="DL82" s="101"/>
      <c r="DM82" s="101"/>
      <c r="DN82" s="101"/>
      <c r="DO82" s="101"/>
      <c r="DP82" s="101"/>
      <c r="DQ82" s="101"/>
      <c r="DR82" s="101"/>
      <c r="DS82" s="101"/>
      <c r="DT82" s="101"/>
      <c r="DU82" s="101"/>
      <c r="DV82" s="101"/>
      <c r="DW82" s="101"/>
      <c r="DX82" s="101"/>
      <c r="DY82" s="101"/>
      <c r="DZ82" s="101"/>
      <c r="EA82" s="101"/>
      <c r="EB82" s="101"/>
      <c r="EC82" s="101"/>
      <c r="ED82" s="101"/>
      <c r="EE82" s="102"/>
      <c r="EF82" s="102"/>
      <c r="EG82" s="102"/>
      <c r="EH82" s="102"/>
      <c r="EI82" s="102"/>
      <c r="EJ82" s="102"/>
      <c r="EK82" s="102"/>
      <c r="EL82" s="102"/>
      <c r="EM82" s="102"/>
      <c r="EN82" s="102"/>
      <c r="EO82" s="102"/>
      <c r="EP82" s="102"/>
      <c r="EQ82" s="102"/>
      <c r="ER82" s="102"/>
      <c r="ES82" s="102"/>
      <c r="ET82" s="102"/>
      <c r="EU82" s="102"/>
      <c r="EV82" s="102"/>
      <c r="EW82" s="102"/>
      <c r="EX82" s="102"/>
      <c r="EY82" s="102"/>
      <c r="EZ82" s="102"/>
      <c r="FA82" s="102"/>
      <c r="FB82" s="102"/>
      <c r="FC82" s="102"/>
      <c r="FD82" s="102"/>
      <c r="FE82" s="102"/>
      <c r="FF82" s="102"/>
      <c r="FG82" s="102"/>
      <c r="FH82" s="102"/>
      <c r="FI82" s="102"/>
      <c r="FJ82" s="102"/>
      <c r="FK82" s="102"/>
      <c r="FL82" s="102"/>
      <c r="FM82" s="102"/>
      <c r="FN82" s="102"/>
    </row>
    <row r="83" spans="1:170" s="19" customFormat="1" ht="18" customHeight="1">
      <c r="A83" s="1808"/>
      <c r="B83" s="416">
        <v>161</v>
      </c>
      <c r="C83" s="493" t="str">
        <f>VLOOKUP(B83,Begriffe!$A$6:$E$442,Begriffe!$D$1+2)</f>
        <v>Raumwirkungsgrad</v>
      </c>
      <c r="D83" s="21"/>
      <c r="E83" s="179"/>
      <c r="F83" s="21"/>
      <c r="G83" s="21"/>
      <c r="H83" s="21"/>
      <c r="I83" s="261" t="s">
        <v>203</v>
      </c>
      <c r="J83" s="188" t="s">
        <v>272</v>
      </c>
      <c r="K83" s="188"/>
      <c r="L83" s="173"/>
      <c r="M83" s="314">
        <f>1.25*((1/1)-(1/($M80+1)))</f>
        <v>0.81081081081081086</v>
      </c>
      <c r="N83" s="314">
        <f>1.35*((1/1)-(1/(M80+1)))</f>
        <v>0.87567567567567584</v>
      </c>
      <c r="O83" s="314">
        <f>M83</f>
        <v>0.81081081081081086</v>
      </c>
      <c r="P83" s="493">
        <v>1</v>
      </c>
      <c r="Q83" s="989">
        <v>1</v>
      </c>
      <c r="R83" s="493">
        <v>0</v>
      </c>
      <c r="S83" s="131" t="s">
        <v>192</v>
      </c>
      <c r="T83" s="298"/>
      <c r="U83" s="298"/>
      <c r="V83" s="150"/>
      <c r="W83" s="299"/>
      <c r="X83" s="299"/>
      <c r="Y83" s="150"/>
      <c r="Z83" s="299"/>
      <c r="AA83" s="299"/>
      <c r="AB83" s="131"/>
      <c r="AC83" s="298"/>
      <c r="AD83" s="298"/>
      <c r="AE83" s="13"/>
      <c r="AF83" s="13"/>
      <c r="AG83" s="13"/>
      <c r="AH83" s="13"/>
      <c r="AI83" s="13"/>
      <c r="AJ83" s="13"/>
      <c r="AK83" s="13"/>
      <c r="AL83" s="13"/>
      <c r="AM83" s="13"/>
      <c r="AN83" s="13"/>
      <c r="AO83" s="13"/>
      <c r="AP83" s="155"/>
      <c r="AQ83" s="155"/>
      <c r="AR83" s="102"/>
      <c r="AS83" s="102"/>
      <c r="AT83" s="102"/>
      <c r="AU83" s="102"/>
      <c r="AV83" s="102"/>
      <c r="AW83" s="102"/>
      <c r="AX83" s="102"/>
      <c r="AY83" s="102"/>
      <c r="AZ83" s="102"/>
      <c r="BA83" s="102"/>
      <c r="BB83" s="102"/>
      <c r="BC83" s="102"/>
      <c r="BD83" s="102"/>
      <c r="BE83" s="102"/>
      <c r="BF83" s="102"/>
      <c r="BG83" s="102"/>
      <c r="BH83" s="102"/>
      <c r="BI83" s="102"/>
      <c r="BJ83" s="102"/>
      <c r="BK83" s="102"/>
      <c r="BL83" s="102"/>
      <c r="BM83" s="102"/>
      <c r="BN83" s="102"/>
      <c r="BO83" s="102"/>
      <c r="BP83" s="102"/>
      <c r="BQ83" s="102"/>
      <c r="BR83" s="102"/>
      <c r="BS83" s="102"/>
      <c r="BT83" s="102"/>
      <c r="BU83" s="102"/>
      <c r="BV83" s="102"/>
      <c r="BW83" s="102"/>
      <c r="BX83" s="102"/>
      <c r="BY83" s="102"/>
      <c r="BZ83" s="102"/>
      <c r="CA83" s="102"/>
      <c r="CB83" s="102"/>
      <c r="CC83" s="102"/>
      <c r="CD83" s="102"/>
      <c r="CE83" s="102"/>
      <c r="CF83" s="102"/>
      <c r="CG83" s="102"/>
      <c r="CH83" s="102"/>
      <c r="CI83" s="102"/>
      <c r="CJ83" s="102"/>
      <c r="CK83" s="102"/>
      <c r="CL83" s="102"/>
      <c r="CM83" s="102"/>
      <c r="CN83" s="102"/>
      <c r="CO83" s="102"/>
      <c r="CP83" s="102"/>
      <c r="CQ83" s="102"/>
      <c r="CR83" s="102"/>
      <c r="CS83" s="102"/>
      <c r="CT83" s="102"/>
      <c r="CU83" s="102"/>
      <c r="CV83" s="102"/>
      <c r="CW83" s="102"/>
      <c r="CX83" s="102"/>
      <c r="CY83" s="102"/>
      <c r="CZ83" s="102"/>
      <c r="DA83" s="102"/>
      <c r="DB83" s="102"/>
      <c r="DC83" s="102"/>
      <c r="DD83" s="102"/>
      <c r="DE83" s="101"/>
      <c r="DF83" s="101"/>
      <c r="DG83" s="101"/>
      <c r="DH83" s="101"/>
      <c r="DI83" s="101"/>
      <c r="DJ83" s="101"/>
      <c r="DK83" s="101"/>
      <c r="DL83" s="101"/>
      <c r="DM83" s="101"/>
      <c r="DN83" s="101"/>
      <c r="DO83" s="101"/>
      <c r="DP83" s="101"/>
      <c r="DQ83" s="101"/>
      <c r="DR83" s="101"/>
      <c r="DS83" s="101"/>
      <c r="DT83" s="101"/>
      <c r="DU83" s="101"/>
      <c r="DV83" s="101"/>
      <c r="DW83" s="101"/>
      <c r="DX83" s="101"/>
      <c r="DY83" s="101"/>
      <c r="DZ83" s="101"/>
      <c r="EA83" s="101"/>
      <c r="EB83" s="101"/>
      <c r="EC83" s="101"/>
      <c r="ED83" s="101"/>
      <c r="EE83" s="102"/>
      <c r="EF83" s="102"/>
      <c r="EG83" s="102"/>
      <c r="EH83" s="102"/>
      <c r="EI83" s="102"/>
      <c r="EJ83" s="102"/>
      <c r="EK83" s="102"/>
      <c r="EL83" s="102"/>
      <c r="EM83" s="102"/>
      <c r="EN83" s="102"/>
      <c r="EO83" s="102"/>
      <c r="EP83" s="102"/>
      <c r="EQ83" s="102"/>
      <c r="ER83" s="102"/>
      <c r="ES83" s="102"/>
      <c r="ET83" s="102"/>
      <c r="EU83" s="102"/>
      <c r="EV83" s="102"/>
      <c r="EW83" s="102"/>
      <c r="EX83" s="102"/>
      <c r="EY83" s="102"/>
      <c r="EZ83" s="102"/>
      <c r="FA83" s="102"/>
      <c r="FB83" s="102"/>
      <c r="FC83" s="102"/>
      <c r="FD83" s="102"/>
      <c r="FE83" s="102"/>
      <c r="FF83" s="102"/>
      <c r="FG83" s="102"/>
      <c r="FH83" s="102"/>
      <c r="FI83" s="102"/>
      <c r="FJ83" s="102"/>
      <c r="FK83" s="102"/>
      <c r="FL83" s="102"/>
      <c r="FM83" s="102"/>
      <c r="FN83" s="102"/>
    </row>
    <row r="84" spans="1:170" s="19" customFormat="1" ht="18" customHeight="1">
      <c r="A84" s="1808"/>
      <c r="B84" s="416">
        <v>152</v>
      </c>
      <c r="C84" s="493" t="str">
        <f>VLOOKUP(B84,Begriffe!$A$6:$E$442,Begriffe!$D$1+2)</f>
        <v>Nutzungsstunden pro Tag</v>
      </c>
      <c r="D84" s="21"/>
      <c r="E84" s="177"/>
      <c r="F84" s="21" t="s">
        <v>757</v>
      </c>
      <c r="G84" s="177"/>
      <c r="H84" s="177"/>
      <c r="I84" s="178" t="s">
        <v>235</v>
      </c>
      <c r="J84" s="188" t="s">
        <v>17</v>
      </c>
      <c r="K84" s="188"/>
      <c r="L84" s="1172"/>
      <c r="M84" s="931">
        <f>IF(L84&lt;&gt;"",L84,INDEX(Eingabedaten!$D$10:$FU$54,nutzid,MATCH($C84,Eingabedaten!$D$7:$FU$7,0)))</f>
        <v>11</v>
      </c>
      <c r="N84" s="183"/>
      <c r="O84" s="183"/>
      <c r="P84" s="493">
        <v>0</v>
      </c>
      <c r="Q84" s="989">
        <v>1</v>
      </c>
      <c r="R84" s="493">
        <v>0</v>
      </c>
      <c r="S84" s="131"/>
      <c r="T84" s="298"/>
      <c r="U84" s="298"/>
      <c r="V84" s="150"/>
      <c r="W84" s="299"/>
      <c r="X84" s="1192"/>
      <c r="Y84" s="150"/>
      <c r="Z84" s="299"/>
      <c r="AA84" s="299"/>
      <c r="AB84" s="131"/>
      <c r="AC84" s="298"/>
      <c r="AD84" s="298"/>
      <c r="AE84" s="13"/>
      <c r="AF84" s="13"/>
      <c r="AG84" s="13"/>
      <c r="AH84" s="13"/>
      <c r="AI84" s="13"/>
      <c r="AJ84" s="13"/>
      <c r="AK84" s="13"/>
      <c r="AL84" s="13"/>
      <c r="AM84" s="13"/>
      <c r="AN84" s="13"/>
      <c r="AO84" s="13"/>
      <c r="AP84" s="155"/>
      <c r="AQ84" s="155"/>
      <c r="AR84" s="102"/>
      <c r="AS84" s="102"/>
      <c r="AT84" s="102"/>
      <c r="AU84" s="102"/>
      <c r="AV84" s="102"/>
      <c r="AW84" s="102"/>
      <c r="AX84" s="102"/>
      <c r="AY84" s="102"/>
      <c r="AZ84" s="102"/>
      <c r="BA84" s="102"/>
      <c r="BB84" s="102"/>
      <c r="BC84" s="102"/>
      <c r="BD84" s="102"/>
      <c r="BE84" s="102"/>
      <c r="BF84" s="102"/>
      <c r="BG84" s="102"/>
      <c r="BH84" s="102"/>
      <c r="BI84" s="102"/>
      <c r="BJ84" s="102"/>
      <c r="BK84" s="102"/>
      <c r="BL84" s="102"/>
      <c r="BM84" s="102"/>
      <c r="BN84" s="102"/>
      <c r="BO84" s="102"/>
      <c r="BP84" s="102"/>
      <c r="BQ84" s="102"/>
      <c r="BR84" s="102"/>
      <c r="BS84" s="102"/>
      <c r="BT84" s="102"/>
      <c r="BU84" s="102"/>
      <c r="BV84" s="102"/>
      <c r="BW84" s="102"/>
      <c r="BX84" s="102"/>
      <c r="BY84" s="102"/>
      <c r="BZ84" s="102"/>
      <c r="CA84" s="102"/>
      <c r="CB84" s="102"/>
      <c r="CC84" s="102"/>
      <c r="CD84" s="102"/>
      <c r="CE84" s="102"/>
      <c r="CF84" s="102"/>
      <c r="CG84" s="102"/>
      <c r="CH84" s="102"/>
      <c r="CI84" s="102"/>
      <c r="CJ84" s="102"/>
      <c r="CK84" s="102"/>
      <c r="CL84" s="102"/>
      <c r="CM84" s="102"/>
      <c r="CN84" s="102"/>
      <c r="CO84" s="102"/>
      <c r="CP84" s="102"/>
      <c r="CQ84" s="102"/>
      <c r="CR84" s="102"/>
      <c r="CS84" s="102"/>
      <c r="CT84" s="102"/>
      <c r="CU84" s="102"/>
      <c r="CV84" s="102"/>
      <c r="CW84" s="102"/>
      <c r="CX84" s="102"/>
      <c r="CY84" s="102"/>
      <c r="CZ84" s="102"/>
      <c r="DA84" s="102"/>
      <c r="DB84" s="102"/>
      <c r="DC84" s="102"/>
      <c r="DD84" s="102"/>
      <c r="DE84" s="101"/>
      <c r="DF84" s="101"/>
      <c r="DG84" s="101"/>
      <c r="DH84" s="101"/>
      <c r="DI84" s="101"/>
      <c r="DJ84" s="101"/>
      <c r="DK84" s="101"/>
      <c r="DL84" s="101"/>
      <c r="DM84" s="101"/>
      <c r="DN84" s="101"/>
      <c r="DO84" s="101"/>
      <c r="DP84" s="101"/>
      <c r="DQ84" s="101"/>
      <c r="DR84" s="101"/>
      <c r="DS84" s="101"/>
      <c r="DT84" s="101"/>
      <c r="DU84" s="101"/>
      <c r="DV84" s="101"/>
      <c r="DW84" s="101"/>
      <c r="DX84" s="101"/>
      <c r="DY84" s="101"/>
      <c r="DZ84" s="101"/>
      <c r="EA84" s="101"/>
      <c r="EB84" s="101"/>
      <c r="EC84" s="101"/>
      <c r="ED84" s="101"/>
      <c r="EE84" s="102"/>
      <c r="EF84" s="102"/>
      <c r="EG84" s="102"/>
      <c r="EH84" s="102"/>
      <c r="EI84" s="102"/>
      <c r="EJ84" s="102"/>
      <c r="EK84" s="102"/>
      <c r="EL84" s="102"/>
      <c r="EM84" s="102"/>
      <c r="EN84" s="102"/>
      <c r="EO84" s="102"/>
      <c r="EP84" s="102"/>
      <c r="EQ84" s="102"/>
      <c r="ER84" s="102"/>
      <c r="ES84" s="102"/>
      <c r="ET84" s="102"/>
      <c r="EU84" s="102"/>
      <c r="EV84" s="102"/>
      <c r="EW84" s="102"/>
      <c r="EX84" s="102"/>
      <c r="EY84" s="102"/>
      <c r="EZ84" s="102"/>
      <c r="FA84" s="102"/>
      <c r="FB84" s="102"/>
      <c r="FC84" s="102"/>
      <c r="FD84" s="102"/>
      <c r="FE84" s="102"/>
      <c r="FF84" s="102"/>
      <c r="FG84" s="102"/>
      <c r="FH84" s="102"/>
      <c r="FI84" s="102"/>
      <c r="FJ84" s="102"/>
      <c r="FK84" s="102"/>
      <c r="FL84" s="102"/>
      <c r="FM84" s="102"/>
      <c r="FN84" s="102"/>
    </row>
    <row r="85" spans="1:170" s="19" customFormat="1" ht="18" customHeight="1">
      <c r="A85" s="1808"/>
      <c r="B85" s="416">
        <v>334</v>
      </c>
      <c r="C85" s="493" t="str">
        <f>VLOOKUP(B85,Begriffe!$A$6:$E$442,Begriffe!$D$1+2)</f>
        <v>Nutzungsstunden pro Nacht</v>
      </c>
      <c r="D85" s="21"/>
      <c r="E85" s="177"/>
      <c r="F85" s="21" t="s">
        <v>756</v>
      </c>
      <c r="G85" s="177"/>
      <c r="H85" s="177"/>
      <c r="I85" s="178" t="s">
        <v>236</v>
      </c>
      <c r="J85" s="188" t="s">
        <v>17</v>
      </c>
      <c r="K85" s="188"/>
      <c r="L85" s="1172"/>
      <c r="M85" s="931">
        <f>IF(L85&lt;&gt;"",L85,INDEX(Eingabedaten!$D$10:$FU$54,nutzid,MATCH($C85,Eingabedaten!$D$7:$FU$7,0)))</f>
        <v>9</v>
      </c>
      <c r="N85" s="183"/>
      <c r="O85" s="183"/>
      <c r="P85" s="493">
        <v>0</v>
      </c>
      <c r="Q85" s="989">
        <v>1</v>
      </c>
      <c r="R85" s="493">
        <v>1</v>
      </c>
      <c r="S85" s="131"/>
      <c r="T85" s="298"/>
      <c r="U85" s="298"/>
      <c r="V85" s="150"/>
      <c r="W85" s="299"/>
      <c r="X85" s="1192"/>
      <c r="Y85" s="150"/>
      <c r="Z85" s="299"/>
      <c r="AA85" s="299"/>
      <c r="AB85" s="131"/>
      <c r="AC85" s="298"/>
      <c r="AD85" s="298"/>
      <c r="AE85" s="13"/>
      <c r="AF85" s="13"/>
      <c r="AG85" s="13"/>
      <c r="AH85" s="13"/>
      <c r="AI85" s="13"/>
      <c r="AJ85" s="13"/>
      <c r="AK85" s="13"/>
      <c r="AL85" s="13"/>
      <c r="AM85" s="13"/>
      <c r="AN85" s="13"/>
      <c r="AO85" s="13"/>
      <c r="AP85" s="155"/>
      <c r="AQ85" s="155"/>
      <c r="AR85" s="102"/>
      <c r="AS85" s="102"/>
      <c r="AT85" s="102"/>
      <c r="AU85" s="102"/>
      <c r="AV85" s="102"/>
      <c r="AW85" s="102"/>
      <c r="AX85" s="102"/>
      <c r="AY85" s="102"/>
      <c r="AZ85" s="102"/>
      <c r="BA85" s="102"/>
      <c r="BB85" s="102"/>
      <c r="BC85" s="102"/>
      <c r="BD85" s="102"/>
      <c r="BE85" s="102"/>
      <c r="BF85" s="102"/>
      <c r="BG85" s="102"/>
      <c r="BH85" s="102"/>
      <c r="BI85" s="102"/>
      <c r="BJ85" s="102"/>
      <c r="BK85" s="102"/>
      <c r="BL85" s="102"/>
      <c r="BM85" s="102"/>
      <c r="BN85" s="102"/>
      <c r="BO85" s="102"/>
      <c r="BP85" s="102"/>
      <c r="BQ85" s="102"/>
      <c r="BR85" s="102"/>
      <c r="BS85" s="102"/>
      <c r="BT85" s="102"/>
      <c r="BU85" s="102"/>
      <c r="BV85" s="102"/>
      <c r="BW85" s="102"/>
      <c r="BX85" s="102"/>
      <c r="BY85" s="102"/>
      <c r="BZ85" s="102"/>
      <c r="CA85" s="102"/>
      <c r="CB85" s="102"/>
      <c r="CC85" s="102"/>
      <c r="CD85" s="102"/>
      <c r="CE85" s="102"/>
      <c r="CF85" s="102"/>
      <c r="CG85" s="102"/>
      <c r="CH85" s="102"/>
      <c r="CI85" s="102"/>
      <c r="CJ85" s="102"/>
      <c r="CK85" s="102"/>
      <c r="CL85" s="102"/>
      <c r="CM85" s="102"/>
      <c r="CN85" s="102"/>
      <c r="CO85" s="102"/>
      <c r="CP85" s="102"/>
      <c r="CQ85" s="102"/>
      <c r="CR85" s="102"/>
      <c r="CS85" s="102"/>
      <c r="CT85" s="102"/>
      <c r="CU85" s="102"/>
      <c r="CV85" s="102"/>
      <c r="CW85" s="102"/>
      <c r="CX85" s="102"/>
      <c r="CY85" s="102"/>
      <c r="CZ85" s="102"/>
      <c r="DA85" s="102"/>
      <c r="DB85" s="102"/>
      <c r="DC85" s="102"/>
      <c r="DD85" s="102"/>
      <c r="DE85" s="101"/>
      <c r="DF85" s="101"/>
      <c r="DG85" s="101"/>
      <c r="DH85" s="101"/>
      <c r="DI85" s="101"/>
      <c r="DJ85" s="101"/>
      <c r="DK85" s="101"/>
      <c r="DL85" s="101"/>
      <c r="DM85" s="101"/>
      <c r="DN85" s="101"/>
      <c r="DO85" s="101"/>
      <c r="DP85" s="101"/>
      <c r="DQ85" s="101"/>
      <c r="DR85" s="101"/>
      <c r="DS85" s="101"/>
      <c r="DT85" s="101"/>
      <c r="DU85" s="101"/>
      <c r="DV85" s="101"/>
      <c r="DW85" s="101"/>
      <c r="DX85" s="101"/>
      <c r="DY85" s="101"/>
      <c r="DZ85" s="101"/>
      <c r="EA85" s="101"/>
      <c r="EB85" s="101"/>
      <c r="EC85" s="101"/>
      <c r="ED85" s="101"/>
      <c r="EE85" s="102"/>
      <c r="EF85" s="102"/>
      <c r="EG85" s="102"/>
      <c r="EH85" s="102"/>
      <c r="EI85" s="102"/>
      <c r="EJ85" s="102"/>
      <c r="EK85" s="102"/>
      <c r="EL85" s="102"/>
      <c r="EM85" s="102"/>
      <c r="EN85" s="102"/>
      <c r="EO85" s="102"/>
      <c r="EP85" s="102"/>
      <c r="EQ85" s="102"/>
      <c r="ER85" s="102"/>
      <c r="ES85" s="102"/>
      <c r="ET85" s="102"/>
      <c r="EU85" s="102"/>
      <c r="EV85" s="102"/>
      <c r="EW85" s="102"/>
      <c r="EX85" s="102"/>
      <c r="EY85" s="102"/>
      <c r="EZ85" s="102"/>
      <c r="FA85" s="102"/>
      <c r="FB85" s="102"/>
      <c r="FC85" s="102"/>
      <c r="FD85" s="102"/>
      <c r="FE85" s="102"/>
      <c r="FF85" s="102"/>
      <c r="FG85" s="102"/>
      <c r="FH85" s="102"/>
      <c r="FI85" s="102"/>
      <c r="FJ85" s="102"/>
      <c r="FK85" s="102"/>
      <c r="FL85" s="102"/>
      <c r="FM85" s="102"/>
      <c r="FN85" s="102"/>
    </row>
    <row r="86" spans="1:170" s="13" customFormat="1" ht="18" hidden="1" customHeight="1">
      <c r="A86" s="1808"/>
      <c r="B86" s="30"/>
      <c r="C86" s="26" t="s">
        <v>81</v>
      </c>
      <c r="D86" s="26"/>
      <c r="E86" s="32"/>
      <c r="F86" s="26"/>
      <c r="G86" s="32"/>
      <c r="H86" s="32"/>
      <c r="I86" s="27"/>
      <c r="J86" s="33"/>
      <c r="K86" s="33"/>
      <c r="L86" s="25"/>
      <c r="M86" s="1028">
        <v>1</v>
      </c>
      <c r="N86" s="1028">
        <v>1</v>
      </c>
      <c r="O86" s="1028">
        <v>1</v>
      </c>
      <c r="P86" s="493">
        <v>0</v>
      </c>
      <c r="Q86" s="989">
        <v>0</v>
      </c>
      <c r="R86" s="493">
        <v>0</v>
      </c>
      <c r="S86" s="131"/>
      <c r="T86" s="298"/>
      <c r="U86" s="298"/>
      <c r="V86" s="150"/>
      <c r="W86" s="299"/>
      <c r="X86" s="1192"/>
      <c r="Y86" s="150"/>
      <c r="Z86" s="299"/>
      <c r="AA86" s="299"/>
      <c r="AB86" s="131"/>
      <c r="AC86" s="298"/>
      <c r="AD86" s="29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88"/>
      <c r="BW86" s="88"/>
      <c r="BX86" s="88"/>
      <c r="BY86" s="88"/>
      <c r="BZ86" s="88"/>
      <c r="CA86" s="88"/>
      <c r="CB86" s="88"/>
      <c r="CC86" s="88"/>
      <c r="CD86" s="88"/>
      <c r="CE86" s="88"/>
      <c r="CF86" s="88"/>
      <c r="CG86" s="88"/>
      <c r="CH86" s="88"/>
      <c r="CI86" s="88"/>
      <c r="CJ86" s="88"/>
      <c r="CK86" s="88"/>
      <c r="CL86" s="88"/>
      <c r="CM86" s="88"/>
      <c r="CN86" s="88"/>
      <c r="CO86" s="88"/>
      <c r="CP86" s="88"/>
      <c r="CQ86" s="88"/>
      <c r="CR86" s="88"/>
      <c r="CS86" s="88"/>
      <c r="CT86" s="88"/>
      <c r="CU86" s="88"/>
      <c r="CV86" s="88"/>
      <c r="CW86" s="88"/>
      <c r="CX86" s="88"/>
      <c r="CY86" s="88"/>
      <c r="CZ86" s="88"/>
      <c r="DA86" s="88"/>
      <c r="DB86" s="88"/>
      <c r="DC86" s="88"/>
      <c r="DD86" s="88"/>
      <c r="DE86" s="103"/>
      <c r="DF86" s="103"/>
      <c r="DG86" s="103"/>
      <c r="DH86" s="103"/>
      <c r="DI86" s="103"/>
      <c r="DJ86" s="103"/>
      <c r="DK86" s="103"/>
      <c r="DL86" s="103"/>
      <c r="DM86" s="103"/>
      <c r="DN86" s="103"/>
      <c r="DO86" s="103"/>
      <c r="DP86" s="103"/>
      <c r="DQ86" s="103"/>
      <c r="DR86" s="103"/>
      <c r="DS86" s="103"/>
      <c r="DT86" s="103"/>
      <c r="DU86" s="103"/>
      <c r="DV86" s="103"/>
      <c r="DW86" s="103"/>
      <c r="DX86" s="103"/>
      <c r="DY86" s="103"/>
      <c r="DZ86" s="103"/>
      <c r="EA86" s="103"/>
      <c r="EB86" s="103"/>
      <c r="EC86" s="103"/>
      <c r="ED86" s="103"/>
      <c r="EE86" s="88"/>
      <c r="EF86" s="88"/>
      <c r="EG86" s="88"/>
      <c r="EH86" s="88"/>
      <c r="EI86" s="88"/>
      <c r="EJ86" s="88"/>
      <c r="EK86" s="88"/>
      <c r="EL86" s="88"/>
      <c r="EM86" s="88"/>
      <c r="EN86" s="88"/>
      <c r="EO86" s="88"/>
      <c r="EP86" s="88"/>
      <c r="EQ86" s="88"/>
      <c r="ER86" s="88"/>
      <c r="ES86" s="88"/>
      <c r="ET86" s="88"/>
      <c r="EU86" s="88"/>
      <c r="EV86" s="88"/>
      <c r="EW86" s="88"/>
      <c r="EX86" s="88"/>
      <c r="EY86" s="88"/>
      <c r="EZ86" s="88"/>
      <c r="FA86" s="88"/>
      <c r="FB86" s="88"/>
      <c r="FC86" s="88"/>
      <c r="FD86" s="88"/>
      <c r="FE86" s="88"/>
      <c r="FF86" s="88"/>
      <c r="FG86" s="88"/>
      <c r="FH86" s="88"/>
      <c r="FI86" s="88"/>
      <c r="FJ86" s="88"/>
      <c r="FK86" s="88"/>
      <c r="FL86" s="88"/>
      <c r="FM86" s="88"/>
      <c r="FN86" s="88"/>
    </row>
    <row r="87" spans="1:170" s="19" customFormat="1" ht="18" hidden="1" customHeight="1">
      <c r="A87" s="1808"/>
      <c r="B87" s="30"/>
      <c r="C87" s="26" t="s">
        <v>38</v>
      </c>
      <c r="D87" s="26"/>
      <c r="E87" s="346"/>
      <c r="F87" s="26" t="s">
        <v>36</v>
      </c>
      <c r="G87" s="26"/>
      <c r="H87" s="26"/>
      <c r="I87" s="27" t="s">
        <v>87</v>
      </c>
      <c r="J87" s="33"/>
      <c r="K87" s="33"/>
      <c r="L87" s="25"/>
      <c r="M87" s="347">
        <f>MAX(0.175,0.35*(0.375+($M$77/800))*M86)</f>
        <v>0.26249999999999996</v>
      </c>
      <c r="N87" s="347">
        <f>MAX(0.175,0.35*(0.375+($M$77/800))*N86)</f>
        <v>0.26249999999999996</v>
      </c>
      <c r="O87" s="347">
        <f>MAX(0.175,0.35*(0.375+($M$77/800))*O86)</f>
        <v>0.26249999999999996</v>
      </c>
      <c r="P87" s="493">
        <v>0</v>
      </c>
      <c r="Q87" s="989">
        <v>0</v>
      </c>
      <c r="R87" s="493">
        <v>0</v>
      </c>
      <c r="S87" s="131"/>
      <c r="T87" s="298"/>
      <c r="U87" s="298"/>
      <c r="V87" s="150"/>
      <c r="W87" s="299"/>
      <c r="X87" s="1192"/>
      <c r="Y87" s="150"/>
      <c r="Z87" s="299"/>
      <c r="AA87" s="299"/>
      <c r="AB87" s="131"/>
      <c r="AC87" s="298"/>
      <c r="AD87" s="298"/>
      <c r="AE87" s="13"/>
      <c r="AF87" s="13"/>
      <c r="AG87" s="13"/>
      <c r="AH87" s="13"/>
      <c r="AI87" s="13"/>
      <c r="AJ87" s="13"/>
      <c r="AK87" s="13"/>
      <c r="AL87" s="13"/>
      <c r="AM87" s="13"/>
      <c r="AN87" s="13"/>
      <c r="AO87" s="13"/>
      <c r="AP87" s="155"/>
      <c r="AQ87" s="155"/>
      <c r="AR87" s="102"/>
      <c r="AS87" s="102"/>
      <c r="AT87" s="102"/>
      <c r="AU87" s="102"/>
      <c r="AV87" s="102"/>
      <c r="AW87" s="102"/>
      <c r="AX87" s="102"/>
      <c r="AY87" s="102"/>
      <c r="AZ87" s="102"/>
      <c r="BA87" s="102"/>
      <c r="BB87" s="102"/>
      <c r="BC87" s="102"/>
      <c r="BD87" s="102"/>
      <c r="BE87" s="102"/>
      <c r="BF87" s="102"/>
      <c r="BG87" s="102"/>
      <c r="BH87" s="102"/>
      <c r="BI87" s="102"/>
      <c r="BJ87" s="102"/>
      <c r="BK87" s="102"/>
      <c r="BL87" s="102"/>
      <c r="BM87" s="102"/>
      <c r="BN87" s="102"/>
      <c r="BO87" s="102"/>
      <c r="BP87" s="102"/>
      <c r="BQ87" s="102"/>
      <c r="BR87" s="102"/>
      <c r="BS87" s="102"/>
      <c r="BT87" s="102"/>
      <c r="BU87" s="102"/>
      <c r="BV87" s="102"/>
      <c r="BW87" s="102"/>
      <c r="BX87" s="102"/>
      <c r="BY87" s="102"/>
      <c r="BZ87" s="102"/>
      <c r="CA87" s="102"/>
      <c r="CB87" s="102"/>
      <c r="CC87" s="102"/>
      <c r="CD87" s="102"/>
      <c r="CE87" s="102"/>
      <c r="CF87" s="102"/>
      <c r="CG87" s="102"/>
      <c r="CH87" s="102"/>
      <c r="CI87" s="102"/>
      <c r="CJ87" s="102"/>
      <c r="CK87" s="102"/>
      <c r="CL87" s="102"/>
      <c r="CM87" s="102"/>
      <c r="CN87" s="102"/>
      <c r="CO87" s="102"/>
      <c r="CP87" s="102"/>
      <c r="CQ87" s="102"/>
      <c r="CR87" s="102"/>
      <c r="CS87" s="102"/>
      <c r="CT87" s="102"/>
      <c r="CU87" s="102"/>
      <c r="CV87" s="102"/>
      <c r="CW87" s="102"/>
      <c r="CX87" s="102"/>
      <c r="CY87" s="102"/>
      <c r="CZ87" s="102"/>
      <c r="DA87" s="102"/>
      <c r="DB87" s="102"/>
      <c r="DC87" s="102"/>
      <c r="DD87" s="102"/>
      <c r="DE87" s="101"/>
      <c r="DF87" s="101"/>
      <c r="DG87" s="101"/>
      <c r="DH87" s="101"/>
      <c r="DI87" s="101"/>
      <c r="DJ87" s="101"/>
      <c r="DK87" s="101"/>
      <c r="DL87" s="101"/>
      <c r="DM87" s="101"/>
      <c r="DN87" s="101"/>
      <c r="DO87" s="101"/>
      <c r="DP87" s="101"/>
      <c r="DQ87" s="101"/>
      <c r="DR87" s="101"/>
      <c r="DS87" s="101"/>
      <c r="DT87" s="101"/>
      <c r="DU87" s="101"/>
      <c r="DV87" s="101"/>
      <c r="DW87" s="101"/>
      <c r="DX87" s="101"/>
      <c r="DY87" s="101"/>
      <c r="DZ87" s="101"/>
      <c r="EA87" s="101"/>
      <c r="EB87" s="101"/>
      <c r="EC87" s="101"/>
      <c r="ED87" s="101"/>
      <c r="EE87" s="102"/>
      <c r="EF87" s="102"/>
      <c r="EG87" s="102"/>
      <c r="EH87" s="102"/>
      <c r="EI87" s="102"/>
      <c r="EJ87" s="102"/>
      <c r="EK87" s="102"/>
      <c r="EL87" s="102"/>
      <c r="EM87" s="102"/>
      <c r="EN87" s="102"/>
      <c r="EO87" s="102"/>
      <c r="EP87" s="102"/>
      <c r="EQ87" s="102"/>
      <c r="ER87" s="102"/>
      <c r="ES87" s="102"/>
      <c r="ET87" s="102"/>
      <c r="EU87" s="102"/>
      <c r="EV87" s="102"/>
      <c r="EW87" s="102"/>
      <c r="EX87" s="102"/>
      <c r="EY87" s="102"/>
      <c r="EZ87" s="102"/>
      <c r="FA87" s="102"/>
      <c r="FB87" s="102"/>
      <c r="FC87" s="102"/>
      <c r="FD87" s="102"/>
      <c r="FE87" s="102"/>
      <c r="FF87" s="102"/>
      <c r="FG87" s="102"/>
      <c r="FH87" s="102"/>
      <c r="FI87" s="102"/>
      <c r="FJ87" s="102"/>
      <c r="FK87" s="102"/>
      <c r="FL87" s="102"/>
      <c r="FM87" s="102"/>
      <c r="FN87" s="102"/>
    </row>
    <row r="88" spans="1:170" s="19" customFormat="1" ht="18" hidden="1" customHeight="1">
      <c r="A88" s="1808"/>
      <c r="B88" s="30"/>
      <c r="C88" s="26" t="s">
        <v>37</v>
      </c>
      <c r="D88" s="26"/>
      <c r="E88" s="346"/>
      <c r="F88" s="26"/>
      <c r="G88" s="26"/>
      <c r="H88" s="26"/>
      <c r="I88" s="27" t="s">
        <v>88</v>
      </c>
      <c r="J88" s="33"/>
      <c r="K88" s="33"/>
      <c r="L88" s="348"/>
      <c r="M88" s="1028">
        <v>2</v>
      </c>
      <c r="N88" s="1028">
        <v>1</v>
      </c>
      <c r="O88" s="1028">
        <v>2</v>
      </c>
      <c r="P88" s="493">
        <v>0</v>
      </c>
      <c r="Q88" s="989">
        <v>0</v>
      </c>
      <c r="R88" s="493">
        <v>0</v>
      </c>
      <c r="S88" s="131"/>
      <c r="T88" s="298"/>
      <c r="U88" s="298"/>
      <c r="V88" s="150"/>
      <c r="W88" s="299"/>
      <c r="X88" s="299"/>
      <c r="Y88" s="150"/>
      <c r="Z88" s="299"/>
      <c r="AA88" s="299"/>
      <c r="AB88" s="131"/>
      <c r="AC88" s="298"/>
      <c r="AD88" s="298"/>
      <c r="AE88" s="13"/>
      <c r="AF88" s="13"/>
      <c r="AG88" s="13"/>
      <c r="AH88" s="13"/>
      <c r="AI88" s="13"/>
      <c r="AJ88" s="13"/>
      <c r="AK88" s="13"/>
      <c r="AL88" s="13"/>
      <c r="AM88" s="13"/>
      <c r="AN88" s="13"/>
      <c r="AO88" s="13"/>
      <c r="AP88" s="155"/>
      <c r="AQ88" s="155"/>
      <c r="AR88" s="102"/>
      <c r="AS88" s="102"/>
      <c r="AT88" s="102"/>
      <c r="AU88" s="102"/>
      <c r="AV88" s="102"/>
      <c r="AW88" s="102"/>
      <c r="AX88" s="102"/>
      <c r="AY88" s="102"/>
      <c r="AZ88" s="102"/>
      <c r="BA88" s="102"/>
      <c r="BB88" s="102"/>
      <c r="BC88" s="102"/>
      <c r="BD88" s="102"/>
      <c r="BE88" s="102"/>
      <c r="BF88" s="102"/>
      <c r="BG88" s="102"/>
      <c r="BH88" s="102"/>
      <c r="BI88" s="102"/>
      <c r="BJ88" s="102"/>
      <c r="BK88" s="102"/>
      <c r="BL88" s="102"/>
      <c r="BM88" s="102"/>
      <c r="BN88" s="102"/>
      <c r="BO88" s="102"/>
      <c r="BP88" s="102"/>
      <c r="BQ88" s="102"/>
      <c r="BR88" s="102"/>
      <c r="BS88" s="102"/>
      <c r="BT88" s="102"/>
      <c r="BU88" s="102"/>
      <c r="BV88" s="102"/>
      <c r="BW88" s="102"/>
      <c r="BX88" s="102"/>
      <c r="BY88" s="102"/>
      <c r="BZ88" s="102"/>
      <c r="CA88" s="102"/>
      <c r="CB88" s="102"/>
      <c r="CC88" s="102"/>
      <c r="CD88" s="102"/>
      <c r="CE88" s="102"/>
      <c r="CF88" s="102"/>
      <c r="CG88" s="102"/>
      <c r="CH88" s="102"/>
      <c r="CI88" s="102"/>
      <c r="CJ88" s="102"/>
      <c r="CK88" s="102"/>
      <c r="CL88" s="102"/>
      <c r="CM88" s="102"/>
      <c r="CN88" s="102"/>
      <c r="CO88" s="102"/>
      <c r="CP88" s="102"/>
      <c r="CQ88" s="102"/>
      <c r="CR88" s="102"/>
      <c r="CS88" s="102"/>
      <c r="CT88" s="102"/>
      <c r="CU88" s="102"/>
      <c r="CV88" s="102"/>
      <c r="CW88" s="102"/>
      <c r="CX88" s="102"/>
      <c r="CY88" s="102"/>
      <c r="CZ88" s="102"/>
      <c r="DA88" s="102"/>
      <c r="DB88" s="102"/>
      <c r="DC88" s="102"/>
      <c r="DD88" s="102"/>
      <c r="DE88" s="101"/>
      <c r="DF88" s="101"/>
      <c r="DG88" s="101"/>
      <c r="DH88" s="101"/>
      <c r="DI88" s="101"/>
      <c r="DJ88" s="101"/>
      <c r="DK88" s="101"/>
      <c r="DL88" s="101"/>
      <c r="DM88" s="101"/>
      <c r="DN88" s="101"/>
      <c r="DO88" s="101"/>
      <c r="DP88" s="101"/>
      <c r="DQ88" s="101"/>
      <c r="DR88" s="101"/>
      <c r="DS88" s="101"/>
      <c r="DT88" s="101"/>
      <c r="DU88" s="101"/>
      <c r="DV88" s="101"/>
      <c r="DW88" s="101"/>
      <c r="DX88" s="101"/>
      <c r="DY88" s="101"/>
      <c r="DZ88" s="101"/>
      <c r="EA88" s="101"/>
      <c r="EB88" s="101"/>
      <c r="EC88" s="101"/>
      <c r="ED88" s="101"/>
      <c r="EE88" s="102"/>
      <c r="EF88" s="102"/>
      <c r="EG88" s="102"/>
      <c r="EH88" s="102"/>
      <c r="EI88" s="102"/>
      <c r="EJ88" s="102"/>
      <c r="EK88" s="102"/>
      <c r="EL88" s="102"/>
      <c r="EM88" s="102"/>
      <c r="EN88" s="102"/>
      <c r="EO88" s="102"/>
      <c r="EP88" s="102"/>
      <c r="EQ88" s="102"/>
      <c r="ER88" s="102"/>
      <c r="ES88" s="102"/>
      <c r="ET88" s="102"/>
      <c r="EU88" s="102"/>
      <c r="EV88" s="102"/>
      <c r="EW88" s="102"/>
      <c r="EX88" s="102"/>
      <c r="EY88" s="102"/>
      <c r="EZ88" s="102"/>
      <c r="FA88" s="102"/>
      <c r="FB88" s="102"/>
      <c r="FC88" s="102"/>
      <c r="FD88" s="102"/>
      <c r="FE88" s="102"/>
      <c r="FF88" s="102"/>
      <c r="FG88" s="102"/>
      <c r="FH88" s="102"/>
      <c r="FI88" s="102"/>
      <c r="FJ88" s="102"/>
      <c r="FK88" s="102"/>
      <c r="FL88" s="102"/>
      <c r="FM88" s="102"/>
      <c r="FN88" s="102"/>
    </row>
    <row r="89" spans="1:170" s="19" customFormat="1" ht="18" hidden="1" customHeight="1">
      <c r="A89" s="1808"/>
      <c r="B89" s="30"/>
      <c r="C89" s="26" t="s">
        <v>82</v>
      </c>
      <c r="D89" s="26"/>
      <c r="E89" s="346"/>
      <c r="F89" s="26"/>
      <c r="G89" s="26"/>
      <c r="H89" s="26"/>
      <c r="I89" s="27" t="s">
        <v>18</v>
      </c>
      <c r="J89" s="33" t="s">
        <v>18</v>
      </c>
      <c r="K89" s="33"/>
      <c r="L89" s="348"/>
      <c r="M89" s="28" t="str">
        <f>IF(M88=1,"geregelt","gesteuert")</f>
        <v>gesteuert</v>
      </c>
      <c r="N89" s="28" t="str">
        <f>IF(N88=1,"geregelt","gesteuert")</f>
        <v>geregelt</v>
      </c>
      <c r="O89" s="28" t="str">
        <f>IF(O88=1,"geregelt","gesteuert")</f>
        <v>gesteuert</v>
      </c>
      <c r="P89" s="493">
        <v>0</v>
      </c>
      <c r="Q89" s="989">
        <v>0</v>
      </c>
      <c r="R89" s="493">
        <v>0</v>
      </c>
      <c r="S89" s="131"/>
      <c r="T89" s="298"/>
      <c r="U89" s="298"/>
      <c r="V89" s="150"/>
      <c r="W89" s="299"/>
      <c r="X89" s="299"/>
      <c r="Y89" s="150"/>
      <c r="Z89" s="299"/>
      <c r="AA89" s="299"/>
      <c r="AB89" s="131"/>
      <c r="AC89" s="298"/>
      <c r="AD89" s="298"/>
      <c r="AE89" s="13"/>
      <c r="AF89" s="13"/>
      <c r="AG89" s="13"/>
      <c r="AH89" s="13"/>
      <c r="AI89" s="13"/>
      <c r="AJ89" s="13"/>
      <c r="AK89" s="13"/>
      <c r="AL89" s="13"/>
      <c r="AM89" s="13"/>
      <c r="AN89" s="13"/>
      <c r="AO89" s="13"/>
      <c r="AP89" s="155"/>
      <c r="AQ89" s="155"/>
      <c r="AR89" s="102"/>
      <c r="AS89" s="102"/>
      <c r="AT89" s="102"/>
      <c r="AU89" s="102"/>
      <c r="AV89" s="102"/>
      <c r="AW89" s="102"/>
      <c r="AX89" s="102"/>
      <c r="AY89" s="102"/>
      <c r="AZ89" s="102"/>
      <c r="BA89" s="102"/>
      <c r="BB89" s="102"/>
      <c r="BC89" s="102"/>
      <c r="BD89" s="102"/>
      <c r="BE89" s="102"/>
      <c r="BF89" s="102"/>
      <c r="BG89" s="102"/>
      <c r="BH89" s="102"/>
      <c r="BI89" s="102"/>
      <c r="BJ89" s="102"/>
      <c r="BK89" s="102"/>
      <c r="BL89" s="102"/>
      <c r="BM89" s="102"/>
      <c r="BN89" s="102"/>
      <c r="BO89" s="102"/>
      <c r="BP89" s="102"/>
      <c r="BQ89" s="102"/>
      <c r="BR89" s="102"/>
      <c r="BS89" s="102"/>
      <c r="BT89" s="102"/>
      <c r="BU89" s="102"/>
      <c r="BV89" s="102"/>
      <c r="BW89" s="102"/>
      <c r="BX89" s="102"/>
      <c r="BY89" s="102"/>
      <c r="BZ89" s="102"/>
      <c r="CA89" s="102"/>
      <c r="CB89" s="102"/>
      <c r="CC89" s="102"/>
      <c r="CD89" s="102"/>
      <c r="CE89" s="102"/>
      <c r="CF89" s="102"/>
      <c r="CG89" s="102"/>
      <c r="CH89" s="102"/>
      <c r="CI89" s="102"/>
      <c r="CJ89" s="102"/>
      <c r="CK89" s="102"/>
      <c r="CL89" s="102"/>
      <c r="CM89" s="102"/>
      <c r="CN89" s="102"/>
      <c r="CO89" s="102"/>
      <c r="CP89" s="102"/>
      <c r="CQ89" s="102"/>
      <c r="CR89" s="102"/>
      <c r="CS89" s="102"/>
      <c r="CT89" s="102"/>
      <c r="CU89" s="102"/>
      <c r="CV89" s="102"/>
      <c r="CW89" s="102"/>
      <c r="CX89" s="102"/>
      <c r="CY89" s="102"/>
      <c r="CZ89" s="102"/>
      <c r="DA89" s="102"/>
      <c r="DB89" s="102"/>
      <c r="DC89" s="102"/>
      <c r="DD89" s="102"/>
      <c r="DE89" s="101"/>
      <c r="DF89" s="101"/>
      <c r="DG89" s="101"/>
      <c r="DH89" s="101"/>
      <c r="DI89" s="101"/>
      <c r="DJ89" s="101"/>
      <c r="DK89" s="101"/>
      <c r="DL89" s="101"/>
      <c r="DM89" s="101"/>
      <c r="DN89" s="101"/>
      <c r="DO89" s="101"/>
      <c r="DP89" s="101"/>
      <c r="DQ89" s="101"/>
      <c r="DR89" s="101"/>
      <c r="DS89" s="101"/>
      <c r="DT89" s="101"/>
      <c r="DU89" s="101"/>
      <c r="DV89" s="101"/>
      <c r="DW89" s="101"/>
      <c r="DX89" s="101"/>
      <c r="DY89" s="101"/>
      <c r="DZ89" s="101"/>
      <c r="EA89" s="101"/>
      <c r="EB89" s="101"/>
      <c r="EC89" s="101"/>
      <c r="ED89" s="101"/>
      <c r="EE89" s="102"/>
      <c r="EF89" s="102"/>
      <c r="EG89" s="102"/>
      <c r="EH89" s="102"/>
      <c r="EI89" s="102"/>
      <c r="EJ89" s="102"/>
      <c r="EK89" s="102"/>
      <c r="EL89" s="102"/>
      <c r="EM89" s="102"/>
      <c r="EN89" s="102"/>
      <c r="EO89" s="102"/>
      <c r="EP89" s="102"/>
      <c r="EQ89" s="102"/>
      <c r="ER89" s="102"/>
      <c r="ES89" s="102"/>
      <c r="ET89" s="102"/>
      <c r="EU89" s="102"/>
      <c r="EV89" s="102"/>
      <c r="EW89" s="102"/>
      <c r="EX89" s="102"/>
      <c r="EY89" s="102"/>
      <c r="EZ89" s="102"/>
      <c r="FA89" s="102"/>
      <c r="FB89" s="102"/>
      <c r="FC89" s="102"/>
      <c r="FD89" s="102"/>
      <c r="FE89" s="102"/>
      <c r="FF89" s="102"/>
      <c r="FG89" s="102"/>
      <c r="FH89" s="102"/>
      <c r="FI89" s="102"/>
      <c r="FJ89" s="102"/>
      <c r="FK89" s="102"/>
      <c r="FL89" s="102"/>
      <c r="FM89" s="102"/>
      <c r="FN89" s="102"/>
    </row>
    <row r="90" spans="1:170" s="19" customFormat="1" ht="18" hidden="1" customHeight="1">
      <c r="A90" s="1808"/>
      <c r="B90" s="30"/>
      <c r="C90" s="26" t="s">
        <v>39</v>
      </c>
      <c r="D90" s="26"/>
      <c r="E90" s="346"/>
      <c r="F90" s="26"/>
      <c r="G90" s="26"/>
      <c r="H90" s="26"/>
      <c r="I90" s="27" t="s">
        <v>89</v>
      </c>
      <c r="J90" s="33"/>
      <c r="K90" s="33"/>
      <c r="L90" s="348"/>
      <c r="M90" s="1028">
        <v>1.1000000000000001</v>
      </c>
      <c r="N90" s="1028">
        <v>1</v>
      </c>
      <c r="O90" s="1028">
        <v>1.1000000000000001</v>
      </c>
      <c r="P90" s="493">
        <v>0</v>
      </c>
      <c r="Q90" s="989">
        <v>0</v>
      </c>
      <c r="R90" s="493">
        <v>0</v>
      </c>
      <c r="S90" s="131"/>
      <c r="T90" s="298"/>
      <c r="U90" s="298"/>
      <c r="V90" s="150"/>
      <c r="W90" s="299"/>
      <c r="X90" s="299"/>
      <c r="Y90" s="150"/>
      <c r="Z90" s="299"/>
      <c r="AA90" s="299"/>
      <c r="AB90" s="131"/>
      <c r="AC90" s="298"/>
      <c r="AD90" s="298"/>
      <c r="AE90" s="13"/>
      <c r="AF90" s="13"/>
      <c r="AG90" s="13"/>
      <c r="AH90" s="13"/>
      <c r="AI90" s="13"/>
      <c r="AJ90" s="13"/>
      <c r="AK90" s="13"/>
      <c r="AL90" s="13"/>
      <c r="AM90" s="13"/>
      <c r="AN90" s="13"/>
      <c r="AO90" s="13"/>
      <c r="AP90" s="155"/>
      <c r="AQ90" s="155"/>
      <c r="AR90" s="102"/>
      <c r="AS90" s="102"/>
      <c r="AT90" s="102"/>
      <c r="AU90" s="102"/>
      <c r="AV90" s="102"/>
      <c r="AW90" s="102"/>
      <c r="AX90" s="102"/>
      <c r="AY90" s="102"/>
      <c r="AZ90" s="102"/>
      <c r="BA90" s="102"/>
      <c r="BB90" s="102"/>
      <c r="BC90" s="102"/>
      <c r="BD90" s="102"/>
      <c r="BE90" s="102"/>
      <c r="BF90" s="102"/>
      <c r="BG90" s="102"/>
      <c r="BH90" s="102"/>
      <c r="BI90" s="102"/>
      <c r="BJ90" s="102"/>
      <c r="BK90" s="102"/>
      <c r="BL90" s="102"/>
      <c r="BM90" s="102"/>
      <c r="BN90" s="102"/>
      <c r="BO90" s="102"/>
      <c r="BP90" s="102"/>
      <c r="BQ90" s="102"/>
      <c r="BR90" s="102"/>
      <c r="BS90" s="102"/>
      <c r="BT90" s="102"/>
      <c r="BU90" s="102"/>
      <c r="BV90" s="102"/>
      <c r="BW90" s="102"/>
      <c r="BX90" s="102"/>
      <c r="BY90" s="102"/>
      <c r="BZ90" s="102"/>
      <c r="CA90" s="102"/>
      <c r="CB90" s="102"/>
      <c r="CC90" s="102"/>
      <c r="CD90" s="102"/>
      <c r="CE90" s="102"/>
      <c r="CF90" s="102"/>
      <c r="CG90" s="102"/>
      <c r="CH90" s="102"/>
      <c r="CI90" s="102"/>
      <c r="CJ90" s="102"/>
      <c r="CK90" s="102"/>
      <c r="CL90" s="102"/>
      <c r="CM90" s="102"/>
      <c r="CN90" s="102"/>
      <c r="CO90" s="102"/>
      <c r="CP90" s="102"/>
      <c r="CQ90" s="102"/>
      <c r="CR90" s="102"/>
      <c r="CS90" s="102"/>
      <c r="CT90" s="102"/>
      <c r="CU90" s="102"/>
      <c r="CV90" s="102"/>
      <c r="CW90" s="102"/>
      <c r="CX90" s="102"/>
      <c r="CY90" s="102"/>
      <c r="CZ90" s="102"/>
      <c r="DA90" s="102"/>
      <c r="DB90" s="102"/>
      <c r="DC90" s="102"/>
      <c r="DD90" s="102"/>
      <c r="DE90" s="101"/>
      <c r="DF90" s="101"/>
      <c r="DG90" s="101"/>
      <c r="DH90" s="101"/>
      <c r="DI90" s="101"/>
      <c r="DJ90" s="101"/>
      <c r="DK90" s="101"/>
      <c r="DL90" s="101"/>
      <c r="DM90" s="101"/>
      <c r="DN90" s="101"/>
      <c r="DO90" s="101"/>
      <c r="DP90" s="101"/>
      <c r="DQ90" s="101"/>
      <c r="DR90" s="101"/>
      <c r="DS90" s="101"/>
      <c r="DT90" s="101"/>
      <c r="DU90" s="101"/>
      <c r="DV90" s="101"/>
      <c r="DW90" s="101"/>
      <c r="DX90" s="101"/>
      <c r="DY90" s="101"/>
      <c r="DZ90" s="101"/>
      <c r="EA90" s="101"/>
      <c r="EB90" s="101"/>
      <c r="EC90" s="101"/>
      <c r="ED90" s="101"/>
      <c r="EE90" s="102"/>
      <c r="EF90" s="102"/>
      <c r="EG90" s="102"/>
      <c r="EH90" s="102"/>
      <c r="EI90" s="102"/>
      <c r="EJ90" s="102"/>
      <c r="EK90" s="102"/>
      <c r="EL90" s="102"/>
      <c r="EM90" s="102"/>
      <c r="EN90" s="102"/>
      <c r="EO90" s="102"/>
      <c r="EP90" s="102"/>
      <c r="EQ90" s="102"/>
      <c r="ER90" s="102"/>
      <c r="ES90" s="102"/>
      <c r="ET90" s="102"/>
      <c r="EU90" s="102"/>
      <c r="EV90" s="102"/>
      <c r="EW90" s="102"/>
      <c r="EX90" s="102"/>
      <c r="EY90" s="102"/>
      <c r="EZ90" s="102"/>
      <c r="FA90" s="102"/>
      <c r="FB90" s="102"/>
      <c r="FC90" s="102"/>
      <c r="FD90" s="102"/>
      <c r="FE90" s="102"/>
      <c r="FF90" s="102"/>
      <c r="FG90" s="102"/>
      <c r="FH90" s="102"/>
      <c r="FI90" s="102"/>
      <c r="FJ90" s="102"/>
      <c r="FK90" s="102"/>
      <c r="FL90" s="102"/>
      <c r="FM90" s="102"/>
      <c r="FN90" s="102"/>
    </row>
    <row r="91" spans="1:170" s="19" customFormat="1" ht="18" hidden="1" customHeight="1">
      <c r="A91" s="1808"/>
      <c r="B91" s="30">
        <v>146</v>
      </c>
      <c r="C91" s="26" t="str">
        <f>VLOOKUP(B91,Begriffe!$A$6:$E$442,Begriffe!$D$1+2)</f>
        <v>Lichttransmissionsgrad</v>
      </c>
      <c r="D91" s="32"/>
      <c r="E91" s="32"/>
      <c r="F91" s="32"/>
      <c r="G91" s="32"/>
      <c r="H91" s="32"/>
      <c r="I91" s="27"/>
      <c r="J91" s="33" t="s">
        <v>18</v>
      </c>
      <c r="K91" s="33"/>
      <c r="L91" s="28"/>
      <c r="M91" s="1028">
        <f>INDEX(Eingabedaten!$D$10:$CY$54,nutzid,MATCH($C91,Eingabedaten!$D$7:$CY$7,0))</f>
        <v>0.7</v>
      </c>
      <c r="N91" s="1028">
        <f>INDEX(Eingabedaten!$D$10:$CY$54,nutzid,MATCH($C91,Eingabedaten!$D$7:$CY$7,0))</f>
        <v>0.7</v>
      </c>
      <c r="O91" s="1028">
        <f>INDEX(Eingabedaten!$D$10:$CY$54,nutzid,MATCH($C91,Eingabedaten!$D$7:$CY$7,0))</f>
        <v>0.7</v>
      </c>
      <c r="P91" s="493">
        <v>0</v>
      </c>
      <c r="Q91" s="989">
        <v>0</v>
      </c>
      <c r="R91" s="493">
        <v>0</v>
      </c>
      <c r="S91" s="131"/>
      <c r="T91" s="298"/>
      <c r="U91" s="298"/>
      <c r="V91" s="150"/>
      <c r="W91" s="299"/>
      <c r="X91" s="299"/>
      <c r="Y91" s="150"/>
      <c r="Z91" s="299"/>
      <c r="AA91" s="299"/>
      <c r="AB91" s="131"/>
      <c r="AC91" s="298"/>
      <c r="AD91" s="298"/>
      <c r="AE91" s="13"/>
      <c r="AF91" s="13"/>
      <c r="AG91" s="13"/>
      <c r="AH91" s="13"/>
      <c r="AI91" s="13"/>
      <c r="AJ91" s="13"/>
      <c r="AK91" s="13"/>
      <c r="AL91" s="13"/>
      <c r="AM91" s="13"/>
      <c r="AN91" s="13"/>
      <c r="AO91" s="13"/>
      <c r="AP91" s="155"/>
      <c r="AQ91" s="155"/>
      <c r="AR91" s="102"/>
      <c r="AS91" s="102"/>
      <c r="AT91" s="102"/>
      <c r="AU91" s="102"/>
      <c r="AV91" s="102"/>
      <c r="AW91" s="102"/>
      <c r="AX91" s="102"/>
      <c r="AY91" s="102"/>
      <c r="AZ91" s="102"/>
      <c r="BA91" s="102"/>
      <c r="BB91" s="102"/>
      <c r="BC91" s="102"/>
      <c r="BD91" s="102"/>
      <c r="BE91" s="102"/>
      <c r="BF91" s="102"/>
      <c r="BG91" s="102"/>
      <c r="BH91" s="102"/>
      <c r="BI91" s="102"/>
      <c r="BJ91" s="102"/>
      <c r="BK91" s="102"/>
      <c r="BL91" s="102"/>
      <c r="BM91" s="102"/>
      <c r="BN91" s="102"/>
      <c r="BO91" s="102"/>
      <c r="BP91" s="102"/>
      <c r="BQ91" s="102"/>
      <c r="BR91" s="102"/>
      <c r="BS91" s="102"/>
      <c r="BT91" s="102"/>
      <c r="BU91" s="102"/>
      <c r="BV91" s="102"/>
      <c r="BW91" s="102"/>
      <c r="BX91" s="102"/>
      <c r="BY91" s="102"/>
      <c r="BZ91" s="102"/>
      <c r="CA91" s="102"/>
      <c r="CB91" s="102"/>
      <c r="CC91" s="102"/>
      <c r="CD91" s="102"/>
      <c r="CE91" s="102"/>
      <c r="CF91" s="102"/>
      <c r="CG91" s="102"/>
      <c r="CH91" s="102"/>
      <c r="CI91" s="102"/>
      <c r="CJ91" s="102"/>
      <c r="CK91" s="102"/>
      <c r="CL91" s="102"/>
      <c r="CM91" s="102"/>
      <c r="CN91" s="102"/>
      <c r="CO91" s="102"/>
      <c r="CP91" s="102"/>
      <c r="CQ91" s="102"/>
      <c r="CR91" s="102"/>
      <c r="CS91" s="102"/>
      <c r="CT91" s="102"/>
      <c r="CU91" s="102"/>
      <c r="CV91" s="102"/>
      <c r="CW91" s="102"/>
      <c r="CX91" s="102"/>
      <c r="CY91" s="102"/>
      <c r="CZ91" s="102"/>
      <c r="DA91" s="102"/>
      <c r="DB91" s="102"/>
      <c r="DC91" s="102"/>
      <c r="DD91" s="102"/>
      <c r="DE91" s="101"/>
      <c r="DF91" s="101"/>
      <c r="DG91" s="101"/>
      <c r="DH91" s="101"/>
      <c r="DI91" s="101"/>
      <c r="DJ91" s="101"/>
      <c r="DK91" s="101"/>
      <c r="DL91" s="101"/>
      <c r="DM91" s="101"/>
      <c r="DN91" s="101"/>
      <c r="DO91" s="101"/>
      <c r="DP91" s="101"/>
      <c r="DQ91" s="101"/>
      <c r="DR91" s="101"/>
      <c r="DS91" s="101"/>
      <c r="DT91" s="101"/>
      <c r="DU91" s="101"/>
      <c r="DV91" s="101"/>
      <c r="DW91" s="101"/>
      <c r="DX91" s="101"/>
      <c r="DY91" s="101"/>
      <c r="DZ91" s="101"/>
      <c r="EA91" s="101"/>
      <c r="EB91" s="101"/>
      <c r="EC91" s="101"/>
      <c r="ED91" s="101"/>
      <c r="EE91" s="102"/>
      <c r="EF91" s="102"/>
      <c r="EG91" s="102"/>
      <c r="EH91" s="102"/>
      <c r="EI91" s="102"/>
      <c r="EJ91" s="102"/>
      <c r="EK91" s="102"/>
      <c r="EL91" s="102"/>
      <c r="EM91" s="102"/>
      <c r="EN91" s="102"/>
      <c r="EO91" s="102"/>
      <c r="EP91" s="102"/>
      <c r="EQ91" s="102"/>
      <c r="ER91" s="102"/>
      <c r="ES91" s="102"/>
      <c r="ET91" s="102"/>
      <c r="EU91" s="102"/>
      <c r="EV91" s="102"/>
      <c r="EW91" s="102"/>
      <c r="EX91" s="102"/>
      <c r="EY91" s="102"/>
      <c r="EZ91" s="102"/>
      <c r="FA91" s="102"/>
      <c r="FB91" s="102"/>
      <c r="FC91" s="102"/>
      <c r="FD91" s="102"/>
      <c r="FE91" s="102"/>
      <c r="FF91" s="102"/>
      <c r="FG91" s="102"/>
      <c r="FH91" s="102"/>
      <c r="FI91" s="102"/>
      <c r="FJ91" s="102"/>
      <c r="FK91" s="102"/>
      <c r="FL91" s="102"/>
      <c r="FM91" s="102"/>
      <c r="FN91" s="102"/>
    </row>
    <row r="92" spans="1:170" s="42" customFormat="1" ht="18" hidden="1" customHeight="1">
      <c r="A92" s="1808"/>
      <c r="B92" s="30">
        <v>141</v>
      </c>
      <c r="C92" s="26" t="str">
        <f>VLOOKUP(B92,Begriffe!$A$6:$E$442,Begriffe!$D$1+2)</f>
        <v>Korrekturfaktor für Präsenzregelung</v>
      </c>
      <c r="D92" s="26"/>
      <c r="E92" s="346"/>
      <c r="F92" s="26"/>
      <c r="G92" s="26"/>
      <c r="H92" s="26"/>
      <c r="I92" s="27" t="s">
        <v>90</v>
      </c>
      <c r="J92" s="33"/>
      <c r="K92" s="33"/>
      <c r="L92" s="25"/>
      <c r="M92" s="1028">
        <f>0.7/M91</f>
        <v>1</v>
      </c>
      <c r="N92" s="1028">
        <f>0.7/N91</f>
        <v>1</v>
      </c>
      <c r="O92" s="1028">
        <f>0.7/O91</f>
        <v>1</v>
      </c>
      <c r="P92" s="493">
        <v>0</v>
      </c>
      <c r="Q92" s="989">
        <v>0</v>
      </c>
      <c r="R92" s="493">
        <v>0</v>
      </c>
      <c r="S92" s="131"/>
      <c r="T92" s="298"/>
      <c r="U92" s="298"/>
      <c r="V92" s="150"/>
      <c r="W92" s="299"/>
      <c r="X92" s="299"/>
      <c r="Y92" s="150"/>
      <c r="Z92" s="299"/>
      <c r="AA92" s="299"/>
      <c r="AB92" s="131"/>
      <c r="AC92" s="298"/>
      <c r="AD92" s="298"/>
      <c r="AE92" s="13"/>
      <c r="AF92" s="13"/>
      <c r="AG92" s="13"/>
      <c r="AH92" s="13"/>
      <c r="AI92" s="13"/>
      <c r="AJ92" s="13"/>
      <c r="AK92" s="13"/>
      <c r="AL92" s="13"/>
      <c r="AM92" s="13"/>
      <c r="AN92" s="13"/>
      <c r="AO92" s="13"/>
      <c r="AP92" s="13"/>
      <c r="AQ92" s="13"/>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88"/>
      <c r="BZ92" s="88"/>
      <c r="CA92" s="88"/>
      <c r="CB92" s="88"/>
      <c r="CC92" s="88"/>
      <c r="CD92" s="88"/>
      <c r="CE92" s="88"/>
      <c r="CF92" s="88"/>
      <c r="CG92" s="88"/>
      <c r="CH92" s="88"/>
      <c r="CI92" s="88"/>
      <c r="CJ92" s="88"/>
      <c r="CK92" s="88"/>
      <c r="CL92" s="88"/>
      <c r="CM92" s="88"/>
      <c r="CN92" s="88"/>
      <c r="CO92" s="88"/>
      <c r="CP92" s="88"/>
      <c r="CQ92" s="88"/>
      <c r="CR92" s="88"/>
      <c r="CS92" s="88"/>
      <c r="CT92" s="88"/>
      <c r="CU92" s="88"/>
      <c r="CV92" s="88"/>
      <c r="CW92" s="88"/>
      <c r="CX92" s="88"/>
      <c r="CY92" s="88"/>
      <c r="CZ92" s="88"/>
      <c r="DA92" s="88"/>
      <c r="DB92" s="88"/>
      <c r="DC92" s="88"/>
      <c r="DD92" s="88"/>
      <c r="DE92" s="103"/>
      <c r="DF92" s="103"/>
      <c r="DG92" s="103"/>
      <c r="DH92" s="103"/>
      <c r="DI92" s="103"/>
      <c r="DJ92" s="103"/>
      <c r="DK92" s="103"/>
      <c r="DL92" s="103"/>
      <c r="DM92" s="103"/>
      <c r="DN92" s="103"/>
      <c r="DO92" s="103"/>
      <c r="DP92" s="103"/>
      <c r="DQ92" s="103"/>
      <c r="DR92" s="103"/>
      <c r="DS92" s="103"/>
      <c r="DT92" s="103"/>
      <c r="DU92" s="103"/>
      <c r="DV92" s="103"/>
      <c r="DW92" s="103"/>
      <c r="DX92" s="103"/>
      <c r="DY92" s="103"/>
      <c r="DZ92" s="103"/>
      <c r="EA92" s="103"/>
      <c r="EB92" s="103"/>
      <c r="EC92" s="103"/>
      <c r="ED92" s="103"/>
      <c r="EE92" s="88"/>
      <c r="EF92" s="88"/>
      <c r="EG92" s="88"/>
      <c r="EH92" s="88"/>
      <c r="EI92" s="88"/>
      <c r="EJ92" s="88"/>
      <c r="EK92" s="88"/>
      <c r="EL92" s="88"/>
      <c r="EM92" s="88"/>
      <c r="EN92" s="88"/>
      <c r="EO92" s="88"/>
      <c r="EP92" s="88"/>
      <c r="EQ92" s="88"/>
      <c r="ER92" s="88"/>
      <c r="ES92" s="88"/>
      <c r="ET92" s="88"/>
      <c r="EU92" s="88"/>
      <c r="EV92" s="88"/>
      <c r="EW92" s="88"/>
      <c r="EX92" s="88"/>
      <c r="EY92" s="88"/>
      <c r="EZ92" s="88"/>
      <c r="FA92" s="88"/>
      <c r="FB92" s="88"/>
      <c r="FC92" s="88"/>
      <c r="FD92" s="88"/>
      <c r="FE92" s="88"/>
      <c r="FF92" s="88"/>
      <c r="FG92" s="88"/>
      <c r="FH92" s="88"/>
      <c r="FI92" s="88"/>
      <c r="FJ92" s="88"/>
      <c r="FK92" s="88"/>
      <c r="FL92" s="88"/>
      <c r="FM92" s="88"/>
      <c r="FN92" s="88"/>
    </row>
    <row r="93" spans="1:170" s="42" customFormat="1" ht="18" hidden="1" customHeight="1">
      <c r="A93" s="1808"/>
      <c r="B93" s="30"/>
      <c r="C93" s="26" t="s">
        <v>40</v>
      </c>
      <c r="D93" s="26"/>
      <c r="E93" s="346"/>
      <c r="F93" s="26"/>
      <c r="G93" s="26"/>
      <c r="H93" s="26"/>
      <c r="I93" s="27" t="s">
        <v>91</v>
      </c>
      <c r="J93" s="33"/>
      <c r="K93" s="33"/>
      <c r="L93" s="25"/>
      <c r="M93" s="1027">
        <f>1/(1-(0.2*0.55))</f>
        <v>1.1235955056179776</v>
      </c>
      <c r="N93" s="1027">
        <f>1/(1-(0.2*0.55))</f>
        <v>1.1235955056179776</v>
      </c>
      <c r="O93" s="1027">
        <f>1/(1-(0.2*0.55))</f>
        <v>1.1235955056179776</v>
      </c>
      <c r="P93" s="493">
        <v>0</v>
      </c>
      <c r="Q93" s="989">
        <v>0</v>
      </c>
      <c r="R93" s="493">
        <v>0</v>
      </c>
      <c r="S93" s="131"/>
      <c r="T93" s="298"/>
      <c r="U93" s="298"/>
      <c r="V93" s="150"/>
      <c r="W93" s="299"/>
      <c r="X93" s="299"/>
      <c r="Y93" s="150"/>
      <c r="Z93" s="299"/>
      <c r="AA93" s="299"/>
      <c r="AB93" s="131"/>
      <c r="AC93" s="298"/>
      <c r="AD93" s="298"/>
      <c r="AE93" s="13"/>
      <c r="AF93" s="13"/>
      <c r="AG93" s="13"/>
      <c r="AH93" s="13"/>
      <c r="AI93" s="13"/>
      <c r="AJ93" s="13"/>
      <c r="AK93" s="13"/>
      <c r="AL93" s="13"/>
      <c r="AM93" s="13"/>
      <c r="AN93" s="13"/>
      <c r="AO93" s="13"/>
      <c r="AP93" s="13"/>
      <c r="AQ93" s="13"/>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88"/>
      <c r="BZ93" s="88"/>
      <c r="CA93" s="88"/>
      <c r="CB93" s="88"/>
      <c r="CC93" s="88"/>
      <c r="CD93" s="88"/>
      <c r="CE93" s="88"/>
      <c r="CF93" s="88"/>
      <c r="CG93" s="88"/>
      <c r="CH93" s="88"/>
      <c r="CI93" s="88"/>
      <c r="CJ93" s="88"/>
      <c r="CK93" s="88"/>
      <c r="CL93" s="88"/>
      <c r="CM93" s="88"/>
      <c r="CN93" s="88"/>
      <c r="CO93" s="88"/>
      <c r="CP93" s="88"/>
      <c r="CQ93" s="88"/>
      <c r="CR93" s="88"/>
      <c r="CS93" s="88"/>
      <c r="CT93" s="88"/>
      <c r="CU93" s="88"/>
      <c r="CV93" s="88"/>
      <c r="CW93" s="88"/>
      <c r="CX93" s="88"/>
      <c r="CY93" s="88"/>
      <c r="CZ93" s="88"/>
      <c r="DA93" s="88"/>
      <c r="DB93" s="88"/>
      <c r="DC93" s="88"/>
      <c r="DD93" s="88"/>
      <c r="DE93" s="103"/>
      <c r="DF93" s="103"/>
      <c r="DG93" s="103"/>
      <c r="DH93" s="103"/>
      <c r="DI93" s="103"/>
      <c r="DJ93" s="103"/>
      <c r="DK93" s="103"/>
      <c r="DL93" s="103"/>
      <c r="DM93" s="103"/>
      <c r="DN93" s="103"/>
      <c r="DO93" s="103"/>
      <c r="DP93" s="103"/>
      <c r="DQ93" s="103"/>
      <c r="DR93" s="103"/>
      <c r="DS93" s="103"/>
      <c r="DT93" s="103"/>
      <c r="DU93" s="103"/>
      <c r="DV93" s="103"/>
      <c r="DW93" s="103"/>
      <c r="DX93" s="103"/>
      <c r="DY93" s="103"/>
      <c r="DZ93" s="103"/>
      <c r="EA93" s="103"/>
      <c r="EB93" s="103"/>
      <c r="EC93" s="103"/>
      <c r="ED93" s="103"/>
      <c r="EE93" s="88"/>
      <c r="EF93" s="88"/>
      <c r="EG93" s="88"/>
      <c r="EH93" s="88"/>
      <c r="EI93" s="88"/>
      <c r="EJ93" s="88"/>
      <c r="EK93" s="88"/>
      <c r="EL93" s="88"/>
      <c r="EM93" s="88"/>
      <c r="EN93" s="88"/>
      <c r="EO93" s="88"/>
      <c r="EP93" s="88"/>
      <c r="EQ93" s="88"/>
      <c r="ER93" s="88"/>
      <c r="ES93" s="88"/>
      <c r="ET93" s="88"/>
      <c r="EU93" s="88"/>
      <c r="EV93" s="88"/>
      <c r="EW93" s="88"/>
      <c r="EX93" s="88"/>
      <c r="EY93" s="88"/>
      <c r="EZ93" s="88"/>
      <c r="FA93" s="88"/>
      <c r="FB93" s="88"/>
      <c r="FC93" s="88"/>
      <c r="FD93" s="88"/>
      <c r="FE93" s="88"/>
      <c r="FF93" s="88"/>
      <c r="FG93" s="88"/>
      <c r="FH93" s="88"/>
      <c r="FI93" s="88"/>
      <c r="FJ93" s="88"/>
      <c r="FK93" s="88"/>
      <c r="FL93" s="88"/>
      <c r="FM93" s="88"/>
      <c r="FN93" s="88"/>
    </row>
    <row r="94" spans="1:170" s="42" customFormat="1" ht="18" hidden="1" customHeight="1">
      <c r="A94" s="1808"/>
      <c r="B94" s="30"/>
      <c r="C94" s="26" t="s">
        <v>41</v>
      </c>
      <c r="D94" s="26"/>
      <c r="E94" s="346"/>
      <c r="F94" s="26"/>
      <c r="G94" s="26"/>
      <c r="H94" s="26"/>
      <c r="I94" s="27" t="s">
        <v>92</v>
      </c>
      <c r="J94" s="33"/>
      <c r="K94" s="33"/>
      <c r="L94" s="350"/>
      <c r="M94" s="1028">
        <v>1.1000000000000001</v>
      </c>
      <c r="N94" s="1028">
        <v>1</v>
      </c>
      <c r="O94" s="1028">
        <v>1.1000000000000001</v>
      </c>
      <c r="P94" s="493">
        <v>0</v>
      </c>
      <c r="Q94" s="989">
        <v>0</v>
      </c>
      <c r="R94" s="493">
        <v>0</v>
      </c>
      <c r="S94" s="131"/>
      <c r="T94" s="298"/>
      <c r="U94" s="298"/>
      <c r="V94" s="150"/>
      <c r="W94" s="299"/>
      <c r="X94" s="299"/>
      <c r="Y94" s="150"/>
      <c r="Z94" s="299"/>
      <c r="AA94" s="299"/>
      <c r="AB94" s="131"/>
      <c r="AC94" s="298"/>
      <c r="AD94" s="298"/>
      <c r="AE94" s="13"/>
      <c r="AF94" s="13"/>
      <c r="AG94" s="13"/>
      <c r="AH94" s="13"/>
      <c r="AI94" s="13"/>
      <c r="AJ94" s="13"/>
      <c r="AK94" s="13"/>
      <c r="AL94" s="13"/>
      <c r="AM94" s="13"/>
      <c r="AN94" s="13"/>
      <c r="AO94" s="13"/>
      <c r="AP94" s="13"/>
      <c r="AQ94" s="13"/>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88"/>
      <c r="BZ94" s="88"/>
      <c r="CA94" s="88"/>
      <c r="CB94" s="88"/>
      <c r="CC94" s="88"/>
      <c r="CD94" s="88"/>
      <c r="CE94" s="88"/>
      <c r="CF94" s="88"/>
      <c r="CG94" s="88"/>
      <c r="CH94" s="88"/>
      <c r="CI94" s="88"/>
      <c r="CJ94" s="88"/>
      <c r="CK94" s="88"/>
      <c r="CL94" s="88"/>
      <c r="CM94" s="88"/>
      <c r="CN94" s="88"/>
      <c r="CO94" s="88"/>
      <c r="CP94" s="88"/>
      <c r="CQ94" s="88"/>
      <c r="CR94" s="88"/>
      <c r="CS94" s="88"/>
      <c r="CT94" s="88"/>
      <c r="CU94" s="88"/>
      <c r="CV94" s="88"/>
      <c r="CW94" s="88"/>
      <c r="CX94" s="88"/>
      <c r="CY94" s="88"/>
      <c r="CZ94" s="88"/>
      <c r="DA94" s="88"/>
      <c r="DB94" s="88"/>
      <c r="DC94" s="88"/>
      <c r="DD94" s="88"/>
      <c r="DE94" s="103"/>
      <c r="DF94" s="103"/>
      <c r="DG94" s="103"/>
      <c r="DH94" s="103"/>
      <c r="DI94" s="103"/>
      <c r="DJ94" s="103"/>
      <c r="DK94" s="103"/>
      <c r="DL94" s="103"/>
      <c r="DM94" s="103"/>
      <c r="DN94" s="103"/>
      <c r="DO94" s="103"/>
      <c r="DP94" s="103"/>
      <c r="DQ94" s="103"/>
      <c r="DR94" s="103"/>
      <c r="DS94" s="103"/>
      <c r="DT94" s="103"/>
      <c r="DU94" s="103"/>
      <c r="DV94" s="103"/>
      <c r="DW94" s="103"/>
      <c r="DX94" s="103"/>
      <c r="DY94" s="103"/>
      <c r="DZ94" s="103"/>
      <c r="EA94" s="103"/>
      <c r="EB94" s="103"/>
      <c r="EC94" s="103"/>
      <c r="ED94" s="103"/>
      <c r="EE94" s="88"/>
      <c r="EF94" s="88"/>
      <c r="EG94" s="88"/>
      <c r="EH94" s="88"/>
      <c r="EI94" s="88"/>
      <c r="EJ94" s="88"/>
      <c r="EK94" s="88"/>
      <c r="EL94" s="88"/>
      <c r="EM94" s="88"/>
      <c r="EN94" s="88"/>
      <c r="EO94" s="88"/>
      <c r="EP94" s="88"/>
      <c r="EQ94" s="88"/>
      <c r="ER94" s="88"/>
      <c r="ES94" s="88"/>
      <c r="ET94" s="88"/>
      <c r="EU94" s="88"/>
      <c r="EV94" s="88"/>
      <c r="EW94" s="88"/>
      <c r="EX94" s="88"/>
      <c r="EY94" s="88"/>
      <c r="EZ94" s="88"/>
      <c r="FA94" s="88"/>
      <c r="FB94" s="88"/>
      <c r="FC94" s="88"/>
      <c r="FD94" s="88"/>
      <c r="FE94" s="88"/>
      <c r="FF94" s="88"/>
      <c r="FG94" s="88"/>
      <c r="FH94" s="88"/>
      <c r="FI94" s="88"/>
      <c r="FJ94" s="88"/>
      <c r="FK94" s="88"/>
      <c r="FL94" s="88"/>
      <c r="FM94" s="88"/>
      <c r="FN94" s="88"/>
    </row>
    <row r="95" spans="1:170" s="20" customFormat="1" ht="18" hidden="1" customHeight="1">
      <c r="A95" s="1808"/>
      <c r="B95" s="30"/>
      <c r="C95" s="26" t="s">
        <v>44</v>
      </c>
      <c r="D95" s="26"/>
      <c r="E95" s="346"/>
      <c r="F95" s="26"/>
      <c r="G95" s="26"/>
      <c r="H95" s="26"/>
      <c r="I95" s="27" t="s">
        <v>93</v>
      </c>
      <c r="J95" s="33" t="s">
        <v>35</v>
      </c>
      <c r="K95" s="33"/>
      <c r="L95" s="350"/>
      <c r="M95" s="1028">
        <v>0</v>
      </c>
      <c r="N95" s="1028">
        <v>0</v>
      </c>
      <c r="O95" s="1028">
        <v>0</v>
      </c>
      <c r="P95" s="493">
        <v>0</v>
      </c>
      <c r="Q95" s="989">
        <v>0</v>
      </c>
      <c r="R95" s="493">
        <v>0</v>
      </c>
      <c r="S95" s="131"/>
      <c r="T95" s="298"/>
      <c r="U95" s="298"/>
      <c r="V95" s="150"/>
      <c r="W95" s="299"/>
      <c r="X95" s="299"/>
      <c r="Y95" s="150"/>
      <c r="Z95" s="299"/>
      <c r="AA95" s="299"/>
      <c r="AB95" s="131"/>
      <c r="AC95" s="298"/>
      <c r="AD95" s="298"/>
      <c r="AE95" s="13"/>
      <c r="AF95" s="13"/>
      <c r="AG95" s="13"/>
      <c r="AH95" s="13"/>
      <c r="AI95" s="13"/>
      <c r="AJ95" s="13"/>
      <c r="AK95" s="13"/>
      <c r="AL95" s="13"/>
      <c r="AM95" s="13"/>
      <c r="AN95" s="13"/>
      <c r="AO95" s="13"/>
      <c r="AP95" s="13"/>
      <c r="AQ95" s="13"/>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88"/>
      <c r="BZ95" s="88"/>
      <c r="CA95" s="88"/>
      <c r="CB95" s="88"/>
      <c r="CC95" s="88"/>
      <c r="CD95" s="88"/>
      <c r="CE95" s="88"/>
      <c r="CF95" s="88"/>
      <c r="CG95" s="88"/>
      <c r="CH95" s="88"/>
      <c r="CI95" s="88"/>
      <c r="CJ95" s="88"/>
      <c r="CK95" s="88"/>
      <c r="CL95" s="88"/>
      <c r="CM95" s="88"/>
      <c r="CN95" s="88"/>
      <c r="CO95" s="88"/>
      <c r="CP95" s="88"/>
      <c r="CQ95" s="88"/>
      <c r="CR95" s="88"/>
      <c r="CS95" s="88"/>
      <c r="CT95" s="88"/>
      <c r="CU95" s="88"/>
      <c r="CV95" s="88"/>
      <c r="CW95" s="88"/>
      <c r="CX95" s="88"/>
      <c r="CY95" s="88"/>
      <c r="CZ95" s="88"/>
      <c r="DA95" s="88"/>
      <c r="DB95" s="88"/>
      <c r="DC95" s="88"/>
      <c r="DD95" s="88"/>
      <c r="DE95" s="103"/>
      <c r="DF95" s="103"/>
      <c r="DG95" s="103"/>
      <c r="DH95" s="103"/>
      <c r="DI95" s="103"/>
      <c r="DJ95" s="103"/>
      <c r="DK95" s="103"/>
      <c r="DL95" s="103"/>
      <c r="DM95" s="103"/>
      <c r="DN95" s="103"/>
      <c r="DO95" s="103"/>
      <c r="DP95" s="103"/>
      <c r="DQ95" s="103"/>
      <c r="DR95" s="103"/>
      <c r="DS95" s="103"/>
      <c r="DT95" s="103"/>
      <c r="DU95" s="103"/>
      <c r="DV95" s="103"/>
      <c r="DW95" s="103"/>
      <c r="DX95" s="103"/>
      <c r="DY95" s="103"/>
      <c r="DZ95" s="103"/>
      <c r="EA95" s="103"/>
      <c r="EB95" s="103"/>
      <c r="EC95" s="103"/>
      <c r="ED95" s="103"/>
      <c r="EE95" s="88"/>
      <c r="EF95" s="88"/>
      <c r="EG95" s="88"/>
      <c r="EH95" s="88"/>
      <c r="EI95" s="88"/>
      <c r="EJ95" s="88"/>
      <c r="EK95" s="88"/>
      <c r="EL95" s="88"/>
      <c r="EM95" s="88"/>
      <c r="EN95" s="88"/>
      <c r="EO95" s="88"/>
      <c r="EP95" s="88"/>
      <c r="EQ95" s="88"/>
      <c r="ER95" s="88"/>
      <c r="ES95" s="88"/>
      <c r="ET95" s="88"/>
      <c r="EU95" s="88"/>
      <c r="EV95" s="88"/>
      <c r="EW95" s="88"/>
      <c r="EX95" s="88"/>
      <c r="EY95" s="88"/>
      <c r="EZ95" s="88"/>
      <c r="FA95" s="88"/>
      <c r="FB95" s="88"/>
      <c r="FC95" s="88"/>
      <c r="FD95" s="88"/>
      <c r="FE95" s="88"/>
      <c r="FF95" s="88"/>
      <c r="FG95" s="88"/>
      <c r="FH95" s="88"/>
      <c r="FI95" s="88"/>
      <c r="FJ95" s="88"/>
      <c r="FK95" s="88"/>
      <c r="FL95" s="88"/>
      <c r="FM95" s="88"/>
      <c r="FN95" s="88"/>
    </row>
    <row r="96" spans="1:170" s="19" customFormat="1" ht="18" hidden="1" customHeight="1">
      <c r="A96" s="1808"/>
      <c r="B96" s="30"/>
      <c r="C96" s="26" t="s">
        <v>42</v>
      </c>
      <c r="D96" s="26"/>
      <c r="E96" s="346"/>
      <c r="F96" s="26"/>
      <c r="G96" s="26"/>
      <c r="H96" s="26"/>
      <c r="I96" s="27" t="s">
        <v>94</v>
      </c>
      <c r="J96" s="33"/>
      <c r="K96" s="33"/>
      <c r="L96" s="25"/>
      <c r="M96" s="1028">
        <f>1/(1-(0.25*M95))</f>
        <v>1</v>
      </c>
      <c r="N96" s="1028">
        <f>1/(1-(0.25*N95))</f>
        <v>1</v>
      </c>
      <c r="O96" s="1028">
        <f>1/(1-(0.25*O95))</f>
        <v>1</v>
      </c>
      <c r="P96" s="493">
        <v>0</v>
      </c>
      <c r="Q96" s="989">
        <v>0</v>
      </c>
      <c r="R96" s="493">
        <v>0</v>
      </c>
      <c r="S96" s="131"/>
      <c r="T96" s="298"/>
      <c r="U96" s="298"/>
      <c r="V96" s="150"/>
      <c r="W96" s="299"/>
      <c r="X96" s="299"/>
      <c r="Y96" s="150"/>
      <c r="Z96" s="299"/>
      <c r="AA96" s="299"/>
      <c r="AB96" s="131"/>
      <c r="AC96" s="298"/>
      <c r="AD96" s="298"/>
      <c r="AE96" s="13"/>
      <c r="AF96" s="13"/>
      <c r="AG96" s="13"/>
      <c r="AH96" s="13"/>
      <c r="AI96" s="13"/>
      <c r="AJ96" s="13"/>
      <c r="AK96" s="13"/>
      <c r="AL96" s="13"/>
      <c r="AM96" s="13"/>
      <c r="AN96" s="13"/>
      <c r="AO96" s="13"/>
      <c r="AP96" s="155"/>
      <c r="AQ96" s="155"/>
      <c r="AR96" s="102"/>
      <c r="AS96" s="102"/>
      <c r="AT96" s="102"/>
      <c r="AU96" s="102"/>
      <c r="AV96" s="102"/>
      <c r="AW96" s="102"/>
      <c r="AX96" s="102"/>
      <c r="AY96" s="102"/>
      <c r="AZ96" s="102"/>
      <c r="BA96" s="102"/>
      <c r="BB96" s="102"/>
      <c r="BC96" s="102"/>
      <c r="BD96" s="102"/>
      <c r="BE96" s="102"/>
      <c r="BF96" s="102"/>
      <c r="BG96" s="102"/>
      <c r="BH96" s="102"/>
      <c r="BI96" s="102"/>
      <c r="BJ96" s="102"/>
      <c r="BK96" s="102"/>
      <c r="BL96" s="102"/>
      <c r="BM96" s="102"/>
      <c r="BN96" s="102"/>
      <c r="BO96" s="102"/>
      <c r="BP96" s="102"/>
      <c r="BQ96" s="102"/>
      <c r="BR96" s="102"/>
      <c r="BS96" s="102"/>
      <c r="BT96" s="102"/>
      <c r="BU96" s="102"/>
      <c r="BV96" s="102"/>
      <c r="BW96" s="102"/>
      <c r="BX96" s="102"/>
      <c r="BY96" s="102"/>
      <c r="BZ96" s="102"/>
      <c r="CA96" s="102"/>
      <c r="CB96" s="102"/>
      <c r="CC96" s="102"/>
      <c r="CD96" s="102"/>
      <c r="CE96" s="102"/>
      <c r="CF96" s="102"/>
      <c r="CG96" s="102"/>
      <c r="CH96" s="102"/>
      <c r="CI96" s="102"/>
      <c r="CJ96" s="102"/>
      <c r="CK96" s="102"/>
      <c r="CL96" s="102"/>
      <c r="CM96" s="102"/>
      <c r="CN96" s="102"/>
      <c r="CO96" s="102"/>
      <c r="CP96" s="102"/>
      <c r="CQ96" s="102"/>
      <c r="CR96" s="102"/>
      <c r="CS96" s="102"/>
      <c r="CT96" s="102"/>
      <c r="CU96" s="102"/>
      <c r="CV96" s="102"/>
      <c r="CW96" s="102"/>
      <c r="CX96" s="102"/>
      <c r="CY96" s="102"/>
      <c r="CZ96" s="102"/>
      <c r="DA96" s="102"/>
      <c r="DB96" s="102"/>
      <c r="DC96" s="102"/>
      <c r="DD96" s="102"/>
      <c r="DE96" s="101"/>
      <c r="DF96" s="101"/>
      <c r="DG96" s="101"/>
      <c r="DH96" s="101"/>
      <c r="DI96" s="101"/>
      <c r="DJ96" s="101"/>
      <c r="DK96" s="101"/>
      <c r="DL96" s="101"/>
      <c r="DM96" s="101"/>
      <c r="DN96" s="101"/>
      <c r="DO96" s="101"/>
      <c r="DP96" s="101"/>
      <c r="DQ96" s="101"/>
      <c r="DR96" s="101"/>
      <c r="DS96" s="101"/>
      <c r="DT96" s="101"/>
      <c r="DU96" s="101"/>
      <c r="DV96" s="101"/>
      <c r="DW96" s="101"/>
      <c r="DX96" s="101"/>
      <c r="DY96" s="101"/>
      <c r="DZ96" s="101"/>
      <c r="EA96" s="101"/>
      <c r="EB96" s="101"/>
      <c r="EC96" s="101"/>
      <c r="ED96" s="101"/>
      <c r="EE96" s="102"/>
      <c r="EF96" s="102"/>
      <c r="EG96" s="102"/>
      <c r="EH96" s="102"/>
      <c r="EI96" s="102"/>
      <c r="EJ96" s="102"/>
      <c r="EK96" s="102"/>
      <c r="EL96" s="102"/>
      <c r="EM96" s="102"/>
      <c r="EN96" s="102"/>
      <c r="EO96" s="102"/>
      <c r="EP96" s="102"/>
      <c r="EQ96" s="102"/>
      <c r="ER96" s="102"/>
      <c r="ES96" s="102"/>
      <c r="ET96" s="102"/>
      <c r="EU96" s="102"/>
      <c r="EV96" s="102"/>
      <c r="EW96" s="102"/>
      <c r="EX96" s="102"/>
      <c r="EY96" s="102"/>
      <c r="EZ96" s="102"/>
      <c r="FA96" s="102"/>
      <c r="FB96" s="102"/>
      <c r="FC96" s="102"/>
      <c r="FD96" s="102"/>
      <c r="FE96" s="102"/>
      <c r="FF96" s="102"/>
      <c r="FG96" s="102"/>
      <c r="FH96" s="102"/>
      <c r="FI96" s="102"/>
      <c r="FJ96" s="102"/>
      <c r="FK96" s="102"/>
      <c r="FL96" s="102"/>
      <c r="FM96" s="102"/>
      <c r="FN96" s="102"/>
    </row>
    <row r="97" spans="1:170" s="19" customFormat="1" ht="18" hidden="1" customHeight="1">
      <c r="A97" s="1808"/>
      <c r="B97" s="30"/>
      <c r="C97" s="26" t="s">
        <v>45</v>
      </c>
      <c r="D97" s="26"/>
      <c r="E97" s="346"/>
      <c r="F97" s="26"/>
      <c r="G97" s="26"/>
      <c r="H97" s="26"/>
      <c r="I97" s="27" t="s">
        <v>47</v>
      </c>
      <c r="J97" s="33" t="s">
        <v>35</v>
      </c>
      <c r="K97" s="33"/>
      <c r="L97" s="25"/>
      <c r="M97" s="1028">
        <v>0</v>
      </c>
      <c r="N97" s="1028">
        <v>0</v>
      </c>
      <c r="O97" s="1028">
        <v>0</v>
      </c>
      <c r="P97" s="493">
        <v>0</v>
      </c>
      <c r="Q97" s="989">
        <v>0</v>
      </c>
      <c r="R97" s="493">
        <v>0</v>
      </c>
      <c r="S97" s="131"/>
      <c r="T97" s="298"/>
      <c r="U97" s="298"/>
      <c r="V97" s="150"/>
      <c r="W97" s="299"/>
      <c r="X97" s="299"/>
      <c r="Y97" s="150"/>
      <c r="Z97" s="299"/>
      <c r="AA97" s="299"/>
      <c r="AB97" s="131"/>
      <c r="AC97" s="298"/>
      <c r="AD97" s="298"/>
      <c r="AE97" s="13"/>
      <c r="AF97" s="13"/>
      <c r="AG97" s="13"/>
      <c r="AH97" s="13"/>
      <c r="AI97" s="13"/>
      <c r="AJ97" s="13"/>
      <c r="AK97" s="13"/>
      <c r="AL97" s="13"/>
      <c r="AM97" s="13"/>
      <c r="AN97" s="13"/>
      <c r="AO97" s="13"/>
      <c r="AP97" s="155"/>
      <c r="AQ97" s="155"/>
      <c r="AR97" s="102"/>
      <c r="AS97" s="102"/>
      <c r="AT97" s="102"/>
      <c r="AU97" s="102"/>
      <c r="AV97" s="102"/>
      <c r="AW97" s="102"/>
      <c r="AX97" s="102"/>
      <c r="AY97" s="102"/>
      <c r="AZ97" s="102"/>
      <c r="BA97" s="102"/>
      <c r="BB97" s="102"/>
      <c r="BC97" s="102"/>
      <c r="BD97" s="102"/>
      <c r="BE97" s="102"/>
      <c r="BF97" s="102"/>
      <c r="BG97" s="102"/>
      <c r="BH97" s="102"/>
      <c r="BI97" s="102"/>
      <c r="BJ97" s="102"/>
      <c r="BK97" s="102"/>
      <c r="BL97" s="102"/>
      <c r="BM97" s="102"/>
      <c r="BN97" s="102"/>
      <c r="BO97" s="102"/>
      <c r="BP97" s="102"/>
      <c r="BQ97" s="102"/>
      <c r="BR97" s="102"/>
      <c r="BS97" s="102"/>
      <c r="BT97" s="102"/>
      <c r="BU97" s="102"/>
      <c r="BV97" s="102"/>
      <c r="BW97" s="102"/>
      <c r="BX97" s="102"/>
      <c r="BY97" s="102"/>
      <c r="BZ97" s="102"/>
      <c r="CA97" s="102"/>
      <c r="CB97" s="102"/>
      <c r="CC97" s="102"/>
      <c r="CD97" s="102"/>
      <c r="CE97" s="102"/>
      <c r="CF97" s="102"/>
      <c r="CG97" s="102"/>
      <c r="CH97" s="102"/>
      <c r="CI97" s="102"/>
      <c r="CJ97" s="102"/>
      <c r="CK97" s="102"/>
      <c r="CL97" s="102"/>
      <c r="CM97" s="102"/>
      <c r="CN97" s="102"/>
      <c r="CO97" s="102"/>
      <c r="CP97" s="102"/>
      <c r="CQ97" s="102"/>
      <c r="CR97" s="102"/>
      <c r="CS97" s="102"/>
      <c r="CT97" s="102"/>
      <c r="CU97" s="102"/>
      <c r="CV97" s="102"/>
      <c r="CW97" s="102"/>
      <c r="CX97" s="102"/>
      <c r="CY97" s="102"/>
      <c r="CZ97" s="102"/>
      <c r="DA97" s="102"/>
      <c r="DB97" s="102"/>
      <c r="DC97" s="102"/>
      <c r="DD97" s="102"/>
      <c r="DE97" s="101"/>
      <c r="DF97" s="101"/>
      <c r="DG97" s="101"/>
      <c r="DH97" s="101"/>
      <c r="DI97" s="101"/>
      <c r="DJ97" s="101"/>
      <c r="DK97" s="101"/>
      <c r="DL97" s="101"/>
      <c r="DM97" s="101"/>
      <c r="DN97" s="101"/>
      <c r="DO97" s="101"/>
      <c r="DP97" s="101"/>
      <c r="DQ97" s="101"/>
      <c r="DR97" s="101"/>
      <c r="DS97" s="101"/>
      <c r="DT97" s="101"/>
      <c r="DU97" s="101"/>
      <c r="DV97" s="101"/>
      <c r="DW97" s="101"/>
      <c r="DX97" s="101"/>
      <c r="DY97" s="101"/>
      <c r="DZ97" s="101"/>
      <c r="EA97" s="101"/>
      <c r="EB97" s="101"/>
      <c r="EC97" s="101"/>
      <c r="ED97" s="101"/>
      <c r="EE97" s="102"/>
      <c r="EF97" s="102"/>
      <c r="EG97" s="102"/>
      <c r="EH97" s="102"/>
      <c r="EI97" s="102"/>
      <c r="EJ97" s="102"/>
      <c r="EK97" s="102"/>
      <c r="EL97" s="102"/>
      <c r="EM97" s="102"/>
      <c r="EN97" s="102"/>
      <c r="EO97" s="102"/>
      <c r="EP97" s="102"/>
      <c r="EQ97" s="102"/>
      <c r="ER97" s="102"/>
      <c r="ES97" s="102"/>
      <c r="ET97" s="102"/>
      <c r="EU97" s="102"/>
      <c r="EV97" s="102"/>
      <c r="EW97" s="102"/>
      <c r="EX97" s="102"/>
      <c r="EY97" s="102"/>
      <c r="EZ97" s="102"/>
      <c r="FA97" s="102"/>
      <c r="FB97" s="102"/>
      <c r="FC97" s="102"/>
      <c r="FD97" s="102"/>
      <c r="FE97" s="102"/>
      <c r="FF97" s="102"/>
      <c r="FG97" s="102"/>
      <c r="FH97" s="102"/>
      <c r="FI97" s="102"/>
      <c r="FJ97" s="102"/>
      <c r="FK97" s="102"/>
      <c r="FL97" s="102"/>
      <c r="FM97" s="102"/>
      <c r="FN97" s="102"/>
    </row>
    <row r="98" spans="1:170" s="20" customFormat="1" ht="18" hidden="1" customHeight="1">
      <c r="A98" s="1808"/>
      <c r="B98" s="30"/>
      <c r="C98" s="26" t="s">
        <v>46</v>
      </c>
      <c r="D98" s="26"/>
      <c r="E98" s="346"/>
      <c r="F98" s="26"/>
      <c r="G98" s="26"/>
      <c r="H98" s="26"/>
      <c r="I98" s="27" t="s">
        <v>48</v>
      </c>
      <c r="J98" s="33" t="s">
        <v>35</v>
      </c>
      <c r="K98" s="33"/>
      <c r="L98" s="25"/>
      <c r="M98" s="1028">
        <v>1</v>
      </c>
      <c r="N98" s="1028">
        <v>1</v>
      </c>
      <c r="O98" s="1028">
        <v>1</v>
      </c>
      <c r="P98" s="493">
        <v>0</v>
      </c>
      <c r="Q98" s="989">
        <v>0</v>
      </c>
      <c r="R98" s="493">
        <v>0</v>
      </c>
      <c r="S98" s="131"/>
      <c r="T98" s="298"/>
      <c r="U98" s="298"/>
      <c r="V98" s="150"/>
      <c r="W98" s="299"/>
      <c r="X98" s="299"/>
      <c r="Y98" s="150"/>
      <c r="Z98" s="299"/>
      <c r="AA98" s="299"/>
      <c r="AB98" s="131"/>
      <c r="AC98" s="298"/>
      <c r="AD98" s="298"/>
      <c r="AE98" s="13"/>
      <c r="AF98" s="13"/>
      <c r="AG98" s="13"/>
      <c r="AH98" s="13"/>
      <c r="AI98" s="13"/>
      <c r="AJ98" s="13"/>
      <c r="AK98" s="13"/>
      <c r="AL98" s="13"/>
      <c r="AM98" s="13"/>
      <c r="AN98" s="13"/>
      <c r="AO98" s="13"/>
      <c r="AP98" s="13"/>
      <c r="AQ98" s="13"/>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88"/>
      <c r="BZ98" s="88"/>
      <c r="CA98" s="88"/>
      <c r="CB98" s="88"/>
      <c r="CC98" s="88"/>
      <c r="CD98" s="88"/>
      <c r="CE98" s="88"/>
      <c r="CF98" s="88"/>
      <c r="CG98" s="88"/>
      <c r="CH98" s="88"/>
      <c r="CI98" s="88"/>
      <c r="CJ98" s="88"/>
      <c r="CK98" s="88"/>
      <c r="CL98" s="88"/>
      <c r="CM98" s="88"/>
      <c r="CN98" s="88"/>
      <c r="CO98" s="88"/>
      <c r="CP98" s="88"/>
      <c r="CQ98" s="88"/>
      <c r="CR98" s="88"/>
      <c r="CS98" s="88"/>
      <c r="CT98" s="88"/>
      <c r="CU98" s="88"/>
      <c r="CV98" s="88"/>
      <c r="CW98" s="88"/>
      <c r="CX98" s="88"/>
      <c r="CY98" s="88"/>
      <c r="CZ98" s="88"/>
      <c r="DA98" s="88"/>
      <c r="DB98" s="88"/>
      <c r="DC98" s="88"/>
      <c r="DD98" s="88"/>
      <c r="DE98" s="103"/>
      <c r="DF98" s="103"/>
      <c r="DG98" s="103"/>
      <c r="DH98" s="103"/>
      <c r="DI98" s="103"/>
      <c r="DJ98" s="103"/>
      <c r="DK98" s="103"/>
      <c r="DL98" s="103"/>
      <c r="DM98" s="103"/>
      <c r="DN98" s="103"/>
      <c r="DO98" s="103"/>
      <c r="DP98" s="103"/>
      <c r="DQ98" s="103"/>
      <c r="DR98" s="103"/>
      <c r="DS98" s="103"/>
      <c r="DT98" s="103"/>
      <c r="DU98" s="103"/>
      <c r="DV98" s="103"/>
      <c r="DW98" s="103"/>
      <c r="DX98" s="103"/>
      <c r="DY98" s="103"/>
      <c r="DZ98" s="103"/>
      <c r="EA98" s="103"/>
      <c r="EB98" s="103"/>
      <c r="EC98" s="103"/>
      <c r="ED98" s="103"/>
      <c r="EE98" s="88"/>
      <c r="EF98" s="88"/>
      <c r="EG98" s="88"/>
      <c r="EH98" s="88"/>
      <c r="EI98" s="88"/>
      <c r="EJ98" s="88"/>
      <c r="EK98" s="88"/>
      <c r="EL98" s="88"/>
      <c r="EM98" s="88"/>
      <c r="EN98" s="88"/>
      <c r="EO98" s="88"/>
      <c r="EP98" s="88"/>
      <c r="EQ98" s="88"/>
      <c r="ER98" s="88"/>
      <c r="ES98" s="88"/>
      <c r="ET98" s="88"/>
      <c r="EU98" s="88"/>
      <c r="EV98" s="88"/>
      <c r="EW98" s="88"/>
      <c r="EX98" s="88"/>
      <c r="EY98" s="88"/>
      <c r="EZ98" s="88"/>
      <c r="FA98" s="88"/>
      <c r="FB98" s="88"/>
      <c r="FC98" s="88"/>
      <c r="FD98" s="88"/>
      <c r="FE98" s="88"/>
      <c r="FF98" s="88"/>
      <c r="FG98" s="88"/>
      <c r="FH98" s="88"/>
      <c r="FI98" s="88"/>
      <c r="FJ98" s="88"/>
      <c r="FK98" s="88"/>
      <c r="FL98" s="88"/>
      <c r="FM98" s="88"/>
      <c r="FN98" s="88"/>
    </row>
    <row r="99" spans="1:170" s="20" customFormat="1" ht="18" hidden="1" customHeight="1">
      <c r="A99" s="1808"/>
      <c r="B99" s="30"/>
      <c r="C99" s="26" t="s">
        <v>43</v>
      </c>
      <c r="D99" s="26"/>
      <c r="E99" s="346"/>
      <c r="F99" s="26"/>
      <c r="G99" s="26"/>
      <c r="H99" s="26"/>
      <c r="I99" s="27" t="s">
        <v>95</v>
      </c>
      <c r="J99" s="33"/>
      <c r="K99" s="33"/>
      <c r="L99" s="25"/>
      <c r="M99" s="25">
        <f>1/(1-(0.35*M97/M98))</f>
        <v>1</v>
      </c>
      <c r="N99" s="25">
        <f>1/(1-(0.35*N97/N98))</f>
        <v>1</v>
      </c>
      <c r="O99" s="25">
        <f>1/(1-(0.35*O97/O98))</f>
        <v>1</v>
      </c>
      <c r="P99" s="493">
        <v>0</v>
      </c>
      <c r="Q99" s="989">
        <v>0</v>
      </c>
      <c r="R99" s="493">
        <v>0</v>
      </c>
      <c r="S99" s="131"/>
      <c r="T99" s="298"/>
      <c r="U99" s="298"/>
      <c r="V99" s="150"/>
      <c r="W99" s="299"/>
      <c r="X99" s="299"/>
      <c r="Y99" s="150"/>
      <c r="Z99" s="299"/>
      <c r="AA99" s="299"/>
      <c r="AB99" s="131"/>
      <c r="AC99" s="298"/>
      <c r="AD99" s="298"/>
      <c r="AE99" s="13"/>
      <c r="AF99" s="13"/>
      <c r="AG99" s="13"/>
      <c r="AH99" s="13"/>
      <c r="AI99" s="13"/>
      <c r="AJ99" s="13"/>
      <c r="AK99" s="13"/>
      <c r="AL99" s="13"/>
      <c r="AM99" s="13"/>
      <c r="AN99" s="13"/>
      <c r="AO99" s="13"/>
      <c r="AP99" s="13"/>
      <c r="AQ99" s="13"/>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88"/>
      <c r="BZ99" s="88"/>
      <c r="CA99" s="88"/>
      <c r="CB99" s="88"/>
      <c r="CC99" s="88"/>
      <c r="CD99" s="88"/>
      <c r="CE99" s="88"/>
      <c r="CF99" s="88"/>
      <c r="CG99" s="88"/>
      <c r="CH99" s="88"/>
      <c r="CI99" s="88"/>
      <c r="CJ99" s="88"/>
      <c r="CK99" s="88"/>
      <c r="CL99" s="88"/>
      <c r="CM99" s="88"/>
      <c r="CN99" s="88"/>
      <c r="CO99" s="88"/>
      <c r="CP99" s="88"/>
      <c r="CQ99" s="88"/>
      <c r="CR99" s="88"/>
      <c r="CS99" s="88"/>
      <c r="CT99" s="88"/>
      <c r="CU99" s="88"/>
      <c r="CV99" s="88"/>
      <c r="CW99" s="88"/>
      <c r="CX99" s="88"/>
      <c r="CY99" s="88"/>
      <c r="CZ99" s="88"/>
      <c r="DA99" s="88"/>
      <c r="DB99" s="88"/>
      <c r="DC99" s="88"/>
      <c r="DD99" s="88"/>
      <c r="DE99" s="103"/>
      <c r="DF99" s="103"/>
      <c r="DG99" s="103"/>
      <c r="DH99" s="103"/>
      <c r="DI99" s="103"/>
      <c r="DJ99" s="103"/>
      <c r="DK99" s="103"/>
      <c r="DL99" s="103"/>
      <c r="DM99" s="103"/>
      <c r="DN99" s="103"/>
      <c r="DO99" s="103"/>
      <c r="DP99" s="103"/>
      <c r="DQ99" s="103"/>
      <c r="DR99" s="103"/>
      <c r="DS99" s="103"/>
      <c r="DT99" s="103"/>
      <c r="DU99" s="103"/>
      <c r="DV99" s="103"/>
      <c r="DW99" s="103"/>
      <c r="DX99" s="103"/>
      <c r="DY99" s="103"/>
      <c r="DZ99" s="103"/>
      <c r="EA99" s="103"/>
      <c r="EB99" s="103"/>
      <c r="EC99" s="103"/>
      <c r="ED99" s="103"/>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row>
    <row r="100" spans="1:170" s="19" customFormat="1" ht="18" hidden="1" customHeight="1">
      <c r="A100" s="1808"/>
      <c r="B100" s="30"/>
      <c r="C100" s="26" t="s">
        <v>834</v>
      </c>
      <c r="D100" s="26"/>
      <c r="E100" s="346"/>
      <c r="F100" s="26"/>
      <c r="G100" s="26"/>
      <c r="H100" s="26"/>
      <c r="I100" s="27" t="s">
        <v>833</v>
      </c>
      <c r="J100" s="33" t="s">
        <v>17</v>
      </c>
      <c r="K100" s="33"/>
      <c r="L100" s="25"/>
      <c r="M100" s="349">
        <f>MIN(11,2*M88*M90*M92*M93*M94*M96*M99)</f>
        <v>5.4382022471910121</v>
      </c>
      <c r="N100" s="349">
        <f>MIN(11,2*N88*N90*N92*N93*N94*N96*N99)</f>
        <v>2.2471910112359552</v>
      </c>
      <c r="O100" s="349">
        <f>MIN(11,2*O88*O90*O92*O93*O94*O96*O99)</f>
        <v>5.4382022471910121</v>
      </c>
      <c r="P100" s="493">
        <v>0</v>
      </c>
      <c r="Q100" s="989">
        <v>0</v>
      </c>
      <c r="R100" s="493">
        <v>0</v>
      </c>
      <c r="S100" s="131"/>
      <c r="T100" s="298"/>
      <c r="U100" s="298"/>
      <c r="V100" s="150"/>
      <c r="W100" s="299"/>
      <c r="X100" s="299"/>
      <c r="Y100" s="150"/>
      <c r="Z100" s="299"/>
      <c r="AA100" s="299"/>
      <c r="AB100" s="131"/>
      <c r="AC100" s="298"/>
      <c r="AD100" s="298"/>
      <c r="AE100" s="13"/>
      <c r="AF100" s="13"/>
      <c r="AG100" s="13"/>
      <c r="AH100" s="13"/>
      <c r="AI100" s="13"/>
      <c r="AJ100" s="13"/>
      <c r="AK100" s="13"/>
      <c r="AL100" s="13"/>
      <c r="AM100" s="13"/>
      <c r="AN100" s="13"/>
      <c r="AO100" s="13"/>
      <c r="AP100" s="155"/>
      <c r="AQ100" s="155"/>
      <c r="AR100" s="102"/>
      <c r="AS100" s="102"/>
      <c r="AT100" s="102"/>
      <c r="AU100" s="102"/>
      <c r="AV100" s="102"/>
      <c r="AW100" s="102"/>
      <c r="AX100" s="102"/>
      <c r="AY100" s="102"/>
      <c r="AZ100" s="102"/>
      <c r="BA100" s="102"/>
      <c r="BB100" s="102"/>
      <c r="BC100" s="102"/>
      <c r="BD100" s="102"/>
      <c r="BE100" s="102"/>
      <c r="BF100" s="102"/>
      <c r="BG100" s="102"/>
      <c r="BH100" s="102"/>
      <c r="BI100" s="102"/>
      <c r="BJ100" s="102"/>
      <c r="BK100" s="102"/>
      <c r="BL100" s="102"/>
      <c r="BM100" s="102"/>
      <c r="BN100" s="102"/>
      <c r="BO100" s="102"/>
      <c r="BP100" s="102"/>
      <c r="BQ100" s="102"/>
      <c r="BR100" s="102"/>
      <c r="BS100" s="102"/>
      <c r="BT100" s="102"/>
      <c r="BU100" s="102"/>
      <c r="BV100" s="102"/>
      <c r="BW100" s="102"/>
      <c r="BX100" s="102"/>
      <c r="BY100" s="102"/>
      <c r="BZ100" s="102"/>
      <c r="CA100" s="102"/>
      <c r="CB100" s="102"/>
      <c r="CC100" s="102"/>
      <c r="CD100" s="102"/>
      <c r="CE100" s="102"/>
      <c r="CF100" s="102"/>
      <c r="CG100" s="102"/>
      <c r="CH100" s="102"/>
      <c r="CI100" s="102"/>
      <c r="CJ100" s="102"/>
      <c r="CK100" s="102"/>
      <c r="CL100" s="102"/>
      <c r="CM100" s="102"/>
      <c r="CN100" s="102"/>
      <c r="CO100" s="102"/>
      <c r="CP100" s="102"/>
      <c r="CQ100" s="102"/>
      <c r="CR100" s="102"/>
      <c r="CS100" s="102"/>
      <c r="CT100" s="102"/>
      <c r="CU100" s="102"/>
      <c r="CV100" s="102"/>
      <c r="CW100" s="102"/>
      <c r="CX100" s="102"/>
      <c r="CY100" s="102"/>
      <c r="CZ100" s="102"/>
      <c r="DA100" s="102"/>
      <c r="DB100" s="102"/>
      <c r="DC100" s="102"/>
      <c r="DD100" s="102"/>
      <c r="DE100" s="101"/>
      <c r="DF100" s="101"/>
      <c r="DG100" s="101"/>
      <c r="DH100" s="101"/>
      <c r="DI100" s="101"/>
      <c r="DJ100" s="101"/>
      <c r="DK100" s="101"/>
      <c r="DL100" s="101"/>
      <c r="DM100" s="101"/>
      <c r="DN100" s="101"/>
      <c r="DO100" s="101"/>
      <c r="DP100" s="101"/>
      <c r="DQ100" s="101"/>
      <c r="DR100" s="101"/>
      <c r="DS100" s="101"/>
      <c r="DT100" s="101"/>
      <c r="DU100" s="101"/>
      <c r="DV100" s="101"/>
      <c r="DW100" s="101"/>
      <c r="DX100" s="101"/>
      <c r="DY100" s="101"/>
      <c r="DZ100" s="101"/>
      <c r="EA100" s="101"/>
      <c r="EB100" s="101"/>
      <c r="EC100" s="101"/>
      <c r="ED100" s="101"/>
      <c r="EE100" s="102"/>
      <c r="EF100" s="102"/>
      <c r="EG100" s="102"/>
      <c r="EH100" s="102"/>
      <c r="EI100" s="102"/>
      <c r="EJ100" s="102"/>
      <c r="EK100" s="102"/>
      <c r="EL100" s="102"/>
      <c r="EM100" s="102"/>
      <c r="EN100" s="102"/>
      <c r="EO100" s="102"/>
      <c r="EP100" s="102"/>
      <c r="EQ100" s="102"/>
      <c r="ER100" s="102"/>
      <c r="ES100" s="102"/>
      <c r="ET100" s="102"/>
      <c r="EU100" s="102"/>
      <c r="EV100" s="102"/>
      <c r="EW100" s="102"/>
      <c r="EX100" s="102"/>
      <c r="EY100" s="102"/>
      <c r="EZ100" s="102"/>
      <c r="FA100" s="102"/>
      <c r="FB100" s="102"/>
      <c r="FC100" s="102"/>
      <c r="FD100" s="102"/>
      <c r="FE100" s="102"/>
      <c r="FF100" s="102"/>
      <c r="FG100" s="102"/>
      <c r="FH100" s="102"/>
      <c r="FI100" s="102"/>
      <c r="FJ100" s="102"/>
      <c r="FK100" s="102"/>
      <c r="FL100" s="102"/>
      <c r="FM100" s="102"/>
      <c r="FN100" s="102"/>
    </row>
    <row r="101" spans="1:170" s="19" customFormat="1" ht="18" hidden="1" customHeight="1">
      <c r="A101" s="1808"/>
      <c r="B101" s="30"/>
      <c r="C101" s="26" t="s">
        <v>835</v>
      </c>
      <c r="D101" s="26"/>
      <c r="E101" s="346"/>
      <c r="F101" s="26"/>
      <c r="G101" s="26"/>
      <c r="H101" s="26"/>
      <c r="I101" s="27" t="s">
        <v>836</v>
      </c>
      <c r="J101" s="33" t="s">
        <v>17</v>
      </c>
      <c r="K101" s="33"/>
      <c r="L101" s="25"/>
      <c r="M101" s="349">
        <f>MIN(11,0*M88*M90*M92*M93*M94*M96*M99)</f>
        <v>0</v>
      </c>
      <c r="N101" s="349">
        <f>MIN(11,0*N88*N90*N92*N93*N94*N96*N99)</f>
        <v>0</v>
      </c>
      <c r="O101" s="349">
        <f>MIN(11,0*O88*O90*O92*O93*O94*O96*O99)</f>
        <v>0</v>
      </c>
      <c r="P101" s="493">
        <v>0</v>
      </c>
      <c r="Q101" s="989">
        <v>0</v>
      </c>
      <c r="R101" s="493">
        <v>0</v>
      </c>
      <c r="S101" s="131"/>
      <c r="T101" s="298"/>
      <c r="U101" s="298"/>
      <c r="V101" s="150"/>
      <c r="W101" s="299"/>
      <c r="X101" s="299"/>
      <c r="Y101" s="150"/>
      <c r="Z101" s="299"/>
      <c r="AA101" s="299"/>
      <c r="AB101" s="131"/>
      <c r="AC101" s="298"/>
      <c r="AD101" s="298"/>
      <c r="AE101" s="13"/>
      <c r="AF101" s="13"/>
      <c r="AG101" s="13"/>
      <c r="AH101" s="13"/>
      <c r="AI101" s="13"/>
      <c r="AJ101" s="13"/>
      <c r="AK101" s="13"/>
      <c r="AL101" s="13"/>
      <c r="AM101" s="13"/>
      <c r="AN101" s="13"/>
      <c r="AO101" s="13"/>
      <c r="AP101" s="155"/>
      <c r="AQ101" s="155"/>
      <c r="AR101" s="102"/>
      <c r="AS101" s="102"/>
      <c r="AT101" s="102"/>
      <c r="AU101" s="102"/>
      <c r="AV101" s="102"/>
      <c r="AW101" s="102"/>
      <c r="AX101" s="102"/>
      <c r="AY101" s="102"/>
      <c r="AZ101" s="102"/>
      <c r="BA101" s="102"/>
      <c r="BB101" s="102"/>
      <c r="BC101" s="102"/>
      <c r="BD101" s="102"/>
      <c r="BE101" s="102"/>
      <c r="BF101" s="102"/>
      <c r="BG101" s="102"/>
      <c r="BH101" s="102"/>
      <c r="BI101" s="102"/>
      <c r="BJ101" s="102"/>
      <c r="BK101" s="102"/>
      <c r="BL101" s="102"/>
      <c r="BM101" s="102"/>
      <c r="BN101" s="102"/>
      <c r="BO101" s="102"/>
      <c r="BP101" s="102"/>
      <c r="BQ101" s="102"/>
      <c r="BR101" s="102"/>
      <c r="BS101" s="102"/>
      <c r="BT101" s="102"/>
      <c r="BU101" s="102"/>
      <c r="BV101" s="102"/>
      <c r="BW101" s="102"/>
      <c r="BX101" s="102"/>
      <c r="BY101" s="102"/>
      <c r="BZ101" s="102"/>
      <c r="CA101" s="102"/>
      <c r="CB101" s="102"/>
      <c r="CC101" s="102"/>
      <c r="CD101" s="102"/>
      <c r="CE101" s="102"/>
      <c r="CF101" s="102"/>
      <c r="CG101" s="102"/>
      <c r="CH101" s="102"/>
      <c r="CI101" s="102"/>
      <c r="CJ101" s="102"/>
      <c r="CK101" s="102"/>
      <c r="CL101" s="102"/>
      <c r="CM101" s="102"/>
      <c r="CN101" s="102"/>
      <c r="CO101" s="102"/>
      <c r="CP101" s="102"/>
      <c r="CQ101" s="102"/>
      <c r="CR101" s="102"/>
      <c r="CS101" s="102"/>
      <c r="CT101" s="102"/>
      <c r="CU101" s="102"/>
      <c r="CV101" s="102"/>
      <c r="CW101" s="102"/>
      <c r="CX101" s="102"/>
      <c r="CY101" s="102"/>
      <c r="CZ101" s="102"/>
      <c r="DA101" s="102"/>
      <c r="DB101" s="102"/>
      <c r="DC101" s="102"/>
      <c r="DD101" s="102"/>
      <c r="DE101" s="101"/>
      <c r="DF101" s="101"/>
      <c r="DG101" s="101"/>
      <c r="DH101" s="101"/>
      <c r="DI101" s="101"/>
      <c r="DJ101" s="101"/>
      <c r="DK101" s="101"/>
      <c r="DL101" s="101"/>
      <c r="DM101" s="101"/>
      <c r="DN101" s="101"/>
      <c r="DO101" s="101"/>
      <c r="DP101" s="101"/>
      <c r="DQ101" s="101"/>
      <c r="DR101" s="101"/>
      <c r="DS101" s="101"/>
      <c r="DT101" s="101"/>
      <c r="DU101" s="101"/>
      <c r="DV101" s="101"/>
      <c r="DW101" s="101"/>
      <c r="DX101" s="101"/>
      <c r="DY101" s="101"/>
      <c r="DZ101" s="101"/>
      <c r="EA101" s="101"/>
      <c r="EB101" s="101"/>
      <c r="EC101" s="101"/>
      <c r="ED101" s="101"/>
      <c r="EE101" s="102"/>
      <c r="EF101" s="102"/>
      <c r="EG101" s="102"/>
      <c r="EH101" s="102"/>
      <c r="EI101" s="102"/>
      <c r="EJ101" s="102"/>
      <c r="EK101" s="102"/>
      <c r="EL101" s="102"/>
      <c r="EM101" s="102"/>
      <c r="EN101" s="102"/>
      <c r="EO101" s="102"/>
      <c r="EP101" s="102"/>
      <c r="EQ101" s="102"/>
      <c r="ER101" s="102"/>
      <c r="ES101" s="102"/>
      <c r="ET101" s="102"/>
      <c r="EU101" s="102"/>
      <c r="EV101" s="102"/>
      <c r="EW101" s="102"/>
      <c r="EX101" s="102"/>
      <c r="EY101" s="102"/>
      <c r="EZ101" s="102"/>
      <c r="FA101" s="102"/>
      <c r="FB101" s="102"/>
      <c r="FC101" s="102"/>
      <c r="FD101" s="102"/>
      <c r="FE101" s="102"/>
      <c r="FF101" s="102"/>
      <c r="FG101" s="102"/>
      <c r="FH101" s="102"/>
      <c r="FI101" s="102"/>
      <c r="FJ101" s="102"/>
      <c r="FK101" s="102"/>
      <c r="FL101" s="102"/>
      <c r="FM101" s="102"/>
      <c r="FN101" s="102"/>
    </row>
    <row r="102" spans="1:170" s="19" customFormat="1" ht="18" hidden="1" customHeight="1">
      <c r="A102" s="1808"/>
      <c r="B102" s="171"/>
      <c r="C102" s="26" t="s">
        <v>194</v>
      </c>
      <c r="D102" s="26"/>
      <c r="E102" s="346"/>
      <c r="F102" s="26" t="s">
        <v>28</v>
      </c>
      <c r="G102" s="26"/>
      <c r="H102" s="26"/>
      <c r="I102" s="1098" t="s">
        <v>810</v>
      </c>
      <c r="J102" s="33" t="s">
        <v>16</v>
      </c>
      <c r="K102" s="33"/>
      <c r="L102" s="25"/>
      <c r="M102" s="25">
        <f>0.5*((11-M100)*COS(3.14*$M78/M87)+(11+M100))</f>
        <v>6.2739068788981047</v>
      </c>
      <c r="N102" s="25">
        <f>0.5*((11-N100)*COS(3.14*$M78/N87)+(11+N100))</f>
        <v>3.5623706235588357</v>
      </c>
      <c r="O102" s="25">
        <f>0.5*((11-O100)*COS(3.14*$M78/O87)+(11+O100))</f>
        <v>6.2739068788981047</v>
      </c>
      <c r="P102" s="493">
        <v>0</v>
      </c>
      <c r="Q102" s="989">
        <v>0</v>
      </c>
      <c r="R102" s="493">
        <v>0</v>
      </c>
      <c r="S102" s="131"/>
      <c r="T102" s="298"/>
      <c r="U102" s="298"/>
      <c r="V102" s="150"/>
      <c r="W102" s="299"/>
      <c r="X102" s="299"/>
      <c r="Y102" s="150"/>
      <c r="Z102" s="299"/>
      <c r="AA102" s="299"/>
      <c r="AB102" s="131"/>
      <c r="AC102" s="298"/>
      <c r="AD102" s="298"/>
      <c r="AE102" s="13"/>
      <c r="AF102" s="13"/>
      <c r="AG102" s="13"/>
      <c r="AH102" s="13"/>
      <c r="AI102" s="13"/>
      <c r="AJ102" s="13"/>
      <c r="AK102" s="13"/>
      <c r="AL102" s="13"/>
      <c r="AM102" s="13"/>
      <c r="AN102" s="13"/>
      <c r="AO102" s="13"/>
      <c r="AP102" s="155"/>
      <c r="AQ102" s="155"/>
      <c r="AR102" s="102"/>
      <c r="AS102" s="102"/>
      <c r="AT102" s="102"/>
      <c r="AU102" s="102"/>
      <c r="AV102" s="102"/>
      <c r="AW102" s="102"/>
      <c r="AX102" s="102"/>
      <c r="AY102" s="102"/>
      <c r="AZ102" s="102"/>
      <c r="BA102" s="102"/>
      <c r="BB102" s="102"/>
      <c r="BC102" s="102"/>
      <c r="BD102" s="102"/>
      <c r="BE102" s="102"/>
      <c r="BF102" s="102"/>
      <c r="BG102" s="102"/>
      <c r="BH102" s="102"/>
      <c r="BI102" s="102"/>
      <c r="BJ102" s="102"/>
      <c r="BK102" s="102"/>
      <c r="BL102" s="102"/>
      <c r="BM102" s="102"/>
      <c r="BN102" s="102"/>
      <c r="BO102" s="102"/>
      <c r="BP102" s="102"/>
      <c r="BQ102" s="102"/>
      <c r="BR102" s="102"/>
      <c r="BS102" s="102"/>
      <c r="BT102" s="102"/>
      <c r="BU102" s="102"/>
      <c r="BV102" s="102"/>
      <c r="BW102" s="102"/>
      <c r="BX102" s="102"/>
      <c r="BY102" s="102"/>
      <c r="BZ102" s="102"/>
      <c r="CA102" s="102"/>
      <c r="CB102" s="102"/>
      <c r="CC102" s="102"/>
      <c r="CD102" s="102"/>
      <c r="CE102" s="102"/>
      <c r="CF102" s="102"/>
      <c r="CG102" s="102"/>
      <c r="CH102" s="102"/>
      <c r="CI102" s="102"/>
      <c r="CJ102" s="102"/>
      <c r="CK102" s="102"/>
      <c r="CL102" s="102"/>
      <c r="CM102" s="102"/>
      <c r="CN102" s="102"/>
      <c r="CO102" s="102"/>
      <c r="CP102" s="102"/>
      <c r="CQ102" s="102"/>
      <c r="CR102" s="102"/>
      <c r="CS102" s="102"/>
      <c r="CT102" s="102"/>
      <c r="CU102" s="102"/>
      <c r="CV102" s="102"/>
      <c r="CW102" s="102"/>
      <c r="CX102" s="102"/>
      <c r="CY102" s="102"/>
      <c r="CZ102" s="102"/>
      <c r="DA102" s="102"/>
      <c r="DB102" s="102"/>
      <c r="DC102" s="102"/>
      <c r="DD102" s="102"/>
      <c r="DE102" s="101"/>
      <c r="DF102" s="101"/>
      <c r="DG102" s="101"/>
      <c r="DH102" s="101"/>
      <c r="DI102" s="101"/>
      <c r="DJ102" s="101"/>
      <c r="DK102" s="101"/>
      <c r="DL102" s="101"/>
      <c r="DM102" s="101"/>
      <c r="DN102" s="101"/>
      <c r="DO102" s="101"/>
      <c r="DP102" s="101"/>
      <c r="DQ102" s="101"/>
      <c r="DR102" s="101"/>
      <c r="DS102" s="101"/>
      <c r="DT102" s="101"/>
      <c r="DU102" s="101"/>
      <c r="DV102" s="101"/>
      <c r="DW102" s="101"/>
      <c r="DX102" s="101"/>
      <c r="DY102" s="101"/>
      <c r="DZ102" s="101"/>
      <c r="EA102" s="101"/>
      <c r="EB102" s="101"/>
      <c r="EC102" s="101"/>
      <c r="ED102" s="101"/>
      <c r="EE102" s="102"/>
      <c r="EF102" s="102"/>
      <c r="EG102" s="102"/>
      <c r="EH102" s="102"/>
      <c r="EI102" s="102"/>
      <c r="EJ102" s="102"/>
      <c r="EK102" s="102"/>
      <c r="EL102" s="102"/>
      <c r="EM102" s="102"/>
      <c r="EN102" s="102"/>
      <c r="EO102" s="102"/>
      <c r="EP102" s="102"/>
      <c r="EQ102" s="102"/>
      <c r="ER102" s="102"/>
      <c r="ES102" s="102"/>
      <c r="ET102" s="102"/>
      <c r="EU102" s="102"/>
      <c r="EV102" s="102"/>
      <c r="EW102" s="102"/>
      <c r="EX102" s="102"/>
      <c r="EY102" s="102"/>
      <c r="EZ102" s="102"/>
      <c r="FA102" s="102"/>
      <c r="FB102" s="102"/>
      <c r="FC102" s="102"/>
      <c r="FD102" s="102"/>
      <c r="FE102" s="102"/>
      <c r="FF102" s="102"/>
      <c r="FG102" s="102"/>
      <c r="FH102" s="102"/>
      <c r="FI102" s="102"/>
      <c r="FJ102" s="102"/>
      <c r="FK102" s="102"/>
      <c r="FL102" s="102"/>
      <c r="FM102" s="102"/>
      <c r="FN102" s="102"/>
    </row>
    <row r="103" spans="1:170" s="19" customFormat="1" ht="18" hidden="1" customHeight="1">
      <c r="A103" s="1808"/>
      <c r="B103" s="171"/>
      <c r="C103" s="26" t="s">
        <v>837</v>
      </c>
      <c r="D103" s="26"/>
      <c r="E103" s="346"/>
      <c r="F103" s="26" t="s">
        <v>28</v>
      </c>
      <c r="G103" s="26"/>
      <c r="H103" s="26"/>
      <c r="I103" s="1098" t="s">
        <v>838</v>
      </c>
      <c r="J103" s="33" t="s">
        <v>16</v>
      </c>
      <c r="K103" s="33"/>
      <c r="L103" s="25"/>
      <c r="M103" s="25">
        <f>0.5*((11-M101)*COS(3.14*M78/M87)+(11+M101))</f>
        <v>1.6528380493762516</v>
      </c>
      <c r="N103" s="25">
        <f>0.5*((11-M101)*COS(3.14*M78/M87)+(11+M101))</f>
        <v>1.6528380493762516</v>
      </c>
      <c r="O103" s="25">
        <f>0.5*((11-M101)*COS(3.14*M78/M87)+(11+M101))</f>
        <v>1.6528380493762516</v>
      </c>
      <c r="P103" s="493">
        <v>0</v>
      </c>
      <c r="Q103" s="989">
        <v>0</v>
      </c>
      <c r="R103" s="493">
        <v>0</v>
      </c>
      <c r="S103" s="131"/>
      <c r="T103" s="298"/>
      <c r="U103" s="298"/>
      <c r="V103" s="150"/>
      <c r="W103" s="299"/>
      <c r="X103" s="299"/>
      <c r="Y103" s="150"/>
      <c r="Z103" s="299"/>
      <c r="AA103" s="299"/>
      <c r="AB103" s="131"/>
      <c r="AC103" s="298"/>
      <c r="AD103" s="298"/>
      <c r="AE103" s="13"/>
      <c r="AF103" s="13"/>
      <c r="AG103" s="13"/>
      <c r="AH103" s="13"/>
      <c r="AI103" s="13"/>
      <c r="AJ103" s="13"/>
      <c r="AK103" s="13"/>
      <c r="AL103" s="13"/>
      <c r="AM103" s="13"/>
      <c r="AN103" s="13"/>
      <c r="AO103" s="13"/>
      <c r="AP103" s="155"/>
      <c r="AQ103" s="155"/>
      <c r="AR103" s="102"/>
      <c r="AS103" s="102"/>
      <c r="AT103" s="102"/>
      <c r="AU103" s="102"/>
      <c r="AV103" s="102"/>
      <c r="AW103" s="102"/>
      <c r="AX103" s="102"/>
      <c r="AY103" s="102"/>
      <c r="AZ103" s="102"/>
      <c r="BA103" s="102"/>
      <c r="BB103" s="102"/>
      <c r="BC103" s="102"/>
      <c r="BD103" s="102"/>
      <c r="BE103" s="102"/>
      <c r="BF103" s="102"/>
      <c r="BG103" s="102"/>
      <c r="BH103" s="102"/>
      <c r="BI103" s="102"/>
      <c r="BJ103" s="102"/>
      <c r="BK103" s="102"/>
      <c r="BL103" s="102"/>
      <c r="BM103" s="102"/>
      <c r="BN103" s="102"/>
      <c r="BO103" s="102"/>
      <c r="BP103" s="102"/>
      <c r="BQ103" s="102"/>
      <c r="BR103" s="102"/>
      <c r="BS103" s="102"/>
      <c r="BT103" s="102"/>
      <c r="BU103" s="102"/>
      <c r="BV103" s="102"/>
      <c r="BW103" s="102"/>
      <c r="BX103" s="102"/>
      <c r="BY103" s="102"/>
      <c r="BZ103" s="102"/>
      <c r="CA103" s="102"/>
      <c r="CB103" s="102"/>
      <c r="CC103" s="102"/>
      <c r="CD103" s="102"/>
      <c r="CE103" s="102"/>
      <c r="CF103" s="102"/>
      <c r="CG103" s="102"/>
      <c r="CH103" s="102"/>
      <c r="CI103" s="102"/>
      <c r="CJ103" s="102"/>
      <c r="CK103" s="102"/>
      <c r="CL103" s="102"/>
      <c r="CM103" s="102"/>
      <c r="CN103" s="102"/>
      <c r="CO103" s="102"/>
      <c r="CP103" s="102"/>
      <c r="CQ103" s="102"/>
      <c r="CR103" s="102"/>
      <c r="CS103" s="102"/>
      <c r="CT103" s="102"/>
      <c r="CU103" s="102"/>
      <c r="CV103" s="102"/>
      <c r="CW103" s="102"/>
      <c r="CX103" s="102"/>
      <c r="CY103" s="102"/>
      <c r="CZ103" s="102"/>
      <c r="DA103" s="102"/>
      <c r="DB103" s="102"/>
      <c r="DC103" s="102"/>
      <c r="DD103" s="102"/>
      <c r="DE103" s="101"/>
      <c r="DF103" s="101"/>
      <c r="DG103" s="101"/>
      <c r="DH103" s="101"/>
      <c r="DI103" s="101"/>
      <c r="DJ103" s="101"/>
      <c r="DK103" s="101"/>
      <c r="DL103" s="101"/>
      <c r="DM103" s="101"/>
      <c r="DN103" s="101"/>
      <c r="DO103" s="101"/>
      <c r="DP103" s="101"/>
      <c r="DQ103" s="101"/>
      <c r="DR103" s="101"/>
      <c r="DS103" s="101"/>
      <c r="DT103" s="101"/>
      <c r="DU103" s="101"/>
      <c r="DV103" s="101"/>
      <c r="DW103" s="101"/>
      <c r="DX103" s="101"/>
      <c r="DY103" s="101"/>
      <c r="DZ103" s="101"/>
      <c r="EA103" s="101"/>
      <c r="EB103" s="101"/>
      <c r="EC103" s="101"/>
      <c r="ED103" s="101"/>
      <c r="EE103" s="102"/>
      <c r="EF103" s="102"/>
      <c r="EG103" s="102"/>
      <c r="EH103" s="102"/>
      <c r="EI103" s="102"/>
      <c r="EJ103" s="102"/>
      <c r="EK103" s="102"/>
      <c r="EL103" s="102"/>
      <c r="EM103" s="102"/>
      <c r="EN103" s="102"/>
      <c r="EO103" s="102"/>
      <c r="EP103" s="102"/>
      <c r="EQ103" s="102"/>
      <c r="ER103" s="102"/>
      <c r="ES103" s="102"/>
      <c r="ET103" s="102"/>
      <c r="EU103" s="102"/>
      <c r="EV103" s="102"/>
      <c r="EW103" s="102"/>
      <c r="EX103" s="102"/>
      <c r="EY103" s="102"/>
      <c r="EZ103" s="102"/>
      <c r="FA103" s="102"/>
      <c r="FB103" s="102"/>
      <c r="FC103" s="102"/>
      <c r="FD103" s="102"/>
      <c r="FE103" s="102"/>
      <c r="FF103" s="102"/>
      <c r="FG103" s="102"/>
      <c r="FH103" s="102"/>
      <c r="FI103" s="102"/>
      <c r="FJ103" s="102"/>
      <c r="FK103" s="102"/>
      <c r="FL103" s="102"/>
      <c r="FM103" s="102"/>
      <c r="FN103" s="102"/>
    </row>
    <row r="104" spans="1:170" s="19" customFormat="1" ht="18" hidden="1" customHeight="1">
      <c r="A104" s="1808"/>
      <c r="B104" s="171"/>
      <c r="C104" s="26" t="s">
        <v>83</v>
      </c>
      <c r="D104" s="26"/>
      <c r="E104" s="346"/>
      <c r="F104" s="26"/>
      <c r="G104" s="26"/>
      <c r="H104" s="26"/>
      <c r="I104" s="27" t="s">
        <v>96</v>
      </c>
      <c r="J104" s="33"/>
      <c r="K104" s="33"/>
      <c r="L104" s="25"/>
      <c r="M104" s="25" t="s">
        <v>84</v>
      </c>
      <c r="N104" s="25" t="s">
        <v>49</v>
      </c>
      <c r="O104" s="25" t="s">
        <v>84</v>
      </c>
      <c r="P104" s="493">
        <v>0</v>
      </c>
      <c r="Q104" s="989">
        <v>0</v>
      </c>
      <c r="R104" s="493">
        <v>0</v>
      </c>
      <c r="S104" s="131"/>
      <c r="T104" s="298"/>
      <c r="U104" s="298"/>
      <c r="V104" s="150"/>
      <c r="W104" s="299"/>
      <c r="X104" s="299"/>
      <c r="Y104" s="150"/>
      <c r="Z104" s="299"/>
      <c r="AA104" s="299"/>
      <c r="AB104" s="131"/>
      <c r="AC104" s="298"/>
      <c r="AD104" s="298"/>
      <c r="AE104" s="13"/>
      <c r="AF104" s="13"/>
      <c r="AG104" s="13"/>
      <c r="AH104" s="13"/>
      <c r="AI104" s="13"/>
      <c r="AJ104" s="13"/>
      <c r="AK104" s="13"/>
      <c r="AL104" s="13"/>
      <c r="AM104" s="13"/>
      <c r="AN104" s="13"/>
      <c r="AO104" s="13"/>
      <c r="AP104" s="155"/>
      <c r="AQ104" s="155"/>
      <c r="AR104" s="102"/>
      <c r="AS104" s="102"/>
      <c r="AT104" s="102"/>
      <c r="AU104" s="102"/>
      <c r="AV104" s="102"/>
      <c r="AW104" s="102"/>
      <c r="AX104" s="102"/>
      <c r="AY104" s="102"/>
      <c r="AZ104" s="102"/>
      <c r="BA104" s="102"/>
      <c r="BB104" s="102"/>
      <c r="BC104" s="102"/>
      <c r="BD104" s="102"/>
      <c r="BE104" s="102"/>
      <c r="BF104" s="102"/>
      <c r="BG104" s="102"/>
      <c r="BH104" s="102"/>
      <c r="BI104" s="102"/>
      <c r="BJ104" s="102"/>
      <c r="BK104" s="102"/>
      <c r="BL104" s="102"/>
      <c r="BM104" s="102"/>
      <c r="BN104" s="102"/>
      <c r="BO104" s="102"/>
      <c r="BP104" s="102"/>
      <c r="BQ104" s="102"/>
      <c r="BR104" s="102"/>
      <c r="BS104" s="102"/>
      <c r="BT104" s="102"/>
      <c r="BU104" s="102"/>
      <c r="BV104" s="102"/>
      <c r="BW104" s="102"/>
      <c r="BX104" s="102"/>
      <c r="BY104" s="102"/>
      <c r="BZ104" s="102"/>
      <c r="CA104" s="102"/>
      <c r="CB104" s="102"/>
      <c r="CC104" s="102"/>
      <c r="CD104" s="102"/>
      <c r="CE104" s="102"/>
      <c r="CF104" s="102"/>
      <c r="CG104" s="102"/>
      <c r="CH104" s="102"/>
      <c r="CI104" s="102"/>
      <c r="CJ104" s="102"/>
      <c r="CK104" s="102"/>
      <c r="CL104" s="102"/>
      <c r="CM104" s="102"/>
      <c r="CN104" s="102"/>
      <c r="CO104" s="102"/>
      <c r="CP104" s="102"/>
      <c r="CQ104" s="102"/>
      <c r="CR104" s="102"/>
      <c r="CS104" s="102"/>
      <c r="CT104" s="102"/>
      <c r="CU104" s="102"/>
      <c r="CV104" s="102"/>
      <c r="CW104" s="102"/>
      <c r="CX104" s="102"/>
      <c r="CY104" s="102"/>
      <c r="CZ104" s="102"/>
      <c r="DA104" s="102"/>
      <c r="DB104" s="102"/>
      <c r="DC104" s="102"/>
      <c r="DD104" s="102"/>
      <c r="DE104" s="101"/>
      <c r="DF104" s="101"/>
      <c r="DG104" s="101"/>
      <c r="DH104" s="101"/>
      <c r="DI104" s="101"/>
      <c r="DJ104" s="101"/>
      <c r="DK104" s="101"/>
      <c r="DL104" s="101"/>
      <c r="DM104" s="101"/>
      <c r="DN104" s="101"/>
      <c r="DO104" s="101"/>
      <c r="DP104" s="101"/>
      <c r="DQ104" s="101"/>
      <c r="DR104" s="101"/>
      <c r="DS104" s="101"/>
      <c r="DT104" s="101"/>
      <c r="DU104" s="101"/>
      <c r="DV104" s="101"/>
      <c r="DW104" s="101"/>
      <c r="DX104" s="101"/>
      <c r="DY104" s="101"/>
      <c r="DZ104" s="101"/>
      <c r="EA104" s="101"/>
      <c r="EB104" s="101"/>
      <c r="EC104" s="101"/>
      <c r="ED104" s="101"/>
      <c r="EE104" s="102"/>
      <c r="EF104" s="102"/>
      <c r="EG104" s="102"/>
      <c r="EH104" s="102"/>
      <c r="EI104" s="102"/>
      <c r="EJ104" s="102"/>
      <c r="EK104" s="102"/>
      <c r="EL104" s="102"/>
      <c r="EM104" s="102"/>
      <c r="EN104" s="102"/>
      <c r="EO104" s="102"/>
      <c r="EP104" s="102"/>
      <c r="EQ104" s="102"/>
      <c r="ER104" s="102"/>
      <c r="ES104" s="102"/>
      <c r="ET104" s="102"/>
      <c r="EU104" s="102"/>
      <c r="EV104" s="102"/>
      <c r="EW104" s="102"/>
      <c r="EX104" s="102"/>
      <c r="EY104" s="102"/>
      <c r="EZ104" s="102"/>
      <c r="FA104" s="102"/>
      <c r="FB104" s="102"/>
      <c r="FC104" s="102"/>
      <c r="FD104" s="102"/>
      <c r="FE104" s="102"/>
      <c r="FF104" s="102"/>
      <c r="FG104" s="102"/>
      <c r="FH104" s="102"/>
      <c r="FI104" s="102"/>
      <c r="FJ104" s="102"/>
      <c r="FK104" s="102"/>
      <c r="FL104" s="102"/>
      <c r="FM104" s="102"/>
      <c r="FN104" s="102"/>
    </row>
    <row r="105" spans="1:170" s="19" customFormat="1" ht="18" customHeight="1">
      <c r="A105" s="1808"/>
      <c r="B105" s="416">
        <v>141</v>
      </c>
      <c r="C105" s="493" t="str">
        <f>VLOOKUP(B105,Begriffe!$A$6:$E$442,Begriffe!$D$1+2)</f>
        <v>Korrekturfaktor für Präsenzregelung</v>
      </c>
      <c r="D105" s="493"/>
      <c r="E105" s="493"/>
      <c r="F105" s="21"/>
      <c r="G105" s="21"/>
      <c r="H105" s="21"/>
      <c r="I105" s="178" t="s">
        <v>96</v>
      </c>
      <c r="J105" s="188" t="s">
        <v>272</v>
      </c>
      <c r="K105" s="188"/>
      <c r="L105" s="1172"/>
      <c r="M105" s="931">
        <f>IF(L105&lt;&gt;"",L105,1)</f>
        <v>1</v>
      </c>
      <c r="N105" s="931">
        <f>INDEX(Eingabedaten!$D$10:$CY$54,nutzid,MATCH($C105,Eingabedaten!$D$7:$CY$7,0))</f>
        <v>1</v>
      </c>
      <c r="O105" s="931">
        <f>M105</f>
        <v>1</v>
      </c>
      <c r="P105" s="493">
        <v>0</v>
      </c>
      <c r="Q105" s="989">
        <v>1</v>
      </c>
      <c r="R105" s="493">
        <v>0</v>
      </c>
      <c r="S105" s="131"/>
      <c r="T105" s="298"/>
      <c r="U105" s="298"/>
      <c r="V105" s="150"/>
      <c r="W105" s="299"/>
      <c r="X105" s="299"/>
      <c r="Y105" s="150"/>
      <c r="Z105" s="299"/>
      <c r="AA105" s="299"/>
      <c r="AB105" s="131"/>
      <c r="AC105" s="298"/>
      <c r="AD105" s="298"/>
      <c r="AE105" s="13"/>
      <c r="AF105" s="13"/>
      <c r="AG105" s="13"/>
      <c r="AH105" s="13"/>
      <c r="AI105" s="13"/>
      <c r="AJ105" s="13"/>
      <c r="AK105" s="13"/>
      <c r="AL105" s="13"/>
      <c r="AM105" s="13"/>
      <c r="AN105" s="13"/>
      <c r="AO105" s="13"/>
      <c r="AP105" s="155"/>
      <c r="AQ105" s="155"/>
      <c r="AR105" s="102"/>
      <c r="AS105" s="102"/>
      <c r="AT105" s="102"/>
      <c r="AU105" s="102"/>
      <c r="AV105" s="102"/>
      <c r="AW105" s="102"/>
      <c r="AX105" s="102"/>
      <c r="AY105" s="102"/>
      <c r="AZ105" s="102"/>
      <c r="BA105" s="102"/>
      <c r="BB105" s="102"/>
      <c r="BC105" s="102"/>
      <c r="BD105" s="102"/>
      <c r="BE105" s="102"/>
      <c r="BF105" s="102"/>
      <c r="BG105" s="102"/>
      <c r="BH105" s="102"/>
      <c r="BI105" s="102"/>
      <c r="BJ105" s="102"/>
      <c r="BK105" s="102"/>
      <c r="BL105" s="102"/>
      <c r="BM105" s="102"/>
      <c r="BN105" s="102"/>
      <c r="BO105" s="102"/>
      <c r="BP105" s="102"/>
      <c r="BQ105" s="102"/>
      <c r="BR105" s="102"/>
      <c r="BS105" s="102"/>
      <c r="BT105" s="102"/>
      <c r="BU105" s="102"/>
      <c r="BV105" s="102"/>
      <c r="BW105" s="102"/>
      <c r="BX105" s="102"/>
      <c r="BY105" s="102"/>
      <c r="BZ105" s="102"/>
      <c r="CA105" s="102"/>
      <c r="CB105" s="102"/>
      <c r="CC105" s="102"/>
      <c r="CD105" s="102"/>
      <c r="CE105" s="102"/>
      <c r="CF105" s="102"/>
      <c r="CG105" s="102"/>
      <c r="CH105" s="102"/>
      <c r="CI105" s="102"/>
      <c r="CJ105" s="102"/>
      <c r="CK105" s="102"/>
      <c r="CL105" s="102"/>
      <c r="CM105" s="102"/>
      <c r="CN105" s="102"/>
      <c r="CO105" s="102"/>
      <c r="CP105" s="102"/>
      <c r="CQ105" s="102"/>
      <c r="CR105" s="102"/>
      <c r="CS105" s="102"/>
      <c r="CT105" s="102"/>
      <c r="CU105" s="102"/>
      <c r="CV105" s="102"/>
      <c r="CW105" s="102"/>
      <c r="CX105" s="102"/>
      <c r="CY105" s="102"/>
      <c r="CZ105" s="102"/>
      <c r="DA105" s="102"/>
      <c r="DB105" s="102"/>
      <c r="DC105" s="102"/>
      <c r="DD105" s="102"/>
      <c r="DE105" s="101"/>
      <c r="DF105" s="101"/>
      <c r="DG105" s="101"/>
      <c r="DH105" s="101"/>
      <c r="DI105" s="101"/>
      <c r="DJ105" s="101"/>
      <c r="DK105" s="101"/>
      <c r="DL105" s="101"/>
      <c r="DM105" s="101"/>
      <c r="DN105" s="101"/>
      <c r="DO105" s="101"/>
      <c r="DP105" s="101"/>
      <c r="DQ105" s="101"/>
      <c r="DR105" s="101"/>
      <c r="DS105" s="101"/>
      <c r="DT105" s="101"/>
      <c r="DU105" s="101"/>
      <c r="DV105" s="101"/>
      <c r="DW105" s="101"/>
      <c r="DX105" s="101"/>
      <c r="DY105" s="101"/>
      <c r="DZ105" s="101"/>
      <c r="EA105" s="101"/>
      <c r="EB105" s="101"/>
      <c r="EC105" s="101"/>
      <c r="ED105" s="101"/>
      <c r="EE105" s="102"/>
      <c r="EF105" s="102"/>
      <c r="EG105" s="102"/>
      <c r="EH105" s="102"/>
      <c r="EI105" s="102"/>
      <c r="EJ105" s="102"/>
      <c r="EK105" s="102"/>
      <c r="EL105" s="102"/>
      <c r="EM105" s="102"/>
      <c r="EN105" s="102"/>
      <c r="EO105" s="102"/>
      <c r="EP105" s="102"/>
      <c r="EQ105" s="102"/>
      <c r="ER105" s="102"/>
      <c r="ES105" s="102"/>
      <c r="ET105" s="102"/>
      <c r="EU105" s="102"/>
      <c r="EV105" s="102"/>
      <c r="EW105" s="102"/>
      <c r="EX105" s="102"/>
      <c r="EY105" s="102"/>
      <c r="EZ105" s="102"/>
      <c r="FA105" s="102"/>
      <c r="FB105" s="102"/>
      <c r="FC105" s="102"/>
      <c r="FD105" s="102"/>
      <c r="FE105" s="102"/>
      <c r="FF105" s="102"/>
      <c r="FG105" s="102"/>
      <c r="FH105" s="102"/>
      <c r="FI105" s="102"/>
      <c r="FJ105" s="102"/>
      <c r="FK105" s="102"/>
      <c r="FL105" s="102"/>
      <c r="FM105" s="102"/>
      <c r="FN105" s="102"/>
    </row>
    <row r="106" spans="1:170" s="19" customFormat="1" ht="18" hidden="1" customHeight="1">
      <c r="A106" s="1808"/>
      <c r="B106" s="30"/>
      <c r="C106" s="932" t="s">
        <v>193</v>
      </c>
      <c r="D106" s="932"/>
      <c r="E106" s="946"/>
      <c r="F106" s="932" t="s">
        <v>28</v>
      </c>
      <c r="G106" s="932"/>
      <c r="H106" s="932"/>
      <c r="I106" s="933" t="s">
        <v>885</v>
      </c>
      <c r="J106" s="934" t="s">
        <v>17</v>
      </c>
      <c r="K106" s="934"/>
      <c r="L106" s="938"/>
      <c r="M106" s="938">
        <f>M105*(M102*$M84/11+$M85)</f>
        <v>15.273906878898103</v>
      </c>
      <c r="N106" s="938">
        <f>N105*(N102*$M84/11+$M85)</f>
        <v>12.562370623558836</v>
      </c>
      <c r="O106" s="938">
        <f>O105*(O102*$M84/11+$M85)</f>
        <v>15.273906878898103</v>
      </c>
      <c r="P106" s="493">
        <v>0</v>
      </c>
      <c r="Q106" s="989">
        <v>0</v>
      </c>
      <c r="R106" s="493">
        <v>1</v>
      </c>
      <c r="S106" s="131"/>
      <c r="T106" s="298"/>
      <c r="U106" s="298"/>
      <c r="V106" s="150"/>
      <c r="W106" s="299"/>
      <c r="X106" s="299"/>
      <c r="Y106" s="150"/>
      <c r="Z106" s="299"/>
      <c r="AA106" s="299"/>
      <c r="AB106" s="131"/>
      <c r="AC106" s="298"/>
      <c r="AD106" s="298"/>
      <c r="AE106" s="13"/>
      <c r="AF106" s="13"/>
      <c r="AG106" s="13"/>
      <c r="AH106" s="13"/>
      <c r="AI106" s="13"/>
      <c r="AJ106" s="13"/>
      <c r="AK106" s="13"/>
      <c r="AL106" s="13"/>
      <c r="AM106" s="13"/>
      <c r="AN106" s="13"/>
      <c r="AO106" s="13"/>
      <c r="AP106" s="155"/>
      <c r="AQ106" s="155"/>
      <c r="AR106" s="102"/>
      <c r="AS106" s="102"/>
      <c r="AT106" s="102"/>
      <c r="AU106" s="102"/>
      <c r="AV106" s="102"/>
      <c r="AW106" s="102"/>
      <c r="AX106" s="102"/>
      <c r="AY106" s="102"/>
      <c r="AZ106" s="102"/>
      <c r="BA106" s="102"/>
      <c r="BB106" s="102"/>
      <c r="BC106" s="102"/>
      <c r="BD106" s="102"/>
      <c r="BE106" s="102"/>
      <c r="BF106" s="102"/>
      <c r="BG106" s="102"/>
      <c r="BH106" s="102"/>
      <c r="BI106" s="102"/>
      <c r="BJ106" s="102"/>
      <c r="BK106" s="102"/>
      <c r="BL106" s="102"/>
      <c r="BM106" s="102"/>
      <c r="BN106" s="102"/>
      <c r="BO106" s="102"/>
      <c r="BP106" s="102"/>
      <c r="BQ106" s="102"/>
      <c r="BR106" s="102"/>
      <c r="BS106" s="102"/>
      <c r="BT106" s="102"/>
      <c r="BU106" s="102"/>
      <c r="BV106" s="102"/>
      <c r="BW106" s="102"/>
      <c r="BX106" s="102"/>
      <c r="BY106" s="102"/>
      <c r="BZ106" s="102"/>
      <c r="CA106" s="102"/>
      <c r="CB106" s="102"/>
      <c r="CC106" s="102"/>
      <c r="CD106" s="102"/>
      <c r="CE106" s="102"/>
      <c r="CF106" s="102"/>
      <c r="CG106" s="102"/>
      <c r="CH106" s="102"/>
      <c r="CI106" s="102"/>
      <c r="CJ106" s="102"/>
      <c r="CK106" s="102"/>
      <c r="CL106" s="102"/>
      <c r="CM106" s="102"/>
      <c r="CN106" s="102"/>
      <c r="CO106" s="102"/>
      <c r="CP106" s="102"/>
      <c r="CQ106" s="102"/>
      <c r="CR106" s="102"/>
      <c r="CS106" s="102"/>
      <c r="CT106" s="102"/>
      <c r="CU106" s="102"/>
      <c r="CV106" s="102"/>
      <c r="CW106" s="102"/>
      <c r="CX106" s="102"/>
      <c r="CY106" s="102"/>
      <c r="CZ106" s="102"/>
      <c r="DA106" s="102"/>
      <c r="DB106" s="102"/>
      <c r="DC106" s="102"/>
      <c r="DD106" s="102"/>
      <c r="DE106" s="101"/>
      <c r="DF106" s="101"/>
      <c r="DG106" s="101"/>
      <c r="DH106" s="101"/>
      <c r="DI106" s="101"/>
      <c r="DJ106" s="101"/>
      <c r="DK106" s="101"/>
      <c r="DL106" s="101"/>
      <c r="DM106" s="101"/>
      <c r="DN106" s="101"/>
      <c r="DO106" s="101"/>
      <c r="DP106" s="101"/>
      <c r="DQ106" s="101"/>
      <c r="DR106" s="101"/>
      <c r="DS106" s="101"/>
      <c r="DT106" s="101"/>
      <c r="DU106" s="101"/>
      <c r="DV106" s="101"/>
      <c r="DW106" s="101"/>
      <c r="DX106" s="101"/>
      <c r="DY106" s="101"/>
      <c r="DZ106" s="101"/>
      <c r="EA106" s="101"/>
      <c r="EB106" s="101"/>
      <c r="EC106" s="101"/>
      <c r="ED106" s="101"/>
      <c r="EE106" s="102"/>
      <c r="EF106" s="102"/>
      <c r="EG106" s="102"/>
      <c r="EH106" s="102"/>
      <c r="EI106" s="102"/>
      <c r="EJ106" s="102"/>
      <c r="EK106" s="102"/>
      <c r="EL106" s="102"/>
      <c r="EM106" s="102"/>
      <c r="EN106" s="102"/>
      <c r="EO106" s="102"/>
      <c r="EP106" s="102"/>
      <c r="EQ106" s="102"/>
      <c r="ER106" s="102"/>
      <c r="ES106" s="102"/>
      <c r="ET106" s="102"/>
      <c r="EU106" s="102"/>
      <c r="EV106" s="102"/>
      <c r="EW106" s="102"/>
      <c r="EX106" s="102"/>
      <c r="EY106" s="102"/>
      <c r="EZ106" s="102"/>
      <c r="FA106" s="102"/>
      <c r="FB106" s="102"/>
      <c r="FC106" s="102"/>
      <c r="FD106" s="102"/>
      <c r="FE106" s="102"/>
      <c r="FF106" s="102"/>
      <c r="FG106" s="102"/>
      <c r="FH106" s="102"/>
      <c r="FI106" s="102"/>
      <c r="FJ106" s="102"/>
      <c r="FK106" s="102"/>
      <c r="FL106" s="102"/>
      <c r="FM106" s="102"/>
      <c r="FN106" s="102"/>
    </row>
    <row r="107" spans="1:170" s="19" customFormat="1" ht="18" hidden="1" customHeight="1">
      <c r="A107" s="1808"/>
      <c r="B107" s="30"/>
      <c r="C107" s="932" t="s">
        <v>839</v>
      </c>
      <c r="D107" s="932"/>
      <c r="E107" s="946"/>
      <c r="F107" s="932" t="s">
        <v>28</v>
      </c>
      <c r="G107" s="932"/>
      <c r="H107" s="932"/>
      <c r="I107" s="933" t="s">
        <v>840</v>
      </c>
      <c r="J107" s="934" t="s">
        <v>16</v>
      </c>
      <c r="K107" s="934"/>
      <c r="L107" s="938"/>
      <c r="M107" s="938">
        <f>M105*(M103*($M84+2)/11+MAX($M85-2,0))</f>
        <v>8.9533540583537512</v>
      </c>
      <c r="N107" s="938">
        <f>N105*(N103*($M84+2)/11+MAX($M85-2,0))</f>
        <v>8.9533540583537512</v>
      </c>
      <c r="O107" s="938">
        <f>O105*(O103*($M84+2)/11+MAX($M85-2,0))</f>
        <v>8.9533540583537512</v>
      </c>
      <c r="P107" s="493">
        <v>0</v>
      </c>
      <c r="Q107" s="989">
        <v>0</v>
      </c>
      <c r="R107" s="493">
        <v>0</v>
      </c>
      <c r="S107" s="131"/>
      <c r="T107" s="298"/>
      <c r="U107" s="298"/>
      <c r="V107" s="150"/>
      <c r="W107" s="299"/>
      <c r="X107" s="299"/>
      <c r="Y107" s="150"/>
      <c r="Z107" s="299"/>
      <c r="AA107" s="299"/>
      <c r="AB107" s="131"/>
      <c r="AC107" s="298"/>
      <c r="AD107" s="298"/>
      <c r="AE107" s="13"/>
      <c r="AF107" s="13"/>
      <c r="AG107" s="13"/>
      <c r="AH107" s="13"/>
      <c r="AI107" s="13"/>
      <c r="AJ107" s="13"/>
      <c r="AK107" s="13"/>
      <c r="AL107" s="13"/>
      <c r="AM107" s="13"/>
      <c r="AN107" s="13"/>
      <c r="AO107" s="13"/>
      <c r="AP107" s="155"/>
      <c r="AQ107" s="155"/>
      <c r="AR107" s="102"/>
      <c r="AS107" s="102"/>
      <c r="AT107" s="102"/>
      <c r="AU107" s="102"/>
      <c r="AV107" s="102"/>
      <c r="AW107" s="102"/>
      <c r="AX107" s="102"/>
      <c r="AY107" s="102"/>
      <c r="AZ107" s="102"/>
      <c r="BA107" s="102"/>
      <c r="BB107" s="102"/>
      <c r="BC107" s="102"/>
      <c r="BD107" s="102"/>
      <c r="BE107" s="102"/>
      <c r="BF107" s="102"/>
      <c r="BG107" s="102"/>
      <c r="BH107" s="102"/>
      <c r="BI107" s="102"/>
      <c r="BJ107" s="102"/>
      <c r="BK107" s="102"/>
      <c r="BL107" s="102"/>
      <c r="BM107" s="102"/>
      <c r="BN107" s="102"/>
      <c r="BO107" s="102"/>
      <c r="BP107" s="102"/>
      <c r="BQ107" s="102"/>
      <c r="BR107" s="102"/>
      <c r="BS107" s="102"/>
      <c r="BT107" s="102"/>
      <c r="BU107" s="102"/>
      <c r="BV107" s="102"/>
      <c r="BW107" s="102"/>
      <c r="BX107" s="102"/>
      <c r="BY107" s="102"/>
      <c r="BZ107" s="102"/>
      <c r="CA107" s="102"/>
      <c r="CB107" s="102"/>
      <c r="CC107" s="102"/>
      <c r="CD107" s="102"/>
      <c r="CE107" s="102"/>
      <c r="CF107" s="102"/>
      <c r="CG107" s="102"/>
      <c r="CH107" s="102"/>
      <c r="CI107" s="102"/>
      <c r="CJ107" s="102"/>
      <c r="CK107" s="102"/>
      <c r="CL107" s="102"/>
      <c r="CM107" s="102"/>
      <c r="CN107" s="102"/>
      <c r="CO107" s="102"/>
      <c r="CP107" s="102"/>
      <c r="CQ107" s="102"/>
      <c r="CR107" s="102"/>
      <c r="CS107" s="102"/>
      <c r="CT107" s="102"/>
      <c r="CU107" s="102"/>
      <c r="CV107" s="102"/>
      <c r="CW107" s="102"/>
      <c r="CX107" s="102"/>
      <c r="CY107" s="102"/>
      <c r="CZ107" s="102"/>
      <c r="DA107" s="102"/>
      <c r="DB107" s="102"/>
      <c r="DC107" s="102"/>
      <c r="DD107" s="102"/>
      <c r="DE107" s="101"/>
      <c r="DF107" s="101"/>
      <c r="DG107" s="101"/>
      <c r="DH107" s="101"/>
      <c r="DI107" s="101"/>
      <c r="DJ107" s="101"/>
      <c r="DK107" s="101"/>
      <c r="DL107" s="101"/>
      <c r="DM107" s="101"/>
      <c r="DN107" s="101"/>
      <c r="DO107" s="101"/>
      <c r="DP107" s="101"/>
      <c r="DQ107" s="101"/>
      <c r="DR107" s="101"/>
      <c r="DS107" s="101"/>
      <c r="DT107" s="101"/>
      <c r="DU107" s="101"/>
      <c r="DV107" s="101"/>
      <c r="DW107" s="101"/>
      <c r="DX107" s="101"/>
      <c r="DY107" s="101"/>
      <c r="DZ107" s="101"/>
      <c r="EA107" s="101"/>
      <c r="EB107" s="101"/>
      <c r="EC107" s="101"/>
      <c r="ED107" s="101"/>
      <c r="EE107" s="102"/>
      <c r="EF107" s="102"/>
      <c r="EG107" s="102"/>
      <c r="EH107" s="102"/>
      <c r="EI107" s="102"/>
      <c r="EJ107" s="102"/>
      <c r="EK107" s="102"/>
      <c r="EL107" s="102"/>
      <c r="EM107" s="102"/>
      <c r="EN107" s="102"/>
      <c r="EO107" s="102"/>
      <c r="EP107" s="102"/>
      <c r="EQ107" s="102"/>
      <c r="ER107" s="102"/>
      <c r="ES107" s="102"/>
      <c r="ET107" s="102"/>
      <c r="EU107" s="102"/>
      <c r="EV107" s="102"/>
      <c r="EW107" s="102"/>
      <c r="EX107" s="102"/>
      <c r="EY107" s="102"/>
      <c r="EZ107" s="102"/>
      <c r="FA107" s="102"/>
      <c r="FB107" s="102"/>
      <c r="FC107" s="102"/>
      <c r="FD107" s="102"/>
      <c r="FE107" s="102"/>
      <c r="FF107" s="102"/>
      <c r="FG107" s="102"/>
      <c r="FH107" s="102"/>
      <c r="FI107" s="102"/>
      <c r="FJ107" s="102"/>
      <c r="FK107" s="102"/>
      <c r="FL107" s="102"/>
      <c r="FM107" s="102"/>
      <c r="FN107" s="102"/>
    </row>
    <row r="108" spans="1:170" s="19" customFormat="1" ht="18" hidden="1" customHeight="1">
      <c r="A108" s="1808"/>
      <c r="B108" s="30"/>
      <c r="C108" s="932" t="s">
        <v>809</v>
      </c>
      <c r="D108" s="932"/>
      <c r="E108" s="946"/>
      <c r="F108" s="932" t="s">
        <v>28</v>
      </c>
      <c r="G108" s="932"/>
      <c r="H108" s="932"/>
      <c r="I108" s="933" t="s">
        <v>811</v>
      </c>
      <c r="J108" s="934" t="s">
        <v>16</v>
      </c>
      <c r="K108" s="934"/>
      <c r="L108" s="938"/>
      <c r="M108" s="938">
        <f>$M$85*M105</f>
        <v>9</v>
      </c>
      <c r="N108" s="938">
        <f>$M$85*N105</f>
        <v>9</v>
      </c>
      <c r="O108" s="938">
        <f>$M$85*O105</f>
        <v>9</v>
      </c>
      <c r="P108" s="493">
        <v>0</v>
      </c>
      <c r="Q108" s="989">
        <v>0</v>
      </c>
      <c r="R108" s="493">
        <v>0</v>
      </c>
      <c r="S108" s="131"/>
      <c r="T108" s="298"/>
      <c r="U108" s="298"/>
      <c r="V108" s="150"/>
      <c r="W108" s="299"/>
      <c r="X108" s="299"/>
      <c r="Y108" s="150"/>
      <c r="Z108" s="299"/>
      <c r="AA108" s="299"/>
      <c r="AB108" s="131"/>
      <c r="AC108" s="298"/>
      <c r="AD108" s="298"/>
      <c r="AE108" s="13"/>
      <c r="AF108" s="13"/>
      <c r="AG108" s="13"/>
      <c r="AH108" s="13"/>
      <c r="AI108" s="13"/>
      <c r="AJ108" s="13"/>
      <c r="AK108" s="13"/>
      <c r="AL108" s="13"/>
      <c r="AM108" s="13"/>
      <c r="AN108" s="13"/>
      <c r="AO108" s="13"/>
      <c r="AP108" s="155"/>
      <c r="AQ108" s="155"/>
      <c r="AR108" s="102"/>
      <c r="AS108" s="102"/>
      <c r="AT108" s="102"/>
      <c r="AU108" s="102"/>
      <c r="AV108" s="102"/>
      <c r="AW108" s="102"/>
      <c r="AX108" s="102"/>
      <c r="AY108" s="102"/>
      <c r="AZ108" s="102"/>
      <c r="BA108" s="102"/>
      <c r="BB108" s="102"/>
      <c r="BC108" s="102"/>
      <c r="BD108" s="102"/>
      <c r="BE108" s="102"/>
      <c r="BF108" s="102"/>
      <c r="BG108" s="102"/>
      <c r="BH108" s="102"/>
      <c r="BI108" s="102"/>
      <c r="BJ108" s="102"/>
      <c r="BK108" s="102"/>
      <c r="BL108" s="102"/>
      <c r="BM108" s="102"/>
      <c r="BN108" s="102"/>
      <c r="BO108" s="102"/>
      <c r="BP108" s="102"/>
      <c r="BQ108" s="102"/>
      <c r="BR108" s="102"/>
      <c r="BS108" s="102"/>
      <c r="BT108" s="102"/>
      <c r="BU108" s="102"/>
      <c r="BV108" s="102"/>
      <c r="BW108" s="102"/>
      <c r="BX108" s="102"/>
      <c r="BY108" s="102"/>
      <c r="BZ108" s="102"/>
      <c r="CA108" s="102"/>
      <c r="CB108" s="102"/>
      <c r="CC108" s="102"/>
      <c r="CD108" s="102"/>
      <c r="CE108" s="102"/>
      <c r="CF108" s="102"/>
      <c r="CG108" s="102"/>
      <c r="CH108" s="102"/>
      <c r="CI108" s="102"/>
      <c r="CJ108" s="102"/>
      <c r="CK108" s="102"/>
      <c r="CL108" s="102"/>
      <c r="CM108" s="102"/>
      <c r="CN108" s="102"/>
      <c r="CO108" s="102"/>
      <c r="CP108" s="102"/>
      <c r="CQ108" s="102"/>
      <c r="CR108" s="102"/>
      <c r="CS108" s="102"/>
      <c r="CT108" s="102"/>
      <c r="CU108" s="102"/>
      <c r="CV108" s="102"/>
      <c r="CW108" s="102"/>
      <c r="CX108" s="102"/>
      <c r="CY108" s="102"/>
      <c r="CZ108" s="102"/>
      <c r="DA108" s="102"/>
      <c r="DB108" s="102"/>
      <c r="DC108" s="102"/>
      <c r="DD108" s="102"/>
      <c r="DE108" s="101"/>
      <c r="DF108" s="101"/>
      <c r="DG108" s="101"/>
      <c r="DH108" s="101"/>
      <c r="DI108" s="101"/>
      <c r="DJ108" s="101"/>
      <c r="DK108" s="101"/>
      <c r="DL108" s="101"/>
      <c r="DM108" s="101"/>
      <c r="DN108" s="101"/>
      <c r="DO108" s="101"/>
      <c r="DP108" s="101"/>
      <c r="DQ108" s="101"/>
      <c r="DR108" s="101"/>
      <c r="DS108" s="101"/>
      <c r="DT108" s="101"/>
      <c r="DU108" s="101"/>
      <c r="DV108" s="101"/>
      <c r="DW108" s="101"/>
      <c r="DX108" s="101"/>
      <c r="DY108" s="101"/>
      <c r="DZ108" s="101"/>
      <c r="EA108" s="101"/>
      <c r="EB108" s="101"/>
      <c r="EC108" s="101"/>
      <c r="ED108" s="101"/>
      <c r="EE108" s="102"/>
      <c r="EF108" s="102"/>
      <c r="EG108" s="102"/>
      <c r="EH108" s="102"/>
      <c r="EI108" s="102"/>
      <c r="EJ108" s="102"/>
      <c r="EK108" s="102"/>
      <c r="EL108" s="102"/>
      <c r="EM108" s="102"/>
      <c r="EN108" s="102"/>
      <c r="EO108" s="102"/>
      <c r="EP108" s="102"/>
      <c r="EQ108" s="102"/>
      <c r="ER108" s="102"/>
      <c r="ES108" s="102"/>
      <c r="ET108" s="102"/>
      <c r="EU108" s="102"/>
      <c r="EV108" s="102"/>
      <c r="EW108" s="102"/>
      <c r="EX108" s="102"/>
      <c r="EY108" s="102"/>
      <c r="EZ108" s="102"/>
      <c r="FA108" s="102"/>
      <c r="FB108" s="102"/>
      <c r="FC108" s="102"/>
      <c r="FD108" s="102"/>
      <c r="FE108" s="102"/>
      <c r="FF108" s="102"/>
      <c r="FG108" s="102"/>
      <c r="FH108" s="102"/>
      <c r="FI108" s="102"/>
      <c r="FJ108" s="102"/>
      <c r="FK108" s="102"/>
      <c r="FL108" s="102"/>
      <c r="FM108" s="102"/>
      <c r="FN108" s="102"/>
    </row>
    <row r="109" spans="1:170" s="19" customFormat="1" ht="18" customHeight="1">
      <c r="A109" s="1808"/>
      <c r="B109" s="416">
        <v>112</v>
      </c>
      <c r="C109" s="493" t="str">
        <f>VLOOKUP(B109,Begriffe!$A$6:$E$442,Begriffe!$D$1+2)</f>
        <v>Elektrische Leistung der Raumbeleuchtung</v>
      </c>
      <c r="D109" s="21"/>
      <c r="E109" s="179"/>
      <c r="F109" s="21"/>
      <c r="G109" s="21"/>
      <c r="H109" s="21"/>
      <c r="I109" s="180" t="s">
        <v>662</v>
      </c>
      <c r="J109" s="188" t="s">
        <v>68</v>
      </c>
      <c r="K109" s="188"/>
      <c r="L109" s="1173"/>
      <c r="M109" s="265">
        <f>IF(L109&lt;&gt;"",L109,($M77*M81)/(M82*M83))</f>
        <v>10.254988913525498</v>
      </c>
      <c r="N109" s="265">
        <f>($M77*N81)/(N82*N83)</f>
        <v>7.1612164003468344</v>
      </c>
      <c r="O109" s="265">
        <f>($M77*O81)/(O82*O83)</f>
        <v>10.254988913525498</v>
      </c>
      <c r="P109" s="493">
        <v>1</v>
      </c>
      <c r="Q109" s="989">
        <v>1</v>
      </c>
      <c r="R109" s="493">
        <v>0</v>
      </c>
      <c r="S109" s="131" t="s">
        <v>191</v>
      </c>
      <c r="T109" s="298"/>
      <c r="U109" s="298"/>
      <c r="V109" s="150"/>
      <c r="W109" s="299"/>
      <c r="X109" s="299"/>
      <c r="Y109" s="150"/>
      <c r="Z109" s="299"/>
      <c r="AA109" s="299"/>
      <c r="AB109" s="131"/>
      <c r="AC109" s="298"/>
      <c r="AD109" s="298"/>
      <c r="AE109" s="13"/>
      <c r="AF109" s="13"/>
      <c r="AG109" s="13"/>
      <c r="AH109" s="13"/>
      <c r="AI109" s="13"/>
      <c r="AJ109" s="13"/>
      <c r="AK109" s="13"/>
      <c r="AL109" s="13"/>
      <c r="AM109" s="13"/>
      <c r="AN109" s="13"/>
      <c r="AO109" s="13"/>
      <c r="AP109" s="155"/>
      <c r="AQ109" s="155"/>
      <c r="AR109" s="102"/>
      <c r="AS109" s="102"/>
      <c r="AT109" s="102"/>
      <c r="AU109" s="102"/>
      <c r="AV109" s="102"/>
      <c r="AW109" s="102"/>
      <c r="AX109" s="102"/>
      <c r="AY109" s="102"/>
      <c r="AZ109" s="102"/>
      <c r="BA109" s="102"/>
      <c r="BB109" s="102"/>
      <c r="BC109" s="102"/>
      <c r="BD109" s="102"/>
      <c r="BE109" s="102"/>
      <c r="BF109" s="102"/>
      <c r="BG109" s="102"/>
      <c r="BH109" s="102"/>
      <c r="BI109" s="102"/>
      <c r="BJ109" s="102"/>
      <c r="BK109" s="102"/>
      <c r="BL109" s="102"/>
      <c r="BM109" s="102"/>
      <c r="BN109" s="102"/>
      <c r="BO109" s="102"/>
      <c r="BP109" s="102"/>
      <c r="BQ109" s="102"/>
      <c r="BR109" s="102"/>
      <c r="BS109" s="102"/>
      <c r="BT109" s="102"/>
      <c r="BU109" s="102"/>
      <c r="BV109" s="102"/>
      <c r="BW109" s="102"/>
      <c r="BX109" s="102"/>
      <c r="BY109" s="102"/>
      <c r="BZ109" s="102"/>
      <c r="CA109" s="102"/>
      <c r="CB109" s="102"/>
      <c r="CC109" s="102"/>
      <c r="CD109" s="102"/>
      <c r="CE109" s="102"/>
      <c r="CF109" s="102"/>
      <c r="CG109" s="102"/>
      <c r="CH109" s="102"/>
      <c r="CI109" s="102"/>
      <c r="CJ109" s="102"/>
      <c r="CK109" s="102"/>
      <c r="CL109" s="102"/>
      <c r="CM109" s="102"/>
      <c r="CN109" s="102"/>
      <c r="CO109" s="102"/>
      <c r="CP109" s="102"/>
      <c r="CQ109" s="102"/>
      <c r="CR109" s="102"/>
      <c r="CS109" s="102"/>
      <c r="CT109" s="102"/>
      <c r="CU109" s="102"/>
      <c r="CV109" s="102"/>
      <c r="CW109" s="102"/>
      <c r="CX109" s="102"/>
      <c r="CY109" s="102"/>
      <c r="CZ109" s="102"/>
      <c r="DA109" s="102"/>
      <c r="DB109" s="102"/>
      <c r="DC109" s="102"/>
      <c r="DD109" s="102"/>
      <c r="DE109" s="101"/>
      <c r="DF109" s="101"/>
      <c r="DG109" s="101"/>
      <c r="DH109" s="101"/>
      <c r="DI109" s="101"/>
      <c r="DJ109" s="101"/>
      <c r="DK109" s="101"/>
      <c r="DL109" s="101"/>
      <c r="DM109" s="101"/>
      <c r="DN109" s="101"/>
      <c r="DO109" s="101"/>
      <c r="DP109" s="101"/>
      <c r="DQ109" s="101"/>
      <c r="DR109" s="101"/>
      <c r="DS109" s="101"/>
      <c r="DT109" s="101"/>
      <c r="DU109" s="101"/>
      <c r="DV109" s="101"/>
      <c r="DW109" s="101"/>
      <c r="DX109" s="101"/>
      <c r="DY109" s="101"/>
      <c r="DZ109" s="101"/>
      <c r="EA109" s="101"/>
      <c r="EB109" s="101"/>
      <c r="EC109" s="101"/>
      <c r="ED109" s="101"/>
      <c r="EE109" s="102"/>
      <c r="EF109" s="102"/>
      <c r="EG109" s="102"/>
      <c r="EH109" s="102"/>
      <c r="EI109" s="102"/>
      <c r="EJ109" s="102"/>
      <c r="EK109" s="102"/>
      <c r="EL109" s="102"/>
      <c r="EM109" s="102"/>
      <c r="EN109" s="102"/>
      <c r="EO109" s="102"/>
      <c r="EP109" s="102"/>
      <c r="EQ109" s="102"/>
      <c r="ER109" s="102"/>
      <c r="ES109" s="102"/>
      <c r="ET109" s="102"/>
      <c r="EU109" s="102"/>
      <c r="EV109" s="102"/>
      <c r="EW109" s="102"/>
      <c r="EX109" s="102"/>
      <c r="EY109" s="102"/>
      <c r="EZ109" s="102"/>
      <c r="FA109" s="102"/>
      <c r="FB109" s="102"/>
      <c r="FC109" s="102"/>
      <c r="FD109" s="102"/>
      <c r="FE109" s="102"/>
      <c r="FF109" s="102"/>
      <c r="FG109" s="102"/>
      <c r="FH109" s="102"/>
      <c r="FI109" s="102"/>
      <c r="FJ109" s="102"/>
      <c r="FK109" s="102"/>
      <c r="FL109" s="102"/>
      <c r="FM109" s="102"/>
      <c r="FN109" s="102"/>
    </row>
    <row r="110" spans="1:170" s="19" customFormat="1" ht="18" customHeight="1">
      <c r="A110" s="1808"/>
      <c r="B110" s="416">
        <v>182</v>
      </c>
      <c r="C110" s="493" t="str">
        <f>VLOOKUP(B110,Begriffe!$A$6:$E$442,Begriffe!$D$1+2)</f>
        <v>Wärmeeintragsleistung der Raumbeleuchtung</v>
      </c>
      <c r="D110" s="493"/>
      <c r="E110" s="493"/>
      <c r="F110" s="21"/>
      <c r="G110" s="21"/>
      <c r="H110" s="21"/>
      <c r="I110" s="262" t="s">
        <v>807</v>
      </c>
      <c r="J110" s="188" t="s">
        <v>68</v>
      </c>
      <c r="K110" s="188"/>
      <c r="L110" s="1166"/>
      <c r="M110" s="931">
        <f>M109</f>
        <v>10.254988913525498</v>
      </c>
      <c r="N110" s="931">
        <f>N109</f>
        <v>7.1612164003468344</v>
      </c>
      <c r="O110" s="931">
        <f>O109</f>
        <v>10.254988913525498</v>
      </c>
      <c r="P110" s="493">
        <v>0</v>
      </c>
      <c r="Q110" s="989">
        <v>1</v>
      </c>
      <c r="R110" s="493">
        <v>0</v>
      </c>
      <c r="S110" s="131"/>
      <c r="T110" s="298"/>
      <c r="U110" s="298"/>
      <c r="V110" s="150"/>
      <c r="W110" s="299"/>
      <c r="X110" s="299"/>
      <c r="Y110" s="150"/>
      <c r="Z110" s="299"/>
      <c r="AA110" s="299"/>
      <c r="AB110" s="131"/>
      <c r="AC110" s="298"/>
      <c r="AD110" s="298"/>
      <c r="AE110" s="13"/>
      <c r="AF110" s="13"/>
      <c r="AG110" s="13"/>
      <c r="AH110" s="13"/>
      <c r="AI110" s="13"/>
      <c r="AJ110" s="13"/>
      <c r="AK110" s="13"/>
      <c r="AL110" s="13"/>
      <c r="AM110" s="13"/>
      <c r="AN110" s="13"/>
      <c r="AO110" s="13"/>
      <c r="AP110" s="155"/>
      <c r="AQ110" s="155"/>
      <c r="AR110" s="102"/>
      <c r="AS110" s="102"/>
      <c r="AT110" s="102"/>
      <c r="AU110" s="102"/>
      <c r="AV110" s="102"/>
      <c r="AW110" s="102"/>
      <c r="AX110" s="102"/>
      <c r="AY110" s="102"/>
      <c r="AZ110" s="102"/>
      <c r="BA110" s="102"/>
      <c r="BB110" s="102"/>
      <c r="BC110" s="102"/>
      <c r="BD110" s="102"/>
      <c r="BE110" s="102"/>
      <c r="BF110" s="102"/>
      <c r="BG110" s="102"/>
      <c r="BH110" s="102"/>
      <c r="BI110" s="102"/>
      <c r="BJ110" s="102"/>
      <c r="BK110" s="102"/>
      <c r="BL110" s="102"/>
      <c r="BM110" s="102"/>
      <c r="BN110" s="102"/>
      <c r="BO110" s="102"/>
      <c r="BP110" s="102"/>
      <c r="BQ110" s="102"/>
      <c r="BR110" s="102"/>
      <c r="BS110" s="102"/>
      <c r="BT110" s="102"/>
      <c r="BU110" s="102"/>
      <c r="BV110" s="102"/>
      <c r="BW110" s="102"/>
      <c r="BX110" s="102"/>
      <c r="BY110" s="102"/>
      <c r="BZ110" s="102"/>
      <c r="CA110" s="102"/>
      <c r="CB110" s="102"/>
      <c r="CC110" s="102"/>
      <c r="CD110" s="102"/>
      <c r="CE110" s="102"/>
      <c r="CF110" s="102"/>
      <c r="CG110" s="102"/>
      <c r="CH110" s="102"/>
      <c r="CI110" s="102"/>
      <c r="CJ110" s="102"/>
      <c r="CK110" s="102"/>
      <c r="CL110" s="102"/>
      <c r="CM110" s="102"/>
      <c r="CN110" s="102"/>
      <c r="CO110" s="102"/>
      <c r="CP110" s="102"/>
      <c r="CQ110" s="102"/>
      <c r="CR110" s="102"/>
      <c r="CS110" s="102"/>
      <c r="CT110" s="102"/>
      <c r="CU110" s="102"/>
      <c r="CV110" s="102"/>
      <c r="CW110" s="102"/>
      <c r="CX110" s="102"/>
      <c r="CY110" s="102"/>
      <c r="CZ110" s="102"/>
      <c r="DA110" s="102"/>
      <c r="DB110" s="102"/>
      <c r="DC110" s="102"/>
      <c r="DD110" s="102"/>
      <c r="DE110" s="101"/>
      <c r="DF110" s="101"/>
      <c r="DG110" s="101"/>
      <c r="DH110" s="101"/>
      <c r="DI110" s="101"/>
      <c r="DJ110" s="101"/>
      <c r="DK110" s="101"/>
      <c r="DL110" s="101"/>
      <c r="DM110" s="101"/>
      <c r="DN110" s="101"/>
      <c r="DO110" s="101"/>
      <c r="DP110" s="101"/>
      <c r="DQ110" s="101"/>
      <c r="DR110" s="101"/>
      <c r="DS110" s="101"/>
      <c r="DT110" s="101"/>
      <c r="DU110" s="101"/>
      <c r="DV110" s="101"/>
      <c r="DW110" s="101"/>
      <c r="DX110" s="101"/>
      <c r="DY110" s="101"/>
      <c r="DZ110" s="101"/>
      <c r="EA110" s="101"/>
      <c r="EB110" s="101"/>
      <c r="EC110" s="101"/>
      <c r="ED110" s="101"/>
      <c r="EE110" s="102"/>
      <c r="EF110" s="102"/>
      <c r="EG110" s="102"/>
      <c r="EH110" s="102"/>
      <c r="EI110" s="102"/>
      <c r="EJ110" s="102"/>
      <c r="EK110" s="102"/>
      <c r="EL110" s="102"/>
      <c r="EM110" s="102"/>
      <c r="EN110" s="102"/>
      <c r="EO110" s="102"/>
      <c r="EP110" s="102"/>
      <c r="EQ110" s="102"/>
      <c r="ER110" s="102"/>
      <c r="ES110" s="102"/>
      <c r="ET110" s="102"/>
      <c r="EU110" s="102"/>
      <c r="EV110" s="102"/>
      <c r="EW110" s="102"/>
      <c r="EX110" s="102"/>
      <c r="EY110" s="102"/>
      <c r="EZ110" s="102"/>
      <c r="FA110" s="102"/>
      <c r="FB110" s="102"/>
      <c r="FC110" s="102"/>
      <c r="FD110" s="102"/>
      <c r="FE110" s="102"/>
      <c r="FF110" s="102"/>
      <c r="FG110" s="102"/>
      <c r="FH110" s="102"/>
      <c r="FI110" s="102"/>
      <c r="FJ110" s="102"/>
      <c r="FK110" s="102"/>
      <c r="FL110" s="102"/>
      <c r="FM110" s="102"/>
      <c r="FN110" s="102"/>
    </row>
    <row r="111" spans="1:170" s="19" customFormat="1" ht="18" hidden="1" customHeight="1">
      <c r="A111" s="1808"/>
      <c r="B111" s="30"/>
      <c r="C111" s="932" t="s">
        <v>812</v>
      </c>
      <c r="D111" s="932"/>
      <c r="E111" s="946"/>
      <c r="F111" s="932"/>
      <c r="G111" s="932"/>
      <c r="H111" s="932"/>
      <c r="I111" s="1108" t="s">
        <v>808</v>
      </c>
      <c r="J111" s="934" t="s">
        <v>804</v>
      </c>
      <c r="K111" s="934"/>
      <c r="L111" s="1109"/>
      <c r="M111" s="1110">
        <f>M109*M107</f>
        <v>91.816546607286242</v>
      </c>
      <c r="N111" s="1110">
        <f>N109*N107</f>
        <v>64.116905920794764</v>
      </c>
      <c r="O111" s="1110">
        <f>O109*O107</f>
        <v>91.816546607286242</v>
      </c>
      <c r="P111" s="493">
        <v>0</v>
      </c>
      <c r="Q111" s="989">
        <v>0</v>
      </c>
      <c r="R111" s="493">
        <v>0</v>
      </c>
      <c r="S111" s="131"/>
      <c r="T111" s="298"/>
      <c r="U111" s="298"/>
      <c r="V111" s="150"/>
      <c r="W111" s="299"/>
      <c r="X111" s="299"/>
      <c r="Y111" s="150"/>
      <c r="Z111" s="299"/>
      <c r="AA111" s="299"/>
      <c r="AB111" s="131"/>
      <c r="AC111" s="298"/>
      <c r="AD111" s="298"/>
      <c r="AE111" s="13"/>
      <c r="AF111" s="13"/>
      <c r="AG111" s="13"/>
      <c r="AH111" s="13"/>
      <c r="AI111" s="13"/>
      <c r="AJ111" s="13"/>
      <c r="AK111" s="13"/>
      <c r="AL111" s="13"/>
      <c r="AM111" s="13"/>
      <c r="AN111" s="13"/>
      <c r="AO111" s="13"/>
      <c r="AP111" s="155"/>
      <c r="AQ111" s="155"/>
      <c r="AR111" s="102"/>
      <c r="AS111" s="102"/>
      <c r="AT111" s="102"/>
      <c r="AU111" s="102"/>
      <c r="AV111" s="102"/>
      <c r="AW111" s="102"/>
      <c r="AX111" s="102"/>
      <c r="AY111" s="102"/>
      <c r="AZ111" s="102"/>
      <c r="BA111" s="102"/>
      <c r="BB111" s="102"/>
      <c r="BC111" s="102"/>
      <c r="BD111" s="102"/>
      <c r="BE111" s="102"/>
      <c r="BF111" s="102"/>
      <c r="BG111" s="102"/>
      <c r="BH111" s="102"/>
      <c r="BI111" s="102"/>
      <c r="BJ111" s="102"/>
      <c r="BK111" s="102"/>
      <c r="BL111" s="102"/>
      <c r="BM111" s="102"/>
      <c r="BN111" s="102"/>
      <c r="BO111" s="102"/>
      <c r="BP111" s="102"/>
      <c r="BQ111" s="102"/>
      <c r="BR111" s="102"/>
      <c r="BS111" s="102"/>
      <c r="BT111" s="102"/>
      <c r="BU111" s="102"/>
      <c r="BV111" s="102"/>
      <c r="BW111" s="102"/>
      <c r="BX111" s="102"/>
      <c r="BY111" s="102"/>
      <c r="BZ111" s="102"/>
      <c r="CA111" s="102"/>
      <c r="CB111" s="102"/>
      <c r="CC111" s="102"/>
      <c r="CD111" s="102"/>
      <c r="CE111" s="102"/>
      <c r="CF111" s="102"/>
      <c r="CG111" s="102"/>
      <c r="CH111" s="102"/>
      <c r="CI111" s="102"/>
      <c r="CJ111" s="102"/>
      <c r="CK111" s="102"/>
      <c r="CL111" s="102"/>
      <c r="CM111" s="102"/>
      <c r="CN111" s="102"/>
      <c r="CO111" s="102"/>
      <c r="CP111" s="102"/>
      <c r="CQ111" s="102"/>
      <c r="CR111" s="102"/>
      <c r="CS111" s="102"/>
      <c r="CT111" s="102"/>
      <c r="CU111" s="102"/>
      <c r="CV111" s="102"/>
      <c r="CW111" s="102"/>
      <c r="CX111" s="102"/>
      <c r="CY111" s="102"/>
      <c r="CZ111" s="102"/>
      <c r="DA111" s="102"/>
      <c r="DB111" s="102"/>
      <c r="DC111" s="102"/>
      <c r="DD111" s="102"/>
      <c r="DE111" s="101"/>
      <c r="DF111" s="101"/>
      <c r="DG111" s="101"/>
      <c r="DH111" s="101"/>
      <c r="DI111" s="101"/>
      <c r="DJ111" s="101"/>
      <c r="DK111" s="101"/>
      <c r="DL111" s="101"/>
      <c r="DM111" s="101"/>
      <c r="DN111" s="101"/>
      <c r="DO111" s="101"/>
      <c r="DP111" s="101"/>
      <c r="DQ111" s="101"/>
      <c r="DR111" s="101"/>
      <c r="DS111" s="101"/>
      <c r="DT111" s="101"/>
      <c r="DU111" s="101"/>
      <c r="DV111" s="101"/>
      <c r="DW111" s="101"/>
      <c r="DX111" s="101"/>
      <c r="DY111" s="101"/>
      <c r="DZ111" s="101"/>
      <c r="EA111" s="101"/>
      <c r="EB111" s="101"/>
      <c r="EC111" s="101"/>
      <c r="ED111" s="101"/>
      <c r="EE111" s="102"/>
      <c r="EF111" s="102"/>
      <c r="EG111" s="102"/>
      <c r="EH111" s="102"/>
      <c r="EI111" s="102"/>
      <c r="EJ111" s="102"/>
      <c r="EK111" s="102"/>
      <c r="EL111" s="102"/>
      <c r="EM111" s="102"/>
      <c r="EN111" s="102"/>
      <c r="EO111" s="102"/>
      <c r="EP111" s="102"/>
      <c r="EQ111" s="102"/>
      <c r="ER111" s="102"/>
      <c r="ES111" s="102"/>
      <c r="ET111" s="102"/>
      <c r="EU111" s="102"/>
      <c r="EV111" s="102"/>
      <c r="EW111" s="102"/>
      <c r="EX111" s="102"/>
      <c r="EY111" s="102"/>
      <c r="EZ111" s="102"/>
      <c r="FA111" s="102"/>
      <c r="FB111" s="102"/>
      <c r="FC111" s="102"/>
      <c r="FD111" s="102"/>
      <c r="FE111" s="102"/>
      <c r="FF111" s="102"/>
      <c r="FG111" s="102"/>
      <c r="FH111" s="102"/>
      <c r="FI111" s="102"/>
      <c r="FJ111" s="102"/>
      <c r="FK111" s="102"/>
      <c r="FL111" s="102"/>
      <c r="FM111" s="102"/>
      <c r="FN111" s="102"/>
    </row>
    <row r="112" spans="1:170" s="19" customFormat="1" ht="8.25" hidden="1" customHeight="1">
      <c r="A112" s="1808"/>
      <c r="B112" s="30"/>
      <c r="C112" s="26" t="s">
        <v>768</v>
      </c>
      <c r="D112" s="26"/>
      <c r="E112" s="26"/>
      <c r="F112" s="26" t="s">
        <v>28</v>
      </c>
      <c r="G112" s="26"/>
      <c r="H112" s="26"/>
      <c r="I112" s="31" t="s">
        <v>796</v>
      </c>
      <c r="J112" s="33" t="s">
        <v>77</v>
      </c>
      <c r="K112" s="33"/>
      <c r="L112" s="25"/>
      <c r="M112" s="29">
        <f>M109/1000*M118</f>
        <v>39.994456762749444</v>
      </c>
      <c r="N112" s="29">
        <f>N109/1000*N118</f>
        <v>22.98750464511334</v>
      </c>
      <c r="O112" s="29">
        <f>O109/1000*O118</f>
        <v>39.994456762749444</v>
      </c>
      <c r="P112" s="493">
        <v>0</v>
      </c>
      <c r="Q112" s="989">
        <v>0</v>
      </c>
      <c r="R112" s="493">
        <v>0</v>
      </c>
      <c r="S112" s="131"/>
      <c r="T112" s="298"/>
      <c r="U112" s="298"/>
      <c r="V112" s="150"/>
      <c r="W112" s="299"/>
      <c r="X112" s="299"/>
      <c r="Y112" s="150"/>
      <c r="Z112" s="299"/>
      <c r="AA112" s="299"/>
      <c r="AB112" s="131"/>
      <c r="AC112" s="298"/>
      <c r="AD112" s="298"/>
      <c r="AE112" s="13"/>
      <c r="AF112" s="13"/>
      <c r="AG112" s="13"/>
      <c r="AH112" s="13"/>
      <c r="AI112" s="13"/>
      <c r="AJ112" s="13"/>
      <c r="AK112" s="13"/>
      <c r="AL112" s="13"/>
      <c r="AM112" s="13"/>
      <c r="AN112" s="13"/>
      <c r="AO112" s="13"/>
      <c r="AP112" s="155"/>
      <c r="AQ112" s="155"/>
      <c r="AR112" s="102"/>
      <c r="AS112" s="102"/>
      <c r="AT112" s="102"/>
      <c r="AU112" s="102"/>
      <c r="AV112" s="102"/>
      <c r="AW112" s="102"/>
      <c r="AX112" s="102"/>
      <c r="AY112" s="102"/>
      <c r="AZ112" s="102"/>
      <c r="BA112" s="102"/>
      <c r="BB112" s="102"/>
      <c r="BC112" s="102"/>
      <c r="BD112" s="102"/>
      <c r="BE112" s="102"/>
      <c r="BF112" s="102"/>
      <c r="BG112" s="102"/>
      <c r="BH112" s="102"/>
      <c r="BI112" s="102"/>
      <c r="BJ112" s="102"/>
      <c r="BK112" s="102"/>
      <c r="BL112" s="102"/>
      <c r="BM112" s="102"/>
      <c r="BN112" s="102"/>
      <c r="BO112" s="102"/>
      <c r="BP112" s="102"/>
      <c r="BQ112" s="102"/>
      <c r="BR112" s="102"/>
      <c r="BS112" s="102"/>
      <c r="BT112" s="102"/>
      <c r="BU112" s="102"/>
      <c r="BV112" s="102"/>
      <c r="BW112" s="102"/>
      <c r="BX112" s="102"/>
      <c r="BY112" s="102"/>
      <c r="BZ112" s="102"/>
      <c r="CA112" s="102"/>
      <c r="CB112" s="102"/>
      <c r="CC112" s="102"/>
      <c r="CD112" s="102"/>
      <c r="CE112" s="102"/>
      <c r="CF112" s="102"/>
      <c r="CG112" s="102"/>
      <c r="CH112" s="102"/>
      <c r="CI112" s="102"/>
      <c r="CJ112" s="102"/>
      <c r="CK112" s="102"/>
      <c r="CL112" s="102"/>
      <c r="CM112" s="102"/>
      <c r="CN112" s="102"/>
      <c r="CO112" s="102"/>
      <c r="CP112" s="102"/>
      <c r="CQ112" s="102"/>
      <c r="CR112" s="102"/>
      <c r="CS112" s="102"/>
      <c r="CT112" s="102"/>
      <c r="CU112" s="102"/>
      <c r="CV112" s="102"/>
      <c r="CW112" s="102"/>
      <c r="CX112" s="102"/>
      <c r="CY112" s="102"/>
      <c r="CZ112" s="102"/>
      <c r="DA112" s="102"/>
      <c r="DB112" s="102"/>
      <c r="DC112" s="102"/>
      <c r="DD112" s="102"/>
      <c r="DE112" s="101"/>
      <c r="DF112" s="101"/>
      <c r="DG112" s="101"/>
      <c r="DH112" s="101"/>
      <c r="DI112" s="101"/>
      <c r="DJ112" s="101"/>
      <c r="DK112" s="101"/>
      <c r="DL112" s="101"/>
      <c r="DM112" s="101"/>
      <c r="DN112" s="101"/>
      <c r="DO112" s="101"/>
      <c r="DP112" s="101"/>
      <c r="DQ112" s="101"/>
      <c r="DR112" s="101"/>
      <c r="DS112" s="101"/>
      <c r="DT112" s="101"/>
      <c r="DU112" s="101"/>
      <c r="DV112" s="101"/>
      <c r="DW112" s="101"/>
      <c r="DX112" s="101"/>
      <c r="DY112" s="101"/>
      <c r="DZ112" s="101"/>
      <c r="EA112" s="101"/>
      <c r="EB112" s="101"/>
      <c r="EC112" s="101"/>
      <c r="ED112" s="101"/>
      <c r="EE112" s="102"/>
      <c r="EF112" s="102"/>
      <c r="EG112" s="102"/>
      <c r="EH112" s="102"/>
      <c r="EI112" s="102"/>
      <c r="EJ112" s="102"/>
      <c r="EK112" s="102"/>
      <c r="EL112" s="102"/>
      <c r="EM112" s="102"/>
      <c r="EN112" s="102"/>
      <c r="EO112" s="102"/>
      <c r="EP112" s="102"/>
      <c r="EQ112" s="102"/>
      <c r="ER112" s="102"/>
      <c r="ES112" s="102"/>
      <c r="ET112" s="102"/>
      <c r="EU112" s="102"/>
      <c r="EV112" s="102"/>
      <c r="EW112" s="102"/>
      <c r="EX112" s="102"/>
      <c r="EY112" s="102"/>
      <c r="EZ112" s="102"/>
      <c r="FA112" s="102"/>
      <c r="FB112" s="102"/>
      <c r="FC112" s="102"/>
      <c r="FD112" s="102"/>
      <c r="FE112" s="102"/>
      <c r="FF112" s="102"/>
      <c r="FG112" s="102"/>
      <c r="FH112" s="102"/>
      <c r="FI112" s="102"/>
      <c r="FJ112" s="102"/>
      <c r="FK112" s="102"/>
      <c r="FL112" s="102"/>
      <c r="FM112" s="102"/>
      <c r="FN112" s="102"/>
    </row>
    <row r="113" spans="1:170" s="19" customFormat="1" ht="18" customHeight="1">
      <c r="A113" s="1808"/>
      <c r="B113" s="416">
        <v>111</v>
      </c>
      <c r="C113" s="493" t="str">
        <f>VLOOKUP(B113,Begriffe!$A$6:$E$442,Begriffe!$D$1+2)</f>
        <v>Elektrische Leistung der Akzentbeleuchtung</v>
      </c>
      <c r="D113" s="21"/>
      <c r="E113" s="179"/>
      <c r="F113" s="21"/>
      <c r="G113" s="21"/>
      <c r="H113" s="21"/>
      <c r="I113" s="180" t="s">
        <v>918</v>
      </c>
      <c r="J113" s="188" t="s">
        <v>68</v>
      </c>
      <c r="K113" s="188"/>
      <c r="L113" s="1173"/>
      <c r="M113" s="931">
        <f>IF(L113&lt;&gt;"",L113,INDEX(Eingabedaten!$D$10:$FU$54,nutzid,MATCH($C113,Eingabedaten!$D$7:$FU$7,0)))</f>
        <v>0</v>
      </c>
      <c r="N113" s="265">
        <f>INDEX(Eingabedaten!$D$10:$CY$54,nutzid,MATCH($C113,Eingabedaten!$D$7:$CY$7,0)+1)</f>
        <v>0</v>
      </c>
      <c r="O113" s="265">
        <f>M113</f>
        <v>0</v>
      </c>
      <c r="P113" s="493">
        <v>1</v>
      </c>
      <c r="Q113" s="989">
        <v>1</v>
      </c>
      <c r="R113" s="493">
        <v>0</v>
      </c>
      <c r="S113" s="131"/>
      <c r="T113" s="298"/>
      <c r="U113" s="298"/>
      <c r="V113" s="150"/>
      <c r="W113" s="299"/>
      <c r="X113" s="299"/>
      <c r="Y113" s="150"/>
      <c r="Z113" s="299"/>
      <c r="AA113" s="299"/>
      <c r="AB113" s="131"/>
      <c r="AC113" s="298"/>
      <c r="AD113" s="298"/>
      <c r="AE113" s="13"/>
      <c r="AF113" s="13"/>
      <c r="AG113" s="13"/>
      <c r="AH113" s="13"/>
      <c r="AI113" s="13"/>
      <c r="AJ113" s="13"/>
      <c r="AK113" s="13"/>
      <c r="AL113" s="13"/>
      <c r="AM113" s="13"/>
      <c r="AN113" s="13"/>
      <c r="AO113" s="13"/>
      <c r="AP113" s="155"/>
      <c r="AQ113" s="155"/>
      <c r="AR113" s="102"/>
      <c r="AS113" s="102"/>
      <c r="AT113" s="102"/>
      <c r="AU113" s="102"/>
      <c r="AV113" s="102"/>
      <c r="AW113" s="102"/>
      <c r="AX113" s="102"/>
      <c r="AY113" s="102"/>
      <c r="AZ113" s="102"/>
      <c r="BA113" s="102"/>
      <c r="BB113" s="102"/>
      <c r="BC113" s="102"/>
      <c r="BD113" s="102"/>
      <c r="BE113" s="102"/>
      <c r="BF113" s="102"/>
      <c r="BG113" s="102"/>
      <c r="BH113" s="102"/>
      <c r="BI113" s="102"/>
      <c r="BJ113" s="102"/>
      <c r="BK113" s="102"/>
      <c r="BL113" s="102"/>
      <c r="BM113" s="102"/>
      <c r="BN113" s="102"/>
      <c r="BO113" s="102"/>
      <c r="BP113" s="102"/>
      <c r="BQ113" s="102"/>
      <c r="BR113" s="102"/>
      <c r="BS113" s="102"/>
      <c r="BT113" s="102"/>
      <c r="BU113" s="102"/>
      <c r="BV113" s="102"/>
      <c r="BW113" s="102"/>
      <c r="BX113" s="102"/>
      <c r="BY113" s="102"/>
      <c r="BZ113" s="102"/>
      <c r="CA113" s="102"/>
      <c r="CB113" s="102"/>
      <c r="CC113" s="102"/>
      <c r="CD113" s="102"/>
      <c r="CE113" s="102"/>
      <c r="CF113" s="102"/>
      <c r="CG113" s="102"/>
      <c r="CH113" s="102"/>
      <c r="CI113" s="102"/>
      <c r="CJ113" s="102"/>
      <c r="CK113" s="102"/>
      <c r="CL113" s="102"/>
      <c r="CM113" s="102"/>
      <c r="CN113" s="102"/>
      <c r="CO113" s="102"/>
      <c r="CP113" s="102"/>
      <c r="CQ113" s="102"/>
      <c r="CR113" s="102"/>
      <c r="CS113" s="102"/>
      <c r="CT113" s="102"/>
      <c r="CU113" s="102"/>
      <c r="CV113" s="102"/>
      <c r="CW113" s="102"/>
      <c r="CX113" s="102"/>
      <c r="CY113" s="102"/>
      <c r="CZ113" s="102"/>
      <c r="DA113" s="102"/>
      <c r="DB113" s="102"/>
      <c r="DC113" s="102"/>
      <c r="DD113" s="102"/>
      <c r="DE113" s="101"/>
      <c r="DF113" s="101"/>
      <c r="DG113" s="101"/>
      <c r="DH113" s="101"/>
      <c r="DI113" s="101"/>
      <c r="DJ113" s="101"/>
      <c r="DK113" s="101"/>
      <c r="DL113" s="101"/>
      <c r="DM113" s="101"/>
      <c r="DN113" s="101"/>
      <c r="DO113" s="101"/>
      <c r="DP113" s="101"/>
      <c r="DQ113" s="101"/>
      <c r="DR113" s="101"/>
      <c r="DS113" s="101"/>
      <c r="DT113" s="101"/>
      <c r="DU113" s="101"/>
      <c r="DV113" s="101"/>
      <c r="DW113" s="101"/>
      <c r="DX113" s="101"/>
      <c r="DY113" s="101"/>
      <c r="DZ113" s="101"/>
      <c r="EA113" s="101"/>
      <c r="EB113" s="101"/>
      <c r="EC113" s="101"/>
      <c r="ED113" s="101"/>
      <c r="EE113" s="102"/>
      <c r="EF113" s="102"/>
      <c r="EG113" s="102"/>
      <c r="EH113" s="102"/>
      <c r="EI113" s="102"/>
      <c r="EJ113" s="102"/>
      <c r="EK113" s="102"/>
      <c r="EL113" s="102"/>
      <c r="EM113" s="102"/>
      <c r="EN113" s="102"/>
      <c r="EO113" s="102"/>
      <c r="EP113" s="102"/>
      <c r="EQ113" s="102"/>
      <c r="ER113" s="102"/>
      <c r="ES113" s="102"/>
      <c r="ET113" s="102"/>
      <c r="EU113" s="102"/>
      <c r="EV113" s="102"/>
      <c r="EW113" s="102"/>
      <c r="EX113" s="102"/>
      <c r="EY113" s="102"/>
      <c r="EZ113" s="102"/>
      <c r="FA113" s="102"/>
      <c r="FB113" s="102"/>
      <c r="FC113" s="102"/>
      <c r="FD113" s="102"/>
      <c r="FE113" s="102"/>
      <c r="FF113" s="102"/>
      <c r="FG113" s="102"/>
      <c r="FH113" s="102"/>
      <c r="FI113" s="102"/>
      <c r="FJ113" s="102"/>
      <c r="FK113" s="102"/>
      <c r="FL113" s="102"/>
      <c r="FM113" s="102"/>
      <c r="FN113" s="102"/>
    </row>
    <row r="114" spans="1:170" s="19" customFormat="1" ht="18" customHeight="1">
      <c r="A114" s="1808"/>
      <c r="B114" s="416">
        <v>180</v>
      </c>
      <c r="C114" s="493" t="str">
        <f>VLOOKUP(B114,Begriffe!$A$6:$E$442,Begriffe!$D$1+2)</f>
        <v>Wärmeeintragsleistung der Akzentbeleuchtung</v>
      </c>
      <c r="D114" s="493"/>
      <c r="E114" s="493"/>
      <c r="F114" s="21"/>
      <c r="G114" s="21"/>
      <c r="H114" s="21"/>
      <c r="I114" s="262" t="s">
        <v>919</v>
      </c>
      <c r="J114" s="188" t="s">
        <v>68</v>
      </c>
      <c r="K114" s="188"/>
      <c r="L114" s="1166"/>
      <c r="M114" s="931">
        <f>M113</f>
        <v>0</v>
      </c>
      <c r="N114" s="931">
        <f>N113</f>
        <v>0</v>
      </c>
      <c r="O114" s="931">
        <f>O113</f>
        <v>0</v>
      </c>
      <c r="P114" s="493">
        <v>0</v>
      </c>
      <c r="Q114" s="989">
        <v>1</v>
      </c>
      <c r="R114" s="493">
        <v>0</v>
      </c>
      <c r="S114" s="131"/>
      <c r="T114" s="298"/>
      <c r="U114" s="298"/>
      <c r="V114" s="150"/>
      <c r="W114" s="299"/>
      <c r="X114" s="299"/>
      <c r="Y114" s="150"/>
      <c r="Z114" s="299"/>
      <c r="AA114" s="299"/>
      <c r="AB114" s="131"/>
      <c r="AC114" s="298"/>
      <c r="AD114" s="298"/>
      <c r="AE114" s="13"/>
      <c r="AF114" s="13"/>
      <c r="AG114" s="13"/>
      <c r="AH114" s="13"/>
      <c r="AI114" s="13"/>
      <c r="AJ114" s="13"/>
      <c r="AK114" s="13"/>
      <c r="AL114" s="13"/>
      <c r="AM114" s="13"/>
      <c r="AN114" s="13"/>
      <c r="AO114" s="13"/>
      <c r="AP114" s="155"/>
      <c r="AQ114" s="155"/>
      <c r="AR114" s="102"/>
      <c r="AS114" s="102"/>
      <c r="AT114" s="102"/>
      <c r="AU114" s="102"/>
      <c r="AV114" s="102"/>
      <c r="AW114" s="102"/>
      <c r="AX114" s="102"/>
      <c r="AY114" s="102"/>
      <c r="AZ114" s="102"/>
      <c r="BA114" s="102"/>
      <c r="BB114" s="102"/>
      <c r="BC114" s="102"/>
      <c r="BD114" s="102"/>
      <c r="BE114" s="102"/>
      <c r="BF114" s="102"/>
      <c r="BG114" s="102"/>
      <c r="BH114" s="102"/>
      <c r="BI114" s="102"/>
      <c r="BJ114" s="102"/>
      <c r="BK114" s="102"/>
      <c r="BL114" s="102"/>
      <c r="BM114" s="102"/>
      <c r="BN114" s="102"/>
      <c r="BO114" s="102"/>
      <c r="BP114" s="102"/>
      <c r="BQ114" s="102"/>
      <c r="BR114" s="102"/>
      <c r="BS114" s="102"/>
      <c r="BT114" s="102"/>
      <c r="BU114" s="102"/>
      <c r="BV114" s="102"/>
      <c r="BW114" s="102"/>
      <c r="BX114" s="102"/>
      <c r="BY114" s="102"/>
      <c r="BZ114" s="102"/>
      <c r="CA114" s="102"/>
      <c r="CB114" s="102"/>
      <c r="CC114" s="102"/>
      <c r="CD114" s="102"/>
      <c r="CE114" s="102"/>
      <c r="CF114" s="102"/>
      <c r="CG114" s="102"/>
      <c r="CH114" s="102"/>
      <c r="CI114" s="102"/>
      <c r="CJ114" s="102"/>
      <c r="CK114" s="102"/>
      <c r="CL114" s="102"/>
      <c r="CM114" s="102"/>
      <c r="CN114" s="102"/>
      <c r="CO114" s="102"/>
      <c r="CP114" s="102"/>
      <c r="CQ114" s="102"/>
      <c r="CR114" s="102"/>
      <c r="CS114" s="102"/>
      <c r="CT114" s="102"/>
      <c r="CU114" s="102"/>
      <c r="CV114" s="102"/>
      <c r="CW114" s="102"/>
      <c r="CX114" s="102"/>
      <c r="CY114" s="102"/>
      <c r="CZ114" s="102"/>
      <c r="DA114" s="102"/>
      <c r="DB114" s="102"/>
      <c r="DC114" s="102"/>
      <c r="DD114" s="102"/>
      <c r="DE114" s="101"/>
      <c r="DF114" s="101"/>
      <c r="DG114" s="101"/>
      <c r="DH114" s="101"/>
      <c r="DI114" s="101"/>
      <c r="DJ114" s="101"/>
      <c r="DK114" s="101"/>
      <c r="DL114" s="101"/>
      <c r="DM114" s="101"/>
      <c r="DN114" s="101"/>
      <c r="DO114" s="101"/>
      <c r="DP114" s="101"/>
      <c r="DQ114" s="101"/>
      <c r="DR114" s="101"/>
      <c r="DS114" s="101"/>
      <c r="DT114" s="101"/>
      <c r="DU114" s="101"/>
      <c r="DV114" s="101"/>
      <c r="DW114" s="101"/>
      <c r="DX114" s="101"/>
      <c r="DY114" s="101"/>
      <c r="DZ114" s="101"/>
      <c r="EA114" s="101"/>
      <c r="EB114" s="101"/>
      <c r="EC114" s="101"/>
      <c r="ED114" s="101"/>
      <c r="EE114" s="102"/>
      <c r="EF114" s="102"/>
      <c r="EG114" s="102"/>
      <c r="EH114" s="102"/>
      <c r="EI114" s="102"/>
      <c r="EJ114" s="102"/>
      <c r="EK114" s="102"/>
      <c r="EL114" s="102"/>
      <c r="EM114" s="102"/>
      <c r="EN114" s="102"/>
      <c r="EO114" s="102"/>
      <c r="EP114" s="102"/>
      <c r="EQ114" s="102"/>
      <c r="ER114" s="102"/>
      <c r="ES114" s="102"/>
      <c r="ET114" s="102"/>
      <c r="EU114" s="102"/>
      <c r="EV114" s="102"/>
      <c r="EW114" s="102"/>
      <c r="EX114" s="102"/>
      <c r="EY114" s="102"/>
      <c r="EZ114" s="102"/>
      <c r="FA114" s="102"/>
      <c r="FB114" s="102"/>
      <c r="FC114" s="102"/>
      <c r="FD114" s="102"/>
      <c r="FE114" s="102"/>
      <c r="FF114" s="102"/>
      <c r="FG114" s="102"/>
      <c r="FH114" s="102"/>
      <c r="FI114" s="102"/>
      <c r="FJ114" s="102"/>
      <c r="FK114" s="102"/>
      <c r="FL114" s="102"/>
      <c r="FM114" s="102"/>
      <c r="FN114" s="102"/>
    </row>
    <row r="115" spans="1:170" s="19" customFormat="1" ht="18" hidden="1" customHeight="1">
      <c r="A115" s="1808"/>
      <c r="B115" s="30"/>
      <c r="C115" s="932" t="s">
        <v>814</v>
      </c>
      <c r="D115" s="932"/>
      <c r="E115" s="946"/>
      <c r="F115" s="932"/>
      <c r="G115" s="932"/>
      <c r="H115" s="932"/>
      <c r="I115" s="1108" t="s">
        <v>813</v>
      </c>
      <c r="J115" s="934" t="s">
        <v>804</v>
      </c>
      <c r="K115" s="934"/>
      <c r="L115" s="1109"/>
      <c r="M115" s="1110">
        <f>M114*M48</f>
        <v>0</v>
      </c>
      <c r="N115" s="1110">
        <f>N114*M48</f>
        <v>0</v>
      </c>
      <c r="O115" s="1110">
        <f>O114*M48</f>
        <v>0</v>
      </c>
      <c r="P115" s="493">
        <v>0</v>
      </c>
      <c r="Q115" s="989">
        <v>0</v>
      </c>
      <c r="R115" s="493">
        <v>0</v>
      </c>
      <c r="S115" s="131"/>
      <c r="T115" s="298"/>
      <c r="U115" s="298"/>
      <c r="V115" s="150"/>
      <c r="W115" s="299"/>
      <c r="X115" s="299"/>
      <c r="Y115" s="150"/>
      <c r="Z115" s="299"/>
      <c r="AA115" s="299"/>
      <c r="AB115" s="131"/>
      <c r="AC115" s="298"/>
      <c r="AD115" s="298"/>
      <c r="AE115" s="13"/>
      <c r="AF115" s="13"/>
      <c r="AG115" s="13"/>
      <c r="AH115" s="13"/>
      <c r="AI115" s="13"/>
      <c r="AJ115" s="13"/>
      <c r="AK115" s="13"/>
      <c r="AL115" s="13"/>
      <c r="AM115" s="13"/>
      <c r="AN115" s="13"/>
      <c r="AO115" s="13"/>
      <c r="AP115" s="155"/>
      <c r="AQ115" s="155"/>
      <c r="AR115" s="102"/>
      <c r="AS115" s="102"/>
      <c r="AT115" s="102"/>
      <c r="AU115" s="102"/>
      <c r="AV115" s="102"/>
      <c r="AW115" s="102"/>
      <c r="AX115" s="102"/>
      <c r="AY115" s="102"/>
      <c r="AZ115" s="102"/>
      <c r="BA115" s="102"/>
      <c r="BB115" s="102"/>
      <c r="BC115" s="102"/>
      <c r="BD115" s="102"/>
      <c r="BE115" s="102"/>
      <c r="BF115" s="102"/>
      <c r="BG115" s="102"/>
      <c r="BH115" s="102"/>
      <c r="BI115" s="102"/>
      <c r="BJ115" s="102"/>
      <c r="BK115" s="102"/>
      <c r="BL115" s="102"/>
      <c r="BM115" s="102"/>
      <c r="BN115" s="102"/>
      <c r="BO115" s="102"/>
      <c r="BP115" s="102"/>
      <c r="BQ115" s="102"/>
      <c r="BR115" s="102"/>
      <c r="BS115" s="102"/>
      <c r="BT115" s="102"/>
      <c r="BU115" s="102"/>
      <c r="BV115" s="102"/>
      <c r="BW115" s="102"/>
      <c r="BX115" s="102"/>
      <c r="BY115" s="102"/>
      <c r="BZ115" s="102"/>
      <c r="CA115" s="102"/>
      <c r="CB115" s="102"/>
      <c r="CC115" s="102"/>
      <c r="CD115" s="102"/>
      <c r="CE115" s="102"/>
      <c r="CF115" s="102"/>
      <c r="CG115" s="102"/>
      <c r="CH115" s="102"/>
      <c r="CI115" s="102"/>
      <c r="CJ115" s="102"/>
      <c r="CK115" s="102"/>
      <c r="CL115" s="102"/>
      <c r="CM115" s="102"/>
      <c r="CN115" s="102"/>
      <c r="CO115" s="102"/>
      <c r="CP115" s="102"/>
      <c r="CQ115" s="102"/>
      <c r="CR115" s="102"/>
      <c r="CS115" s="102"/>
      <c r="CT115" s="102"/>
      <c r="CU115" s="102"/>
      <c r="CV115" s="102"/>
      <c r="CW115" s="102"/>
      <c r="CX115" s="102"/>
      <c r="CY115" s="102"/>
      <c r="CZ115" s="102"/>
      <c r="DA115" s="102"/>
      <c r="DB115" s="102"/>
      <c r="DC115" s="102"/>
      <c r="DD115" s="102"/>
      <c r="DE115" s="101"/>
      <c r="DF115" s="101"/>
      <c r="DG115" s="101"/>
      <c r="DH115" s="101"/>
      <c r="DI115" s="101"/>
      <c r="DJ115" s="101"/>
      <c r="DK115" s="101"/>
      <c r="DL115" s="101"/>
      <c r="DM115" s="101"/>
      <c r="DN115" s="101"/>
      <c r="DO115" s="101"/>
      <c r="DP115" s="101"/>
      <c r="DQ115" s="101"/>
      <c r="DR115" s="101"/>
      <c r="DS115" s="101"/>
      <c r="DT115" s="101"/>
      <c r="DU115" s="101"/>
      <c r="DV115" s="101"/>
      <c r="DW115" s="101"/>
      <c r="DX115" s="101"/>
      <c r="DY115" s="101"/>
      <c r="DZ115" s="101"/>
      <c r="EA115" s="101"/>
      <c r="EB115" s="101"/>
      <c r="EC115" s="101"/>
      <c r="ED115" s="101"/>
      <c r="EE115" s="102"/>
      <c r="EF115" s="102"/>
      <c r="EG115" s="102"/>
      <c r="EH115" s="102"/>
      <c r="EI115" s="102"/>
      <c r="EJ115" s="102"/>
      <c r="EK115" s="102"/>
      <c r="EL115" s="102"/>
      <c r="EM115" s="102"/>
      <c r="EN115" s="102"/>
      <c r="EO115" s="102"/>
      <c r="EP115" s="102"/>
      <c r="EQ115" s="102"/>
      <c r="ER115" s="102"/>
      <c r="ES115" s="102"/>
      <c r="ET115" s="102"/>
      <c r="EU115" s="102"/>
      <c r="EV115" s="102"/>
      <c r="EW115" s="102"/>
      <c r="EX115" s="102"/>
      <c r="EY115" s="102"/>
      <c r="EZ115" s="102"/>
      <c r="FA115" s="102"/>
      <c r="FB115" s="102"/>
      <c r="FC115" s="102"/>
      <c r="FD115" s="102"/>
      <c r="FE115" s="102"/>
      <c r="FF115" s="102"/>
      <c r="FG115" s="102"/>
      <c r="FH115" s="102"/>
      <c r="FI115" s="102"/>
      <c r="FJ115" s="102"/>
      <c r="FK115" s="102"/>
      <c r="FL115" s="102"/>
      <c r="FM115" s="102"/>
      <c r="FN115" s="102"/>
    </row>
    <row r="116" spans="1:170" s="19" customFormat="1" ht="18" hidden="1" customHeight="1">
      <c r="A116" s="1808"/>
      <c r="B116" s="30"/>
      <c r="C116" s="26" t="s">
        <v>768</v>
      </c>
      <c r="D116" s="26"/>
      <c r="E116" s="26"/>
      <c r="F116" s="26" t="s">
        <v>22</v>
      </c>
      <c r="G116" s="26"/>
      <c r="H116" s="26"/>
      <c r="I116" s="31" t="s">
        <v>797</v>
      </c>
      <c r="J116" s="33" t="s">
        <v>77</v>
      </c>
      <c r="K116" s="33"/>
      <c r="L116" s="25"/>
      <c r="M116" s="25">
        <f>M113*M119/1000</f>
        <v>0</v>
      </c>
      <c r="N116" s="25">
        <f>N113*N119/1000</f>
        <v>0</v>
      </c>
      <c r="O116" s="25">
        <f>O113*O119/1000</f>
        <v>0</v>
      </c>
      <c r="P116" s="493">
        <v>0</v>
      </c>
      <c r="Q116" s="989">
        <v>0</v>
      </c>
      <c r="R116" s="493">
        <v>0</v>
      </c>
      <c r="S116" s="131"/>
      <c r="T116" s="298"/>
      <c r="U116" s="298"/>
      <c r="V116" s="150"/>
      <c r="W116" s="299"/>
      <c r="X116" s="299"/>
      <c r="Y116" s="150"/>
      <c r="Z116" s="299"/>
      <c r="AA116" s="299"/>
      <c r="AB116" s="131"/>
      <c r="AC116" s="298"/>
      <c r="AD116" s="298"/>
      <c r="AE116" s="13"/>
      <c r="AF116" s="13"/>
      <c r="AG116" s="13"/>
      <c r="AH116" s="13"/>
      <c r="AI116" s="13"/>
      <c r="AJ116" s="13"/>
      <c r="AK116" s="13"/>
      <c r="AL116" s="13"/>
      <c r="AM116" s="13"/>
      <c r="AN116" s="13"/>
      <c r="AO116" s="13"/>
      <c r="AP116" s="155"/>
      <c r="AQ116" s="155"/>
      <c r="AR116" s="102"/>
      <c r="AS116" s="102"/>
      <c r="AT116" s="102"/>
      <c r="AU116" s="102"/>
      <c r="AV116" s="102"/>
      <c r="AW116" s="102"/>
      <c r="AX116" s="102"/>
      <c r="AY116" s="102"/>
      <c r="AZ116" s="102"/>
      <c r="BA116" s="102"/>
      <c r="BB116" s="102"/>
      <c r="BC116" s="102"/>
      <c r="BD116" s="102"/>
      <c r="BE116" s="102"/>
      <c r="BF116" s="102"/>
      <c r="BG116" s="102"/>
      <c r="BH116" s="102"/>
      <c r="BI116" s="102"/>
      <c r="BJ116" s="102"/>
      <c r="BK116" s="102"/>
      <c r="BL116" s="102"/>
      <c r="BM116" s="102"/>
      <c r="BN116" s="102"/>
      <c r="BO116" s="102"/>
      <c r="BP116" s="102"/>
      <c r="BQ116" s="102"/>
      <c r="BR116" s="102"/>
      <c r="BS116" s="102"/>
      <c r="BT116" s="102"/>
      <c r="BU116" s="102"/>
      <c r="BV116" s="102"/>
      <c r="BW116" s="102"/>
      <c r="BX116" s="102"/>
      <c r="BY116" s="102"/>
      <c r="BZ116" s="102"/>
      <c r="CA116" s="102"/>
      <c r="CB116" s="102"/>
      <c r="CC116" s="102"/>
      <c r="CD116" s="102"/>
      <c r="CE116" s="102"/>
      <c r="CF116" s="102"/>
      <c r="CG116" s="102"/>
      <c r="CH116" s="102"/>
      <c r="CI116" s="102"/>
      <c r="CJ116" s="102"/>
      <c r="CK116" s="102"/>
      <c r="CL116" s="102"/>
      <c r="CM116" s="102"/>
      <c r="CN116" s="102"/>
      <c r="CO116" s="102"/>
      <c r="CP116" s="102"/>
      <c r="CQ116" s="102"/>
      <c r="CR116" s="102"/>
      <c r="CS116" s="102"/>
      <c r="CT116" s="102"/>
      <c r="CU116" s="102"/>
      <c r="CV116" s="102"/>
      <c r="CW116" s="102"/>
      <c r="CX116" s="102"/>
      <c r="CY116" s="102"/>
      <c r="CZ116" s="102"/>
      <c r="DA116" s="102"/>
      <c r="DB116" s="102"/>
      <c r="DC116" s="102"/>
      <c r="DD116" s="102"/>
      <c r="DE116" s="101"/>
      <c r="DF116" s="101"/>
      <c r="DG116" s="101"/>
      <c r="DH116" s="101"/>
      <c r="DI116" s="101"/>
      <c r="DJ116" s="101"/>
      <c r="DK116" s="101"/>
      <c r="DL116" s="101"/>
      <c r="DM116" s="101"/>
      <c r="DN116" s="101"/>
      <c r="DO116" s="101"/>
      <c r="DP116" s="101"/>
      <c r="DQ116" s="101"/>
      <c r="DR116" s="101"/>
      <c r="DS116" s="101"/>
      <c r="DT116" s="101"/>
      <c r="DU116" s="101"/>
      <c r="DV116" s="101"/>
      <c r="DW116" s="101"/>
      <c r="DX116" s="101"/>
      <c r="DY116" s="101"/>
      <c r="DZ116" s="101"/>
      <c r="EA116" s="101"/>
      <c r="EB116" s="101"/>
      <c r="EC116" s="101"/>
      <c r="ED116" s="101"/>
      <c r="EE116" s="102"/>
      <c r="EF116" s="102"/>
      <c r="EG116" s="102"/>
      <c r="EH116" s="102"/>
      <c r="EI116" s="102"/>
      <c r="EJ116" s="102"/>
      <c r="EK116" s="102"/>
      <c r="EL116" s="102"/>
      <c r="EM116" s="102"/>
      <c r="EN116" s="102"/>
      <c r="EO116" s="102"/>
      <c r="EP116" s="102"/>
      <c r="EQ116" s="102"/>
      <c r="ER116" s="102"/>
      <c r="ES116" s="102"/>
      <c r="ET116" s="102"/>
      <c r="EU116" s="102"/>
      <c r="EV116" s="102"/>
      <c r="EW116" s="102"/>
      <c r="EX116" s="102"/>
      <c r="EY116" s="102"/>
      <c r="EZ116" s="102"/>
      <c r="FA116" s="102"/>
      <c r="FB116" s="102"/>
      <c r="FC116" s="102"/>
      <c r="FD116" s="102"/>
      <c r="FE116" s="102"/>
      <c r="FF116" s="102"/>
      <c r="FG116" s="102"/>
      <c r="FH116" s="102"/>
      <c r="FI116" s="102"/>
      <c r="FJ116" s="102"/>
      <c r="FK116" s="102"/>
      <c r="FL116" s="102"/>
      <c r="FM116" s="102"/>
      <c r="FN116" s="102"/>
    </row>
    <row r="117" spans="1:170" s="19" customFormat="1" ht="18" customHeight="1">
      <c r="A117" s="1808"/>
      <c r="B117" s="416"/>
      <c r="C117" s="493" t="str">
        <f>Begriffe!F302</f>
        <v>Elektrische Leistung Beleuchtung</v>
      </c>
      <c r="D117" s="21"/>
      <c r="E117" s="21"/>
      <c r="F117" s="21" t="str">
        <f>Begriffe!$F$322</f>
        <v>Raum- und Akzentbeleuchtung</v>
      </c>
      <c r="G117" s="21"/>
      <c r="H117" s="21"/>
      <c r="I117" s="180" t="s">
        <v>920</v>
      </c>
      <c r="J117" s="188" t="s">
        <v>68</v>
      </c>
      <c r="K117" s="188"/>
      <c r="L117" s="173"/>
      <c r="M117" s="183">
        <f>M109+M113</f>
        <v>10.254988913525498</v>
      </c>
      <c r="N117" s="183">
        <f>N109+N113</f>
        <v>7.1612164003468344</v>
      </c>
      <c r="O117" s="183">
        <f>O109+O113</f>
        <v>10.254988913525498</v>
      </c>
      <c r="P117" s="493">
        <v>1</v>
      </c>
      <c r="Q117" s="989">
        <v>1</v>
      </c>
      <c r="R117" s="493">
        <v>1</v>
      </c>
      <c r="S117" s="131"/>
      <c r="T117" s="298"/>
      <c r="U117" s="298"/>
      <c r="V117" s="150"/>
      <c r="W117" s="299"/>
      <c r="X117" s="299"/>
      <c r="Y117" s="150"/>
      <c r="Z117" s="299"/>
      <c r="AA117" s="299"/>
      <c r="AB117" s="131"/>
      <c r="AC117" s="298"/>
      <c r="AD117" s="298"/>
      <c r="AE117" s="13"/>
      <c r="AF117" s="13"/>
      <c r="AG117" s="13"/>
      <c r="AH117" s="13"/>
      <c r="AI117" s="13"/>
      <c r="AJ117" s="13"/>
      <c r="AK117" s="13"/>
      <c r="AL117" s="13"/>
      <c r="AM117" s="13"/>
      <c r="AN117" s="13"/>
      <c r="AO117" s="13"/>
      <c r="AP117" s="155"/>
      <c r="AQ117" s="155"/>
      <c r="AR117" s="102"/>
      <c r="AS117" s="102"/>
      <c r="AT117" s="102"/>
      <c r="AU117" s="102"/>
      <c r="AV117" s="102"/>
      <c r="AW117" s="102"/>
      <c r="AX117" s="102"/>
      <c r="AY117" s="102"/>
      <c r="AZ117" s="102"/>
      <c r="BA117" s="102"/>
      <c r="BB117" s="102"/>
      <c r="BC117" s="102"/>
      <c r="BD117" s="102"/>
      <c r="BE117" s="102"/>
      <c r="BF117" s="102"/>
      <c r="BG117" s="102"/>
      <c r="BH117" s="102"/>
      <c r="BI117" s="102"/>
      <c r="BJ117" s="102"/>
      <c r="BK117" s="102"/>
      <c r="BL117" s="102"/>
      <c r="BM117" s="102"/>
      <c r="BN117" s="102"/>
      <c r="BO117" s="102"/>
      <c r="BP117" s="102"/>
      <c r="BQ117" s="102"/>
      <c r="BR117" s="102"/>
      <c r="BS117" s="102"/>
      <c r="BT117" s="102"/>
      <c r="BU117" s="102"/>
      <c r="BV117" s="102"/>
      <c r="BW117" s="102"/>
      <c r="BX117" s="102"/>
      <c r="BY117" s="102"/>
      <c r="BZ117" s="102"/>
      <c r="CA117" s="102"/>
      <c r="CB117" s="102"/>
      <c r="CC117" s="102"/>
      <c r="CD117" s="102"/>
      <c r="CE117" s="102"/>
      <c r="CF117" s="102"/>
      <c r="CG117" s="102"/>
      <c r="CH117" s="102"/>
      <c r="CI117" s="102"/>
      <c r="CJ117" s="102"/>
      <c r="CK117" s="102"/>
      <c r="CL117" s="102"/>
      <c r="CM117" s="102"/>
      <c r="CN117" s="102"/>
      <c r="CO117" s="102"/>
      <c r="CP117" s="102"/>
      <c r="CQ117" s="102"/>
      <c r="CR117" s="102"/>
      <c r="CS117" s="102"/>
      <c r="CT117" s="102"/>
      <c r="CU117" s="102"/>
      <c r="CV117" s="102"/>
      <c r="CW117" s="102"/>
      <c r="CX117" s="102"/>
      <c r="CY117" s="102"/>
      <c r="CZ117" s="102"/>
      <c r="DA117" s="102"/>
      <c r="DB117" s="102"/>
      <c r="DC117" s="102"/>
      <c r="DD117" s="102"/>
      <c r="DE117" s="101"/>
      <c r="DF117" s="101"/>
      <c r="DG117" s="101"/>
      <c r="DH117" s="101"/>
      <c r="DI117" s="101"/>
      <c r="DJ117" s="101"/>
      <c r="DK117" s="101"/>
      <c r="DL117" s="101"/>
      <c r="DM117" s="101"/>
      <c r="DN117" s="101"/>
      <c r="DO117" s="101"/>
      <c r="DP117" s="101"/>
      <c r="DQ117" s="101"/>
      <c r="DR117" s="101"/>
      <c r="DS117" s="101"/>
      <c r="DT117" s="101"/>
      <c r="DU117" s="101"/>
      <c r="DV117" s="101"/>
      <c r="DW117" s="101"/>
      <c r="DX117" s="101"/>
      <c r="DY117" s="101"/>
      <c r="DZ117" s="101"/>
      <c r="EA117" s="101"/>
      <c r="EB117" s="101"/>
      <c r="EC117" s="101"/>
      <c r="ED117" s="101"/>
      <c r="EE117" s="102"/>
      <c r="EF117" s="102"/>
      <c r="EG117" s="102"/>
      <c r="EH117" s="102"/>
      <c r="EI117" s="102"/>
      <c r="EJ117" s="102"/>
      <c r="EK117" s="102"/>
      <c r="EL117" s="102"/>
      <c r="EM117" s="102"/>
      <c r="EN117" s="102"/>
      <c r="EO117" s="102"/>
      <c r="EP117" s="102"/>
      <c r="EQ117" s="102"/>
      <c r="ER117" s="102"/>
      <c r="ES117" s="102"/>
      <c r="ET117" s="102"/>
      <c r="EU117" s="102"/>
      <c r="EV117" s="102"/>
      <c r="EW117" s="102"/>
      <c r="EX117" s="102"/>
      <c r="EY117" s="102"/>
      <c r="EZ117" s="102"/>
      <c r="FA117" s="102"/>
      <c r="FB117" s="102"/>
      <c r="FC117" s="102"/>
      <c r="FD117" s="102"/>
      <c r="FE117" s="102"/>
      <c r="FF117" s="102"/>
      <c r="FG117" s="102"/>
      <c r="FH117" s="102"/>
      <c r="FI117" s="102"/>
      <c r="FJ117" s="102"/>
      <c r="FK117" s="102"/>
      <c r="FL117" s="102"/>
      <c r="FM117" s="102"/>
      <c r="FN117" s="102"/>
    </row>
    <row r="118" spans="1:170" s="19" customFormat="1" ht="18" customHeight="1">
      <c r="A118" s="1808"/>
      <c r="B118" s="416">
        <v>131</v>
      </c>
      <c r="C118" s="493" t="str">
        <f>VLOOKUP(B118,Begriffe!$A$6:$E$442,Begriffe!$D$1+2)</f>
        <v xml:space="preserve">Jährliche Volllaststunden der Raumbeleuchtung </v>
      </c>
      <c r="D118" s="493"/>
      <c r="E118" s="493"/>
      <c r="F118" s="21"/>
      <c r="G118" s="21"/>
      <c r="H118" s="21"/>
      <c r="I118" s="180" t="s">
        <v>661</v>
      </c>
      <c r="J118" s="188" t="s">
        <v>17</v>
      </c>
      <c r="K118" s="188"/>
      <c r="L118" s="173"/>
      <c r="M118" s="1017">
        <f>ROUND((M106)*$M51*$M52,-1)</f>
        <v>3900</v>
      </c>
      <c r="N118" s="1017">
        <f>ROUND((N106)*$M51*$M52,-1)</f>
        <v>3210</v>
      </c>
      <c r="O118" s="1017">
        <f>ROUND((O106)*$M51*$M52,-1)</f>
        <v>3900</v>
      </c>
      <c r="P118" s="493">
        <v>1</v>
      </c>
      <c r="Q118" s="989">
        <v>1</v>
      </c>
      <c r="R118" s="493">
        <v>0</v>
      </c>
      <c r="S118" s="131" t="s">
        <v>170</v>
      </c>
      <c r="T118" s="298"/>
      <c r="U118" s="298"/>
      <c r="V118" s="150"/>
      <c r="W118" s="299"/>
      <c r="X118" s="299"/>
      <c r="Y118" s="150"/>
      <c r="Z118" s="299"/>
      <c r="AA118" s="299"/>
      <c r="AB118" s="131"/>
      <c r="AC118" s="298"/>
      <c r="AD118" s="298"/>
      <c r="AE118" s="13"/>
      <c r="AF118" s="13"/>
      <c r="AG118" s="13"/>
      <c r="AH118" s="13"/>
      <c r="AI118" s="13"/>
      <c r="AJ118" s="13"/>
      <c r="AK118" s="13"/>
      <c r="AL118" s="13"/>
      <c r="AM118" s="13"/>
      <c r="AN118" s="13"/>
      <c r="AO118" s="13"/>
      <c r="AP118" s="155"/>
      <c r="AQ118" s="155"/>
      <c r="AR118" s="102"/>
      <c r="AS118" s="102"/>
      <c r="AT118" s="102"/>
      <c r="AU118" s="102"/>
      <c r="AV118" s="102"/>
      <c r="AW118" s="102"/>
      <c r="AX118" s="102"/>
      <c r="AY118" s="102"/>
      <c r="AZ118" s="102"/>
      <c r="BA118" s="102"/>
      <c r="BB118" s="102"/>
      <c r="BC118" s="102"/>
      <c r="BD118" s="102"/>
      <c r="BE118" s="102"/>
      <c r="BF118" s="102"/>
      <c r="BG118" s="102"/>
      <c r="BH118" s="102"/>
      <c r="BI118" s="102"/>
      <c r="BJ118" s="102"/>
      <c r="BK118" s="102"/>
      <c r="BL118" s="102"/>
      <c r="BM118" s="102"/>
      <c r="BN118" s="102"/>
      <c r="BO118" s="102"/>
      <c r="BP118" s="102"/>
      <c r="BQ118" s="102"/>
      <c r="BR118" s="102"/>
      <c r="BS118" s="102"/>
      <c r="BT118" s="102"/>
      <c r="BU118" s="102"/>
      <c r="BV118" s="102"/>
      <c r="BW118" s="102"/>
      <c r="BX118" s="102"/>
      <c r="BY118" s="102"/>
      <c r="BZ118" s="102"/>
      <c r="CA118" s="102"/>
      <c r="CB118" s="102"/>
      <c r="CC118" s="102"/>
      <c r="CD118" s="102"/>
      <c r="CE118" s="102"/>
      <c r="CF118" s="102"/>
      <c r="CG118" s="102"/>
      <c r="CH118" s="102"/>
      <c r="CI118" s="102"/>
      <c r="CJ118" s="102"/>
      <c r="CK118" s="102"/>
      <c r="CL118" s="102"/>
      <c r="CM118" s="102"/>
      <c r="CN118" s="102"/>
      <c r="CO118" s="102"/>
      <c r="CP118" s="102"/>
      <c r="CQ118" s="102"/>
      <c r="CR118" s="102"/>
      <c r="CS118" s="102"/>
      <c r="CT118" s="102"/>
      <c r="CU118" s="102"/>
      <c r="CV118" s="102"/>
      <c r="CW118" s="102"/>
      <c r="CX118" s="102"/>
      <c r="CY118" s="102"/>
      <c r="CZ118" s="102"/>
      <c r="DA118" s="102"/>
      <c r="DB118" s="102"/>
      <c r="DC118" s="102"/>
      <c r="DD118" s="102"/>
      <c r="DE118" s="101"/>
      <c r="DF118" s="101"/>
      <c r="DG118" s="101"/>
      <c r="DH118" s="101"/>
      <c r="DI118" s="101"/>
      <c r="DJ118" s="101"/>
      <c r="DK118" s="101"/>
      <c r="DL118" s="101"/>
      <c r="DM118" s="101"/>
      <c r="DN118" s="101"/>
      <c r="DO118" s="101"/>
      <c r="DP118" s="101"/>
      <c r="DQ118" s="101"/>
      <c r="DR118" s="101"/>
      <c r="DS118" s="101"/>
      <c r="DT118" s="101"/>
      <c r="DU118" s="101"/>
      <c r="DV118" s="101"/>
      <c r="DW118" s="101"/>
      <c r="DX118" s="101"/>
      <c r="DY118" s="101"/>
      <c r="DZ118" s="101"/>
      <c r="EA118" s="101"/>
      <c r="EB118" s="101"/>
      <c r="EC118" s="101"/>
      <c r="ED118" s="101"/>
      <c r="EE118" s="102"/>
      <c r="EF118" s="102"/>
      <c r="EG118" s="102"/>
      <c r="EH118" s="102"/>
      <c r="EI118" s="102"/>
      <c r="EJ118" s="102"/>
      <c r="EK118" s="102"/>
      <c r="EL118" s="102"/>
      <c r="EM118" s="102"/>
      <c r="EN118" s="102"/>
      <c r="EO118" s="102"/>
      <c r="EP118" s="102"/>
      <c r="EQ118" s="102"/>
      <c r="ER118" s="102"/>
      <c r="ES118" s="102"/>
      <c r="ET118" s="102"/>
      <c r="EU118" s="102"/>
      <c r="EV118" s="102"/>
      <c r="EW118" s="102"/>
      <c r="EX118" s="102"/>
      <c r="EY118" s="102"/>
      <c r="EZ118" s="102"/>
      <c r="FA118" s="102"/>
      <c r="FB118" s="102"/>
      <c r="FC118" s="102"/>
      <c r="FD118" s="102"/>
      <c r="FE118" s="102"/>
      <c r="FF118" s="102"/>
      <c r="FG118" s="102"/>
      <c r="FH118" s="102"/>
      <c r="FI118" s="102"/>
      <c r="FJ118" s="102"/>
      <c r="FK118" s="102"/>
      <c r="FL118" s="102"/>
      <c r="FM118" s="102"/>
      <c r="FN118" s="102"/>
    </row>
    <row r="119" spans="1:170" s="19" customFormat="1" ht="18" customHeight="1">
      <c r="A119" s="1808"/>
      <c r="B119" s="416">
        <v>132</v>
      </c>
      <c r="C119" s="493" t="str">
        <f>VLOOKUP(B119,Begriffe!$A$6:$E$442,Begriffe!$D$1+2)</f>
        <v xml:space="preserve">Jährliche Volllaststunden der Akzentbeleuchtung </v>
      </c>
      <c r="D119" s="493"/>
      <c r="E119" s="493"/>
      <c r="F119" s="21"/>
      <c r="G119" s="21"/>
      <c r="H119" s="21"/>
      <c r="I119" s="180" t="s">
        <v>921</v>
      </c>
      <c r="J119" s="188" t="s">
        <v>17</v>
      </c>
      <c r="K119" s="188"/>
      <c r="L119" s="173"/>
      <c r="M119" s="1017">
        <f>IF(M113=0,0,ROUND($M48*($M51)*$M52,-1))</f>
        <v>0</v>
      </c>
      <c r="N119" s="1017">
        <f>IF(N113=0,0,ROUND($M48*($M51)*$M52,-1))</f>
        <v>0</v>
      </c>
      <c r="O119" s="1017">
        <f>IF(O113=0,0,ROUND($M48*($M51)*$M52,-1))</f>
        <v>0</v>
      </c>
      <c r="P119" s="493">
        <v>1</v>
      </c>
      <c r="Q119" s="989">
        <v>1</v>
      </c>
      <c r="R119" s="493">
        <v>0</v>
      </c>
      <c r="S119" s="131"/>
      <c r="T119" s="298"/>
      <c r="U119" s="298"/>
      <c r="V119" s="150"/>
      <c r="W119" s="299"/>
      <c r="X119" s="299"/>
      <c r="Y119" s="150"/>
      <c r="Z119" s="299"/>
      <c r="AA119" s="299"/>
      <c r="AB119" s="131"/>
      <c r="AC119" s="298"/>
      <c r="AD119" s="298"/>
      <c r="AE119" s="13"/>
      <c r="AF119" s="13"/>
      <c r="AG119" s="13"/>
      <c r="AH119" s="13"/>
      <c r="AI119" s="13"/>
      <c r="AJ119" s="13"/>
      <c r="AK119" s="13"/>
      <c r="AL119" s="13"/>
      <c r="AM119" s="13"/>
      <c r="AN119" s="13"/>
      <c r="AO119" s="13"/>
      <c r="AP119" s="155"/>
      <c r="AQ119" s="155"/>
      <c r="AR119" s="102"/>
      <c r="AS119" s="102"/>
      <c r="AT119" s="102"/>
      <c r="AU119" s="102"/>
      <c r="AV119" s="102"/>
      <c r="AW119" s="102"/>
      <c r="AX119" s="102"/>
      <c r="AY119" s="102"/>
      <c r="AZ119" s="102"/>
      <c r="BA119" s="102"/>
      <c r="BB119" s="102"/>
      <c r="BC119" s="102"/>
      <c r="BD119" s="102"/>
      <c r="BE119" s="102"/>
      <c r="BF119" s="102"/>
      <c r="BG119" s="102"/>
      <c r="BH119" s="102"/>
      <c r="BI119" s="102"/>
      <c r="BJ119" s="102"/>
      <c r="BK119" s="102"/>
      <c r="BL119" s="102"/>
      <c r="BM119" s="102"/>
      <c r="BN119" s="102"/>
      <c r="BO119" s="102"/>
      <c r="BP119" s="102"/>
      <c r="BQ119" s="102"/>
      <c r="BR119" s="102"/>
      <c r="BS119" s="102"/>
      <c r="BT119" s="102"/>
      <c r="BU119" s="102"/>
      <c r="BV119" s="102"/>
      <c r="BW119" s="102"/>
      <c r="BX119" s="102"/>
      <c r="BY119" s="102"/>
      <c r="BZ119" s="102"/>
      <c r="CA119" s="102"/>
      <c r="CB119" s="102"/>
      <c r="CC119" s="102"/>
      <c r="CD119" s="102"/>
      <c r="CE119" s="102"/>
      <c r="CF119" s="102"/>
      <c r="CG119" s="102"/>
      <c r="CH119" s="102"/>
      <c r="CI119" s="102"/>
      <c r="CJ119" s="102"/>
      <c r="CK119" s="102"/>
      <c r="CL119" s="102"/>
      <c r="CM119" s="102"/>
      <c r="CN119" s="102"/>
      <c r="CO119" s="102"/>
      <c r="CP119" s="102"/>
      <c r="CQ119" s="102"/>
      <c r="CR119" s="102"/>
      <c r="CS119" s="102"/>
      <c r="CT119" s="102"/>
      <c r="CU119" s="102"/>
      <c r="CV119" s="102"/>
      <c r="CW119" s="102"/>
      <c r="CX119" s="102"/>
      <c r="CY119" s="102"/>
      <c r="CZ119" s="102"/>
      <c r="DA119" s="102"/>
      <c r="DB119" s="102"/>
      <c r="DC119" s="102"/>
      <c r="DD119" s="102"/>
      <c r="DE119" s="101"/>
      <c r="DF119" s="101"/>
      <c r="DG119" s="101"/>
      <c r="DH119" s="101"/>
      <c r="DI119" s="101"/>
      <c r="DJ119" s="101"/>
      <c r="DK119" s="101"/>
      <c r="DL119" s="101"/>
      <c r="DM119" s="101"/>
      <c r="DN119" s="101"/>
      <c r="DO119" s="101"/>
      <c r="DP119" s="101"/>
      <c r="DQ119" s="101"/>
      <c r="DR119" s="101"/>
      <c r="DS119" s="101"/>
      <c r="DT119" s="101"/>
      <c r="DU119" s="101"/>
      <c r="DV119" s="101"/>
      <c r="DW119" s="101"/>
      <c r="DX119" s="101"/>
      <c r="DY119" s="101"/>
      <c r="DZ119" s="101"/>
      <c r="EA119" s="101"/>
      <c r="EB119" s="101"/>
      <c r="EC119" s="101"/>
      <c r="ED119" s="101"/>
      <c r="EE119" s="102"/>
      <c r="EF119" s="102"/>
      <c r="EG119" s="102"/>
      <c r="EH119" s="102"/>
      <c r="EI119" s="102"/>
      <c r="EJ119" s="102"/>
      <c r="EK119" s="102"/>
      <c r="EL119" s="102"/>
      <c r="EM119" s="102"/>
      <c r="EN119" s="102"/>
      <c r="EO119" s="102"/>
      <c r="EP119" s="102"/>
      <c r="EQ119" s="102"/>
      <c r="ER119" s="102"/>
      <c r="ES119" s="102"/>
      <c r="ET119" s="102"/>
      <c r="EU119" s="102"/>
      <c r="EV119" s="102"/>
      <c r="EW119" s="102"/>
      <c r="EX119" s="102"/>
      <c r="EY119" s="102"/>
      <c r="EZ119" s="102"/>
      <c r="FA119" s="102"/>
      <c r="FB119" s="102"/>
      <c r="FC119" s="102"/>
      <c r="FD119" s="102"/>
      <c r="FE119" s="102"/>
      <c r="FF119" s="102"/>
      <c r="FG119" s="102"/>
      <c r="FH119" s="102"/>
      <c r="FI119" s="102"/>
      <c r="FJ119" s="102"/>
      <c r="FK119" s="102"/>
      <c r="FL119" s="102"/>
      <c r="FM119" s="102"/>
      <c r="FN119" s="102"/>
    </row>
    <row r="120" spans="1:170" s="19" customFormat="1" ht="18" customHeight="1">
      <c r="A120" s="1809"/>
      <c r="B120" s="416">
        <v>133</v>
      </c>
      <c r="C120" s="1817" t="str">
        <f>VLOOKUP(B120,Begriffe!$A$6:$E$442,Begriffe!$D$1+2)</f>
        <v>Jährlicher Elektrizitätsbedarf Beleuchtung</v>
      </c>
      <c r="D120" s="1817"/>
      <c r="E120" s="1817"/>
      <c r="F120" s="21" t="str">
        <f>Begriffe!$F$322</f>
        <v>Raum- und Akzentbeleuchtung</v>
      </c>
      <c r="G120" s="21"/>
      <c r="H120" s="21"/>
      <c r="I120" s="215" t="s">
        <v>922</v>
      </c>
      <c r="J120" s="212" t="s">
        <v>77</v>
      </c>
      <c r="K120" s="212"/>
      <c r="L120" s="1170"/>
      <c r="M120" s="1022">
        <f>M116+M112</f>
        <v>39.994456762749444</v>
      </c>
      <c r="N120" s="1022">
        <f>N116+N112</f>
        <v>22.98750464511334</v>
      </c>
      <c r="O120" s="1022">
        <f>O116+O112</f>
        <v>39.994456762749444</v>
      </c>
      <c r="P120" s="493">
        <v>1</v>
      </c>
      <c r="Q120" s="989">
        <v>1</v>
      </c>
      <c r="R120" s="493">
        <v>0</v>
      </c>
      <c r="S120" s="131"/>
      <c r="T120" s="298"/>
      <c r="U120" s="299"/>
      <c r="V120" s="150"/>
      <c r="W120" s="299"/>
      <c r="X120" s="299"/>
      <c r="Y120" s="150"/>
      <c r="Z120" s="299"/>
      <c r="AA120" s="299"/>
      <c r="AB120" s="131"/>
      <c r="AC120" s="298"/>
      <c r="AD120" s="298"/>
      <c r="AE120" s="13"/>
      <c r="AF120" s="13"/>
      <c r="AG120" s="13"/>
      <c r="AH120" s="13"/>
      <c r="AI120" s="13"/>
      <c r="AJ120" s="13"/>
      <c r="AK120" s="13"/>
      <c r="AL120" s="13"/>
      <c r="AM120" s="13"/>
      <c r="AN120" s="13"/>
      <c r="AO120" s="155"/>
      <c r="AP120" s="155"/>
      <c r="AQ120" s="102"/>
      <c r="AR120" s="102"/>
      <c r="AS120" s="102"/>
      <c r="AT120" s="102"/>
      <c r="AU120" s="102"/>
      <c r="AV120" s="102"/>
      <c r="AW120" s="102"/>
      <c r="AX120" s="102"/>
      <c r="AY120" s="102"/>
      <c r="AZ120" s="102"/>
      <c r="BA120" s="102"/>
      <c r="BB120" s="102"/>
      <c r="BC120" s="102"/>
      <c r="BD120" s="102"/>
      <c r="BE120" s="102"/>
      <c r="BF120" s="102"/>
      <c r="BG120" s="102"/>
      <c r="BH120" s="102"/>
      <c r="BI120" s="102"/>
      <c r="BJ120" s="102"/>
      <c r="BK120" s="102"/>
      <c r="BL120" s="102"/>
      <c r="BM120" s="102"/>
      <c r="BN120" s="102"/>
      <c r="BO120" s="102"/>
      <c r="BP120" s="102"/>
      <c r="BQ120" s="102"/>
      <c r="BR120" s="102"/>
      <c r="BS120" s="102"/>
      <c r="BT120" s="102"/>
      <c r="BU120" s="102"/>
      <c r="BV120" s="102"/>
      <c r="BW120" s="102"/>
      <c r="BX120" s="102"/>
      <c r="BY120" s="102"/>
      <c r="BZ120" s="102"/>
      <c r="CA120" s="102"/>
      <c r="CB120" s="102"/>
      <c r="CC120" s="102"/>
      <c r="CD120" s="102"/>
      <c r="CE120" s="102"/>
      <c r="CF120" s="102"/>
      <c r="CG120" s="102"/>
      <c r="CH120" s="102"/>
      <c r="CI120" s="102"/>
      <c r="CJ120" s="102"/>
      <c r="CK120" s="102"/>
      <c r="CL120" s="102"/>
      <c r="CM120" s="102"/>
      <c r="CN120" s="102"/>
      <c r="CO120" s="102"/>
      <c r="CP120" s="102"/>
      <c r="CQ120" s="102"/>
      <c r="CR120" s="102"/>
      <c r="CS120" s="102"/>
      <c r="CT120" s="102"/>
      <c r="CU120" s="102"/>
      <c r="CV120" s="102"/>
      <c r="CW120" s="102"/>
      <c r="CX120" s="102"/>
      <c r="CY120" s="102"/>
      <c r="CZ120" s="102"/>
      <c r="DA120" s="102"/>
      <c r="DB120" s="102"/>
      <c r="DC120" s="102"/>
      <c r="DD120" s="101"/>
      <c r="DE120" s="101"/>
      <c r="DF120" s="101"/>
      <c r="DG120" s="101"/>
      <c r="DH120" s="101"/>
      <c r="DI120" s="101"/>
      <c r="DJ120" s="101"/>
      <c r="DK120" s="101"/>
      <c r="DL120" s="101"/>
      <c r="DM120" s="101"/>
      <c r="DN120" s="101"/>
      <c r="DO120" s="101"/>
      <c r="DP120" s="101"/>
      <c r="DQ120" s="101"/>
      <c r="DR120" s="101"/>
      <c r="DS120" s="101"/>
      <c r="DT120" s="101"/>
      <c r="DU120" s="101"/>
      <c r="DV120" s="101"/>
      <c r="DW120" s="101"/>
      <c r="DX120" s="101"/>
      <c r="DY120" s="101"/>
      <c r="DZ120" s="101"/>
      <c r="EA120" s="101"/>
      <c r="EB120" s="101"/>
      <c r="EC120" s="101"/>
      <c r="ED120" s="102"/>
      <c r="EE120" s="102"/>
      <c r="EF120" s="102"/>
      <c r="EG120" s="102"/>
      <c r="EH120" s="102"/>
      <c r="EI120" s="102"/>
      <c r="EJ120" s="102"/>
      <c r="EK120" s="102"/>
      <c r="EL120" s="102"/>
      <c r="EM120" s="102"/>
      <c r="EN120" s="102"/>
      <c r="EO120" s="102"/>
      <c r="EP120" s="102"/>
      <c r="EQ120" s="102"/>
      <c r="ER120" s="102"/>
      <c r="ES120" s="102"/>
      <c r="ET120" s="102"/>
      <c r="EU120" s="102"/>
      <c r="EV120" s="102"/>
      <c r="EW120" s="102"/>
      <c r="EX120" s="102"/>
      <c r="EY120" s="102"/>
      <c r="EZ120" s="102"/>
      <c r="FA120" s="102"/>
      <c r="FB120" s="102"/>
      <c r="FC120" s="102"/>
      <c r="FD120" s="102"/>
      <c r="FE120" s="102"/>
      <c r="FF120" s="102"/>
      <c r="FG120" s="102"/>
      <c r="FH120" s="102"/>
      <c r="FI120" s="102"/>
      <c r="FJ120" s="102"/>
      <c r="FK120" s="102"/>
      <c r="FL120" s="102"/>
      <c r="FM120" s="102"/>
    </row>
    <row r="121" spans="1:170" s="12" customFormat="1" ht="2.1" customHeight="1">
      <c r="A121" s="198"/>
      <c r="B121" s="1142"/>
      <c r="C121" s="200"/>
      <c r="D121" s="200"/>
      <c r="E121" s="200"/>
      <c r="F121" s="200"/>
      <c r="G121" s="200"/>
      <c r="H121" s="200"/>
      <c r="I121" s="277"/>
      <c r="J121" s="207"/>
      <c r="K121" s="207"/>
      <c r="L121" s="208"/>
      <c r="M121" s="208"/>
      <c r="N121" s="997"/>
      <c r="O121" s="997"/>
      <c r="P121" s="493">
        <v>0</v>
      </c>
      <c r="Q121" s="989">
        <v>1</v>
      </c>
      <c r="R121" s="493">
        <v>0</v>
      </c>
      <c r="S121" s="82"/>
      <c r="T121" s="255"/>
      <c r="U121" s="232"/>
      <c r="V121" s="36"/>
      <c r="W121" s="232"/>
      <c r="X121" s="232"/>
      <c r="Y121" s="36"/>
      <c r="Z121" s="232"/>
      <c r="AA121" s="232"/>
      <c r="AB121" s="82"/>
      <c r="AC121" s="255"/>
      <c r="AD121" s="255"/>
      <c r="AE121" s="82"/>
      <c r="AF121" s="82"/>
      <c r="AG121" s="82"/>
      <c r="AH121" s="82"/>
      <c r="AI121" s="82"/>
      <c r="AJ121" s="82"/>
      <c r="AK121" s="82"/>
      <c r="AL121" s="82"/>
      <c r="AM121" s="156"/>
      <c r="AN121" s="156"/>
      <c r="AO121" s="157"/>
      <c r="AP121" s="157"/>
      <c r="AQ121" s="106"/>
      <c r="AR121" s="106"/>
      <c r="AS121" s="106"/>
      <c r="AT121" s="106"/>
      <c r="AU121" s="106"/>
      <c r="AV121" s="106"/>
      <c r="AW121" s="106"/>
      <c r="AX121" s="106"/>
      <c r="AY121" s="106"/>
      <c r="AZ121" s="106"/>
      <c r="BA121" s="106"/>
      <c r="BB121" s="106"/>
      <c r="BC121" s="106"/>
      <c r="BD121" s="106"/>
      <c r="BE121" s="106"/>
      <c r="BF121" s="106"/>
      <c r="BG121" s="106"/>
      <c r="BH121" s="106"/>
      <c r="BI121" s="106"/>
      <c r="BJ121" s="106"/>
      <c r="BK121" s="106"/>
      <c r="BL121" s="106"/>
      <c r="BM121" s="106"/>
      <c r="BN121" s="106"/>
      <c r="BO121" s="106"/>
      <c r="BP121" s="106"/>
      <c r="BQ121" s="106"/>
      <c r="BR121" s="106"/>
      <c r="BS121" s="106"/>
      <c r="BT121" s="106"/>
      <c r="BU121" s="106"/>
      <c r="BV121" s="106"/>
      <c r="BW121" s="106"/>
      <c r="BX121" s="106"/>
      <c r="BY121" s="106"/>
      <c r="BZ121" s="106"/>
      <c r="CA121" s="106"/>
      <c r="CB121" s="106"/>
      <c r="CC121" s="106"/>
      <c r="CD121" s="106"/>
      <c r="CE121" s="106"/>
      <c r="CF121" s="106"/>
      <c r="CG121" s="106"/>
      <c r="CH121" s="106"/>
      <c r="CI121" s="106"/>
      <c r="CJ121" s="106"/>
      <c r="CK121" s="106"/>
      <c r="CL121" s="106"/>
      <c r="CM121" s="106"/>
      <c r="CN121" s="106"/>
      <c r="CO121" s="106"/>
      <c r="CP121" s="106"/>
      <c r="CQ121" s="106"/>
      <c r="CR121" s="106"/>
      <c r="CS121" s="106"/>
      <c r="CT121" s="106"/>
      <c r="CU121" s="107"/>
      <c r="CV121" s="107"/>
      <c r="CW121" s="107"/>
      <c r="CX121" s="107"/>
      <c r="CY121" s="107"/>
      <c r="CZ121" s="107"/>
      <c r="DA121" s="107"/>
      <c r="DB121" s="107"/>
      <c r="DC121" s="107"/>
      <c r="DD121" s="107"/>
      <c r="DE121" s="107"/>
      <c r="DF121" s="107"/>
      <c r="DG121" s="107"/>
      <c r="DH121" s="107"/>
      <c r="DI121" s="107"/>
      <c r="DJ121" s="107"/>
      <c r="DK121" s="107"/>
      <c r="DL121" s="107"/>
      <c r="DM121" s="107"/>
      <c r="DN121" s="107"/>
      <c r="DO121" s="107"/>
      <c r="DP121" s="107"/>
      <c r="DQ121" s="107"/>
      <c r="DR121" s="107"/>
      <c r="DS121" s="107"/>
      <c r="DT121" s="107"/>
      <c r="DU121" s="107"/>
      <c r="DV121" s="107"/>
      <c r="DW121" s="107"/>
      <c r="DX121" s="107"/>
      <c r="DY121" s="107"/>
      <c r="DZ121" s="107"/>
      <c r="EA121" s="107"/>
      <c r="EB121" s="107"/>
      <c r="EC121" s="107"/>
      <c r="ED121" s="105"/>
      <c r="EE121" s="105"/>
      <c r="EF121" s="105"/>
      <c r="EG121" s="105"/>
      <c r="EH121" s="105"/>
      <c r="EI121" s="105"/>
      <c r="EJ121" s="105"/>
      <c r="EK121" s="105"/>
      <c r="EL121" s="105"/>
      <c r="EM121" s="105"/>
      <c r="EN121" s="105"/>
      <c r="EO121" s="105"/>
      <c r="EP121" s="105"/>
      <c r="EQ121" s="105"/>
      <c r="ER121" s="105"/>
      <c r="ES121" s="105"/>
      <c r="ET121" s="105"/>
      <c r="EU121" s="105"/>
      <c r="EV121" s="105"/>
      <c r="EW121" s="105"/>
      <c r="EX121" s="105"/>
      <c r="EY121" s="105"/>
      <c r="EZ121" s="105"/>
      <c r="FA121" s="105"/>
      <c r="FB121" s="105"/>
      <c r="FC121" s="105"/>
      <c r="FD121" s="105"/>
      <c r="FE121" s="105"/>
      <c r="FF121" s="105"/>
      <c r="FG121" s="105"/>
      <c r="FH121" s="105"/>
      <c r="FI121" s="105"/>
      <c r="FJ121" s="105"/>
      <c r="FK121" s="105"/>
      <c r="FL121" s="105"/>
      <c r="FM121" s="105"/>
    </row>
    <row r="122" spans="1:170" s="12" customFormat="1" ht="18.75" customHeight="1">
      <c r="A122" s="189"/>
      <c r="B122" s="416"/>
      <c r="C122" s="189" t="str">
        <f>C2</f>
        <v>Empfang, Lobby</v>
      </c>
      <c r="D122" s="189"/>
      <c r="E122" s="189"/>
      <c r="F122" s="189"/>
      <c r="G122" s="189"/>
      <c r="H122" s="189"/>
      <c r="I122" s="190"/>
      <c r="J122" s="191"/>
      <c r="K122" s="191"/>
      <c r="L122" s="192"/>
      <c r="M122" s="192"/>
      <c r="N122" s="193"/>
      <c r="O122" s="194">
        <f>O2</f>
        <v>2.2000000000000002</v>
      </c>
      <c r="P122" s="493">
        <v>0</v>
      </c>
      <c r="Q122" s="989">
        <v>1</v>
      </c>
      <c r="R122" s="493">
        <v>0</v>
      </c>
      <c r="S122" s="82"/>
      <c r="T122" s="255"/>
      <c r="U122" s="232"/>
      <c r="V122" s="36"/>
      <c r="W122" s="232"/>
      <c r="X122" s="232"/>
      <c r="Y122" s="36"/>
      <c r="Z122" s="232"/>
      <c r="AA122" s="232"/>
      <c r="AB122" s="82"/>
      <c r="AC122" s="255"/>
      <c r="AD122" s="255"/>
      <c r="AE122" s="82"/>
      <c r="AF122" s="82"/>
      <c r="AG122" s="82"/>
      <c r="AH122" s="82"/>
      <c r="AI122" s="82"/>
      <c r="AJ122" s="82"/>
      <c r="AK122" s="82"/>
      <c r="AL122" s="82"/>
      <c r="AM122" s="156"/>
      <c r="AN122" s="156"/>
      <c r="AO122" s="157"/>
      <c r="AP122" s="157"/>
      <c r="AQ122" s="106"/>
      <c r="AR122" s="106"/>
      <c r="AS122" s="106"/>
      <c r="AT122" s="106"/>
      <c r="AU122" s="106"/>
      <c r="AV122" s="106"/>
      <c r="AW122" s="106"/>
      <c r="AX122" s="106"/>
      <c r="AY122" s="106"/>
      <c r="AZ122" s="106"/>
      <c r="BA122" s="106"/>
      <c r="BB122" s="106"/>
      <c r="BC122" s="106"/>
      <c r="BD122" s="106"/>
      <c r="BE122" s="106"/>
      <c r="BF122" s="106"/>
      <c r="BG122" s="106"/>
      <c r="BH122" s="106"/>
      <c r="BI122" s="106"/>
      <c r="BJ122" s="106"/>
      <c r="BK122" s="106"/>
      <c r="BL122" s="106"/>
      <c r="BM122" s="106"/>
      <c r="BN122" s="106"/>
      <c r="BO122" s="106"/>
      <c r="BP122" s="106"/>
      <c r="BQ122" s="106"/>
      <c r="BR122" s="106"/>
      <c r="BS122" s="106"/>
      <c r="BT122" s="106"/>
      <c r="BU122" s="106"/>
      <c r="BV122" s="106"/>
      <c r="BW122" s="106"/>
      <c r="BX122" s="106"/>
      <c r="BY122" s="106"/>
      <c r="BZ122" s="106"/>
      <c r="CA122" s="106"/>
      <c r="CB122" s="106"/>
      <c r="CC122" s="106"/>
      <c r="CD122" s="106"/>
      <c r="CE122" s="106"/>
      <c r="CF122" s="106"/>
      <c r="CG122" s="106"/>
      <c r="CH122" s="106"/>
      <c r="CI122" s="106"/>
      <c r="CJ122" s="106"/>
      <c r="CK122" s="106"/>
      <c r="CL122" s="106"/>
      <c r="CM122" s="106"/>
      <c r="CN122" s="106"/>
      <c r="CO122" s="106"/>
      <c r="CP122" s="106"/>
      <c r="CQ122" s="106"/>
      <c r="CR122" s="106"/>
      <c r="CS122" s="106"/>
      <c r="CT122" s="106"/>
      <c r="CU122" s="107"/>
      <c r="CV122" s="107"/>
      <c r="CW122" s="107"/>
      <c r="CX122" s="107"/>
      <c r="CY122" s="107"/>
      <c r="CZ122" s="107"/>
      <c r="DA122" s="107"/>
      <c r="DB122" s="107"/>
      <c r="DC122" s="107"/>
      <c r="DD122" s="107"/>
      <c r="DE122" s="107"/>
      <c r="DF122" s="107"/>
      <c r="DG122" s="107"/>
      <c r="DH122" s="107"/>
      <c r="DI122" s="107"/>
      <c r="DJ122" s="107"/>
      <c r="DK122" s="107"/>
      <c r="DL122" s="107"/>
      <c r="DM122" s="107"/>
      <c r="DN122" s="107"/>
      <c r="DO122" s="107"/>
      <c r="DP122" s="107"/>
      <c r="DQ122" s="107"/>
      <c r="DR122" s="107"/>
      <c r="DS122" s="107"/>
      <c r="DT122" s="107"/>
      <c r="DU122" s="107"/>
      <c r="DV122" s="107"/>
      <c r="DW122" s="107"/>
      <c r="DX122" s="107"/>
      <c r="DY122" s="107"/>
      <c r="DZ122" s="107"/>
      <c r="EA122" s="107"/>
      <c r="EB122" s="107"/>
      <c r="EC122" s="107"/>
      <c r="ED122" s="105"/>
      <c r="EE122" s="105"/>
      <c r="EF122" s="105"/>
      <c r="EG122" s="105"/>
      <c r="EH122" s="105"/>
      <c r="EI122" s="105"/>
      <c r="EJ122" s="105"/>
      <c r="EK122" s="105"/>
      <c r="EL122" s="105"/>
      <c r="EM122" s="105"/>
      <c r="EN122" s="105"/>
      <c r="EO122" s="105"/>
      <c r="EP122" s="105"/>
      <c r="EQ122" s="105"/>
      <c r="ER122" s="105"/>
      <c r="ES122" s="105"/>
      <c r="ET122" s="105"/>
      <c r="EU122" s="105"/>
      <c r="EV122" s="105"/>
      <c r="EW122" s="105"/>
      <c r="EX122" s="105"/>
      <c r="EY122" s="105"/>
      <c r="EZ122" s="105"/>
      <c r="FA122" s="105"/>
      <c r="FB122" s="105"/>
      <c r="FC122" s="105"/>
      <c r="FD122" s="105"/>
      <c r="FE122" s="105"/>
      <c r="FF122" s="105"/>
      <c r="FG122" s="105"/>
      <c r="FH122" s="105"/>
      <c r="FI122" s="105"/>
      <c r="FJ122" s="105"/>
      <c r="FK122" s="105"/>
      <c r="FL122" s="105"/>
      <c r="FM122" s="105"/>
    </row>
    <row r="123" spans="1:170" s="12" customFormat="1" ht="1.5" customHeight="1">
      <c r="A123" s="189"/>
      <c r="B123" s="416"/>
      <c r="C123" s="195"/>
      <c r="D123" s="195"/>
      <c r="E123" s="195"/>
      <c r="F123" s="189"/>
      <c r="G123" s="189"/>
      <c r="H123" s="189"/>
      <c r="I123" s="190"/>
      <c r="J123" s="191"/>
      <c r="K123" s="191"/>
      <c r="L123" s="192"/>
      <c r="M123" s="192"/>
      <c r="N123" s="193"/>
      <c r="O123" s="194"/>
      <c r="P123" s="493">
        <v>0</v>
      </c>
      <c r="Q123" s="989">
        <v>1</v>
      </c>
      <c r="R123" s="493">
        <v>0</v>
      </c>
      <c r="S123" s="82"/>
      <c r="T123" s="255"/>
      <c r="U123" s="232"/>
      <c r="V123" s="36"/>
      <c r="W123" s="232"/>
      <c r="X123" s="232"/>
      <c r="Y123" s="36"/>
      <c r="Z123" s="232"/>
      <c r="AA123" s="232"/>
      <c r="AB123" s="82"/>
      <c r="AC123" s="255"/>
      <c r="AD123" s="255"/>
      <c r="AE123" s="82"/>
      <c r="AF123" s="82"/>
      <c r="AG123" s="82"/>
      <c r="AH123" s="82"/>
      <c r="AI123" s="82"/>
      <c r="AJ123" s="82"/>
      <c r="AK123" s="82"/>
      <c r="AL123" s="82"/>
      <c r="AM123" s="156"/>
      <c r="AN123" s="156"/>
      <c r="AO123" s="157"/>
      <c r="AP123" s="157"/>
      <c r="AQ123" s="106"/>
      <c r="AR123" s="106"/>
      <c r="AS123" s="106"/>
      <c r="AT123" s="106"/>
      <c r="AU123" s="106"/>
      <c r="AV123" s="106"/>
      <c r="AW123" s="106"/>
      <c r="AX123" s="106"/>
      <c r="AY123" s="106"/>
      <c r="AZ123" s="106"/>
      <c r="BA123" s="106"/>
      <c r="BB123" s="106"/>
      <c r="BC123" s="106"/>
      <c r="BD123" s="106"/>
      <c r="BE123" s="106"/>
      <c r="BF123" s="106"/>
      <c r="BG123" s="106"/>
      <c r="BH123" s="106"/>
      <c r="BI123" s="106"/>
      <c r="BJ123" s="106"/>
      <c r="BK123" s="106"/>
      <c r="BL123" s="106"/>
      <c r="BM123" s="106"/>
      <c r="BN123" s="106"/>
      <c r="BO123" s="106"/>
      <c r="BP123" s="106"/>
      <c r="BQ123" s="106"/>
      <c r="BR123" s="106"/>
      <c r="BS123" s="106"/>
      <c r="BT123" s="106"/>
      <c r="BU123" s="106"/>
      <c r="BV123" s="106"/>
      <c r="BW123" s="106"/>
      <c r="BX123" s="106"/>
      <c r="BY123" s="106"/>
      <c r="BZ123" s="106"/>
      <c r="CA123" s="106"/>
      <c r="CB123" s="106"/>
      <c r="CC123" s="106"/>
      <c r="CD123" s="106"/>
      <c r="CE123" s="106"/>
      <c r="CF123" s="106"/>
      <c r="CG123" s="106"/>
      <c r="CH123" s="106"/>
      <c r="CI123" s="106"/>
      <c r="CJ123" s="106"/>
      <c r="CK123" s="106"/>
      <c r="CL123" s="106"/>
      <c r="CM123" s="106"/>
      <c r="CN123" s="106"/>
      <c r="CO123" s="106"/>
      <c r="CP123" s="106"/>
      <c r="CQ123" s="106"/>
      <c r="CR123" s="106"/>
      <c r="CS123" s="106"/>
      <c r="CT123" s="106"/>
      <c r="CU123" s="107"/>
      <c r="CV123" s="107"/>
      <c r="CW123" s="107"/>
      <c r="CX123" s="107"/>
      <c r="CY123" s="107"/>
      <c r="CZ123" s="107"/>
      <c r="DA123" s="107"/>
      <c r="DB123" s="107"/>
      <c r="DC123" s="107"/>
      <c r="DD123" s="107"/>
      <c r="DE123" s="107"/>
      <c r="DF123" s="107"/>
      <c r="DG123" s="107"/>
      <c r="DH123" s="107"/>
      <c r="DI123" s="107"/>
      <c r="DJ123" s="107"/>
      <c r="DK123" s="107"/>
      <c r="DL123" s="107"/>
      <c r="DM123" s="107"/>
      <c r="DN123" s="107"/>
      <c r="DO123" s="107"/>
      <c r="DP123" s="107"/>
      <c r="DQ123" s="107"/>
      <c r="DR123" s="107"/>
      <c r="DS123" s="107"/>
      <c r="DT123" s="107"/>
      <c r="DU123" s="107"/>
      <c r="DV123" s="107"/>
      <c r="DW123" s="107"/>
      <c r="DX123" s="107"/>
      <c r="DY123" s="107"/>
      <c r="DZ123" s="107"/>
      <c r="EA123" s="107"/>
      <c r="EB123" s="107"/>
      <c r="EC123" s="107"/>
      <c r="ED123" s="105"/>
      <c r="EE123" s="105"/>
      <c r="EF123" s="105"/>
      <c r="EG123" s="105"/>
      <c r="EH123" s="105"/>
      <c r="EI123" s="105"/>
      <c r="EJ123" s="105"/>
      <c r="EK123" s="105"/>
      <c r="EL123" s="105"/>
      <c r="EM123" s="105"/>
      <c r="EN123" s="105"/>
      <c r="EO123" s="105"/>
      <c r="EP123" s="105"/>
      <c r="EQ123" s="105"/>
      <c r="ER123" s="105"/>
      <c r="ES123" s="105"/>
      <c r="ET123" s="105"/>
      <c r="EU123" s="105"/>
      <c r="EV123" s="105"/>
      <c r="EW123" s="105"/>
      <c r="EX123" s="105"/>
      <c r="EY123" s="105"/>
      <c r="EZ123" s="105"/>
      <c r="FA123" s="105"/>
      <c r="FB123" s="105"/>
      <c r="FC123" s="105"/>
      <c r="FD123" s="105"/>
      <c r="FE123" s="105"/>
      <c r="FF123" s="105"/>
      <c r="FG123" s="105"/>
      <c r="FH123" s="105"/>
      <c r="FI123" s="105"/>
      <c r="FJ123" s="105"/>
      <c r="FK123" s="105"/>
      <c r="FL123" s="105"/>
      <c r="FM123" s="105"/>
    </row>
    <row r="124" spans="1:170" s="12" customFormat="1" ht="18" customHeight="1">
      <c r="A124" s="203"/>
      <c r="B124" s="1144"/>
      <c r="C124" s="204"/>
      <c r="D124" s="204"/>
      <c r="E124" s="204"/>
      <c r="F124" s="204"/>
      <c r="G124" s="204"/>
      <c r="H124" s="204"/>
      <c r="I124" s="351" t="str">
        <f>I4</f>
        <v>Symbol</v>
      </c>
      <c r="J124" s="205" t="str">
        <f>J4</f>
        <v>Einheit</v>
      </c>
      <c r="K124" s="205"/>
      <c r="L124" s="574" t="str">
        <f>L4</f>
        <v>Projektwert</v>
      </c>
      <c r="M124" s="574" t="str">
        <f>M4</f>
        <v>Standardwert</v>
      </c>
      <c r="N124" s="574" t="str">
        <f>N4</f>
        <v>Zielwert</v>
      </c>
      <c r="O124" s="574" t="str">
        <f>O4</f>
        <v>Bestand</v>
      </c>
      <c r="P124" s="493">
        <v>0</v>
      </c>
      <c r="Q124" s="989">
        <v>1</v>
      </c>
      <c r="R124" s="493">
        <v>0</v>
      </c>
      <c r="S124" s="82"/>
      <c r="T124" s="255"/>
      <c r="U124" s="232"/>
      <c r="V124" s="36"/>
      <c r="W124" s="232"/>
      <c r="X124" s="232"/>
      <c r="Y124" s="36"/>
      <c r="Z124" s="232"/>
      <c r="AA124" s="232"/>
      <c r="AB124" s="82"/>
      <c r="AC124" s="255"/>
      <c r="AD124" s="255"/>
      <c r="AE124" s="82"/>
      <c r="AF124" s="82"/>
      <c r="AG124" s="82"/>
      <c r="AH124" s="82"/>
      <c r="AI124" s="82"/>
      <c r="AJ124" s="82"/>
      <c r="AK124" s="82"/>
      <c r="AL124" s="82"/>
      <c r="AM124" s="156"/>
      <c r="AN124" s="156"/>
      <c r="AO124" s="157"/>
      <c r="AP124" s="157"/>
      <c r="AQ124" s="106"/>
      <c r="AR124" s="106"/>
      <c r="AS124" s="106"/>
      <c r="AT124" s="106"/>
      <c r="AU124" s="106"/>
      <c r="AV124" s="106"/>
      <c r="AW124" s="106"/>
      <c r="AX124" s="106"/>
      <c r="AY124" s="106"/>
      <c r="AZ124" s="106"/>
      <c r="BA124" s="106"/>
      <c r="BB124" s="106"/>
      <c r="BC124" s="106"/>
      <c r="BD124" s="106"/>
      <c r="BE124" s="106"/>
      <c r="BF124" s="106"/>
      <c r="BG124" s="106"/>
      <c r="BH124" s="106"/>
      <c r="BI124" s="106"/>
      <c r="BJ124" s="106"/>
      <c r="BK124" s="106"/>
      <c r="BL124" s="106"/>
      <c r="BM124" s="106"/>
      <c r="BN124" s="106"/>
      <c r="BO124" s="106"/>
      <c r="BP124" s="106"/>
      <c r="BQ124" s="106"/>
      <c r="BR124" s="106"/>
      <c r="BS124" s="106"/>
      <c r="BT124" s="106"/>
      <c r="BU124" s="106"/>
      <c r="BV124" s="106"/>
      <c r="BW124" s="106"/>
      <c r="BX124" s="106"/>
      <c r="BY124" s="106"/>
      <c r="BZ124" s="106"/>
      <c r="CA124" s="106"/>
      <c r="CB124" s="106"/>
      <c r="CC124" s="106"/>
      <c r="CD124" s="106"/>
      <c r="CE124" s="106"/>
      <c r="CF124" s="106"/>
      <c r="CG124" s="106"/>
      <c r="CH124" s="106"/>
      <c r="CI124" s="106"/>
      <c r="CJ124" s="106"/>
      <c r="CK124" s="106"/>
      <c r="CL124" s="106"/>
      <c r="CM124" s="106"/>
      <c r="CN124" s="106"/>
      <c r="CO124" s="106"/>
      <c r="CP124" s="106"/>
      <c r="CQ124" s="106"/>
      <c r="CR124" s="106"/>
      <c r="CS124" s="106"/>
      <c r="CT124" s="106"/>
      <c r="CU124" s="107"/>
      <c r="CV124" s="107"/>
      <c r="CW124" s="107"/>
      <c r="CX124" s="107"/>
      <c r="CY124" s="107"/>
      <c r="CZ124" s="107"/>
      <c r="DA124" s="107"/>
      <c r="DB124" s="107"/>
      <c r="DC124" s="107"/>
      <c r="DD124" s="107"/>
      <c r="DE124" s="107"/>
      <c r="DF124" s="107"/>
      <c r="DG124" s="107"/>
      <c r="DH124" s="107"/>
      <c r="DI124" s="107"/>
      <c r="DJ124" s="107"/>
      <c r="DK124" s="107"/>
      <c r="DL124" s="107"/>
      <c r="DM124" s="107"/>
      <c r="DN124" s="107"/>
      <c r="DO124" s="107"/>
      <c r="DP124" s="107"/>
      <c r="DQ124" s="107"/>
      <c r="DR124" s="107"/>
      <c r="DS124" s="107"/>
      <c r="DT124" s="107"/>
      <c r="DU124" s="107"/>
      <c r="DV124" s="107"/>
      <c r="DW124" s="107"/>
      <c r="DX124" s="107"/>
      <c r="DY124" s="107"/>
      <c r="DZ124" s="107"/>
      <c r="EA124" s="107"/>
      <c r="EB124" s="107"/>
      <c r="EC124" s="107"/>
      <c r="ED124" s="105"/>
      <c r="EE124" s="105"/>
      <c r="EF124" s="105"/>
      <c r="EG124" s="105"/>
      <c r="EH124" s="105"/>
      <c r="EI124" s="105"/>
      <c r="EJ124" s="105"/>
      <c r="EK124" s="105"/>
      <c r="EL124" s="105"/>
      <c r="EM124" s="105"/>
      <c r="EN124" s="105"/>
      <c r="EO124" s="105"/>
      <c r="EP124" s="105"/>
      <c r="EQ124" s="105"/>
      <c r="ER124" s="105"/>
      <c r="ES124" s="105"/>
      <c r="ET124" s="105"/>
      <c r="EU124" s="105"/>
      <c r="EV124" s="105"/>
      <c r="EW124" s="105"/>
      <c r="EX124" s="105"/>
      <c r="EY124" s="105"/>
      <c r="EZ124" s="105"/>
      <c r="FA124" s="105"/>
      <c r="FB124" s="105"/>
      <c r="FC124" s="105"/>
      <c r="FD124" s="105"/>
      <c r="FE124" s="105"/>
      <c r="FF124" s="105"/>
      <c r="FG124" s="105"/>
      <c r="FH124" s="105"/>
      <c r="FI124" s="105"/>
      <c r="FJ124" s="105"/>
      <c r="FK124" s="105"/>
      <c r="FL124" s="105"/>
      <c r="FM124" s="105"/>
    </row>
    <row r="125" spans="1:170" s="19" customFormat="1" ht="18" customHeight="1">
      <c r="A125" s="1810" t="str">
        <f>Begriffe!F205</f>
        <v>Lüftung</v>
      </c>
      <c r="B125" s="416">
        <v>342</v>
      </c>
      <c r="C125" s="21" t="str">
        <f>VLOOKUP(B125,Begriffe!$A$6:$E$442,Begriffe!$D$1+2)</f>
        <v>Aussenluft-Volumenstrom pro Person</v>
      </c>
      <c r="D125" s="21"/>
      <c r="E125" s="179"/>
      <c r="F125" s="21" t="str">
        <f>Begriffe!$F$323</f>
        <v>Nichtraucher</v>
      </c>
      <c r="G125" s="21"/>
      <c r="H125" s="21"/>
      <c r="I125" s="180" t="s">
        <v>666</v>
      </c>
      <c r="J125" s="188" t="s">
        <v>821</v>
      </c>
      <c r="K125" s="16"/>
      <c r="L125" s="1174"/>
      <c r="M125" s="984">
        <f>IF(L125&lt;&gt;"",L125,INDEX(Eingabedaten!$D$10:$CY$54,nutzid,MATCH($C125,Eingabedaten!$D$7:$CY$7,0)))</f>
        <v>36</v>
      </c>
      <c r="N125" s="187"/>
      <c r="O125" s="187"/>
      <c r="P125" s="493">
        <v>0</v>
      </c>
      <c r="Q125" s="989">
        <v>1</v>
      </c>
      <c r="R125" s="493">
        <v>0</v>
      </c>
      <c r="S125" s="131"/>
      <c r="T125" s="298"/>
      <c r="U125" s="298"/>
      <c r="V125" s="150"/>
      <c r="W125" s="299" t="s">
        <v>71</v>
      </c>
      <c r="X125" s="299"/>
      <c r="Y125" s="150"/>
      <c r="Z125" s="299"/>
      <c r="AA125" s="299"/>
      <c r="AB125" s="131"/>
      <c r="AC125" s="298"/>
      <c r="AD125" s="298"/>
      <c r="AE125" s="13"/>
      <c r="AF125" s="13"/>
      <c r="AG125" s="13"/>
      <c r="AH125" s="13"/>
      <c r="AI125" s="13"/>
      <c r="AJ125" s="13"/>
      <c r="AK125" s="13"/>
      <c r="AL125" s="13"/>
      <c r="AM125" s="13"/>
      <c r="AN125" s="13"/>
      <c r="AO125" s="13"/>
      <c r="AP125" s="155"/>
      <c r="AQ125" s="155"/>
      <c r="AR125" s="102"/>
      <c r="AS125" s="102"/>
      <c r="AT125" s="102"/>
      <c r="AU125" s="102"/>
      <c r="AV125" s="102"/>
      <c r="AW125" s="102"/>
      <c r="AX125" s="102"/>
      <c r="AY125" s="102"/>
      <c r="AZ125" s="102"/>
      <c r="BA125" s="102"/>
      <c r="BB125" s="102"/>
      <c r="BC125" s="102"/>
      <c r="BD125" s="102"/>
      <c r="BE125" s="102"/>
      <c r="BF125" s="102"/>
      <c r="BG125" s="102"/>
      <c r="BH125" s="102"/>
      <c r="BI125" s="102"/>
      <c r="BJ125" s="102"/>
      <c r="BK125" s="102"/>
      <c r="BL125" s="102"/>
      <c r="BM125" s="102"/>
      <c r="BN125" s="102"/>
      <c r="BO125" s="102"/>
      <c r="BP125" s="102"/>
      <c r="BQ125" s="102"/>
      <c r="BR125" s="102"/>
      <c r="BS125" s="102"/>
      <c r="BT125" s="102"/>
      <c r="BU125" s="102"/>
      <c r="BV125" s="102"/>
      <c r="BW125" s="102"/>
      <c r="BX125" s="102"/>
      <c r="BY125" s="102"/>
      <c r="BZ125" s="102"/>
      <c r="CA125" s="102"/>
      <c r="CB125" s="102"/>
      <c r="CC125" s="102"/>
      <c r="CD125" s="102"/>
      <c r="CE125" s="102"/>
      <c r="CF125" s="102"/>
      <c r="CG125" s="102"/>
      <c r="CH125" s="102"/>
      <c r="CI125" s="102"/>
      <c r="CJ125" s="102"/>
      <c r="CK125" s="102"/>
      <c r="CL125" s="102"/>
      <c r="CM125" s="102"/>
      <c r="CN125" s="102"/>
      <c r="CO125" s="102"/>
      <c r="CP125" s="102"/>
      <c r="CQ125" s="102"/>
      <c r="CR125" s="102"/>
      <c r="CS125" s="102"/>
      <c r="CT125" s="102"/>
      <c r="CU125" s="102"/>
      <c r="CV125" s="102"/>
      <c r="CW125" s="102"/>
      <c r="CX125" s="102"/>
      <c r="CY125" s="102"/>
      <c r="CZ125" s="102"/>
      <c r="DA125" s="102"/>
      <c r="DB125" s="102"/>
      <c r="DC125" s="102"/>
      <c r="DD125" s="102"/>
      <c r="DE125" s="101"/>
      <c r="DF125" s="101"/>
      <c r="DG125" s="101"/>
      <c r="DH125" s="101"/>
      <c r="DI125" s="101"/>
      <c r="DJ125" s="101"/>
      <c r="DK125" s="101"/>
      <c r="DL125" s="101"/>
      <c r="DM125" s="101"/>
      <c r="DN125" s="101"/>
      <c r="DO125" s="101"/>
      <c r="DP125" s="101"/>
      <c r="DQ125" s="101"/>
      <c r="DR125" s="101"/>
      <c r="DS125" s="101"/>
      <c r="DT125" s="101"/>
      <c r="DU125" s="101"/>
      <c r="DV125" s="101"/>
      <c r="DW125" s="101"/>
      <c r="DX125" s="101"/>
      <c r="DY125" s="101"/>
      <c r="DZ125" s="101"/>
      <c r="EA125" s="101"/>
      <c r="EB125" s="101"/>
      <c r="EC125" s="101"/>
      <c r="ED125" s="101"/>
      <c r="EE125" s="102"/>
      <c r="EF125" s="102"/>
      <c r="EG125" s="102"/>
      <c r="EH125" s="102"/>
      <c r="EI125" s="102"/>
      <c r="EJ125" s="102"/>
      <c r="EK125" s="102"/>
      <c r="EL125" s="102"/>
      <c r="EM125" s="102"/>
      <c r="EN125" s="102"/>
      <c r="EO125" s="102"/>
      <c r="EP125" s="102"/>
      <c r="EQ125" s="102"/>
      <c r="ER125" s="102"/>
      <c r="ES125" s="102"/>
      <c r="ET125" s="102"/>
      <c r="EU125" s="102"/>
      <c r="EV125" s="102"/>
      <c r="EW125" s="102"/>
      <c r="EX125" s="102"/>
      <c r="EY125" s="102"/>
      <c r="EZ125" s="102"/>
      <c r="FA125" s="102"/>
      <c r="FB125" s="102"/>
      <c r="FC125" s="102"/>
      <c r="FD125" s="102"/>
      <c r="FE125" s="102"/>
      <c r="FF125" s="102"/>
      <c r="FG125" s="102"/>
      <c r="FH125" s="102"/>
      <c r="FI125" s="102"/>
      <c r="FJ125" s="102"/>
      <c r="FK125" s="102"/>
      <c r="FL125" s="102"/>
      <c r="FM125" s="102"/>
      <c r="FN125" s="102"/>
    </row>
    <row r="126" spans="1:170" s="19" customFormat="1" ht="18" hidden="1" customHeight="1">
      <c r="A126" s="1808"/>
      <c r="B126" s="30"/>
      <c r="C126" s="26" t="s">
        <v>69</v>
      </c>
      <c r="D126" s="26"/>
      <c r="E126" s="346"/>
      <c r="F126" s="26"/>
      <c r="G126" s="26"/>
      <c r="H126" s="26"/>
      <c r="I126" s="31" t="s">
        <v>18</v>
      </c>
      <c r="J126" s="33" t="s">
        <v>18</v>
      </c>
      <c r="K126" s="33"/>
      <c r="L126" s="28"/>
      <c r="M126" s="28" t="s">
        <v>49</v>
      </c>
      <c r="N126" s="29" t="s">
        <v>49</v>
      </c>
      <c r="O126" s="29" t="s">
        <v>49</v>
      </c>
      <c r="P126" s="493">
        <v>0</v>
      </c>
      <c r="Q126" s="989">
        <v>0</v>
      </c>
      <c r="R126" s="493">
        <v>0</v>
      </c>
      <c r="S126" s="131">
        <f>((M58*Profile!$I$291/1000))/365*1000</f>
        <v>110.73999999999975</v>
      </c>
      <c r="T126" s="298"/>
      <c r="U126" s="298"/>
      <c r="V126" s="150"/>
      <c r="W126" s="299"/>
      <c r="X126" s="299"/>
      <c r="Y126" s="150"/>
      <c r="Z126" s="299"/>
      <c r="AA126" s="299"/>
      <c r="AB126" s="131"/>
      <c r="AC126" s="298"/>
      <c r="AD126" s="298"/>
      <c r="AE126" s="13"/>
      <c r="AF126" s="13"/>
      <c r="AG126" s="13"/>
      <c r="AH126" s="13"/>
      <c r="AI126" s="13"/>
      <c r="AJ126" s="13"/>
      <c r="AK126" s="13"/>
      <c r="AL126" s="13"/>
      <c r="AM126" s="13"/>
      <c r="AN126" s="13"/>
      <c r="AO126" s="13"/>
      <c r="AP126" s="155"/>
      <c r="AQ126" s="155"/>
      <c r="AR126" s="102"/>
      <c r="AS126" s="102"/>
      <c r="AT126" s="102"/>
      <c r="AU126" s="102"/>
      <c r="AV126" s="102"/>
      <c r="AW126" s="102"/>
      <c r="AX126" s="102"/>
      <c r="AY126" s="102"/>
      <c r="AZ126" s="102"/>
      <c r="BA126" s="102"/>
      <c r="BB126" s="102"/>
      <c r="BC126" s="102"/>
      <c r="BD126" s="102"/>
      <c r="BE126" s="102"/>
      <c r="BF126" s="102"/>
      <c r="BG126" s="102"/>
      <c r="BH126" s="102"/>
      <c r="BI126" s="102"/>
      <c r="BJ126" s="102"/>
      <c r="BK126" s="102"/>
      <c r="BL126" s="102"/>
      <c r="BM126" s="102"/>
      <c r="BN126" s="102"/>
      <c r="BO126" s="102"/>
      <c r="BP126" s="102"/>
      <c r="BQ126" s="102"/>
      <c r="BR126" s="102"/>
      <c r="BS126" s="102"/>
      <c r="BT126" s="102"/>
      <c r="BU126" s="102"/>
      <c r="BV126" s="102"/>
      <c r="BW126" s="102"/>
      <c r="BX126" s="102"/>
      <c r="BY126" s="102"/>
      <c r="BZ126" s="102"/>
      <c r="CA126" s="102"/>
      <c r="CB126" s="102"/>
      <c r="CC126" s="102"/>
      <c r="CD126" s="102"/>
      <c r="CE126" s="102"/>
      <c r="CF126" s="102"/>
      <c r="CG126" s="102"/>
      <c r="CH126" s="102"/>
      <c r="CI126" s="102"/>
      <c r="CJ126" s="102"/>
      <c r="CK126" s="102"/>
      <c r="CL126" s="102"/>
      <c r="CM126" s="102"/>
      <c r="CN126" s="102"/>
      <c r="CO126" s="102"/>
      <c r="CP126" s="102"/>
      <c r="CQ126" s="102"/>
      <c r="CR126" s="102"/>
      <c r="CS126" s="102"/>
      <c r="CT126" s="102"/>
      <c r="CU126" s="102"/>
      <c r="CV126" s="102"/>
      <c r="CW126" s="102"/>
      <c r="CX126" s="102"/>
      <c r="CY126" s="102"/>
      <c r="CZ126" s="102"/>
      <c r="DA126" s="102"/>
      <c r="DB126" s="102"/>
      <c r="DC126" s="102"/>
      <c r="DD126" s="102"/>
      <c r="DE126" s="101"/>
      <c r="DF126" s="101"/>
      <c r="DG126" s="101"/>
      <c r="DH126" s="101"/>
      <c r="DI126" s="101"/>
      <c r="DJ126" s="101"/>
      <c r="DK126" s="101"/>
      <c r="DL126" s="101"/>
      <c r="DM126" s="101"/>
      <c r="DN126" s="101"/>
      <c r="DO126" s="101"/>
      <c r="DP126" s="101"/>
      <c r="DQ126" s="101"/>
      <c r="DR126" s="101"/>
      <c r="DS126" s="101"/>
      <c r="DT126" s="101"/>
      <c r="DU126" s="101"/>
      <c r="DV126" s="101"/>
      <c r="DW126" s="101"/>
      <c r="DX126" s="101"/>
      <c r="DY126" s="101"/>
      <c r="DZ126" s="101"/>
      <c r="EA126" s="101"/>
      <c r="EB126" s="101"/>
      <c r="EC126" s="101"/>
      <c r="ED126" s="101"/>
      <c r="EE126" s="102"/>
      <c r="EF126" s="102"/>
      <c r="EG126" s="102"/>
      <c r="EH126" s="102"/>
      <c r="EI126" s="102"/>
      <c r="EJ126" s="102"/>
      <c r="EK126" s="102"/>
      <c r="EL126" s="102"/>
      <c r="EM126" s="102"/>
      <c r="EN126" s="102"/>
      <c r="EO126" s="102"/>
      <c r="EP126" s="102"/>
      <c r="EQ126" s="102"/>
      <c r="ER126" s="102"/>
      <c r="ES126" s="102"/>
      <c r="ET126" s="102"/>
      <c r="EU126" s="102"/>
      <c r="EV126" s="102"/>
      <c r="EW126" s="102"/>
      <c r="EX126" s="102"/>
      <c r="EY126" s="102"/>
      <c r="EZ126" s="102"/>
      <c r="FA126" s="102"/>
      <c r="FB126" s="102"/>
      <c r="FC126" s="102"/>
      <c r="FD126" s="102"/>
      <c r="FE126" s="102"/>
      <c r="FF126" s="102"/>
      <c r="FG126" s="102"/>
      <c r="FH126" s="102"/>
      <c r="FI126" s="102"/>
      <c r="FJ126" s="102"/>
      <c r="FK126" s="102"/>
      <c r="FL126" s="102"/>
      <c r="FM126" s="102"/>
      <c r="FN126" s="102"/>
    </row>
    <row r="127" spans="1:170" s="19" customFormat="1" ht="18" hidden="1" customHeight="1">
      <c r="A127" s="1808"/>
      <c r="B127" s="30"/>
      <c r="C127" s="932" t="s">
        <v>355</v>
      </c>
      <c r="D127" s="26"/>
      <c r="E127" s="346"/>
      <c r="F127" s="26"/>
      <c r="G127" s="26"/>
      <c r="H127" s="26"/>
      <c r="I127" s="31" t="s">
        <v>667</v>
      </c>
      <c r="J127" s="33" t="s">
        <v>17</v>
      </c>
      <c r="K127" s="33"/>
      <c r="L127" s="28"/>
      <c r="M127" s="29">
        <f>IF(Datenblatt!M130="1-stufig",Profile!$O291,IF(Datenblatt!M130="2-stufig",Profile!$Q291,Profile!$S291))</f>
        <v>4144.2099999999737</v>
      </c>
      <c r="N127" s="29">
        <f>IF(Datenblatt!N130="1-stufig",Profile!$O291,IF(Datenblatt!N130="2-stufig",Profile!$Q291,Profile!$S291))</f>
        <v>3321.4999999999791</v>
      </c>
      <c r="O127" s="29">
        <f>IF(Datenblatt!O130="1-stufig",Profile!$O291,IF(Datenblatt!O130="2-stufig",Profile!$Q291,Profile!$S291))</f>
        <v>5620.9999999999809</v>
      </c>
      <c r="P127" s="493">
        <v>0</v>
      </c>
      <c r="Q127" s="989">
        <v>0</v>
      </c>
      <c r="R127" s="493">
        <v>0</v>
      </c>
      <c r="S127" s="131"/>
      <c r="T127" s="298"/>
      <c r="U127" s="298"/>
      <c r="V127" s="150"/>
      <c r="W127" s="299"/>
      <c r="X127" s="299"/>
      <c r="Y127" s="150"/>
      <c r="Z127" s="299"/>
      <c r="AA127" s="299"/>
      <c r="AB127" s="131"/>
      <c r="AC127" s="298"/>
      <c r="AD127" s="298"/>
      <c r="AE127" s="13"/>
      <c r="AF127" s="13"/>
      <c r="AG127" s="13"/>
      <c r="AH127" s="13"/>
      <c r="AI127" s="13"/>
      <c r="AJ127" s="13"/>
      <c r="AK127" s="13"/>
      <c r="AL127" s="13"/>
      <c r="AM127" s="13"/>
      <c r="AN127" s="13"/>
      <c r="AO127" s="13"/>
      <c r="AP127" s="155"/>
      <c r="AQ127" s="155"/>
      <c r="AR127" s="102"/>
      <c r="AS127" s="102"/>
      <c r="AT127" s="102"/>
      <c r="AU127" s="102"/>
      <c r="AV127" s="102"/>
      <c r="AW127" s="102"/>
      <c r="AX127" s="102"/>
      <c r="AY127" s="102"/>
      <c r="AZ127" s="102"/>
      <c r="BA127" s="102"/>
      <c r="BB127" s="102"/>
      <c r="BC127" s="102"/>
      <c r="BD127" s="102"/>
      <c r="BE127" s="102"/>
      <c r="BF127" s="102"/>
      <c r="BG127" s="102"/>
      <c r="BH127" s="102"/>
      <c r="BI127" s="102"/>
      <c r="BJ127" s="102"/>
      <c r="BK127" s="102"/>
      <c r="BL127" s="102"/>
      <c r="BM127" s="102"/>
      <c r="BN127" s="102"/>
      <c r="BO127" s="102"/>
      <c r="BP127" s="102"/>
      <c r="BQ127" s="102"/>
      <c r="BR127" s="102"/>
      <c r="BS127" s="102"/>
      <c r="BT127" s="102"/>
      <c r="BU127" s="102"/>
      <c r="BV127" s="102"/>
      <c r="BW127" s="102"/>
      <c r="BX127" s="102"/>
      <c r="BY127" s="102"/>
      <c r="BZ127" s="102"/>
      <c r="CA127" s="102"/>
      <c r="CB127" s="102"/>
      <c r="CC127" s="102"/>
      <c r="CD127" s="102"/>
      <c r="CE127" s="102"/>
      <c r="CF127" s="102"/>
      <c r="CG127" s="102"/>
      <c r="CH127" s="102"/>
      <c r="CI127" s="102"/>
      <c r="CJ127" s="102"/>
      <c r="CK127" s="102"/>
      <c r="CL127" s="102"/>
      <c r="CM127" s="102"/>
      <c r="CN127" s="102"/>
      <c r="CO127" s="102"/>
      <c r="CP127" s="102"/>
      <c r="CQ127" s="102"/>
      <c r="CR127" s="102"/>
      <c r="CS127" s="102"/>
      <c r="CT127" s="102"/>
      <c r="CU127" s="102"/>
      <c r="CV127" s="102"/>
      <c r="CW127" s="102"/>
      <c r="CX127" s="102"/>
      <c r="CY127" s="102"/>
      <c r="CZ127" s="102"/>
      <c r="DA127" s="102"/>
      <c r="DB127" s="102"/>
      <c r="DC127" s="102"/>
      <c r="DD127" s="102"/>
      <c r="DE127" s="101"/>
      <c r="DF127" s="101"/>
      <c r="DG127" s="101"/>
      <c r="DH127" s="101"/>
      <c r="DI127" s="101"/>
      <c r="DJ127" s="101"/>
      <c r="DK127" s="101"/>
      <c r="DL127" s="101"/>
      <c r="DM127" s="101"/>
      <c r="DN127" s="101"/>
      <c r="DO127" s="101"/>
      <c r="DP127" s="101"/>
      <c r="DQ127" s="101"/>
      <c r="DR127" s="101"/>
      <c r="DS127" s="101"/>
      <c r="DT127" s="101"/>
      <c r="DU127" s="101"/>
      <c r="DV127" s="101"/>
      <c r="DW127" s="101"/>
      <c r="DX127" s="101"/>
      <c r="DY127" s="101"/>
      <c r="DZ127" s="101"/>
      <c r="EA127" s="101"/>
      <c r="EB127" s="101"/>
      <c r="EC127" s="101"/>
      <c r="ED127" s="101"/>
      <c r="EE127" s="102"/>
      <c r="EF127" s="102"/>
      <c r="EG127" s="102"/>
      <c r="EH127" s="102"/>
      <c r="EI127" s="102"/>
      <c r="EJ127" s="102"/>
      <c r="EK127" s="102"/>
      <c r="EL127" s="102"/>
      <c r="EM127" s="102"/>
      <c r="EN127" s="102"/>
      <c r="EO127" s="102"/>
      <c r="EP127" s="102"/>
      <c r="EQ127" s="102"/>
      <c r="ER127" s="102"/>
      <c r="ES127" s="102"/>
      <c r="ET127" s="102"/>
      <c r="EU127" s="102"/>
      <c r="EV127" s="102"/>
      <c r="EW127" s="102"/>
      <c r="EX127" s="102"/>
      <c r="EY127" s="102"/>
      <c r="EZ127" s="102"/>
      <c r="FA127" s="102"/>
      <c r="FB127" s="102"/>
      <c r="FC127" s="102"/>
      <c r="FD127" s="102"/>
      <c r="FE127" s="102"/>
      <c r="FF127" s="102"/>
      <c r="FG127" s="102"/>
      <c r="FH127" s="102"/>
      <c r="FI127" s="102"/>
      <c r="FJ127" s="102"/>
      <c r="FK127" s="102"/>
      <c r="FL127" s="102"/>
      <c r="FM127" s="102"/>
      <c r="FN127" s="102"/>
    </row>
    <row r="128" spans="1:170" s="19" customFormat="1" ht="18" customHeight="1">
      <c r="A128" s="1808"/>
      <c r="B128" s="416">
        <v>104</v>
      </c>
      <c r="C128" s="21" t="str">
        <f>VLOOKUP(B128,Begriffe!$A$6:$E$442,Begriffe!$D$1+2)</f>
        <v>Aussenluft-Volumenstrom</v>
      </c>
      <c r="D128" s="21"/>
      <c r="E128" s="21"/>
      <c r="F128" s="21" t="str">
        <f>Begriffe!$F$324</f>
        <v>pro Nettogeschossfläche</v>
      </c>
      <c r="G128" s="21"/>
      <c r="H128" s="21"/>
      <c r="I128" s="180" t="s">
        <v>873</v>
      </c>
      <c r="J128" s="188" t="s">
        <v>240</v>
      </c>
      <c r="K128" s="188"/>
      <c r="L128" s="1175"/>
      <c r="M128" s="265">
        <f>IF(L128&lt;&gt;"",L128,INDEX(Eingabedaten!$D$10:$CY$54,nutzid,MATCH($C128,Eingabedaten!$D$7:$CY$7,0)))</f>
        <v>7.2</v>
      </c>
      <c r="N128" s="1014">
        <f>M128</f>
        <v>7.2</v>
      </c>
      <c r="O128" s="1014">
        <f>M128</f>
        <v>7.2</v>
      </c>
      <c r="P128" s="493">
        <v>1</v>
      </c>
      <c r="Q128" s="989">
        <v>1</v>
      </c>
      <c r="R128" s="493">
        <v>0</v>
      </c>
      <c r="S128" s="131"/>
      <c r="T128" s="298"/>
      <c r="U128" s="298"/>
      <c r="V128" s="150"/>
      <c r="W128" s="299"/>
      <c r="X128" s="299"/>
      <c r="Y128" s="150"/>
      <c r="Z128" s="299"/>
      <c r="AA128" s="299"/>
      <c r="AB128" s="131"/>
      <c r="AC128" s="298"/>
      <c r="AD128" s="298"/>
      <c r="AE128" s="13"/>
      <c r="AF128" s="13"/>
      <c r="AG128" s="13"/>
      <c r="AH128" s="13"/>
      <c r="AI128" s="13"/>
      <c r="AJ128" s="13"/>
      <c r="AK128" s="13"/>
      <c r="AL128" s="13"/>
      <c r="AM128" s="13"/>
      <c r="AN128" s="13"/>
      <c r="AO128" s="13"/>
      <c r="AP128" s="155"/>
      <c r="AQ128" s="155"/>
      <c r="AR128" s="102"/>
      <c r="AS128" s="102"/>
      <c r="AT128" s="102"/>
      <c r="AU128" s="102"/>
      <c r="AV128" s="102"/>
      <c r="AW128" s="102"/>
      <c r="AX128" s="102"/>
      <c r="AY128" s="102"/>
      <c r="AZ128" s="102"/>
      <c r="BA128" s="102"/>
      <c r="BB128" s="102"/>
      <c r="BC128" s="102"/>
      <c r="BD128" s="102"/>
      <c r="BE128" s="102"/>
      <c r="BF128" s="102"/>
      <c r="BG128" s="102"/>
      <c r="BH128" s="102"/>
      <c r="BI128" s="102"/>
      <c r="BJ128" s="102"/>
      <c r="BK128" s="102"/>
      <c r="BL128" s="102"/>
      <c r="BM128" s="102"/>
      <c r="BN128" s="102"/>
      <c r="BO128" s="102"/>
      <c r="BP128" s="102"/>
      <c r="BQ128" s="102"/>
      <c r="BR128" s="102"/>
      <c r="BS128" s="102"/>
      <c r="BT128" s="102"/>
      <c r="BU128" s="102"/>
      <c r="BV128" s="102"/>
      <c r="BW128" s="102"/>
      <c r="BX128" s="102"/>
      <c r="BY128" s="102"/>
      <c r="BZ128" s="102"/>
      <c r="CA128" s="102"/>
      <c r="CB128" s="102"/>
      <c r="CC128" s="102"/>
      <c r="CD128" s="102"/>
      <c r="CE128" s="102"/>
      <c r="CF128" s="102"/>
      <c r="CG128" s="102"/>
      <c r="CH128" s="102"/>
      <c r="CI128" s="102"/>
      <c r="CJ128" s="102"/>
      <c r="CK128" s="102"/>
      <c r="CL128" s="102"/>
      <c r="CM128" s="102"/>
      <c r="CN128" s="102"/>
      <c r="CO128" s="102"/>
      <c r="CP128" s="102"/>
      <c r="CQ128" s="102"/>
      <c r="CR128" s="102"/>
      <c r="CS128" s="102"/>
      <c r="CT128" s="102"/>
      <c r="CU128" s="102"/>
      <c r="CV128" s="102"/>
      <c r="CW128" s="102"/>
      <c r="CX128" s="102"/>
      <c r="CY128" s="102"/>
      <c r="CZ128" s="102"/>
      <c r="DA128" s="102"/>
      <c r="DB128" s="102"/>
      <c r="DC128" s="102"/>
      <c r="DD128" s="102"/>
      <c r="DE128" s="101"/>
      <c r="DF128" s="101"/>
      <c r="DG128" s="101"/>
      <c r="DH128" s="101"/>
      <c r="DI128" s="101"/>
      <c r="DJ128" s="101"/>
      <c r="DK128" s="101"/>
      <c r="DL128" s="101"/>
      <c r="DM128" s="101"/>
      <c r="DN128" s="101"/>
      <c r="DO128" s="101"/>
      <c r="DP128" s="101"/>
      <c r="DQ128" s="101"/>
      <c r="DR128" s="101"/>
      <c r="DS128" s="101"/>
      <c r="DT128" s="101"/>
      <c r="DU128" s="101"/>
      <c r="DV128" s="101"/>
      <c r="DW128" s="101"/>
      <c r="DX128" s="101"/>
      <c r="DY128" s="101"/>
      <c r="DZ128" s="101"/>
      <c r="EA128" s="101"/>
      <c r="EB128" s="101"/>
      <c r="EC128" s="101"/>
      <c r="ED128" s="101"/>
      <c r="EE128" s="102"/>
      <c r="EF128" s="102"/>
      <c r="EG128" s="102"/>
      <c r="EH128" s="102"/>
      <c r="EI128" s="102"/>
      <c r="EJ128" s="102"/>
      <c r="EK128" s="102"/>
      <c r="EL128" s="102"/>
      <c r="EM128" s="102"/>
      <c r="EN128" s="102"/>
      <c r="EO128" s="102"/>
      <c r="EP128" s="102"/>
      <c r="EQ128" s="102"/>
      <c r="ER128" s="102"/>
      <c r="ES128" s="102"/>
      <c r="ET128" s="102"/>
      <c r="EU128" s="102"/>
      <c r="EV128" s="102"/>
      <c r="EW128" s="102"/>
      <c r="EX128" s="102"/>
      <c r="EY128" s="102"/>
      <c r="EZ128" s="102"/>
      <c r="FA128" s="102"/>
      <c r="FB128" s="102"/>
      <c r="FC128" s="102"/>
      <c r="FD128" s="102"/>
      <c r="FE128" s="102"/>
      <c r="FF128" s="102"/>
      <c r="FG128" s="102"/>
      <c r="FH128" s="102"/>
      <c r="FI128" s="102"/>
      <c r="FJ128" s="102"/>
      <c r="FK128" s="102"/>
      <c r="FL128" s="102"/>
      <c r="FM128" s="102"/>
      <c r="FN128" s="102"/>
    </row>
    <row r="129" spans="1:170" s="19" customFormat="1" ht="18" customHeight="1">
      <c r="A129" s="1808"/>
      <c r="B129" s="416">
        <v>105</v>
      </c>
      <c r="C129" s="21" t="str">
        <f>VLOOKUP(B129,Begriffe!$A$6:$E$442,Begriffe!$D$1+2)</f>
        <v>Aussenluft-Volumenstrom durch Infiltration</v>
      </c>
      <c r="D129" s="21"/>
      <c r="E129" s="21"/>
      <c r="F129" s="493"/>
      <c r="G129" s="21"/>
      <c r="H129" s="21"/>
      <c r="I129" s="180" t="s">
        <v>725</v>
      </c>
      <c r="J129" s="188" t="s">
        <v>240</v>
      </c>
      <c r="K129" s="188"/>
      <c r="L129" s="1176"/>
      <c r="M129" s="986">
        <f>IF(L129&lt;&gt;"",L129,INDEX(Eingabedaten!$D$10:$CY$54,nutzid,MATCH($C129,Eingabedaten!$D$7:$CY$7,0)))</f>
        <v>0.15</v>
      </c>
      <c r="N129" s="986">
        <f>M129</f>
        <v>0.15</v>
      </c>
      <c r="O129" s="986">
        <f>INDEX(Eingabedaten!$D$10:$CY$54,nutzid,MATCH($C129,Eingabedaten!$D$7:$CY$7,0)+1)</f>
        <v>0.3</v>
      </c>
      <c r="P129" s="493">
        <v>0</v>
      </c>
      <c r="Q129" s="989">
        <v>1</v>
      </c>
      <c r="R129" s="493">
        <v>0</v>
      </c>
      <c r="S129" s="131"/>
      <c r="T129" s="298"/>
      <c r="U129" s="298"/>
      <c r="V129" s="150"/>
      <c r="W129" s="299"/>
      <c r="X129" s="299"/>
      <c r="Y129" s="150"/>
      <c r="Z129" s="299"/>
      <c r="AA129" s="299"/>
      <c r="AB129" s="131"/>
      <c r="AC129" s="298"/>
      <c r="AD129" s="298"/>
      <c r="AE129" s="13"/>
      <c r="AF129" s="13"/>
      <c r="AG129" s="13"/>
      <c r="AH129" s="13"/>
      <c r="AI129" s="13"/>
      <c r="AJ129" s="13"/>
      <c r="AK129" s="13"/>
      <c r="AL129" s="13"/>
      <c r="AM129" s="13"/>
      <c r="AN129" s="13"/>
      <c r="AO129" s="13"/>
      <c r="AP129" s="155"/>
      <c r="AQ129" s="155"/>
      <c r="AR129" s="102"/>
      <c r="AS129" s="102"/>
      <c r="AT129" s="102"/>
      <c r="AU129" s="102"/>
      <c r="AV129" s="102"/>
      <c r="AW129" s="102"/>
      <c r="AX129" s="102"/>
      <c r="AY129" s="102"/>
      <c r="AZ129" s="102"/>
      <c r="BA129" s="102"/>
      <c r="BB129" s="102"/>
      <c r="BC129" s="102"/>
      <c r="BD129" s="102"/>
      <c r="BE129" s="102"/>
      <c r="BF129" s="102"/>
      <c r="BG129" s="102"/>
      <c r="BH129" s="102"/>
      <c r="BI129" s="102"/>
      <c r="BJ129" s="102"/>
      <c r="BK129" s="102"/>
      <c r="BL129" s="102"/>
      <c r="BM129" s="102"/>
      <c r="BN129" s="102"/>
      <c r="BO129" s="102"/>
      <c r="BP129" s="102"/>
      <c r="BQ129" s="102"/>
      <c r="BR129" s="102"/>
      <c r="BS129" s="102"/>
      <c r="BT129" s="102"/>
      <c r="BU129" s="102"/>
      <c r="BV129" s="102"/>
      <c r="BW129" s="102"/>
      <c r="BX129" s="102"/>
      <c r="BY129" s="102"/>
      <c r="BZ129" s="102"/>
      <c r="CA129" s="102"/>
      <c r="CB129" s="102"/>
      <c r="CC129" s="102"/>
      <c r="CD129" s="102"/>
      <c r="CE129" s="102"/>
      <c r="CF129" s="102"/>
      <c r="CG129" s="102"/>
      <c r="CH129" s="102"/>
      <c r="CI129" s="102"/>
      <c r="CJ129" s="102"/>
      <c r="CK129" s="102"/>
      <c r="CL129" s="102"/>
      <c r="CM129" s="102"/>
      <c r="CN129" s="102"/>
      <c r="CO129" s="102"/>
      <c r="CP129" s="102"/>
      <c r="CQ129" s="102"/>
      <c r="CR129" s="102"/>
      <c r="CS129" s="102"/>
      <c r="CT129" s="102"/>
      <c r="CU129" s="102"/>
      <c r="CV129" s="102"/>
      <c r="CW129" s="102"/>
      <c r="CX129" s="102"/>
      <c r="CY129" s="102"/>
      <c r="CZ129" s="102"/>
      <c r="DA129" s="102"/>
      <c r="DB129" s="102"/>
      <c r="DC129" s="102"/>
      <c r="DD129" s="102"/>
      <c r="DE129" s="101"/>
      <c r="DF129" s="101"/>
      <c r="DG129" s="101"/>
      <c r="DH129" s="101"/>
      <c r="DI129" s="101"/>
      <c r="DJ129" s="101"/>
      <c r="DK129" s="101"/>
      <c r="DL129" s="101"/>
      <c r="DM129" s="101"/>
      <c r="DN129" s="101"/>
      <c r="DO129" s="101"/>
      <c r="DP129" s="101"/>
      <c r="DQ129" s="101"/>
      <c r="DR129" s="101"/>
      <c r="DS129" s="101"/>
      <c r="DT129" s="101"/>
      <c r="DU129" s="101"/>
      <c r="DV129" s="101"/>
      <c r="DW129" s="101"/>
      <c r="DX129" s="101"/>
      <c r="DY129" s="101"/>
      <c r="DZ129" s="101"/>
      <c r="EA129" s="101"/>
      <c r="EB129" s="101"/>
      <c r="EC129" s="101"/>
      <c r="ED129" s="101"/>
      <c r="EE129" s="102"/>
      <c r="EF129" s="102"/>
      <c r="EG129" s="102"/>
      <c r="EH129" s="102"/>
      <c r="EI129" s="102"/>
      <c r="EJ129" s="102"/>
      <c r="EK129" s="102"/>
      <c r="EL129" s="102"/>
      <c r="EM129" s="102"/>
      <c r="EN129" s="102"/>
      <c r="EO129" s="102"/>
      <c r="EP129" s="102"/>
      <c r="EQ129" s="102"/>
      <c r="ER129" s="102"/>
      <c r="ES129" s="102"/>
      <c r="ET129" s="102"/>
      <c r="EU129" s="102"/>
      <c r="EV129" s="102"/>
      <c r="EW129" s="102"/>
      <c r="EX129" s="102"/>
      <c r="EY129" s="102"/>
      <c r="EZ129" s="102"/>
      <c r="FA129" s="102"/>
      <c r="FB129" s="102"/>
      <c r="FC129" s="102"/>
      <c r="FD129" s="102"/>
      <c r="FE129" s="102"/>
      <c r="FF129" s="102"/>
      <c r="FG129" s="102"/>
      <c r="FH129" s="102"/>
      <c r="FI129" s="102"/>
      <c r="FJ129" s="102"/>
      <c r="FK129" s="102"/>
      <c r="FL129" s="102"/>
      <c r="FM129" s="102"/>
      <c r="FN129" s="102"/>
    </row>
    <row r="130" spans="1:170" s="19" customFormat="1" ht="18" customHeight="1">
      <c r="A130" s="1808"/>
      <c r="B130" s="416">
        <v>166</v>
      </c>
      <c r="C130" s="21" t="str">
        <f>VLOOKUP(B130,Begriffe!$A$6:$E$442,Begriffe!$D$1+2)</f>
        <v>Steuerung und Regelung des Luftvolumenstroms (einstufig, zweistufig, stufenlos)</v>
      </c>
      <c r="D130" s="21"/>
      <c r="E130" s="21"/>
      <c r="F130" s="21"/>
      <c r="G130" s="21"/>
      <c r="H130" s="21"/>
      <c r="I130" s="180" t="s">
        <v>272</v>
      </c>
      <c r="J130" s="188" t="s">
        <v>272</v>
      </c>
      <c r="K130" s="188"/>
      <c r="L130" s="1176"/>
      <c r="M130" s="986" t="str">
        <f>IF(L130&lt;&gt;"",L130,INDEX(Eingabedaten!$D$10:$CY$54,nutzid,MATCH($C130,Eingabedaten!$D$7:$CY$7,0)))</f>
        <v>2-stufig</v>
      </c>
      <c r="N130" s="931" t="str">
        <f>INDEX(Eingabedaten!$D$10:$CY$54,nutzid,MATCH($C130,Eingabedaten!$D$7:$CY$7,0)+1)</f>
        <v>stufenlos</v>
      </c>
      <c r="O130" s="183" t="str">
        <f>INDEX(Eingabedaten!$D$10:$CY$54,nutzid,MATCH($C130,Eingabedaten!$D$7:$CY$7,0)+2)</f>
        <v>1-stufig</v>
      </c>
      <c r="P130" s="493">
        <v>0</v>
      </c>
      <c r="Q130" s="989">
        <v>1</v>
      </c>
      <c r="R130" s="493">
        <v>0</v>
      </c>
      <c r="S130" s="131"/>
      <c r="T130" s="298"/>
      <c r="U130" s="298"/>
      <c r="V130" s="150"/>
      <c r="W130" s="299"/>
      <c r="X130" s="299"/>
      <c r="Y130" s="150"/>
      <c r="Z130" s="299"/>
      <c r="AA130" s="299"/>
      <c r="AB130" s="131"/>
      <c r="AC130" s="298"/>
      <c r="AD130" s="298"/>
      <c r="AE130" s="13"/>
      <c r="AF130" s="13"/>
      <c r="AG130" s="13"/>
      <c r="AH130" s="13"/>
      <c r="AI130" s="13"/>
      <c r="AJ130" s="13"/>
      <c r="AK130" s="13"/>
      <c r="AL130" s="13"/>
      <c r="AM130" s="13"/>
      <c r="AN130" s="13"/>
      <c r="AO130" s="13"/>
      <c r="AP130" s="155"/>
      <c r="AQ130" s="155"/>
      <c r="AR130" s="102"/>
      <c r="AS130" s="102"/>
      <c r="AT130" s="102"/>
      <c r="AU130" s="102"/>
      <c r="AV130" s="102"/>
      <c r="AW130" s="102"/>
      <c r="AX130" s="102"/>
      <c r="AY130" s="102"/>
      <c r="AZ130" s="102"/>
      <c r="BA130" s="102"/>
      <c r="BB130" s="102"/>
      <c r="BC130" s="102"/>
      <c r="BD130" s="102"/>
      <c r="BE130" s="102"/>
      <c r="BF130" s="102"/>
      <c r="BG130" s="102"/>
      <c r="BH130" s="102"/>
      <c r="BI130" s="102"/>
      <c r="BJ130" s="102"/>
      <c r="BK130" s="102"/>
      <c r="BL130" s="102"/>
      <c r="BM130" s="102"/>
      <c r="BN130" s="102"/>
      <c r="BO130" s="102"/>
      <c r="BP130" s="102"/>
      <c r="BQ130" s="102"/>
      <c r="BR130" s="102"/>
      <c r="BS130" s="102"/>
      <c r="BT130" s="102"/>
      <c r="BU130" s="102"/>
      <c r="BV130" s="102"/>
      <c r="BW130" s="102"/>
      <c r="BX130" s="102"/>
      <c r="BY130" s="102"/>
      <c r="BZ130" s="102"/>
      <c r="CA130" s="102"/>
      <c r="CB130" s="102"/>
      <c r="CC130" s="102"/>
      <c r="CD130" s="102"/>
      <c r="CE130" s="102"/>
      <c r="CF130" s="102"/>
      <c r="CG130" s="102"/>
      <c r="CH130" s="102"/>
      <c r="CI130" s="102"/>
      <c r="CJ130" s="102"/>
      <c r="CK130" s="102"/>
      <c r="CL130" s="102"/>
      <c r="CM130" s="102"/>
      <c r="CN130" s="102"/>
      <c r="CO130" s="102"/>
      <c r="CP130" s="102"/>
      <c r="CQ130" s="102"/>
      <c r="CR130" s="102"/>
      <c r="CS130" s="102"/>
      <c r="CT130" s="102"/>
      <c r="CU130" s="102"/>
      <c r="CV130" s="102"/>
      <c r="CW130" s="102"/>
      <c r="CX130" s="102"/>
      <c r="CY130" s="102"/>
      <c r="CZ130" s="102"/>
      <c r="DA130" s="102"/>
      <c r="DB130" s="102"/>
      <c r="DC130" s="102"/>
      <c r="DD130" s="102"/>
      <c r="DE130" s="101"/>
      <c r="DF130" s="101"/>
      <c r="DG130" s="101"/>
      <c r="DH130" s="101"/>
      <c r="DI130" s="101"/>
      <c r="DJ130" s="101"/>
      <c r="DK130" s="101"/>
      <c r="DL130" s="101"/>
      <c r="DM130" s="101"/>
      <c r="DN130" s="101"/>
      <c r="DO130" s="101"/>
      <c r="DP130" s="101"/>
      <c r="DQ130" s="101"/>
      <c r="DR130" s="101"/>
      <c r="DS130" s="101"/>
      <c r="DT130" s="101"/>
      <c r="DU130" s="101"/>
      <c r="DV130" s="101"/>
      <c r="DW130" s="101"/>
      <c r="DX130" s="101"/>
      <c r="DY130" s="101"/>
      <c r="DZ130" s="101"/>
      <c r="EA130" s="101"/>
      <c r="EB130" s="101"/>
      <c r="EC130" s="101"/>
      <c r="ED130" s="101"/>
      <c r="EE130" s="102"/>
      <c r="EF130" s="102"/>
      <c r="EG130" s="102"/>
      <c r="EH130" s="102"/>
      <c r="EI130" s="102"/>
      <c r="EJ130" s="102"/>
      <c r="EK130" s="102"/>
      <c r="EL130" s="102"/>
      <c r="EM130" s="102"/>
      <c r="EN130" s="102"/>
      <c r="EO130" s="102"/>
      <c r="EP130" s="102"/>
      <c r="EQ130" s="102"/>
      <c r="ER130" s="102"/>
      <c r="ES130" s="102"/>
      <c r="ET130" s="102"/>
      <c r="EU130" s="102"/>
      <c r="EV130" s="102"/>
      <c r="EW130" s="102"/>
      <c r="EX130" s="102"/>
      <c r="EY130" s="102"/>
      <c r="EZ130" s="102"/>
      <c r="FA130" s="102"/>
      <c r="FB130" s="102"/>
      <c r="FC130" s="102"/>
      <c r="FD130" s="102"/>
      <c r="FE130" s="102"/>
      <c r="FF130" s="102"/>
      <c r="FG130" s="102"/>
      <c r="FH130" s="102"/>
      <c r="FI130" s="102"/>
      <c r="FJ130" s="102"/>
      <c r="FK130" s="102"/>
      <c r="FL130" s="102"/>
      <c r="FM130" s="102"/>
      <c r="FN130" s="102"/>
    </row>
    <row r="131" spans="1:170" s="19" customFormat="1" ht="18" customHeight="1">
      <c r="A131" s="1808"/>
      <c r="B131" s="416">
        <v>102</v>
      </c>
      <c r="C131" s="21" t="str">
        <f>VLOOKUP(B131,Begriffe!$A$6:$E$442,Begriffe!$D$1+2)</f>
        <v>Anlagentyp</v>
      </c>
      <c r="D131" s="176"/>
      <c r="E131" s="176" t="str">
        <f>INDEX(Eingabedaten!$D$10:$CY$54,nutzid,MATCH($C131,Eingabedaten!$D$7:$CY$7,0))</f>
        <v>Einfache Klimaanlage</v>
      </c>
      <c r="G131" s="21"/>
      <c r="H131" s="21"/>
      <c r="I131" s="180"/>
      <c r="J131" s="188"/>
      <c r="K131" s="188"/>
      <c r="L131" s="182"/>
      <c r="M131" s="931" t="str">
        <f>IF(M130=0,"keine Anlage","")</f>
        <v/>
      </c>
      <c r="N131" s="931" t="str">
        <f>IF(N130=0,"keine Anlage","")</f>
        <v/>
      </c>
      <c r="O131" s="931" t="str">
        <f>IF(O130=0,"keine Anlage","")</f>
        <v/>
      </c>
      <c r="P131" s="493">
        <v>0</v>
      </c>
      <c r="Q131" s="989">
        <v>1</v>
      </c>
      <c r="R131" s="493">
        <v>0</v>
      </c>
      <c r="S131" s="131"/>
      <c r="T131" s="298"/>
      <c r="U131" s="298"/>
      <c r="V131" s="150"/>
      <c r="W131" s="299"/>
      <c r="X131" s="299"/>
      <c r="Y131" s="150"/>
      <c r="Z131" s="299"/>
      <c r="AA131" s="299"/>
      <c r="AB131" s="131"/>
      <c r="AC131" s="298"/>
      <c r="AD131" s="298"/>
      <c r="AE131" s="13"/>
      <c r="AF131" s="13"/>
      <c r="AG131" s="13"/>
      <c r="AH131" s="13"/>
      <c r="AI131" s="13"/>
      <c r="AJ131" s="13"/>
      <c r="AK131" s="13"/>
      <c r="AL131" s="13"/>
      <c r="AM131" s="13"/>
      <c r="AN131" s="13"/>
      <c r="AO131" s="13"/>
      <c r="AP131" s="155"/>
      <c r="AQ131" s="155"/>
      <c r="AR131" s="102"/>
      <c r="AS131" s="102"/>
      <c r="AT131" s="102"/>
      <c r="AU131" s="102"/>
      <c r="AV131" s="102"/>
      <c r="AW131" s="102"/>
      <c r="AX131" s="102"/>
      <c r="AY131" s="102"/>
      <c r="AZ131" s="102"/>
      <c r="BA131" s="102"/>
      <c r="BB131" s="102"/>
      <c r="BC131" s="102"/>
      <c r="BD131" s="102"/>
      <c r="BE131" s="102"/>
      <c r="BF131" s="102"/>
      <c r="BG131" s="102"/>
      <c r="BH131" s="102"/>
      <c r="BI131" s="102"/>
      <c r="BJ131" s="102"/>
      <c r="BK131" s="102"/>
      <c r="BL131" s="102"/>
      <c r="BM131" s="102"/>
      <c r="BN131" s="102"/>
      <c r="BO131" s="102"/>
      <c r="BP131" s="102"/>
      <c r="BQ131" s="102"/>
      <c r="BR131" s="102"/>
      <c r="BS131" s="102"/>
      <c r="BT131" s="102"/>
      <c r="BU131" s="102"/>
      <c r="BV131" s="102"/>
      <c r="BW131" s="102"/>
      <c r="BX131" s="102"/>
      <c r="BY131" s="102"/>
      <c r="BZ131" s="102"/>
      <c r="CA131" s="102"/>
      <c r="CB131" s="102"/>
      <c r="CC131" s="102"/>
      <c r="CD131" s="102"/>
      <c r="CE131" s="102"/>
      <c r="CF131" s="102"/>
      <c r="CG131" s="102"/>
      <c r="CH131" s="102"/>
      <c r="CI131" s="102"/>
      <c r="CJ131" s="102"/>
      <c r="CK131" s="102"/>
      <c r="CL131" s="102"/>
      <c r="CM131" s="102"/>
      <c r="CN131" s="102"/>
      <c r="CO131" s="102"/>
      <c r="CP131" s="102"/>
      <c r="CQ131" s="102"/>
      <c r="CR131" s="102"/>
      <c r="CS131" s="102"/>
      <c r="CT131" s="102"/>
      <c r="CU131" s="102"/>
      <c r="CV131" s="102"/>
      <c r="CW131" s="102"/>
      <c r="CX131" s="102"/>
      <c r="CY131" s="102"/>
      <c r="CZ131" s="102"/>
      <c r="DA131" s="102"/>
      <c r="DB131" s="102"/>
      <c r="DC131" s="102"/>
      <c r="DD131" s="102"/>
      <c r="DE131" s="101"/>
      <c r="DF131" s="101"/>
      <c r="DG131" s="101"/>
      <c r="DH131" s="101"/>
      <c r="DI131" s="101"/>
      <c r="DJ131" s="101"/>
      <c r="DK131" s="101"/>
      <c r="DL131" s="101"/>
      <c r="DM131" s="101"/>
      <c r="DN131" s="101"/>
      <c r="DO131" s="101"/>
      <c r="DP131" s="101"/>
      <c r="DQ131" s="101"/>
      <c r="DR131" s="101"/>
      <c r="DS131" s="101"/>
      <c r="DT131" s="101"/>
      <c r="DU131" s="101"/>
      <c r="DV131" s="101"/>
      <c r="DW131" s="101"/>
      <c r="DX131" s="101"/>
      <c r="DY131" s="101"/>
      <c r="DZ131" s="101"/>
      <c r="EA131" s="101"/>
      <c r="EB131" s="101"/>
      <c r="EC131" s="101"/>
      <c r="ED131" s="101"/>
      <c r="EE131" s="102"/>
      <c r="EF131" s="102"/>
      <c r="EG131" s="102"/>
      <c r="EH131" s="102"/>
      <c r="EI131" s="102"/>
      <c r="EJ131" s="102"/>
      <c r="EK131" s="102"/>
      <c r="EL131" s="102"/>
      <c r="EM131" s="102"/>
      <c r="EN131" s="102"/>
      <c r="EO131" s="102"/>
      <c r="EP131" s="102"/>
      <c r="EQ131" s="102"/>
      <c r="ER131" s="102"/>
      <c r="ES131" s="102"/>
      <c r="ET131" s="102"/>
      <c r="EU131" s="102"/>
      <c r="EV131" s="102"/>
      <c r="EW131" s="102"/>
      <c r="EX131" s="102"/>
      <c r="EY131" s="102"/>
      <c r="EZ131" s="102"/>
      <c r="FA131" s="102"/>
      <c r="FB131" s="102"/>
      <c r="FC131" s="102"/>
      <c r="FD131" s="102"/>
      <c r="FE131" s="102"/>
      <c r="FF131" s="102"/>
      <c r="FG131" s="102"/>
      <c r="FH131" s="102"/>
      <c r="FI131" s="102"/>
      <c r="FJ131" s="102"/>
      <c r="FK131" s="102"/>
      <c r="FL131" s="102"/>
      <c r="FM131" s="102"/>
      <c r="FN131" s="102"/>
    </row>
    <row r="132" spans="1:170" s="19" customFormat="1" ht="18" customHeight="1">
      <c r="A132" s="1808"/>
      <c r="B132" s="416">
        <v>168</v>
      </c>
      <c r="C132" s="21" t="str">
        <f>VLOOKUP(B132,Begriffe!$A$6:$E$442,Begriffe!$D$1+2)</f>
        <v>Temperatur-Änderungsgrad der Wärmerückgewinnung</v>
      </c>
      <c r="D132" s="21"/>
      <c r="E132" s="21"/>
      <c r="F132" s="21"/>
      <c r="G132" s="21"/>
      <c r="H132" s="21"/>
      <c r="I132" s="279" t="s">
        <v>252</v>
      </c>
      <c r="J132" s="210" t="s">
        <v>272</v>
      </c>
      <c r="K132" s="188"/>
      <c r="L132" s="1176"/>
      <c r="M132" s="986">
        <f>IF(L132&lt;&gt;"",L132,INDEX(Eingabedaten!$D$10:$CY$54,nutzid,MATCH($C132,Eingabedaten!$D$7:$CY$7,0)))</f>
        <v>0.7</v>
      </c>
      <c r="N132" s="986">
        <f>INDEX(Eingabedaten!$D$10:$CY$54,nutzid,MATCH($C132,Eingabedaten!$D$7:$CY$7,0)+1)</f>
        <v>0.8</v>
      </c>
      <c r="O132" s="986">
        <f>INDEX(Eingabedaten!$D$10:$CY$54,nutzid,MATCH($C132,Eingabedaten!$D$7:$CY$7,0)+2)</f>
        <v>0.5</v>
      </c>
      <c r="P132" s="493">
        <v>0</v>
      </c>
      <c r="Q132" s="989">
        <v>1</v>
      </c>
      <c r="R132" s="493">
        <v>0</v>
      </c>
      <c r="S132" s="131"/>
      <c r="T132" s="298"/>
      <c r="U132" s="298"/>
      <c r="V132" s="150"/>
      <c r="W132" s="299"/>
      <c r="X132" s="299"/>
      <c r="Y132" s="150"/>
      <c r="Z132" s="299"/>
      <c r="AA132" s="299"/>
      <c r="AB132" s="131"/>
      <c r="AC132" s="298"/>
      <c r="AD132" s="298"/>
      <c r="AE132" s="13"/>
      <c r="AF132" s="13"/>
      <c r="AG132" s="13"/>
      <c r="AH132" s="13"/>
      <c r="AI132" s="13"/>
      <c r="AJ132" s="13"/>
      <c r="AK132" s="13"/>
      <c r="AL132" s="13"/>
      <c r="AM132" s="13"/>
      <c r="AN132" s="13"/>
      <c r="AO132" s="13"/>
      <c r="AP132" s="155"/>
      <c r="AQ132" s="155"/>
      <c r="AR132" s="102"/>
      <c r="AS132" s="102"/>
      <c r="AT132" s="102"/>
      <c r="AU132" s="102"/>
      <c r="AV132" s="102"/>
      <c r="AW132" s="102"/>
      <c r="AX132" s="102"/>
      <c r="AY132" s="102"/>
      <c r="AZ132" s="102"/>
      <c r="BA132" s="102"/>
      <c r="BB132" s="102"/>
      <c r="BC132" s="102"/>
      <c r="BD132" s="102"/>
      <c r="BE132" s="102"/>
      <c r="BF132" s="102"/>
      <c r="BG132" s="102"/>
      <c r="BH132" s="102"/>
      <c r="BI132" s="102"/>
      <c r="BJ132" s="102"/>
      <c r="BK132" s="102"/>
      <c r="BL132" s="102"/>
      <c r="BM132" s="102"/>
      <c r="BN132" s="102"/>
      <c r="BO132" s="102"/>
      <c r="BP132" s="102"/>
      <c r="BQ132" s="102"/>
      <c r="BR132" s="102"/>
      <c r="BS132" s="102"/>
      <c r="BT132" s="102"/>
      <c r="BU132" s="102"/>
      <c r="BV132" s="102"/>
      <c r="BW132" s="102"/>
      <c r="BX132" s="102"/>
      <c r="BY132" s="102"/>
      <c r="BZ132" s="102"/>
      <c r="CA132" s="102"/>
      <c r="CB132" s="102"/>
      <c r="CC132" s="102"/>
      <c r="CD132" s="102"/>
      <c r="CE132" s="102"/>
      <c r="CF132" s="102"/>
      <c r="CG132" s="102"/>
      <c r="CH132" s="102"/>
      <c r="CI132" s="102"/>
      <c r="CJ132" s="102"/>
      <c r="CK132" s="102"/>
      <c r="CL132" s="102"/>
      <c r="CM132" s="102"/>
      <c r="CN132" s="102"/>
      <c r="CO132" s="102"/>
      <c r="CP132" s="102"/>
      <c r="CQ132" s="102"/>
      <c r="CR132" s="102"/>
      <c r="CS132" s="102"/>
      <c r="CT132" s="102"/>
      <c r="CU132" s="102"/>
      <c r="CV132" s="102"/>
      <c r="CW132" s="102"/>
      <c r="CX132" s="102"/>
      <c r="CY132" s="102"/>
      <c r="CZ132" s="102"/>
      <c r="DA132" s="102"/>
      <c r="DB132" s="102"/>
      <c r="DC132" s="102"/>
      <c r="DD132" s="102"/>
      <c r="DE132" s="101"/>
      <c r="DF132" s="101"/>
      <c r="DG132" s="101"/>
      <c r="DH132" s="101"/>
      <c r="DI132" s="101"/>
      <c r="DJ132" s="101"/>
      <c r="DK132" s="101"/>
      <c r="DL132" s="101"/>
      <c r="DM132" s="101"/>
      <c r="DN132" s="101"/>
      <c r="DO132" s="101"/>
      <c r="DP132" s="101"/>
      <c r="DQ132" s="101"/>
      <c r="DR132" s="101"/>
      <c r="DS132" s="101"/>
      <c r="DT132" s="101"/>
      <c r="DU132" s="101"/>
      <c r="DV132" s="101"/>
      <c r="DW132" s="101"/>
      <c r="DX132" s="101"/>
      <c r="DY132" s="101"/>
      <c r="DZ132" s="101"/>
      <c r="EA132" s="101"/>
      <c r="EB132" s="101"/>
      <c r="EC132" s="101"/>
      <c r="ED132" s="101"/>
      <c r="EE132" s="102"/>
      <c r="EF132" s="102"/>
      <c r="EG132" s="102"/>
      <c r="EH132" s="102"/>
      <c r="EI132" s="102"/>
      <c r="EJ132" s="102"/>
      <c r="EK132" s="102"/>
      <c r="EL132" s="102"/>
      <c r="EM132" s="102"/>
      <c r="EN132" s="102"/>
      <c r="EO132" s="102"/>
      <c r="EP132" s="102"/>
      <c r="EQ132" s="102"/>
      <c r="ER132" s="102"/>
      <c r="ES132" s="102"/>
      <c r="ET132" s="102"/>
      <c r="EU132" s="102"/>
      <c r="EV132" s="102"/>
      <c r="EW132" s="102"/>
      <c r="EX132" s="102"/>
      <c r="EY132" s="102"/>
      <c r="EZ132" s="102"/>
      <c r="FA132" s="102"/>
      <c r="FB132" s="102"/>
      <c r="FC132" s="102"/>
      <c r="FD132" s="102"/>
      <c r="FE132" s="102"/>
      <c r="FF132" s="102"/>
      <c r="FG132" s="102"/>
      <c r="FH132" s="102"/>
      <c r="FI132" s="102"/>
      <c r="FJ132" s="102"/>
      <c r="FK132" s="102"/>
      <c r="FL132" s="102"/>
      <c r="FM132" s="102"/>
      <c r="FN132" s="102"/>
    </row>
    <row r="133" spans="1:170" s="19" customFormat="1" ht="18" customHeight="1">
      <c r="A133" s="1808"/>
      <c r="B133" s="416">
        <v>125</v>
      </c>
      <c r="C133" s="21" t="str">
        <f>VLOOKUP(B133,Begriffe!$A$6:$E$442,Begriffe!$D$1+2)</f>
        <v>Jahresnutzungsgrad der Wärmerückgewinnung</v>
      </c>
      <c r="D133" s="21"/>
      <c r="E133" s="21"/>
      <c r="F133" s="21"/>
      <c r="G133" s="21"/>
      <c r="H133" s="21"/>
      <c r="I133" s="279" t="s">
        <v>925</v>
      </c>
      <c r="J133" s="210" t="s">
        <v>272</v>
      </c>
      <c r="K133" s="188"/>
      <c r="L133" s="1176"/>
      <c r="M133" s="986">
        <f>IF(L133&lt;&gt;"",L133,INDEX(Eingabedaten!$D$10:$CY$54,nutzid,MATCH($C133,Eingabedaten!$D$7:$CY$7,0)))</f>
        <v>0.75</v>
      </c>
      <c r="N133" s="986">
        <f>INDEX(Eingabedaten!$D$10:$CY$54,nutzid,MATCH($C133,Eingabedaten!$D$7:$CY$7,0)+1)</f>
        <v>0.85</v>
      </c>
      <c r="O133" s="986">
        <f>INDEX(Eingabedaten!$D$10:$CY$54,nutzid,MATCH($C133,Eingabedaten!$D$7:$CY$7,0)+2)</f>
        <v>0.5</v>
      </c>
      <c r="P133" s="493">
        <v>0</v>
      </c>
      <c r="Q133" s="989">
        <v>1</v>
      </c>
      <c r="R133" s="493">
        <v>0</v>
      </c>
      <c r="S133" s="131"/>
      <c r="T133" s="298"/>
      <c r="U133" s="298"/>
      <c r="V133" s="150"/>
      <c r="W133" s="299"/>
      <c r="X133" s="299"/>
      <c r="Y133" s="150"/>
      <c r="Z133" s="299"/>
      <c r="AA133" s="299"/>
      <c r="AB133" s="131"/>
      <c r="AC133" s="298"/>
      <c r="AD133" s="298"/>
      <c r="AE133" s="13"/>
      <c r="AF133" s="13"/>
      <c r="AG133" s="13"/>
      <c r="AH133" s="13"/>
      <c r="AI133" s="13"/>
      <c r="AJ133" s="13"/>
      <c r="AK133" s="13"/>
      <c r="AL133" s="13"/>
      <c r="AM133" s="13"/>
      <c r="AN133" s="13"/>
      <c r="AO133" s="13"/>
      <c r="AP133" s="155"/>
      <c r="AQ133" s="155"/>
      <c r="AR133" s="102"/>
      <c r="AS133" s="102"/>
      <c r="AT133" s="102"/>
      <c r="AU133" s="102"/>
      <c r="AV133" s="102"/>
      <c r="AW133" s="102"/>
      <c r="AX133" s="102"/>
      <c r="AY133" s="102"/>
      <c r="AZ133" s="102"/>
      <c r="BA133" s="102"/>
      <c r="BB133" s="102"/>
      <c r="BC133" s="102"/>
      <c r="BD133" s="102"/>
      <c r="BE133" s="102"/>
      <c r="BF133" s="102"/>
      <c r="BG133" s="102"/>
      <c r="BH133" s="102"/>
      <c r="BI133" s="102"/>
      <c r="BJ133" s="102"/>
      <c r="BK133" s="102"/>
      <c r="BL133" s="102"/>
      <c r="BM133" s="102"/>
      <c r="BN133" s="102"/>
      <c r="BO133" s="102"/>
      <c r="BP133" s="102"/>
      <c r="BQ133" s="102"/>
      <c r="BR133" s="102"/>
      <c r="BS133" s="102"/>
      <c r="BT133" s="102"/>
      <c r="BU133" s="102"/>
      <c r="BV133" s="102"/>
      <c r="BW133" s="102"/>
      <c r="BX133" s="102"/>
      <c r="BY133" s="102"/>
      <c r="BZ133" s="102"/>
      <c r="CA133" s="102"/>
      <c r="CB133" s="102"/>
      <c r="CC133" s="102"/>
      <c r="CD133" s="102"/>
      <c r="CE133" s="102"/>
      <c r="CF133" s="102"/>
      <c r="CG133" s="102"/>
      <c r="CH133" s="102"/>
      <c r="CI133" s="102"/>
      <c r="CJ133" s="102"/>
      <c r="CK133" s="102"/>
      <c r="CL133" s="102"/>
      <c r="CM133" s="102"/>
      <c r="CN133" s="102"/>
      <c r="CO133" s="102"/>
      <c r="CP133" s="102"/>
      <c r="CQ133" s="102"/>
      <c r="CR133" s="102"/>
      <c r="CS133" s="102"/>
      <c r="CT133" s="102"/>
      <c r="CU133" s="102"/>
      <c r="CV133" s="102"/>
      <c r="CW133" s="102"/>
      <c r="CX133" s="102"/>
      <c r="CY133" s="102"/>
      <c r="CZ133" s="102"/>
      <c r="DA133" s="102"/>
      <c r="DB133" s="102"/>
      <c r="DC133" s="102"/>
      <c r="DD133" s="102"/>
      <c r="DE133" s="101"/>
      <c r="DF133" s="101"/>
      <c r="DG133" s="101"/>
      <c r="DH133" s="101"/>
      <c r="DI133" s="101"/>
      <c r="DJ133" s="101"/>
      <c r="DK133" s="101"/>
      <c r="DL133" s="101"/>
      <c r="DM133" s="101"/>
      <c r="DN133" s="101"/>
      <c r="DO133" s="101"/>
      <c r="DP133" s="101"/>
      <c r="DQ133" s="101"/>
      <c r="DR133" s="101"/>
      <c r="DS133" s="101"/>
      <c r="DT133" s="101"/>
      <c r="DU133" s="101"/>
      <c r="DV133" s="101"/>
      <c r="DW133" s="101"/>
      <c r="DX133" s="101"/>
      <c r="DY133" s="101"/>
      <c r="DZ133" s="101"/>
      <c r="EA133" s="101"/>
      <c r="EB133" s="101"/>
      <c r="EC133" s="101"/>
      <c r="ED133" s="101"/>
      <c r="EE133" s="102"/>
      <c r="EF133" s="102"/>
      <c r="EG133" s="102"/>
      <c r="EH133" s="102"/>
      <c r="EI133" s="102"/>
      <c r="EJ133" s="102"/>
      <c r="EK133" s="102"/>
      <c r="EL133" s="102"/>
      <c r="EM133" s="102"/>
      <c r="EN133" s="102"/>
      <c r="EO133" s="102"/>
      <c r="EP133" s="102"/>
      <c r="EQ133" s="102"/>
      <c r="ER133" s="102"/>
      <c r="ES133" s="102"/>
      <c r="ET133" s="102"/>
      <c r="EU133" s="102"/>
      <c r="EV133" s="102"/>
      <c r="EW133" s="102"/>
      <c r="EX133" s="102"/>
      <c r="EY133" s="102"/>
      <c r="EZ133" s="102"/>
      <c r="FA133" s="102"/>
      <c r="FB133" s="102"/>
      <c r="FC133" s="102"/>
      <c r="FD133" s="102"/>
      <c r="FE133" s="102"/>
      <c r="FF133" s="102"/>
      <c r="FG133" s="102"/>
      <c r="FH133" s="102"/>
      <c r="FI133" s="102"/>
      <c r="FJ133" s="102"/>
      <c r="FK133" s="102"/>
      <c r="FL133" s="102"/>
      <c r="FM133" s="102"/>
      <c r="FN133" s="102"/>
    </row>
    <row r="134" spans="1:170" s="19" customFormat="1" ht="18" customHeight="1">
      <c r="A134" s="1808"/>
      <c r="B134" s="416">
        <v>165</v>
      </c>
      <c r="C134" s="21" t="str">
        <f>VLOOKUP(B134,Begriffe!$A$6:$E$442,Begriffe!$D$1+2)</f>
        <v>Spezifische Ventilatorleistung</v>
      </c>
      <c r="D134" s="21"/>
      <c r="E134" s="179"/>
      <c r="F134" s="21" t="str">
        <f>Begriffe!$F$325</f>
        <v>Total Zu- und Abluft</v>
      </c>
      <c r="G134" s="21"/>
      <c r="H134" s="21"/>
      <c r="I134" s="180" t="s">
        <v>224</v>
      </c>
      <c r="J134" s="188" t="s">
        <v>1485</v>
      </c>
      <c r="K134" s="188"/>
      <c r="L134" s="1176"/>
      <c r="M134" s="986">
        <f>IF(L134&lt;&gt;"",L134,INDEX(Eingabedaten!$D$10:$CY$54,nutzid,MATCH($C134,Eingabedaten!$D$7:$CY$7,0)))*IF(M130=0,0,1)</f>
        <v>0.55000000000000004</v>
      </c>
      <c r="N134" s="986">
        <f>INDEX(Eingabedaten!$D$10:$CY$54,nutzid,MATCH($C134,Eingabedaten!$D$7:$CY$7,0)+1)*IF(N130=0,0,1)</f>
        <v>0.34</v>
      </c>
      <c r="O134" s="986">
        <f>INDEX(Eingabedaten!$D$10:$CY$54,nutzid,MATCH($C134,Eingabedaten!$D$7:$CY$7,0)+2)*IF(O130=0,0,1)</f>
        <v>0.91</v>
      </c>
      <c r="P134" s="493">
        <v>0</v>
      </c>
      <c r="Q134" s="989">
        <v>1</v>
      </c>
      <c r="R134" s="493">
        <v>0</v>
      </c>
      <c r="S134" s="131"/>
      <c r="T134" s="298"/>
      <c r="U134" s="298"/>
      <c r="V134" s="150"/>
      <c r="W134" s="299"/>
      <c r="X134" s="299"/>
      <c r="Y134" s="150"/>
      <c r="Z134" s="299"/>
      <c r="AA134" s="299"/>
      <c r="AB134" s="131"/>
      <c r="AC134" s="298"/>
      <c r="AD134" s="298"/>
      <c r="AE134" s="13"/>
      <c r="AF134" s="13"/>
      <c r="AG134" s="13"/>
      <c r="AH134" s="13"/>
      <c r="AI134" s="13"/>
      <c r="AJ134" s="13"/>
      <c r="AK134" s="13"/>
      <c r="AL134" s="13"/>
      <c r="AM134" s="13"/>
      <c r="AN134" s="13"/>
      <c r="AO134" s="13"/>
      <c r="AP134" s="155"/>
      <c r="AQ134" s="155"/>
      <c r="AR134" s="102"/>
      <c r="AS134" s="102"/>
      <c r="AT134" s="102"/>
      <c r="AU134" s="102"/>
      <c r="AV134" s="102"/>
      <c r="AW134" s="102"/>
      <c r="AX134" s="102"/>
      <c r="AY134" s="102"/>
      <c r="AZ134" s="102"/>
      <c r="BA134" s="102"/>
      <c r="BB134" s="102"/>
      <c r="BC134" s="102"/>
      <c r="BD134" s="102"/>
      <c r="BE134" s="102"/>
      <c r="BF134" s="102"/>
      <c r="BG134" s="102"/>
      <c r="BH134" s="102"/>
      <c r="BI134" s="102"/>
      <c r="BJ134" s="102"/>
      <c r="BK134" s="102"/>
      <c r="BL134" s="102"/>
      <c r="BM134" s="102"/>
      <c r="BN134" s="102"/>
      <c r="BO134" s="102"/>
      <c r="BP134" s="102"/>
      <c r="BQ134" s="102"/>
      <c r="BR134" s="102"/>
      <c r="BS134" s="102"/>
      <c r="BT134" s="102"/>
      <c r="BU134" s="102"/>
      <c r="BV134" s="102"/>
      <c r="BW134" s="102"/>
      <c r="BX134" s="102"/>
      <c r="BY134" s="102"/>
      <c r="BZ134" s="102"/>
      <c r="CA134" s="102"/>
      <c r="CB134" s="102"/>
      <c r="CC134" s="102"/>
      <c r="CD134" s="102"/>
      <c r="CE134" s="102"/>
      <c r="CF134" s="102"/>
      <c r="CG134" s="102"/>
      <c r="CH134" s="102"/>
      <c r="CI134" s="102"/>
      <c r="CJ134" s="102"/>
      <c r="CK134" s="102"/>
      <c r="CL134" s="102"/>
      <c r="CM134" s="102"/>
      <c r="CN134" s="102"/>
      <c r="CO134" s="102"/>
      <c r="CP134" s="102"/>
      <c r="CQ134" s="102"/>
      <c r="CR134" s="102"/>
      <c r="CS134" s="102"/>
      <c r="CT134" s="102"/>
      <c r="CU134" s="102"/>
      <c r="CV134" s="102"/>
      <c r="CW134" s="102"/>
      <c r="CX134" s="102"/>
      <c r="CY134" s="102"/>
      <c r="CZ134" s="102"/>
      <c r="DA134" s="102"/>
      <c r="DB134" s="102"/>
      <c r="DC134" s="102"/>
      <c r="DD134" s="102"/>
      <c r="DE134" s="101"/>
      <c r="DF134" s="101"/>
      <c r="DG134" s="101"/>
      <c r="DH134" s="101"/>
      <c r="DI134" s="101"/>
      <c r="DJ134" s="101"/>
      <c r="DK134" s="101"/>
      <c r="DL134" s="101"/>
      <c r="DM134" s="101"/>
      <c r="DN134" s="101"/>
      <c r="DO134" s="101"/>
      <c r="DP134" s="101"/>
      <c r="DQ134" s="101"/>
      <c r="DR134" s="101"/>
      <c r="DS134" s="101"/>
      <c r="DT134" s="101"/>
      <c r="DU134" s="101"/>
      <c r="DV134" s="101"/>
      <c r="DW134" s="101"/>
      <c r="DX134" s="101"/>
      <c r="DY134" s="101"/>
      <c r="DZ134" s="101"/>
      <c r="EA134" s="101"/>
      <c r="EB134" s="101"/>
      <c r="EC134" s="101"/>
      <c r="ED134" s="101"/>
      <c r="EE134" s="102"/>
      <c r="EF134" s="102"/>
      <c r="EG134" s="102"/>
      <c r="EH134" s="102"/>
      <c r="EI134" s="102"/>
      <c r="EJ134" s="102"/>
      <c r="EK134" s="102"/>
      <c r="EL134" s="102"/>
      <c r="EM134" s="102"/>
      <c r="EN134" s="102"/>
      <c r="EO134" s="102"/>
      <c r="EP134" s="102"/>
      <c r="EQ134" s="102"/>
      <c r="ER134" s="102"/>
      <c r="ES134" s="102"/>
      <c r="ET134" s="102"/>
      <c r="EU134" s="102"/>
      <c r="EV134" s="102"/>
      <c r="EW134" s="102"/>
      <c r="EX134" s="102"/>
      <c r="EY134" s="102"/>
      <c r="EZ134" s="102"/>
      <c r="FA134" s="102"/>
      <c r="FB134" s="102"/>
      <c r="FC134" s="102"/>
      <c r="FD134" s="102"/>
      <c r="FE134" s="102"/>
      <c r="FF134" s="102"/>
      <c r="FG134" s="102"/>
      <c r="FH134" s="102"/>
      <c r="FI134" s="102"/>
      <c r="FJ134" s="102"/>
      <c r="FK134" s="102"/>
      <c r="FL134" s="102"/>
      <c r="FM134" s="102"/>
      <c r="FN134" s="102"/>
    </row>
    <row r="135" spans="1:170" s="19" customFormat="1" ht="18" customHeight="1">
      <c r="A135" s="1808"/>
      <c r="B135" s="416">
        <v>114</v>
      </c>
      <c r="C135" s="21" t="str">
        <f>VLOOKUP(B135,Begriffe!$A$6:$E$442,Begriffe!$D$1+2)</f>
        <v>Elektrische Leistung der Lüftung</v>
      </c>
      <c r="D135" s="21"/>
      <c r="E135" s="179"/>
      <c r="F135" s="21"/>
      <c r="G135" s="21"/>
      <c r="H135" s="21"/>
      <c r="I135" s="180" t="s">
        <v>225</v>
      </c>
      <c r="J135" s="188" t="s">
        <v>68</v>
      </c>
      <c r="K135" s="188"/>
      <c r="L135" s="182"/>
      <c r="M135" s="265">
        <f>(M128*M134)</f>
        <v>3.9600000000000004</v>
      </c>
      <c r="N135" s="265">
        <f>(N128*N134)</f>
        <v>2.4480000000000004</v>
      </c>
      <c r="O135" s="265">
        <f>(O128*O134)</f>
        <v>6.5520000000000005</v>
      </c>
      <c r="P135" s="493">
        <v>1</v>
      </c>
      <c r="Q135" s="989">
        <v>1</v>
      </c>
      <c r="R135" s="493">
        <v>0</v>
      </c>
      <c r="S135" s="131"/>
      <c r="T135" s="298"/>
      <c r="U135" s="298"/>
      <c r="V135" s="150"/>
      <c r="W135" s="299"/>
      <c r="X135" s="1811"/>
      <c r="Y135" s="150"/>
      <c r="Z135" s="299"/>
      <c r="AA135" s="299"/>
      <c r="AB135" s="131"/>
      <c r="AC135" s="298"/>
      <c r="AD135" s="298"/>
      <c r="AE135" s="13"/>
      <c r="AF135" s="13"/>
      <c r="AG135" s="13"/>
      <c r="AH135" s="13"/>
      <c r="AI135" s="13"/>
      <c r="AJ135" s="13"/>
      <c r="AK135" s="13"/>
      <c r="AL135" s="13"/>
      <c r="AM135" s="13"/>
      <c r="AN135" s="13"/>
      <c r="AO135" s="13"/>
      <c r="AP135" s="155"/>
      <c r="AQ135" s="155"/>
      <c r="AR135" s="102"/>
      <c r="AS135" s="102"/>
      <c r="AT135" s="102"/>
      <c r="AU135" s="102"/>
      <c r="AV135" s="102"/>
      <c r="AW135" s="102"/>
      <c r="AX135" s="102"/>
      <c r="AY135" s="102"/>
      <c r="AZ135" s="102"/>
      <c r="BA135" s="102"/>
      <c r="BB135" s="102"/>
      <c r="BC135" s="102"/>
      <c r="BD135" s="102"/>
      <c r="BE135" s="102"/>
      <c r="BF135" s="102"/>
      <c r="BG135" s="102"/>
      <c r="BH135" s="102"/>
      <c r="BI135" s="102"/>
      <c r="BJ135" s="102"/>
      <c r="BK135" s="102"/>
      <c r="BL135" s="102"/>
      <c r="BM135" s="102"/>
      <c r="BN135" s="102"/>
      <c r="BO135" s="102"/>
      <c r="BP135" s="102"/>
      <c r="BQ135" s="102"/>
      <c r="BR135" s="102"/>
      <c r="BS135" s="102"/>
      <c r="BT135" s="102"/>
      <c r="BU135" s="102"/>
      <c r="BV135" s="102"/>
      <c r="BW135" s="102"/>
      <c r="BX135" s="102"/>
      <c r="BY135" s="102"/>
      <c r="BZ135" s="102"/>
      <c r="CA135" s="102"/>
      <c r="CB135" s="102"/>
      <c r="CC135" s="102"/>
      <c r="CD135" s="102"/>
      <c r="CE135" s="102"/>
      <c r="CF135" s="102"/>
      <c r="CG135" s="102"/>
      <c r="CH135" s="102"/>
      <c r="CI135" s="102"/>
      <c r="CJ135" s="102"/>
      <c r="CK135" s="102"/>
      <c r="CL135" s="102"/>
      <c r="CM135" s="102"/>
      <c r="CN135" s="102"/>
      <c r="CO135" s="102"/>
      <c r="CP135" s="102"/>
      <c r="CQ135" s="102"/>
      <c r="CR135" s="102"/>
      <c r="CS135" s="102"/>
      <c r="CT135" s="102"/>
      <c r="CU135" s="102"/>
      <c r="CV135" s="102"/>
      <c r="CW135" s="102"/>
      <c r="CX135" s="102"/>
      <c r="CY135" s="102"/>
      <c r="CZ135" s="102"/>
      <c r="DA135" s="102"/>
      <c r="DB135" s="102"/>
      <c r="DC135" s="102"/>
      <c r="DD135" s="102"/>
      <c r="DE135" s="101"/>
      <c r="DF135" s="101"/>
      <c r="DG135" s="101"/>
      <c r="DH135" s="101"/>
      <c r="DI135" s="101"/>
      <c r="DJ135" s="101"/>
      <c r="DK135" s="101"/>
      <c r="DL135" s="101"/>
      <c r="DM135" s="101"/>
      <c r="DN135" s="101"/>
      <c r="DO135" s="101"/>
      <c r="DP135" s="101"/>
      <c r="DQ135" s="101"/>
      <c r="DR135" s="101"/>
      <c r="DS135" s="101"/>
      <c r="DT135" s="101"/>
      <c r="DU135" s="101"/>
      <c r="DV135" s="101"/>
      <c r="DW135" s="101"/>
      <c r="DX135" s="101"/>
      <c r="DY135" s="101"/>
      <c r="DZ135" s="101"/>
      <c r="EA135" s="101"/>
      <c r="EB135" s="101"/>
      <c r="EC135" s="101"/>
      <c r="ED135" s="101"/>
      <c r="EE135" s="102"/>
      <c r="EF135" s="102"/>
      <c r="EG135" s="102"/>
      <c r="EH135" s="102"/>
      <c r="EI135" s="102"/>
      <c r="EJ135" s="102"/>
      <c r="EK135" s="102"/>
      <c r="EL135" s="102"/>
      <c r="EM135" s="102"/>
      <c r="EN135" s="102"/>
      <c r="EO135" s="102"/>
      <c r="EP135" s="102"/>
      <c r="EQ135" s="102"/>
      <c r="ER135" s="102"/>
      <c r="ES135" s="102"/>
      <c r="ET135" s="102"/>
      <c r="EU135" s="102"/>
      <c r="EV135" s="102"/>
      <c r="EW135" s="102"/>
      <c r="EX135" s="102"/>
      <c r="EY135" s="102"/>
      <c r="EZ135" s="102"/>
      <c r="FA135" s="102"/>
      <c r="FB135" s="102"/>
      <c r="FC135" s="102"/>
      <c r="FD135" s="102"/>
      <c r="FE135" s="102"/>
      <c r="FF135" s="102"/>
      <c r="FG135" s="102"/>
      <c r="FH135" s="102"/>
      <c r="FI135" s="102"/>
      <c r="FJ135" s="102"/>
      <c r="FK135" s="102"/>
      <c r="FL135" s="102"/>
      <c r="FM135" s="102"/>
      <c r="FN135" s="102"/>
    </row>
    <row r="136" spans="1:170" s="19" customFormat="1" ht="18" customHeight="1">
      <c r="A136" s="1808"/>
      <c r="B136" s="416">
        <v>128</v>
      </c>
      <c r="C136" s="21" t="str">
        <f>VLOOKUP(B136,Begriffe!$A$6:$E$442,Begriffe!$D$1+2)</f>
        <v>Jährliche Volllaststunden der Lüftung</v>
      </c>
      <c r="D136" s="21"/>
      <c r="E136" s="21"/>
      <c r="F136" s="21" t="str">
        <f>Begriffe!$F$326</f>
        <v>Elektrizitätsbedarf</v>
      </c>
      <c r="G136" s="21"/>
      <c r="H136" s="21"/>
      <c r="I136" s="180" t="s">
        <v>226</v>
      </c>
      <c r="J136" s="188" t="s">
        <v>17</v>
      </c>
      <c r="K136" s="188"/>
      <c r="L136" s="182"/>
      <c r="M136" s="266">
        <f>ROUND(IF(M130="1-stufig",Profile!$P$291,IF(M130="2-stufig",Profile!$R$291,Profile!$T$291))*IF(M130=0,0,1),-1)</f>
        <v>2810</v>
      </c>
      <c r="N136" s="266">
        <f>ROUND(IF(N130="1-stufig",Profile!$P$291,IF(N130="2-stufig",Profile!$R$291,Profile!$T$291))*IF(N130=0,0,1),-1)</f>
        <v>2680</v>
      </c>
      <c r="O136" s="266">
        <f>ROUND(IF(O130="1-stufig",Profile!$P$291,IF(O130="2-stufig",Profile!$R$291,Profile!$T$291))*IF(O130=0,0,1),-1)</f>
        <v>5620</v>
      </c>
      <c r="P136" s="493">
        <v>1</v>
      </c>
      <c r="Q136" s="989">
        <v>1</v>
      </c>
      <c r="R136" s="493">
        <v>0</v>
      </c>
      <c r="S136" s="494" t="s">
        <v>363</v>
      </c>
      <c r="T136" s="298"/>
      <c r="U136" s="298"/>
      <c r="V136" s="150"/>
      <c r="W136" s="299"/>
      <c r="X136" s="1811"/>
      <c r="Y136" s="150"/>
      <c r="Z136" s="299"/>
      <c r="AA136" s="299"/>
      <c r="AB136" s="131"/>
      <c r="AC136" s="298"/>
      <c r="AD136" s="298"/>
      <c r="AE136" s="13"/>
      <c r="AF136" s="13"/>
      <c r="AG136" s="13"/>
      <c r="AH136" s="13"/>
      <c r="AI136" s="13"/>
      <c r="AJ136" s="13"/>
      <c r="AK136" s="13"/>
      <c r="AL136" s="13"/>
      <c r="AM136" s="13"/>
      <c r="AN136" s="13"/>
      <c r="AO136" s="13"/>
      <c r="AP136" s="155"/>
      <c r="AQ136" s="155"/>
      <c r="AR136" s="102"/>
      <c r="AS136" s="102"/>
      <c r="AT136" s="102"/>
      <c r="AU136" s="102"/>
      <c r="AV136" s="102"/>
      <c r="AW136" s="102"/>
      <c r="AX136" s="102"/>
      <c r="AY136" s="102"/>
      <c r="AZ136" s="102"/>
      <c r="BA136" s="102"/>
      <c r="BB136" s="102"/>
      <c r="BC136" s="102"/>
      <c r="BD136" s="102"/>
      <c r="BE136" s="102"/>
      <c r="BF136" s="102"/>
      <c r="BG136" s="102"/>
      <c r="BH136" s="102"/>
      <c r="BI136" s="102"/>
      <c r="BJ136" s="102"/>
      <c r="BK136" s="102"/>
      <c r="BL136" s="102"/>
      <c r="BM136" s="102"/>
      <c r="BN136" s="102"/>
      <c r="BO136" s="102"/>
      <c r="BP136" s="102"/>
      <c r="BQ136" s="102"/>
      <c r="BR136" s="102"/>
      <c r="BS136" s="102"/>
      <c r="BT136" s="102"/>
      <c r="BU136" s="102"/>
      <c r="BV136" s="102"/>
      <c r="BW136" s="102"/>
      <c r="BX136" s="102"/>
      <c r="BY136" s="102"/>
      <c r="BZ136" s="102"/>
      <c r="CA136" s="102"/>
      <c r="CB136" s="102"/>
      <c r="CC136" s="102"/>
      <c r="CD136" s="102"/>
      <c r="CE136" s="102"/>
      <c r="CF136" s="102"/>
      <c r="CG136" s="102"/>
      <c r="CH136" s="102"/>
      <c r="CI136" s="102"/>
      <c r="CJ136" s="102"/>
      <c r="CK136" s="102"/>
      <c r="CL136" s="102"/>
      <c r="CM136" s="102"/>
      <c r="CN136" s="102"/>
      <c r="CO136" s="102"/>
      <c r="CP136" s="102"/>
      <c r="CQ136" s="102"/>
      <c r="CR136" s="102"/>
      <c r="CS136" s="102"/>
      <c r="CT136" s="102"/>
      <c r="CU136" s="102"/>
      <c r="CV136" s="102"/>
      <c r="CW136" s="102"/>
      <c r="CX136" s="102"/>
      <c r="CY136" s="102"/>
      <c r="CZ136" s="102"/>
      <c r="DA136" s="102"/>
      <c r="DB136" s="102"/>
      <c r="DC136" s="102"/>
      <c r="DD136" s="102"/>
      <c r="DE136" s="101"/>
      <c r="DF136" s="101"/>
      <c r="DG136" s="101"/>
      <c r="DH136" s="101"/>
      <c r="DI136" s="101"/>
      <c r="DJ136" s="101"/>
      <c r="DK136" s="101"/>
      <c r="DL136" s="101"/>
      <c r="DM136" s="101"/>
      <c r="DN136" s="101"/>
      <c r="DO136" s="101"/>
      <c r="DP136" s="101"/>
      <c r="DQ136" s="101"/>
      <c r="DR136" s="101"/>
      <c r="DS136" s="101"/>
      <c r="DT136" s="101"/>
      <c r="DU136" s="101"/>
      <c r="DV136" s="101"/>
      <c r="DW136" s="101"/>
      <c r="DX136" s="101"/>
      <c r="DY136" s="101"/>
      <c r="DZ136" s="101"/>
      <c r="EA136" s="101"/>
      <c r="EB136" s="101"/>
      <c r="EC136" s="101"/>
      <c r="ED136" s="101"/>
      <c r="EE136" s="102"/>
      <c r="EF136" s="102"/>
      <c r="EG136" s="102"/>
      <c r="EH136" s="102"/>
      <c r="EI136" s="102"/>
      <c r="EJ136" s="102"/>
      <c r="EK136" s="102"/>
      <c r="EL136" s="102"/>
      <c r="EM136" s="102"/>
      <c r="EN136" s="102"/>
      <c r="EO136" s="102"/>
      <c r="EP136" s="102"/>
      <c r="EQ136" s="102"/>
      <c r="ER136" s="102"/>
      <c r="ES136" s="102"/>
      <c r="ET136" s="102"/>
      <c r="EU136" s="102"/>
      <c r="EV136" s="102"/>
      <c r="EW136" s="102"/>
      <c r="EX136" s="102"/>
      <c r="EY136" s="102"/>
      <c r="EZ136" s="102"/>
      <c r="FA136" s="102"/>
      <c r="FB136" s="102"/>
      <c r="FC136" s="102"/>
      <c r="FD136" s="102"/>
      <c r="FE136" s="102"/>
      <c r="FF136" s="102"/>
      <c r="FG136" s="102"/>
      <c r="FH136" s="102"/>
      <c r="FI136" s="102"/>
      <c r="FJ136" s="102"/>
      <c r="FK136" s="102"/>
      <c r="FL136" s="102"/>
      <c r="FM136" s="102"/>
      <c r="FN136" s="102"/>
    </row>
    <row r="137" spans="1:170" s="19" customFormat="1" ht="18" customHeight="1">
      <c r="A137" s="1809"/>
      <c r="B137" s="416">
        <v>135</v>
      </c>
      <c r="C137" s="21" t="str">
        <f>VLOOKUP(B137,Begriffe!$A$6:$E$442,Begriffe!$D$1+2)</f>
        <v>Jährlicher Elektrizitätsbedarf für die Lüftung</v>
      </c>
      <c r="D137" s="21"/>
      <c r="E137" s="21"/>
      <c r="F137" s="21"/>
      <c r="G137" s="21"/>
      <c r="H137" s="21"/>
      <c r="I137" s="180" t="s">
        <v>668</v>
      </c>
      <c r="J137" s="188" t="s">
        <v>77</v>
      </c>
      <c r="K137" s="188"/>
      <c r="L137" s="182"/>
      <c r="M137" s="269">
        <f>M135*M136/1000</f>
        <v>11.127600000000001</v>
      </c>
      <c r="N137" s="269">
        <f>N135*N136/1000</f>
        <v>6.5606400000000011</v>
      </c>
      <c r="O137" s="269">
        <f>O135*O136/1000</f>
        <v>36.822240000000008</v>
      </c>
      <c r="P137" s="493">
        <v>1</v>
      </c>
      <c r="Q137" s="989">
        <v>1</v>
      </c>
      <c r="R137" s="493">
        <v>0</v>
      </c>
      <c r="S137" s="131"/>
      <c r="T137" s="298"/>
      <c r="U137" s="298"/>
      <c r="V137" s="150"/>
      <c r="W137" s="299"/>
      <c r="X137" s="1811"/>
      <c r="Y137" s="150"/>
      <c r="Z137" s="299"/>
      <c r="AA137" s="299"/>
      <c r="AB137" s="131"/>
      <c r="AC137" s="298"/>
      <c r="AD137" s="298"/>
      <c r="AE137" s="13"/>
      <c r="AF137" s="13"/>
      <c r="AG137" s="13"/>
      <c r="AH137" s="13"/>
      <c r="AI137" s="13"/>
      <c r="AJ137" s="13"/>
      <c r="AK137" s="13"/>
      <c r="AL137" s="13"/>
      <c r="AM137" s="13"/>
      <c r="AN137" s="13"/>
      <c r="AO137" s="13"/>
      <c r="AP137" s="155"/>
      <c r="AQ137" s="155"/>
      <c r="AR137" s="102"/>
      <c r="AS137" s="102"/>
      <c r="AT137" s="102"/>
      <c r="AU137" s="102"/>
      <c r="AV137" s="102"/>
      <c r="AW137" s="102"/>
      <c r="AX137" s="102"/>
      <c r="AY137" s="102"/>
      <c r="AZ137" s="102"/>
      <c r="BA137" s="102"/>
      <c r="BB137" s="102"/>
      <c r="BC137" s="102"/>
      <c r="BD137" s="102"/>
      <c r="BE137" s="102"/>
      <c r="BF137" s="102"/>
      <c r="BG137" s="102"/>
      <c r="BH137" s="102"/>
      <c r="BI137" s="102"/>
      <c r="BJ137" s="102"/>
      <c r="BK137" s="102"/>
      <c r="BL137" s="102"/>
      <c r="BM137" s="102"/>
      <c r="BN137" s="102"/>
      <c r="BO137" s="102"/>
      <c r="BP137" s="102"/>
      <c r="BQ137" s="102"/>
      <c r="BR137" s="102"/>
      <c r="BS137" s="102"/>
      <c r="BT137" s="102"/>
      <c r="BU137" s="102"/>
      <c r="BV137" s="102"/>
      <c r="BW137" s="102"/>
      <c r="BX137" s="102"/>
      <c r="BY137" s="102"/>
      <c r="BZ137" s="102"/>
      <c r="CA137" s="102"/>
      <c r="CB137" s="102"/>
      <c r="CC137" s="102"/>
      <c r="CD137" s="102"/>
      <c r="CE137" s="102"/>
      <c r="CF137" s="102"/>
      <c r="CG137" s="102"/>
      <c r="CH137" s="102"/>
      <c r="CI137" s="102"/>
      <c r="CJ137" s="102"/>
      <c r="CK137" s="102"/>
      <c r="CL137" s="102"/>
      <c r="CM137" s="102"/>
      <c r="CN137" s="102"/>
      <c r="CO137" s="102"/>
      <c r="CP137" s="102"/>
      <c r="CQ137" s="102"/>
      <c r="CR137" s="102"/>
      <c r="CS137" s="102"/>
      <c r="CT137" s="102"/>
      <c r="CU137" s="102"/>
      <c r="CV137" s="102"/>
      <c r="CW137" s="102"/>
      <c r="CX137" s="102"/>
      <c r="CY137" s="102"/>
      <c r="CZ137" s="102"/>
      <c r="DA137" s="102"/>
      <c r="DB137" s="102"/>
      <c r="DC137" s="102"/>
      <c r="DD137" s="102"/>
      <c r="DE137" s="101"/>
      <c r="DF137" s="101"/>
      <c r="DG137" s="101"/>
      <c r="DH137" s="101"/>
      <c r="DI137" s="101"/>
      <c r="DJ137" s="101"/>
      <c r="DK137" s="101"/>
      <c r="DL137" s="101"/>
      <c r="DM137" s="101"/>
      <c r="DN137" s="101"/>
      <c r="DO137" s="101"/>
      <c r="DP137" s="101"/>
      <c r="DQ137" s="101"/>
      <c r="DR137" s="101"/>
      <c r="DS137" s="101"/>
      <c r="DT137" s="101"/>
      <c r="DU137" s="101"/>
      <c r="DV137" s="101"/>
      <c r="DW137" s="101"/>
      <c r="DX137" s="101"/>
      <c r="DY137" s="101"/>
      <c r="DZ137" s="101"/>
      <c r="EA137" s="101"/>
      <c r="EB137" s="101"/>
      <c r="EC137" s="101"/>
      <c r="ED137" s="101"/>
      <c r="EE137" s="102"/>
      <c r="EF137" s="102"/>
      <c r="EG137" s="102"/>
      <c r="EH137" s="102"/>
      <c r="EI137" s="102"/>
      <c r="EJ137" s="102"/>
      <c r="EK137" s="102"/>
      <c r="EL137" s="102"/>
      <c r="EM137" s="102"/>
      <c r="EN137" s="102"/>
      <c r="EO137" s="102"/>
      <c r="EP137" s="102"/>
      <c r="EQ137" s="102"/>
      <c r="ER137" s="102"/>
      <c r="ES137" s="102"/>
      <c r="ET137" s="102"/>
      <c r="EU137" s="102"/>
      <c r="EV137" s="102"/>
      <c r="EW137" s="102"/>
      <c r="EX137" s="102"/>
      <c r="EY137" s="102"/>
      <c r="EZ137" s="102"/>
      <c r="FA137" s="102"/>
      <c r="FB137" s="102"/>
      <c r="FC137" s="102"/>
      <c r="FD137" s="102"/>
      <c r="FE137" s="102"/>
      <c r="FF137" s="102"/>
      <c r="FG137" s="102"/>
      <c r="FH137" s="102"/>
      <c r="FI137" s="102"/>
      <c r="FJ137" s="102"/>
      <c r="FK137" s="102"/>
      <c r="FL137" s="102"/>
      <c r="FM137" s="102"/>
      <c r="FN137" s="102"/>
    </row>
    <row r="138" spans="1:170" s="19" customFormat="1" ht="2.1" customHeight="1">
      <c r="A138" s="198"/>
      <c r="B138" s="1142"/>
      <c r="C138" s="200"/>
      <c r="D138" s="200"/>
      <c r="E138" s="200"/>
      <c r="F138" s="200"/>
      <c r="G138" s="200"/>
      <c r="H138" s="200"/>
      <c r="I138" s="278"/>
      <c r="J138" s="200"/>
      <c r="K138" s="200"/>
      <c r="L138" s="202"/>
      <c r="M138" s="202"/>
      <c r="N138" s="997"/>
      <c r="O138" s="997"/>
      <c r="P138" s="493">
        <v>0</v>
      </c>
      <c r="Q138" s="996">
        <v>1</v>
      </c>
      <c r="R138" s="493">
        <v>0</v>
      </c>
      <c r="S138" s="131"/>
      <c r="T138" s="298"/>
      <c r="U138" s="298"/>
      <c r="V138" s="150"/>
      <c r="W138" s="299"/>
      <c r="X138" s="305"/>
      <c r="Y138" s="150"/>
      <c r="Z138" s="299"/>
      <c r="AA138" s="299"/>
      <c r="AB138" s="131"/>
      <c r="AC138" s="298"/>
      <c r="AD138" s="298"/>
      <c r="AE138" s="13"/>
      <c r="AF138" s="13"/>
      <c r="AG138" s="13"/>
      <c r="AH138" s="13"/>
      <c r="AI138" s="13"/>
      <c r="AJ138" s="13"/>
      <c r="AK138" s="13"/>
      <c r="AL138" s="13"/>
      <c r="AM138" s="13"/>
      <c r="AN138" s="13"/>
      <c r="AO138" s="13"/>
      <c r="AP138" s="155"/>
      <c r="AQ138" s="155"/>
      <c r="AR138" s="102"/>
      <c r="AS138" s="102"/>
      <c r="AT138" s="102"/>
      <c r="AU138" s="102"/>
      <c r="AV138" s="102"/>
      <c r="AW138" s="102"/>
      <c r="AX138" s="102"/>
      <c r="AY138" s="102"/>
      <c r="AZ138" s="102"/>
      <c r="BA138" s="102"/>
      <c r="BB138" s="102"/>
      <c r="BC138" s="102"/>
      <c r="BD138" s="102"/>
      <c r="BE138" s="102"/>
      <c r="BF138" s="102"/>
      <c r="BG138" s="102"/>
      <c r="BH138" s="102"/>
      <c r="BI138" s="102"/>
      <c r="BJ138" s="102"/>
      <c r="BK138" s="102"/>
      <c r="BL138" s="102"/>
      <c r="BM138" s="102"/>
      <c r="BN138" s="102"/>
      <c r="BO138" s="102"/>
      <c r="BP138" s="102"/>
      <c r="BQ138" s="102"/>
      <c r="BR138" s="102"/>
      <c r="BS138" s="102"/>
      <c r="BT138" s="102"/>
      <c r="BU138" s="102"/>
      <c r="BV138" s="102"/>
      <c r="BW138" s="102"/>
      <c r="BX138" s="102"/>
      <c r="BY138" s="102"/>
      <c r="BZ138" s="102"/>
      <c r="CA138" s="102"/>
      <c r="CB138" s="102"/>
      <c r="CC138" s="102"/>
      <c r="CD138" s="102"/>
      <c r="CE138" s="102"/>
      <c r="CF138" s="102"/>
      <c r="CG138" s="102"/>
      <c r="CH138" s="102"/>
      <c r="CI138" s="102"/>
      <c r="CJ138" s="102"/>
      <c r="CK138" s="102"/>
      <c r="CL138" s="102"/>
      <c r="CM138" s="102"/>
      <c r="CN138" s="102"/>
      <c r="CO138" s="102"/>
      <c r="CP138" s="102"/>
      <c r="CQ138" s="102"/>
      <c r="CR138" s="102"/>
      <c r="CS138" s="102"/>
      <c r="CT138" s="102"/>
      <c r="CU138" s="102"/>
      <c r="CV138" s="102"/>
      <c r="CW138" s="102"/>
      <c r="CX138" s="102"/>
      <c r="CY138" s="102"/>
      <c r="CZ138" s="102"/>
      <c r="DA138" s="102"/>
      <c r="DB138" s="102"/>
      <c r="DC138" s="102"/>
      <c r="DD138" s="102"/>
      <c r="DE138" s="101"/>
      <c r="DF138" s="101"/>
      <c r="DG138" s="101"/>
      <c r="DH138" s="101"/>
      <c r="DI138" s="101"/>
      <c r="DJ138" s="101"/>
      <c r="DK138" s="101"/>
      <c r="DL138" s="101"/>
      <c r="DM138" s="101"/>
      <c r="DN138" s="101"/>
      <c r="DO138" s="101"/>
      <c r="DP138" s="101"/>
      <c r="DQ138" s="101"/>
      <c r="DR138" s="101"/>
      <c r="DS138" s="101"/>
      <c r="DT138" s="101"/>
      <c r="DU138" s="101"/>
      <c r="DV138" s="101"/>
      <c r="DW138" s="101"/>
      <c r="DX138" s="101"/>
      <c r="DY138" s="101"/>
      <c r="DZ138" s="101"/>
      <c r="EA138" s="101"/>
      <c r="EB138" s="101"/>
      <c r="EC138" s="101"/>
      <c r="ED138" s="101"/>
      <c r="EE138" s="102"/>
      <c r="EF138" s="102"/>
      <c r="EG138" s="102"/>
      <c r="EH138" s="102"/>
      <c r="EI138" s="102"/>
      <c r="EJ138" s="102"/>
      <c r="EK138" s="102"/>
      <c r="EL138" s="102"/>
      <c r="EM138" s="102"/>
      <c r="EN138" s="102"/>
      <c r="EO138" s="102"/>
      <c r="EP138" s="102"/>
      <c r="EQ138" s="102"/>
      <c r="ER138" s="102"/>
      <c r="ES138" s="102"/>
      <c r="ET138" s="102"/>
      <c r="EU138" s="102"/>
      <c r="EV138" s="102"/>
      <c r="EW138" s="102"/>
      <c r="EX138" s="102"/>
      <c r="EY138" s="102"/>
      <c r="EZ138" s="102"/>
      <c r="FA138" s="102"/>
      <c r="FB138" s="102"/>
      <c r="FC138" s="102"/>
      <c r="FD138" s="102"/>
      <c r="FE138" s="102"/>
      <c r="FF138" s="102"/>
      <c r="FG138" s="102"/>
      <c r="FH138" s="102"/>
      <c r="FI138" s="102"/>
      <c r="FJ138" s="102"/>
      <c r="FK138" s="102"/>
      <c r="FL138" s="102"/>
      <c r="FM138" s="102"/>
      <c r="FN138" s="102"/>
    </row>
    <row r="139" spans="1:170" s="22" customFormat="1" ht="18" customHeight="1">
      <c r="A139" s="1810" t="str">
        <f>Begriffe!F206</f>
        <v>Raumkühlung</v>
      </c>
      <c r="B139" s="416">
        <v>115</v>
      </c>
      <c r="C139" s="493" t="str">
        <f>VLOOKUP(B139,Begriffe!$A$6:$E$442,Begriffe!$D$1+2)</f>
        <v>Externe Wärmeeintragsleistung</v>
      </c>
      <c r="D139" s="21"/>
      <c r="E139" s="21"/>
      <c r="F139" s="21" t="str">
        <f>Begriffe!$F$327</f>
        <v>Solar, Transmission, Lüftung</v>
      </c>
      <c r="G139" s="21"/>
      <c r="H139" s="21"/>
      <c r="I139" s="262" t="s">
        <v>205</v>
      </c>
      <c r="J139" s="210" t="s">
        <v>68</v>
      </c>
      <c r="K139" s="210"/>
      <c r="L139" s="315"/>
      <c r="M139" s="1015">
        <f>MAX(Profile!$N$72:$N$86)*0.9*M25*$M78+IF($M$29=0,0,(MAX(Profile!$P$72:$P$86)-$M$29)*M162/(M11)+(MAX(Profile!$P$72:$P$86)-$M$29)*M163/(M11))</f>
        <v>21.075984313725492</v>
      </c>
      <c r="N139" s="1016">
        <f>MAX(Profile!$N$72:$N$86)*0.9*N25*$M78+IF($M$29=0,0,(MAX(Profile!$P$72:$P$86)-$M$29)*N162/(M11)+(MAX(Profile!$P$72:$P$86)-$M$29)*N163/(M11))</f>
        <v>14.939074509803921</v>
      </c>
      <c r="O139" s="1016">
        <f>MAX(Profile!$N$72:$N$86)*0.9*O25*$M78+IF($M$29=0,0,(MAX(Profile!$P$72:$P$86)-$M$29)*O162/(M11)+(MAX(Profile!$P$72:$P$86)-$M$29)*O163/(M11))</f>
        <v>32.813490196078433</v>
      </c>
      <c r="P139" s="493">
        <v>1</v>
      </c>
      <c r="Q139" s="920">
        <v>1</v>
      </c>
      <c r="R139" s="493">
        <v>1</v>
      </c>
      <c r="S139" s="127" t="s">
        <v>167</v>
      </c>
      <c r="T139" s="169"/>
      <c r="U139" s="169"/>
      <c r="V139" s="126"/>
      <c r="W139" s="306"/>
      <c r="X139" s="306"/>
      <c r="Y139" s="494"/>
      <c r="Z139" s="306"/>
      <c r="AA139" s="150"/>
      <c r="AB139" s="150"/>
      <c r="AC139" s="150"/>
      <c r="AD139" s="169"/>
      <c r="AE139" s="129"/>
      <c r="AF139" s="129"/>
      <c r="AG139" s="129"/>
      <c r="AH139" s="129"/>
      <c r="AI139" s="129"/>
      <c r="AJ139" s="129"/>
      <c r="AK139" s="129"/>
      <c r="AL139" s="129"/>
      <c r="AM139" s="129"/>
      <c r="AN139" s="129"/>
      <c r="AO139" s="129"/>
      <c r="AP139" s="163"/>
      <c r="AQ139" s="163"/>
      <c r="AR139" s="111"/>
      <c r="AS139" s="111"/>
      <c r="AT139" s="111"/>
      <c r="AU139" s="111"/>
      <c r="AV139" s="111"/>
      <c r="AW139" s="111"/>
      <c r="AX139" s="111"/>
      <c r="AY139" s="111"/>
      <c r="AZ139" s="111"/>
      <c r="BA139" s="111"/>
      <c r="BB139" s="111"/>
      <c r="BC139" s="111"/>
      <c r="BD139" s="111"/>
      <c r="BE139" s="111"/>
      <c r="BF139" s="111"/>
      <c r="BG139" s="111"/>
      <c r="BH139" s="111"/>
      <c r="BI139" s="111"/>
      <c r="BJ139" s="111"/>
      <c r="BK139" s="111"/>
      <c r="BL139" s="111"/>
      <c r="BM139" s="111"/>
      <c r="BN139" s="111"/>
      <c r="BO139" s="111"/>
      <c r="BP139" s="111"/>
      <c r="BQ139" s="111"/>
      <c r="BR139" s="111"/>
      <c r="BS139" s="111"/>
      <c r="BT139" s="111"/>
      <c r="BU139" s="111"/>
      <c r="BV139" s="111"/>
      <c r="BW139" s="111"/>
      <c r="BX139" s="111"/>
      <c r="BY139" s="111"/>
      <c r="BZ139" s="111"/>
      <c r="CA139" s="111"/>
      <c r="CB139" s="111"/>
      <c r="CC139" s="111"/>
      <c r="CD139" s="111"/>
      <c r="CE139" s="111"/>
      <c r="CF139" s="111"/>
      <c r="CG139" s="111"/>
      <c r="CH139" s="111"/>
      <c r="CI139" s="111"/>
      <c r="CJ139" s="111"/>
      <c r="CK139" s="111"/>
      <c r="CL139" s="111"/>
      <c r="CM139" s="111"/>
      <c r="CN139" s="111"/>
      <c r="CO139" s="111"/>
      <c r="CP139" s="111"/>
      <c r="CQ139" s="111"/>
      <c r="CR139" s="111"/>
      <c r="CS139" s="111"/>
      <c r="CT139" s="111"/>
      <c r="CU139" s="111"/>
      <c r="CV139" s="111"/>
      <c r="CW139" s="111"/>
      <c r="CX139" s="111"/>
      <c r="CY139" s="111"/>
      <c r="CZ139" s="111"/>
      <c r="DA139" s="111"/>
      <c r="DB139" s="111"/>
      <c r="DC139" s="111"/>
      <c r="DD139" s="111"/>
      <c r="DE139" s="112"/>
      <c r="DF139" s="112"/>
      <c r="DG139" s="112"/>
      <c r="DH139" s="112"/>
      <c r="DI139" s="112"/>
      <c r="DJ139" s="112"/>
      <c r="DK139" s="112"/>
      <c r="DL139" s="112"/>
      <c r="DM139" s="112"/>
      <c r="DN139" s="112"/>
      <c r="DO139" s="112"/>
      <c r="DP139" s="112"/>
      <c r="DQ139" s="112"/>
      <c r="DR139" s="112"/>
      <c r="DS139" s="112"/>
      <c r="DT139" s="112"/>
      <c r="DU139" s="112"/>
      <c r="DV139" s="112"/>
      <c r="DW139" s="112"/>
      <c r="DX139" s="112"/>
      <c r="DY139" s="112"/>
      <c r="DZ139" s="112"/>
      <c r="EA139" s="112"/>
      <c r="EB139" s="112"/>
      <c r="EC139" s="112"/>
      <c r="ED139" s="112"/>
      <c r="EE139" s="111"/>
      <c r="EF139" s="111"/>
      <c r="EG139" s="111"/>
      <c r="EH139" s="111"/>
      <c r="EI139" s="111"/>
      <c r="EJ139" s="111"/>
      <c r="EK139" s="111"/>
      <c r="EL139" s="111"/>
      <c r="EM139" s="111"/>
      <c r="EN139" s="111"/>
      <c r="EO139" s="111"/>
      <c r="EP139" s="111"/>
      <c r="EQ139" s="111"/>
      <c r="ER139" s="111"/>
      <c r="ES139" s="111"/>
      <c r="ET139" s="111"/>
      <c r="EU139" s="111"/>
      <c r="EV139" s="111"/>
      <c r="EW139" s="111"/>
      <c r="EX139" s="111"/>
      <c r="EY139" s="111"/>
      <c r="EZ139" s="111"/>
      <c r="FA139" s="111"/>
      <c r="FB139" s="111"/>
      <c r="FC139" s="111"/>
      <c r="FD139" s="111"/>
      <c r="FE139" s="111"/>
      <c r="FF139" s="111"/>
      <c r="FG139" s="111"/>
      <c r="FH139" s="111"/>
      <c r="FI139" s="111"/>
      <c r="FJ139" s="111"/>
      <c r="FK139" s="111"/>
      <c r="FL139" s="111"/>
      <c r="FM139" s="111"/>
      <c r="FN139" s="111"/>
    </row>
    <row r="140" spans="1:170" s="22" customFormat="1" ht="18" customHeight="1">
      <c r="A140" s="1808"/>
      <c r="B140" s="416">
        <v>123</v>
      </c>
      <c r="C140" s="21" t="str">
        <f>VLOOKUP(B140,Begriffe!$A$6:$E$442,Begriffe!$D$1+2)</f>
        <v>Interne Wärmeeintragsleistung</v>
      </c>
      <c r="D140" s="21"/>
      <c r="E140" s="21"/>
      <c r="F140" s="21" t="str">
        <f>Begriffe!$F$328</f>
        <v>Personen, Geräte, Beleuchtung</v>
      </c>
      <c r="G140" s="21"/>
      <c r="H140" s="21"/>
      <c r="I140" s="262" t="s">
        <v>206</v>
      </c>
      <c r="J140" s="188" t="s">
        <v>68</v>
      </c>
      <c r="K140" s="188"/>
      <c r="L140" s="182"/>
      <c r="M140" s="269">
        <f>$M58+M72+M110+M114</f>
        <v>31.254988913525498</v>
      </c>
      <c r="N140" s="269">
        <f>$M58+N72+N110+N114</f>
        <v>24.161216400346834</v>
      </c>
      <c r="O140" s="269">
        <f>$M58+O72+O110+O114</f>
        <v>39.254988913525494</v>
      </c>
      <c r="P140" s="493">
        <v>1</v>
      </c>
      <c r="Q140" s="920">
        <v>1</v>
      </c>
      <c r="R140" s="493">
        <v>1</v>
      </c>
      <c r="S140" s="22" t="s">
        <v>347</v>
      </c>
      <c r="T140" s="496"/>
      <c r="W140" s="306"/>
      <c r="X140" s="306"/>
      <c r="Y140" s="126"/>
      <c r="Z140" s="306"/>
      <c r="AA140" s="306"/>
      <c r="AB140" s="127"/>
      <c r="AC140" s="169"/>
      <c r="AD140" s="169"/>
      <c r="AE140" s="129"/>
      <c r="AF140" s="129"/>
      <c r="AG140" s="129"/>
      <c r="AH140" s="129"/>
      <c r="AI140" s="129"/>
      <c r="AJ140" s="129"/>
      <c r="AK140" s="129"/>
      <c r="AL140" s="129"/>
      <c r="AM140" s="129"/>
      <c r="AN140" s="129"/>
      <c r="AO140" s="129"/>
      <c r="AP140" s="163"/>
      <c r="AQ140" s="163"/>
      <c r="AR140" s="111"/>
      <c r="AS140" s="111"/>
      <c r="AT140" s="111"/>
      <c r="AU140" s="111"/>
      <c r="AV140" s="111"/>
      <c r="AW140" s="111"/>
      <c r="AX140" s="111"/>
      <c r="AY140" s="111"/>
      <c r="AZ140" s="111"/>
      <c r="BA140" s="111"/>
      <c r="BB140" s="111"/>
      <c r="BC140" s="111"/>
      <c r="BD140" s="111"/>
      <c r="BE140" s="111"/>
      <c r="BF140" s="111"/>
      <c r="BG140" s="111"/>
      <c r="BH140" s="111"/>
      <c r="BI140" s="111"/>
      <c r="BJ140" s="111"/>
      <c r="BK140" s="111"/>
      <c r="BL140" s="111"/>
      <c r="BM140" s="111"/>
      <c r="BN140" s="111"/>
      <c r="BO140" s="111"/>
      <c r="BP140" s="111"/>
      <c r="BQ140" s="111"/>
      <c r="BR140" s="111"/>
      <c r="BS140" s="111"/>
      <c r="BT140" s="111"/>
      <c r="BU140" s="111"/>
      <c r="BV140" s="111"/>
      <c r="BW140" s="111"/>
      <c r="BX140" s="111"/>
      <c r="BY140" s="111"/>
      <c r="BZ140" s="111"/>
      <c r="CA140" s="111"/>
      <c r="CB140" s="111"/>
      <c r="CC140" s="111"/>
      <c r="CD140" s="111"/>
      <c r="CE140" s="111"/>
      <c r="CF140" s="111"/>
      <c r="CG140" s="111"/>
      <c r="CH140" s="111"/>
      <c r="CI140" s="111"/>
      <c r="CJ140" s="111"/>
      <c r="CK140" s="111"/>
      <c r="CL140" s="111"/>
      <c r="CM140" s="111"/>
      <c r="CN140" s="111"/>
      <c r="CO140" s="111"/>
      <c r="CP140" s="111"/>
      <c r="CQ140" s="111"/>
      <c r="CR140" s="111"/>
      <c r="CS140" s="111"/>
      <c r="CT140" s="111"/>
      <c r="CU140" s="111"/>
      <c r="CV140" s="111"/>
      <c r="CW140" s="111"/>
      <c r="CX140" s="111"/>
      <c r="CY140" s="111"/>
      <c r="CZ140" s="111"/>
      <c r="DA140" s="111"/>
      <c r="DB140" s="111"/>
      <c r="DC140" s="111"/>
      <c r="DD140" s="111"/>
      <c r="DE140" s="112"/>
      <c r="DF140" s="112"/>
      <c r="DG140" s="112"/>
      <c r="DH140" s="112"/>
      <c r="DI140" s="112"/>
      <c r="DJ140" s="112"/>
      <c r="DK140" s="112"/>
      <c r="DL140" s="112"/>
      <c r="DM140" s="112"/>
      <c r="DN140" s="112"/>
      <c r="DO140" s="112"/>
      <c r="DP140" s="112"/>
      <c r="DQ140" s="112"/>
      <c r="DR140" s="112"/>
      <c r="DS140" s="112"/>
      <c r="DT140" s="112"/>
      <c r="DU140" s="112"/>
      <c r="DV140" s="112"/>
      <c r="DW140" s="112"/>
      <c r="DX140" s="112"/>
      <c r="DY140" s="112"/>
      <c r="DZ140" s="112"/>
      <c r="EA140" s="112"/>
      <c r="EB140" s="112"/>
      <c r="EC140" s="112"/>
      <c r="ED140" s="112"/>
      <c r="EE140" s="111"/>
      <c r="EF140" s="111"/>
      <c r="EG140" s="111"/>
      <c r="EH140" s="111"/>
      <c r="EI140" s="111"/>
      <c r="EJ140" s="111"/>
      <c r="EK140" s="111"/>
      <c r="EL140" s="111"/>
      <c r="EM140" s="111"/>
      <c r="EN140" s="111"/>
      <c r="EO140" s="111"/>
      <c r="EP140" s="111"/>
      <c r="EQ140" s="111"/>
      <c r="ER140" s="111"/>
      <c r="ES140" s="111"/>
      <c r="ET140" s="111"/>
      <c r="EU140" s="111"/>
      <c r="EV140" s="111"/>
      <c r="EW140" s="111"/>
      <c r="EX140" s="111"/>
      <c r="EY140" s="111"/>
      <c r="EZ140" s="111"/>
      <c r="FA140" s="111"/>
      <c r="FB140" s="111"/>
      <c r="FC140" s="111"/>
      <c r="FD140" s="111"/>
      <c r="FE140" s="111"/>
      <c r="FF140" s="111"/>
      <c r="FG140" s="111"/>
      <c r="FH140" s="111"/>
      <c r="FI140" s="111"/>
      <c r="FJ140" s="111"/>
      <c r="FK140" s="111"/>
      <c r="FL140" s="111"/>
      <c r="FM140" s="111"/>
      <c r="FN140" s="111"/>
    </row>
    <row r="141" spans="1:170" s="14" customFormat="1" ht="18" customHeight="1">
      <c r="A141" s="1808"/>
      <c r="B141" s="416">
        <v>122</v>
      </c>
      <c r="C141" s="21" t="str">
        <f>VLOOKUP(B141,Begriffe!$A$6:$E$442,Begriffe!$D$1+2)</f>
        <v>Interne Wärmeeinträge pro Tag</v>
      </c>
      <c r="D141" s="21"/>
      <c r="E141" s="21"/>
      <c r="F141" s="21" t="str">
        <f>Begriffe!$F$328</f>
        <v>Personen, Geräte, Beleuchtung</v>
      </c>
      <c r="G141" s="21"/>
      <c r="H141" s="21"/>
      <c r="I141" s="178" t="s">
        <v>218</v>
      </c>
      <c r="J141" s="188" t="s">
        <v>820</v>
      </c>
      <c r="K141" s="188"/>
      <c r="L141" s="182"/>
      <c r="M141" s="1017">
        <f>M59+M73+M111+M115</f>
        <v>331.91654660728619</v>
      </c>
      <c r="N141" s="1017">
        <f>N59+N73+N111+N115</f>
        <v>257.41690592079476</v>
      </c>
      <c r="O141" s="1017">
        <f>O59+O73+O111+O115</f>
        <v>425.51654660728622</v>
      </c>
      <c r="P141" s="493">
        <v>1</v>
      </c>
      <c r="Q141" s="920">
        <v>1</v>
      </c>
      <c r="R141" s="493">
        <v>1</v>
      </c>
      <c r="S141" s="22" t="s">
        <v>349</v>
      </c>
      <c r="T141" s="169"/>
      <c r="X141" s="306"/>
      <c r="Y141" s="126"/>
      <c r="Z141" s="306"/>
      <c r="AA141" s="306"/>
      <c r="AB141" s="127"/>
      <c r="AC141" s="169"/>
      <c r="AD141" s="169"/>
      <c r="AE141" s="129"/>
      <c r="AF141" s="129"/>
      <c r="AG141" s="129"/>
      <c r="AH141" s="129"/>
      <c r="AI141" s="129"/>
      <c r="AJ141" s="129"/>
      <c r="AK141" s="129"/>
      <c r="AL141" s="129"/>
      <c r="AM141" s="129"/>
      <c r="AN141" s="129"/>
      <c r="AO141" s="129"/>
      <c r="AP141" s="163"/>
      <c r="AQ141" s="163"/>
      <c r="AR141" s="111"/>
      <c r="AS141" s="111"/>
      <c r="AT141" s="111"/>
      <c r="AU141" s="111"/>
      <c r="AV141" s="111"/>
      <c r="AW141" s="111"/>
      <c r="AX141" s="111"/>
      <c r="AY141" s="111"/>
      <c r="AZ141" s="111"/>
      <c r="BA141" s="111"/>
      <c r="BB141" s="111"/>
      <c r="BC141" s="111"/>
      <c r="BD141" s="111"/>
      <c r="BE141" s="111"/>
      <c r="BF141" s="111"/>
      <c r="BG141" s="111"/>
      <c r="BH141" s="111"/>
      <c r="BI141" s="111"/>
      <c r="BJ141" s="111"/>
      <c r="BK141" s="111"/>
      <c r="BL141" s="111"/>
      <c r="BM141" s="111"/>
      <c r="BN141" s="111"/>
      <c r="BO141" s="111"/>
      <c r="BP141" s="111"/>
      <c r="BQ141" s="111"/>
      <c r="BR141" s="111"/>
      <c r="BS141" s="111"/>
      <c r="BT141" s="111"/>
      <c r="BU141" s="111"/>
      <c r="BV141" s="111"/>
      <c r="BW141" s="111"/>
      <c r="BX141" s="111"/>
      <c r="BY141" s="111"/>
      <c r="BZ141" s="111"/>
      <c r="CA141" s="111"/>
      <c r="CB141" s="111"/>
      <c r="CC141" s="111"/>
      <c r="CD141" s="111"/>
      <c r="CE141" s="111"/>
      <c r="CF141" s="111"/>
      <c r="CG141" s="111"/>
      <c r="CH141" s="111"/>
      <c r="CI141" s="111"/>
      <c r="CJ141" s="111"/>
      <c r="CK141" s="111"/>
      <c r="CL141" s="111"/>
      <c r="CM141" s="111"/>
      <c r="CN141" s="111"/>
      <c r="CO141" s="111"/>
      <c r="CP141" s="111"/>
      <c r="CQ141" s="111"/>
      <c r="CR141" s="111"/>
      <c r="CS141" s="111"/>
      <c r="CT141" s="111"/>
      <c r="CU141" s="111"/>
      <c r="CV141" s="111"/>
      <c r="CW141" s="111"/>
      <c r="CX141" s="111"/>
      <c r="CY141" s="111"/>
      <c r="CZ141" s="111"/>
      <c r="DA141" s="111"/>
      <c r="DB141" s="111"/>
      <c r="DC141" s="111"/>
      <c r="DD141" s="111"/>
      <c r="DE141" s="112"/>
      <c r="DF141" s="112"/>
      <c r="DG141" s="112"/>
      <c r="DH141" s="112"/>
      <c r="DI141" s="112"/>
      <c r="DJ141" s="112"/>
      <c r="DK141" s="112"/>
      <c r="DL141" s="112"/>
      <c r="DM141" s="112"/>
      <c r="DN141" s="112"/>
      <c r="DO141" s="112"/>
      <c r="DP141" s="112"/>
      <c r="DQ141" s="112"/>
      <c r="DR141" s="112"/>
      <c r="DS141" s="112"/>
      <c r="DT141" s="112"/>
      <c r="DU141" s="112"/>
      <c r="DV141" s="112"/>
      <c r="DW141" s="112"/>
      <c r="DX141" s="112"/>
      <c r="DY141" s="112"/>
      <c r="DZ141" s="112"/>
      <c r="EA141" s="112"/>
      <c r="EB141" s="112"/>
      <c r="EC141" s="112"/>
      <c r="ED141" s="112"/>
      <c r="EE141" s="111"/>
      <c r="EF141" s="111"/>
      <c r="EG141" s="111"/>
      <c r="EH141" s="111"/>
      <c r="EI141" s="111"/>
      <c r="EJ141" s="111"/>
      <c r="EK141" s="111"/>
      <c r="EL141" s="111"/>
      <c r="EM141" s="111"/>
      <c r="EN141" s="111"/>
      <c r="EO141" s="111"/>
      <c r="EP141" s="111"/>
      <c r="EQ141" s="111"/>
      <c r="ER141" s="111"/>
      <c r="ES141" s="111"/>
      <c r="ET141" s="111"/>
      <c r="EU141" s="111"/>
      <c r="EV141" s="111"/>
      <c r="EW141" s="111"/>
      <c r="EX141" s="111"/>
      <c r="EY141" s="111"/>
      <c r="EZ141" s="111"/>
      <c r="FA141" s="111"/>
      <c r="FB141" s="111"/>
      <c r="FC141" s="111"/>
      <c r="FD141" s="111"/>
      <c r="FE141" s="111"/>
      <c r="FF141" s="111"/>
      <c r="FG141" s="111"/>
      <c r="FH141" s="111"/>
      <c r="FI141" s="111"/>
      <c r="FJ141" s="111"/>
      <c r="FK141" s="111"/>
      <c r="FL141" s="111"/>
      <c r="FM141" s="111"/>
      <c r="FN141" s="111"/>
    </row>
    <row r="142" spans="1:170" s="14" customFormat="1" ht="18" hidden="1" customHeight="1">
      <c r="A142" s="1808"/>
      <c r="B142" s="416">
        <v>151</v>
      </c>
      <c r="C142" s="932" t="str">
        <f>VLOOKUP(B142,Begriffe!$A$6:$E$442,Begriffe!$D$1+2)</f>
        <v>Notwendigkeit einer Kühlung</v>
      </c>
      <c r="D142" s="932"/>
      <c r="E142" s="932"/>
      <c r="F142" s="932" t="str">
        <f>Begriffe!$F$329</f>
        <v>mit Fensterlüftung Tag und Nacht</v>
      </c>
      <c r="G142" s="932"/>
      <c r="H142" s="932"/>
      <c r="I142" s="933"/>
      <c r="J142" s="934"/>
      <c r="K142" s="934"/>
      <c r="L142" s="938"/>
      <c r="M142" s="1058" t="str">
        <f>IF(M$29=0,"-",IF(M148=0,"-",IF(OR(nutzid=1,nutzid=2),"-",IF(nutzid=33,"nicht notwend.",IF(nutzid=44,"notwendig",IF(M141&lt;140,"nicht notwend.",IF(M141&lt;=200,"erwünscht","notwendig")))))))</f>
        <v>notwendig</v>
      </c>
      <c r="N142" s="1058" t="str">
        <f>IF(M$29=0,"-",IF(N148=0,"-",IF(OR(nutzid=1,nutzid=2),"-",IF(nutzid=33,"nicht notwend.",IF(nutzid=44,"notwendig",IF(N141&lt;140,"nicht notwend.",IF(N141&lt;=200,"erwünscht","notwendig")))))))</f>
        <v>notwendig</v>
      </c>
      <c r="O142" s="1058" t="s">
        <v>18</v>
      </c>
      <c r="P142" s="493">
        <v>0</v>
      </c>
      <c r="Q142" s="920">
        <v>0</v>
      </c>
      <c r="R142" s="493">
        <v>1</v>
      </c>
      <c r="S142" s="22"/>
      <c r="T142" s="169"/>
      <c r="X142" s="306"/>
      <c r="Y142" s="126"/>
      <c r="Z142" s="306"/>
      <c r="AA142" s="306"/>
      <c r="AB142" s="127"/>
      <c r="AC142" s="169"/>
      <c r="AD142" s="169"/>
      <c r="AE142" s="129"/>
      <c r="AF142" s="129"/>
      <c r="AG142" s="129"/>
      <c r="AH142" s="129"/>
      <c r="AI142" s="129"/>
      <c r="AJ142" s="129"/>
      <c r="AK142" s="129"/>
      <c r="AL142" s="129"/>
      <c r="AM142" s="129"/>
      <c r="AN142" s="129"/>
      <c r="AO142" s="129"/>
      <c r="AP142" s="163"/>
      <c r="AQ142" s="163"/>
      <c r="AR142" s="111"/>
      <c r="AS142" s="111"/>
      <c r="AT142" s="111"/>
      <c r="AU142" s="111"/>
      <c r="AV142" s="111"/>
      <c r="AW142" s="111"/>
      <c r="AX142" s="111"/>
      <c r="AY142" s="111"/>
      <c r="AZ142" s="111"/>
      <c r="BA142" s="111"/>
      <c r="BB142" s="111"/>
      <c r="BC142" s="111"/>
      <c r="BD142" s="111"/>
      <c r="BE142" s="111"/>
      <c r="BF142" s="111"/>
      <c r="BG142" s="111"/>
      <c r="BH142" s="111"/>
      <c r="BI142" s="111"/>
      <c r="BJ142" s="111"/>
      <c r="BK142" s="111"/>
      <c r="BL142" s="111"/>
      <c r="BM142" s="111"/>
      <c r="BN142" s="111"/>
      <c r="BO142" s="111"/>
      <c r="BP142" s="111"/>
      <c r="BQ142" s="111"/>
      <c r="BR142" s="111"/>
      <c r="BS142" s="111"/>
      <c r="BT142" s="111"/>
      <c r="BU142" s="111"/>
      <c r="BV142" s="111"/>
      <c r="BW142" s="111"/>
      <c r="BX142" s="111"/>
      <c r="BY142" s="111"/>
      <c r="BZ142" s="111"/>
      <c r="CA142" s="111"/>
      <c r="CB142" s="111"/>
      <c r="CC142" s="111"/>
      <c r="CD142" s="111"/>
      <c r="CE142" s="111"/>
      <c r="CF142" s="111"/>
      <c r="CG142" s="111"/>
      <c r="CH142" s="111"/>
      <c r="CI142" s="111"/>
      <c r="CJ142" s="111"/>
      <c r="CK142" s="111"/>
      <c r="CL142" s="111"/>
      <c r="CM142" s="111"/>
      <c r="CN142" s="111"/>
      <c r="CO142" s="111"/>
      <c r="CP142" s="111"/>
      <c r="CQ142" s="111"/>
      <c r="CR142" s="111"/>
      <c r="CS142" s="111"/>
      <c r="CT142" s="111"/>
      <c r="CU142" s="111"/>
      <c r="CV142" s="111"/>
      <c r="CW142" s="111"/>
      <c r="CX142" s="111"/>
      <c r="CY142" s="111"/>
      <c r="CZ142" s="111"/>
      <c r="DA142" s="111"/>
      <c r="DB142" s="111"/>
      <c r="DC142" s="111"/>
      <c r="DD142" s="111"/>
      <c r="DE142" s="112"/>
      <c r="DF142" s="112"/>
      <c r="DG142" s="112"/>
      <c r="DH142" s="112"/>
      <c r="DI142" s="112"/>
      <c r="DJ142" s="112"/>
      <c r="DK142" s="112"/>
      <c r="DL142" s="112"/>
      <c r="DM142" s="112"/>
      <c r="DN142" s="112"/>
      <c r="DO142" s="112"/>
      <c r="DP142" s="112"/>
      <c r="DQ142" s="112"/>
      <c r="DR142" s="112"/>
      <c r="DS142" s="112"/>
      <c r="DT142" s="112"/>
      <c r="DU142" s="112"/>
      <c r="DV142" s="112"/>
      <c r="DW142" s="112"/>
      <c r="DX142" s="112"/>
      <c r="DY142" s="112"/>
      <c r="DZ142" s="112"/>
      <c r="EA142" s="112"/>
      <c r="EB142" s="112"/>
      <c r="EC142" s="112"/>
      <c r="ED142" s="112"/>
      <c r="EE142" s="111"/>
      <c r="EF142" s="111"/>
      <c r="EG142" s="111"/>
      <c r="EH142" s="111"/>
      <c r="EI142" s="111"/>
      <c r="EJ142" s="111"/>
      <c r="EK142" s="111"/>
      <c r="EL142" s="111"/>
      <c r="EM142" s="111"/>
      <c r="EN142" s="111"/>
      <c r="EO142" s="111"/>
      <c r="EP142" s="111"/>
      <c r="EQ142" s="111"/>
      <c r="ER142" s="111"/>
      <c r="ES142" s="111"/>
      <c r="ET142" s="111"/>
      <c r="EU142" s="111"/>
      <c r="EV142" s="111"/>
      <c r="EW142" s="111"/>
      <c r="EX142" s="111"/>
      <c r="EY142" s="111"/>
      <c r="EZ142" s="111"/>
      <c r="FA142" s="111"/>
      <c r="FB142" s="111"/>
      <c r="FC142" s="111"/>
      <c r="FD142" s="111"/>
      <c r="FE142" s="111"/>
      <c r="FF142" s="111"/>
      <c r="FG142" s="111"/>
      <c r="FH142" s="111"/>
      <c r="FI142" s="111"/>
      <c r="FJ142" s="111"/>
      <c r="FK142" s="111"/>
      <c r="FL142" s="111"/>
      <c r="FM142" s="111"/>
      <c r="FN142" s="111"/>
    </row>
    <row r="143" spans="1:170" s="14" customFormat="1" ht="18" hidden="1" customHeight="1">
      <c r="A143" s="1808"/>
      <c r="B143" s="416"/>
      <c r="C143" s="1189" t="s">
        <v>1193</v>
      </c>
      <c r="D143" s="932"/>
      <c r="E143" s="932"/>
      <c r="F143" s="932" t="str">
        <f>Begriffe!$F$330</f>
        <v>mit Fensterlüftung bei Belegung</v>
      </c>
      <c r="G143" s="932"/>
      <c r="H143" s="932"/>
      <c r="I143" s="933"/>
      <c r="J143" s="934"/>
      <c r="K143" s="934"/>
      <c r="L143" s="938"/>
      <c r="M143" s="1058" t="str">
        <f>IF(M$29=0,"-",IF(M148=0,"-",IF(OR(nutzid=1,nutzid=2),"-",IF(nutzid=33,"nicht notwend.",IF(nutzid=44,"notwendig",IF(M141&lt;100,"nicht notwend.",IF(M141&lt;=140,"erwünscht","notwendig")))))))</f>
        <v>notwendig</v>
      </c>
      <c r="N143" s="1058" t="str">
        <f>IF(M$29=0,"-",IF(N148=0,"-",IF(OR(nutzid=1,nutzid=2),"-",IF(nutzid=33,"nicht notwend.",IF(nutzid=44,"notwendig",IF(N141&lt;100,"nicht notwend.",IF(N141&lt;=140,"erwünscht","notwendig")))))))</f>
        <v>notwendig</v>
      </c>
      <c r="O143" s="1058" t="s">
        <v>18</v>
      </c>
      <c r="P143" s="493">
        <v>0</v>
      </c>
      <c r="Q143" s="920">
        <v>0</v>
      </c>
      <c r="R143" s="493">
        <v>0</v>
      </c>
      <c r="S143" s="22"/>
      <c r="T143" s="169"/>
      <c r="X143" s="306"/>
      <c r="Y143" s="126"/>
      <c r="Z143" s="306"/>
      <c r="AA143" s="306"/>
      <c r="AB143" s="127"/>
      <c r="AC143" s="169"/>
      <c r="AD143" s="169"/>
      <c r="AE143" s="129"/>
      <c r="AF143" s="129"/>
      <c r="AG143" s="129"/>
      <c r="AH143" s="129"/>
      <c r="AI143" s="129"/>
      <c r="AJ143" s="129"/>
      <c r="AK143" s="129"/>
      <c r="AL143" s="129"/>
      <c r="AM143" s="129"/>
      <c r="AN143" s="129"/>
      <c r="AO143" s="129"/>
      <c r="AP143" s="163"/>
      <c r="AQ143" s="163"/>
      <c r="AR143" s="111"/>
      <c r="AS143" s="111"/>
      <c r="AT143" s="111"/>
      <c r="AU143" s="111"/>
      <c r="AV143" s="111"/>
      <c r="AW143" s="111"/>
      <c r="AX143" s="111"/>
      <c r="AY143" s="111"/>
      <c r="AZ143" s="111"/>
      <c r="BA143" s="111"/>
      <c r="BB143" s="111"/>
      <c r="BC143" s="111"/>
      <c r="BD143" s="111"/>
      <c r="BE143" s="111"/>
      <c r="BF143" s="111"/>
      <c r="BG143" s="111"/>
      <c r="BH143" s="111"/>
      <c r="BI143" s="111"/>
      <c r="BJ143" s="111"/>
      <c r="BK143" s="111"/>
      <c r="BL143" s="111"/>
      <c r="BM143" s="111"/>
      <c r="BN143" s="111"/>
      <c r="BO143" s="111"/>
      <c r="BP143" s="111"/>
      <c r="BQ143" s="111"/>
      <c r="BR143" s="111"/>
      <c r="BS143" s="111"/>
      <c r="BT143" s="111"/>
      <c r="BU143" s="111"/>
      <c r="BV143" s="111"/>
      <c r="BW143" s="111"/>
      <c r="BX143" s="111"/>
      <c r="BY143" s="111"/>
      <c r="BZ143" s="111"/>
      <c r="CA143" s="111"/>
      <c r="CB143" s="111"/>
      <c r="CC143" s="111"/>
      <c r="CD143" s="111"/>
      <c r="CE143" s="111"/>
      <c r="CF143" s="111"/>
      <c r="CG143" s="111"/>
      <c r="CH143" s="111"/>
      <c r="CI143" s="111"/>
      <c r="CJ143" s="111"/>
      <c r="CK143" s="111"/>
      <c r="CL143" s="111"/>
      <c r="CM143" s="111"/>
      <c r="CN143" s="111"/>
      <c r="CO143" s="111"/>
      <c r="CP143" s="111"/>
      <c r="CQ143" s="111"/>
      <c r="CR143" s="111"/>
      <c r="CS143" s="111"/>
      <c r="CT143" s="111"/>
      <c r="CU143" s="111"/>
      <c r="CV143" s="111"/>
      <c r="CW143" s="111"/>
      <c r="CX143" s="111"/>
      <c r="CY143" s="111"/>
      <c r="CZ143" s="111"/>
      <c r="DA143" s="111"/>
      <c r="DB143" s="111"/>
      <c r="DC143" s="111"/>
      <c r="DD143" s="111"/>
      <c r="DE143" s="112"/>
      <c r="DF143" s="112"/>
      <c r="DG143" s="112"/>
      <c r="DH143" s="112"/>
      <c r="DI143" s="112"/>
      <c r="DJ143" s="112"/>
      <c r="DK143" s="112"/>
      <c r="DL143" s="112"/>
      <c r="DM143" s="112"/>
      <c r="DN143" s="112"/>
      <c r="DO143" s="112"/>
      <c r="DP143" s="112"/>
      <c r="DQ143" s="112"/>
      <c r="DR143" s="112"/>
      <c r="DS143" s="112"/>
      <c r="DT143" s="112"/>
      <c r="DU143" s="112"/>
      <c r="DV143" s="112"/>
      <c r="DW143" s="112"/>
      <c r="DX143" s="112"/>
      <c r="DY143" s="112"/>
      <c r="DZ143" s="112"/>
      <c r="EA143" s="112"/>
      <c r="EB143" s="112"/>
      <c r="EC143" s="112"/>
      <c r="ED143" s="112"/>
      <c r="EE143" s="111"/>
      <c r="EF143" s="111"/>
      <c r="EG143" s="111"/>
      <c r="EH143" s="111"/>
      <c r="EI143" s="111"/>
      <c r="EJ143" s="111"/>
      <c r="EK143" s="111"/>
      <c r="EL143" s="111"/>
      <c r="EM143" s="111"/>
      <c r="EN143" s="111"/>
      <c r="EO143" s="111"/>
      <c r="EP143" s="111"/>
      <c r="EQ143" s="111"/>
      <c r="ER143" s="111"/>
      <c r="ES143" s="111"/>
      <c r="ET143" s="111"/>
      <c r="EU143" s="111"/>
      <c r="EV143" s="111"/>
      <c r="EW143" s="111"/>
      <c r="EX143" s="111"/>
      <c r="EY143" s="111"/>
      <c r="EZ143" s="111"/>
      <c r="FA143" s="111"/>
      <c r="FB143" s="111"/>
      <c r="FC143" s="111"/>
      <c r="FD143" s="111"/>
      <c r="FE143" s="111"/>
      <c r="FF143" s="111"/>
      <c r="FG143" s="111"/>
      <c r="FH143" s="111"/>
      <c r="FI143" s="111"/>
      <c r="FJ143" s="111"/>
      <c r="FK143" s="111"/>
      <c r="FL143" s="111"/>
      <c r="FM143" s="111"/>
      <c r="FN143" s="111"/>
    </row>
    <row r="144" spans="1:170" s="14" customFormat="1" ht="18" hidden="1" customHeight="1">
      <c r="A144" s="1808"/>
      <c r="B144" s="416"/>
      <c r="C144" s="1029"/>
      <c r="D144" s="932"/>
      <c r="E144" s="932"/>
      <c r="F144" s="932" t="str">
        <f>Begriffe!$F$331</f>
        <v>ohne Fensterlüftung</v>
      </c>
      <c r="G144" s="932"/>
      <c r="H144" s="932"/>
      <c r="I144" s="933"/>
      <c r="J144" s="934"/>
      <c r="K144" s="934"/>
      <c r="L144" s="938"/>
      <c r="M144" s="1058" t="str">
        <f>IF(M$29=0,"-",IF(M148=0,"-",IF(OR(nutzid=1,nutzid=2),"-",IF(nutzid=33,"nicht notwend.",IF(nutzid=44,"notwendig",IF(M141&lt;80,"nicht notwend.",IF(M141&lt;=120,"erwünscht","notwendig")))))))</f>
        <v>notwendig</v>
      </c>
      <c r="N144" s="1058" t="str">
        <f>IF(M$29=0,"-",IF(N148=0,"-",IF(OR(nutzid=1,nutzid=2),"-",IF(nutzid=33,"nicht notwend.",IF(nutzid=44,"notwendig",IF(N141&lt;80,"nicht notwend.",IF(N141&lt;=120,"erwünscht","notwendig")))))))</f>
        <v>notwendig</v>
      </c>
      <c r="O144" s="1058" t="s">
        <v>18</v>
      </c>
      <c r="P144" s="493">
        <v>0</v>
      </c>
      <c r="Q144" s="920">
        <v>0</v>
      </c>
      <c r="R144" s="493">
        <v>0</v>
      </c>
      <c r="S144" s="22"/>
      <c r="T144" s="169"/>
      <c r="X144" s="306"/>
      <c r="Y144" s="126"/>
      <c r="Z144" s="306"/>
      <c r="AA144" s="306"/>
      <c r="AB144" s="127"/>
      <c r="AC144" s="169"/>
      <c r="AD144" s="169"/>
      <c r="AE144" s="129"/>
      <c r="AF144" s="129"/>
      <c r="AG144" s="129"/>
      <c r="AH144" s="129"/>
      <c r="AI144" s="129"/>
      <c r="AJ144" s="129"/>
      <c r="AK144" s="129"/>
      <c r="AL144" s="129"/>
      <c r="AM144" s="129"/>
      <c r="AN144" s="129"/>
      <c r="AO144" s="129"/>
      <c r="AP144" s="163"/>
      <c r="AQ144" s="163"/>
      <c r="AR144" s="111"/>
      <c r="AS144" s="111"/>
      <c r="AT144" s="111"/>
      <c r="AU144" s="111"/>
      <c r="AV144" s="111"/>
      <c r="AW144" s="111"/>
      <c r="AX144" s="111"/>
      <c r="AY144" s="111"/>
      <c r="AZ144" s="111"/>
      <c r="BA144" s="111"/>
      <c r="BB144" s="111"/>
      <c r="BC144" s="111"/>
      <c r="BD144" s="111"/>
      <c r="BE144" s="111"/>
      <c r="BF144" s="111"/>
      <c r="BG144" s="111"/>
      <c r="BH144" s="111"/>
      <c r="BI144" s="111"/>
      <c r="BJ144" s="111"/>
      <c r="BK144" s="111"/>
      <c r="BL144" s="111"/>
      <c r="BM144" s="111"/>
      <c r="BN144" s="111"/>
      <c r="BO144" s="111"/>
      <c r="BP144" s="111"/>
      <c r="BQ144" s="111"/>
      <c r="BR144" s="111"/>
      <c r="BS144" s="111"/>
      <c r="BT144" s="111"/>
      <c r="BU144" s="111"/>
      <c r="BV144" s="111"/>
      <c r="BW144" s="111"/>
      <c r="BX144" s="111"/>
      <c r="BY144" s="111"/>
      <c r="BZ144" s="111"/>
      <c r="CA144" s="111"/>
      <c r="CB144" s="111"/>
      <c r="CC144" s="111"/>
      <c r="CD144" s="111"/>
      <c r="CE144" s="111"/>
      <c r="CF144" s="111"/>
      <c r="CG144" s="111"/>
      <c r="CH144" s="111"/>
      <c r="CI144" s="111"/>
      <c r="CJ144" s="111"/>
      <c r="CK144" s="111"/>
      <c r="CL144" s="111"/>
      <c r="CM144" s="111"/>
      <c r="CN144" s="111"/>
      <c r="CO144" s="111"/>
      <c r="CP144" s="111"/>
      <c r="CQ144" s="111"/>
      <c r="CR144" s="111"/>
      <c r="CS144" s="111"/>
      <c r="CT144" s="111"/>
      <c r="CU144" s="111"/>
      <c r="CV144" s="111"/>
      <c r="CW144" s="111"/>
      <c r="CX144" s="111"/>
      <c r="CY144" s="111"/>
      <c r="CZ144" s="111"/>
      <c r="DA144" s="111"/>
      <c r="DB144" s="111"/>
      <c r="DC144" s="111"/>
      <c r="DD144" s="111"/>
      <c r="DE144" s="112"/>
      <c r="DF144" s="112"/>
      <c r="DG144" s="112"/>
      <c r="DH144" s="112"/>
      <c r="DI144" s="112"/>
      <c r="DJ144" s="112"/>
      <c r="DK144" s="112"/>
      <c r="DL144" s="112"/>
      <c r="DM144" s="112"/>
      <c r="DN144" s="112"/>
      <c r="DO144" s="112"/>
      <c r="DP144" s="112"/>
      <c r="DQ144" s="112"/>
      <c r="DR144" s="112"/>
      <c r="DS144" s="112"/>
      <c r="DT144" s="112"/>
      <c r="DU144" s="112"/>
      <c r="DV144" s="112"/>
      <c r="DW144" s="112"/>
      <c r="DX144" s="112"/>
      <c r="DY144" s="112"/>
      <c r="DZ144" s="112"/>
      <c r="EA144" s="112"/>
      <c r="EB144" s="112"/>
      <c r="EC144" s="112"/>
      <c r="ED144" s="112"/>
      <c r="EE144" s="111"/>
      <c r="EF144" s="111"/>
      <c r="EG144" s="111"/>
      <c r="EH144" s="111"/>
      <c r="EI144" s="111"/>
      <c r="EJ144" s="111"/>
      <c r="EK144" s="111"/>
      <c r="EL144" s="111"/>
      <c r="EM144" s="111"/>
      <c r="EN144" s="111"/>
      <c r="EO144" s="111"/>
      <c r="EP144" s="111"/>
      <c r="EQ144" s="111"/>
      <c r="ER144" s="111"/>
      <c r="ES144" s="111"/>
      <c r="ET144" s="111"/>
      <c r="EU144" s="111"/>
      <c r="EV144" s="111"/>
      <c r="EW144" s="111"/>
      <c r="EX144" s="111"/>
      <c r="EY144" s="111"/>
      <c r="EZ144" s="111"/>
      <c r="FA144" s="111"/>
      <c r="FB144" s="111"/>
      <c r="FC144" s="111"/>
      <c r="FD144" s="111"/>
      <c r="FE144" s="111"/>
      <c r="FF144" s="111"/>
      <c r="FG144" s="111"/>
      <c r="FH144" s="111"/>
      <c r="FI144" s="111"/>
      <c r="FJ144" s="111"/>
      <c r="FK144" s="111"/>
      <c r="FL144" s="111"/>
      <c r="FM144" s="111"/>
      <c r="FN144" s="111"/>
    </row>
    <row r="145" spans="1:170" s="14" customFormat="1" ht="18" customHeight="1">
      <c r="A145" s="1808"/>
      <c r="B145" s="416">
        <v>151</v>
      </c>
      <c r="C145" s="21" t="str">
        <f>VLOOKUP(B145,Begriffe!$A$6:$E$442,Begriffe!$D$1+2)</f>
        <v>Notwendigkeit einer Kühlung</v>
      </c>
      <c r="D145" s="21"/>
      <c r="E145" s="21"/>
      <c r="F145" s="21" t="str">
        <f>Begriffe!$F$329</f>
        <v>mit Fensterlüftung Tag und Nacht</v>
      </c>
      <c r="G145" s="21"/>
      <c r="H145" s="21"/>
      <c r="I145" s="178"/>
      <c r="J145" s="188"/>
      <c r="K145" s="188"/>
      <c r="L145" s="182"/>
      <c r="M145" s="986" t="str">
        <f>INDEX(Eingabedaten!$D$10:$CY$54,nutzid,MATCH($C145,Eingabedaten!$D$7:$CY$7,0))</f>
        <v>notwendig</v>
      </c>
      <c r="N145" s="986" t="str">
        <f>INDEX(Eingabedaten!$D$10:$CY$54,nutzid,MATCH($C145,Eingabedaten!$D$7:$CY$7,0)+3)</f>
        <v>notwendig</v>
      </c>
      <c r="O145" s="986" t="s">
        <v>18</v>
      </c>
      <c r="P145" s="493">
        <v>1</v>
      </c>
      <c r="Q145" s="920">
        <v>1</v>
      </c>
      <c r="R145" s="493">
        <v>1</v>
      </c>
      <c r="S145" s="22"/>
      <c r="T145" s="169"/>
      <c r="X145" s="306"/>
      <c r="Y145" s="126"/>
      <c r="Z145" s="306"/>
      <c r="AA145" s="306"/>
      <c r="AB145" s="127"/>
      <c r="AC145" s="169"/>
      <c r="AD145" s="169"/>
      <c r="AE145" s="129"/>
      <c r="AF145" s="129"/>
      <c r="AG145" s="129"/>
      <c r="AH145" s="129"/>
      <c r="AI145" s="129"/>
      <c r="AJ145" s="129"/>
      <c r="AK145" s="129"/>
      <c r="AL145" s="129"/>
      <c r="AM145" s="129"/>
      <c r="AN145" s="129"/>
      <c r="AO145" s="129"/>
      <c r="AP145" s="163"/>
      <c r="AQ145" s="163"/>
      <c r="AR145" s="111"/>
      <c r="AS145" s="111"/>
      <c r="AT145" s="111"/>
      <c r="AU145" s="111"/>
      <c r="AV145" s="111"/>
      <c r="AW145" s="111"/>
      <c r="AX145" s="111"/>
      <c r="AY145" s="111"/>
      <c r="AZ145" s="111"/>
      <c r="BA145" s="111"/>
      <c r="BB145" s="111"/>
      <c r="BC145" s="111"/>
      <c r="BD145" s="111"/>
      <c r="BE145" s="111"/>
      <c r="BF145" s="111"/>
      <c r="BG145" s="111"/>
      <c r="BH145" s="111"/>
      <c r="BI145" s="111"/>
      <c r="BJ145" s="111"/>
      <c r="BK145" s="111"/>
      <c r="BL145" s="111"/>
      <c r="BM145" s="111"/>
      <c r="BN145" s="111"/>
      <c r="BO145" s="111"/>
      <c r="BP145" s="111"/>
      <c r="BQ145" s="111"/>
      <c r="BR145" s="111"/>
      <c r="BS145" s="111"/>
      <c r="BT145" s="111"/>
      <c r="BU145" s="111"/>
      <c r="BV145" s="111"/>
      <c r="BW145" s="111"/>
      <c r="BX145" s="111"/>
      <c r="BY145" s="111"/>
      <c r="BZ145" s="111"/>
      <c r="CA145" s="111"/>
      <c r="CB145" s="111"/>
      <c r="CC145" s="111"/>
      <c r="CD145" s="111"/>
      <c r="CE145" s="111"/>
      <c r="CF145" s="111"/>
      <c r="CG145" s="111"/>
      <c r="CH145" s="111"/>
      <c r="CI145" s="111"/>
      <c r="CJ145" s="111"/>
      <c r="CK145" s="111"/>
      <c r="CL145" s="111"/>
      <c r="CM145" s="111"/>
      <c r="CN145" s="111"/>
      <c r="CO145" s="111"/>
      <c r="CP145" s="111"/>
      <c r="CQ145" s="111"/>
      <c r="CR145" s="111"/>
      <c r="CS145" s="111"/>
      <c r="CT145" s="111"/>
      <c r="CU145" s="111"/>
      <c r="CV145" s="111"/>
      <c r="CW145" s="111"/>
      <c r="CX145" s="111"/>
      <c r="CY145" s="111"/>
      <c r="CZ145" s="111"/>
      <c r="DA145" s="111"/>
      <c r="DB145" s="111"/>
      <c r="DC145" s="111"/>
      <c r="DD145" s="111"/>
      <c r="DE145" s="112"/>
      <c r="DF145" s="112"/>
      <c r="DG145" s="112"/>
      <c r="DH145" s="112"/>
      <c r="DI145" s="112"/>
      <c r="DJ145" s="112"/>
      <c r="DK145" s="112"/>
      <c r="DL145" s="112"/>
      <c r="DM145" s="112"/>
      <c r="DN145" s="112"/>
      <c r="DO145" s="112"/>
      <c r="DP145" s="112"/>
      <c r="DQ145" s="112"/>
      <c r="DR145" s="112"/>
      <c r="DS145" s="112"/>
      <c r="DT145" s="112"/>
      <c r="DU145" s="112"/>
      <c r="DV145" s="112"/>
      <c r="DW145" s="112"/>
      <c r="DX145" s="112"/>
      <c r="DY145" s="112"/>
      <c r="DZ145" s="112"/>
      <c r="EA145" s="112"/>
      <c r="EB145" s="112"/>
      <c r="EC145" s="112"/>
      <c r="ED145" s="112"/>
      <c r="EE145" s="111"/>
      <c r="EF145" s="111"/>
      <c r="EG145" s="111"/>
      <c r="EH145" s="111"/>
      <c r="EI145" s="111"/>
      <c r="EJ145" s="111"/>
      <c r="EK145" s="111"/>
      <c r="EL145" s="111"/>
      <c r="EM145" s="111"/>
      <c r="EN145" s="111"/>
      <c r="EO145" s="111"/>
      <c r="EP145" s="111"/>
      <c r="EQ145" s="111"/>
      <c r="ER145" s="111"/>
      <c r="ES145" s="111"/>
      <c r="ET145" s="111"/>
      <c r="EU145" s="111"/>
      <c r="EV145" s="111"/>
      <c r="EW145" s="111"/>
      <c r="EX145" s="111"/>
      <c r="EY145" s="111"/>
      <c r="EZ145" s="111"/>
      <c r="FA145" s="111"/>
      <c r="FB145" s="111"/>
      <c r="FC145" s="111"/>
      <c r="FD145" s="111"/>
      <c r="FE145" s="111"/>
      <c r="FF145" s="111"/>
      <c r="FG145" s="111"/>
      <c r="FH145" s="111"/>
      <c r="FI145" s="111"/>
      <c r="FJ145" s="111"/>
      <c r="FK145" s="111"/>
      <c r="FL145" s="111"/>
      <c r="FM145" s="111"/>
      <c r="FN145" s="111"/>
    </row>
    <row r="146" spans="1:170" s="14" customFormat="1" ht="18" customHeight="1">
      <c r="A146" s="1808"/>
      <c r="B146" s="416"/>
      <c r="C146" s="493"/>
      <c r="D146" s="21"/>
      <c r="E146" s="21"/>
      <c r="F146" s="21" t="str">
        <f>Begriffe!$F$330</f>
        <v>mit Fensterlüftung bei Belegung</v>
      </c>
      <c r="G146" s="21"/>
      <c r="H146" s="21"/>
      <c r="I146" s="178"/>
      <c r="J146" s="188"/>
      <c r="K146" s="188"/>
      <c r="L146" s="182"/>
      <c r="M146" s="986" t="str">
        <f>INDEX(Eingabedaten!$D$10:$CY$54,nutzid,MATCH($C145,Eingabedaten!$D$7:$CY$7,0)+1)</f>
        <v>notwendig</v>
      </c>
      <c r="N146" s="986" t="str">
        <f>INDEX(Eingabedaten!$D$10:$CY$54,nutzid,MATCH($C145,Eingabedaten!$D$7:$CY$7,0)+4)</f>
        <v>notwendig</v>
      </c>
      <c r="O146" s="986" t="s">
        <v>18</v>
      </c>
      <c r="P146" s="493">
        <v>1</v>
      </c>
      <c r="Q146" s="920">
        <v>1</v>
      </c>
      <c r="R146" s="493">
        <v>0</v>
      </c>
      <c r="S146" s="22"/>
      <c r="T146" s="169"/>
      <c r="X146" s="306"/>
      <c r="Y146" s="126"/>
      <c r="Z146" s="306"/>
      <c r="AA146" s="306"/>
      <c r="AB146" s="127"/>
      <c r="AC146" s="169"/>
      <c r="AD146" s="169"/>
      <c r="AE146" s="129"/>
      <c r="AF146" s="129"/>
      <c r="AG146" s="129"/>
      <c r="AH146" s="129"/>
      <c r="AI146" s="129"/>
      <c r="AJ146" s="129"/>
      <c r="AK146" s="129"/>
      <c r="AL146" s="129"/>
      <c r="AM146" s="129"/>
      <c r="AN146" s="129"/>
      <c r="AO146" s="129"/>
      <c r="AP146" s="163"/>
      <c r="AQ146" s="163"/>
      <c r="AR146" s="111"/>
      <c r="AS146" s="111"/>
      <c r="AT146" s="111"/>
      <c r="AU146" s="111"/>
      <c r="AV146" s="111"/>
      <c r="AW146" s="111"/>
      <c r="AX146" s="111"/>
      <c r="AY146" s="111"/>
      <c r="AZ146" s="111"/>
      <c r="BA146" s="111"/>
      <c r="BB146" s="111"/>
      <c r="BC146" s="111"/>
      <c r="BD146" s="111"/>
      <c r="BE146" s="111"/>
      <c r="BF146" s="111"/>
      <c r="BG146" s="111"/>
      <c r="BH146" s="111"/>
      <c r="BI146" s="111"/>
      <c r="BJ146" s="111"/>
      <c r="BK146" s="111"/>
      <c r="BL146" s="111"/>
      <c r="BM146" s="111"/>
      <c r="BN146" s="111"/>
      <c r="BO146" s="111"/>
      <c r="BP146" s="111"/>
      <c r="BQ146" s="111"/>
      <c r="BR146" s="111"/>
      <c r="BS146" s="111"/>
      <c r="BT146" s="111"/>
      <c r="BU146" s="111"/>
      <c r="BV146" s="111"/>
      <c r="BW146" s="111"/>
      <c r="BX146" s="111"/>
      <c r="BY146" s="111"/>
      <c r="BZ146" s="111"/>
      <c r="CA146" s="111"/>
      <c r="CB146" s="111"/>
      <c r="CC146" s="111"/>
      <c r="CD146" s="111"/>
      <c r="CE146" s="111"/>
      <c r="CF146" s="111"/>
      <c r="CG146" s="111"/>
      <c r="CH146" s="111"/>
      <c r="CI146" s="111"/>
      <c r="CJ146" s="111"/>
      <c r="CK146" s="111"/>
      <c r="CL146" s="111"/>
      <c r="CM146" s="111"/>
      <c r="CN146" s="111"/>
      <c r="CO146" s="111"/>
      <c r="CP146" s="111"/>
      <c r="CQ146" s="111"/>
      <c r="CR146" s="111"/>
      <c r="CS146" s="111"/>
      <c r="CT146" s="111"/>
      <c r="CU146" s="111"/>
      <c r="CV146" s="111"/>
      <c r="CW146" s="111"/>
      <c r="CX146" s="111"/>
      <c r="CY146" s="111"/>
      <c r="CZ146" s="111"/>
      <c r="DA146" s="111"/>
      <c r="DB146" s="111"/>
      <c r="DC146" s="111"/>
      <c r="DD146" s="111"/>
      <c r="DE146" s="112"/>
      <c r="DF146" s="112"/>
      <c r="DG146" s="112"/>
      <c r="DH146" s="112"/>
      <c r="DI146" s="112"/>
      <c r="DJ146" s="112"/>
      <c r="DK146" s="112"/>
      <c r="DL146" s="112"/>
      <c r="DM146" s="112"/>
      <c r="DN146" s="112"/>
      <c r="DO146" s="112"/>
      <c r="DP146" s="112"/>
      <c r="DQ146" s="112"/>
      <c r="DR146" s="112"/>
      <c r="DS146" s="112"/>
      <c r="DT146" s="112"/>
      <c r="DU146" s="112"/>
      <c r="DV146" s="112"/>
      <c r="DW146" s="112"/>
      <c r="DX146" s="112"/>
      <c r="DY146" s="112"/>
      <c r="DZ146" s="112"/>
      <c r="EA146" s="112"/>
      <c r="EB146" s="112"/>
      <c r="EC146" s="112"/>
      <c r="ED146" s="112"/>
      <c r="EE146" s="111"/>
      <c r="EF146" s="111"/>
      <c r="EG146" s="111"/>
      <c r="EH146" s="111"/>
      <c r="EI146" s="111"/>
      <c r="EJ146" s="111"/>
      <c r="EK146" s="111"/>
      <c r="EL146" s="111"/>
      <c r="EM146" s="111"/>
      <c r="EN146" s="111"/>
      <c r="EO146" s="111"/>
      <c r="EP146" s="111"/>
      <c r="EQ146" s="111"/>
      <c r="ER146" s="111"/>
      <c r="ES146" s="111"/>
      <c r="ET146" s="111"/>
      <c r="EU146" s="111"/>
      <c r="EV146" s="111"/>
      <c r="EW146" s="111"/>
      <c r="EX146" s="111"/>
      <c r="EY146" s="111"/>
      <c r="EZ146" s="111"/>
      <c r="FA146" s="111"/>
      <c r="FB146" s="111"/>
      <c r="FC146" s="111"/>
      <c r="FD146" s="111"/>
      <c r="FE146" s="111"/>
      <c r="FF146" s="111"/>
      <c r="FG146" s="111"/>
      <c r="FH146" s="111"/>
      <c r="FI146" s="111"/>
      <c r="FJ146" s="111"/>
      <c r="FK146" s="111"/>
      <c r="FL146" s="111"/>
      <c r="FM146" s="111"/>
      <c r="FN146" s="111"/>
    </row>
    <row r="147" spans="1:170" s="14" customFormat="1" ht="18" customHeight="1">
      <c r="A147" s="1808"/>
      <c r="B147" s="416"/>
      <c r="C147" s="493"/>
      <c r="D147" s="21"/>
      <c r="E147" s="21"/>
      <c r="F147" s="21" t="str">
        <f>Begriffe!$F$331</f>
        <v>ohne Fensterlüftung</v>
      </c>
      <c r="G147" s="21"/>
      <c r="H147" s="21"/>
      <c r="I147" s="178"/>
      <c r="J147" s="188"/>
      <c r="K147" s="188"/>
      <c r="L147" s="182"/>
      <c r="M147" s="986" t="str">
        <f>INDEX(Eingabedaten!$D$10:$CY$54,nutzid,MATCH($C145,Eingabedaten!$D$7:$CY$7,0)+2)</f>
        <v>notwendig</v>
      </c>
      <c r="N147" s="986" t="str">
        <f>INDEX(Eingabedaten!$D$10:$CY$54,nutzid,MATCH($C145,Eingabedaten!$D$7:$CY$7,0)+5)</f>
        <v>notwendig</v>
      </c>
      <c r="O147" s="986" t="s">
        <v>18</v>
      </c>
      <c r="P147" s="493">
        <v>1</v>
      </c>
      <c r="Q147" s="920">
        <v>1</v>
      </c>
      <c r="R147" s="493">
        <v>0</v>
      </c>
      <c r="S147" s="22"/>
      <c r="T147" s="169"/>
      <c r="X147" s="306"/>
      <c r="Y147" s="126"/>
      <c r="Z147" s="306"/>
      <c r="AA147" s="306"/>
      <c r="AB147" s="127"/>
      <c r="AC147" s="169"/>
      <c r="AD147" s="169"/>
      <c r="AE147" s="129"/>
      <c r="AF147" s="129"/>
      <c r="AG147" s="129"/>
      <c r="AH147" s="129"/>
      <c r="AI147" s="129"/>
      <c r="AJ147" s="129"/>
      <c r="AK147" s="129"/>
      <c r="AL147" s="129"/>
      <c r="AM147" s="129"/>
      <c r="AN147" s="129"/>
      <c r="AO147" s="129"/>
      <c r="AP147" s="163"/>
      <c r="AQ147" s="163"/>
      <c r="AR147" s="111"/>
      <c r="AS147" s="111"/>
      <c r="AT147" s="111"/>
      <c r="AU147" s="111"/>
      <c r="AV147" s="111"/>
      <c r="AW147" s="111"/>
      <c r="AX147" s="111"/>
      <c r="AY147" s="111"/>
      <c r="AZ147" s="111"/>
      <c r="BA147" s="111"/>
      <c r="BB147" s="111"/>
      <c r="BC147" s="111"/>
      <c r="BD147" s="111"/>
      <c r="BE147" s="111"/>
      <c r="BF147" s="111"/>
      <c r="BG147" s="111"/>
      <c r="BH147" s="111"/>
      <c r="BI147" s="111"/>
      <c r="BJ147" s="111"/>
      <c r="BK147" s="111"/>
      <c r="BL147" s="111"/>
      <c r="BM147" s="111"/>
      <c r="BN147" s="111"/>
      <c r="BO147" s="111"/>
      <c r="BP147" s="111"/>
      <c r="BQ147" s="111"/>
      <c r="BR147" s="111"/>
      <c r="BS147" s="111"/>
      <c r="BT147" s="111"/>
      <c r="BU147" s="111"/>
      <c r="BV147" s="111"/>
      <c r="BW147" s="111"/>
      <c r="BX147" s="111"/>
      <c r="BY147" s="111"/>
      <c r="BZ147" s="111"/>
      <c r="CA147" s="111"/>
      <c r="CB147" s="111"/>
      <c r="CC147" s="111"/>
      <c r="CD147" s="111"/>
      <c r="CE147" s="111"/>
      <c r="CF147" s="111"/>
      <c r="CG147" s="111"/>
      <c r="CH147" s="111"/>
      <c r="CI147" s="111"/>
      <c r="CJ147" s="111"/>
      <c r="CK147" s="111"/>
      <c r="CL147" s="111"/>
      <c r="CM147" s="111"/>
      <c r="CN147" s="111"/>
      <c r="CO147" s="111"/>
      <c r="CP147" s="111"/>
      <c r="CQ147" s="111"/>
      <c r="CR147" s="111"/>
      <c r="CS147" s="111"/>
      <c r="CT147" s="111"/>
      <c r="CU147" s="111"/>
      <c r="CV147" s="111"/>
      <c r="CW147" s="111"/>
      <c r="CX147" s="111"/>
      <c r="CY147" s="111"/>
      <c r="CZ147" s="111"/>
      <c r="DA147" s="111"/>
      <c r="DB147" s="111"/>
      <c r="DC147" s="111"/>
      <c r="DD147" s="111"/>
      <c r="DE147" s="112"/>
      <c r="DF147" s="112"/>
      <c r="DG147" s="112"/>
      <c r="DH147" s="112"/>
      <c r="DI147" s="112"/>
      <c r="DJ147" s="112"/>
      <c r="DK147" s="112"/>
      <c r="DL147" s="112"/>
      <c r="DM147" s="112"/>
      <c r="DN147" s="112"/>
      <c r="DO147" s="112"/>
      <c r="DP147" s="112"/>
      <c r="DQ147" s="112"/>
      <c r="DR147" s="112"/>
      <c r="DS147" s="112"/>
      <c r="DT147" s="112"/>
      <c r="DU147" s="112"/>
      <c r="DV147" s="112"/>
      <c r="DW147" s="112"/>
      <c r="DX147" s="112"/>
      <c r="DY147" s="112"/>
      <c r="DZ147" s="112"/>
      <c r="EA147" s="112"/>
      <c r="EB147" s="112"/>
      <c r="EC147" s="112"/>
      <c r="ED147" s="112"/>
      <c r="EE147" s="111"/>
      <c r="EF147" s="111"/>
      <c r="EG147" s="111"/>
      <c r="EH147" s="111"/>
      <c r="EI147" s="111"/>
      <c r="EJ147" s="111"/>
      <c r="EK147" s="111"/>
      <c r="EL147" s="111"/>
      <c r="EM147" s="111"/>
      <c r="EN147" s="111"/>
      <c r="EO147" s="111"/>
      <c r="EP147" s="111"/>
      <c r="EQ147" s="111"/>
      <c r="ER147" s="111"/>
      <c r="ES147" s="111"/>
      <c r="ET147" s="111"/>
      <c r="EU147" s="111"/>
      <c r="EV147" s="111"/>
      <c r="EW147" s="111"/>
      <c r="EX147" s="111"/>
      <c r="EY147" s="111"/>
      <c r="EZ147" s="111"/>
      <c r="FA147" s="111"/>
      <c r="FB147" s="111"/>
      <c r="FC147" s="111"/>
      <c r="FD147" s="111"/>
      <c r="FE147" s="111"/>
      <c r="FF147" s="111"/>
      <c r="FG147" s="111"/>
      <c r="FH147" s="111"/>
      <c r="FI147" s="111"/>
      <c r="FJ147" s="111"/>
      <c r="FK147" s="111"/>
      <c r="FL147" s="111"/>
      <c r="FM147" s="111"/>
      <c r="FN147" s="111"/>
    </row>
    <row r="148" spans="1:170" s="14" customFormat="1" ht="18" customHeight="1">
      <c r="A148" s="1808"/>
      <c r="B148" s="416">
        <v>140</v>
      </c>
      <c r="C148" s="21" t="str">
        <f>VLOOKUP(B148,Begriffe!$A$6:$E$442,Begriffe!$D$1+2)</f>
        <v>Klimakälteleistungsbedarf</v>
      </c>
      <c r="D148" s="21"/>
      <c r="E148" s="179"/>
      <c r="F148" s="21" t="str">
        <f>Begriffe!$F$331</f>
        <v>ohne Fensterlüftung</v>
      </c>
      <c r="G148" s="21"/>
      <c r="H148" s="21"/>
      <c r="I148" s="262" t="s">
        <v>670</v>
      </c>
      <c r="J148" s="188" t="s">
        <v>68</v>
      </c>
      <c r="K148" s="188"/>
      <c r="L148" s="1175"/>
      <c r="M148" s="269">
        <f>IF(L148&lt;&gt;"",L148,IF(M$29=0,0,IF(ISERR(INDEX('Kälte_TEC-Tool'!$A$9:$H$53,nutzid,3)),0,INDEX('Kälte_TEC-Tool'!$A$9:$H$53,nutzid,3))))</f>
        <v>36</v>
      </c>
      <c r="N148" s="269">
        <f>IF(M$29=0,0,IF(ISERR(INDEX('Kälte_TEC-Tool'!$A$9:$H$53,nutzid,5)),0,INDEX('Kälte_TEC-Tool'!$A$9:$H$53,nutzid,5)))</f>
        <v>27</v>
      </c>
      <c r="O148" s="269">
        <f>IF(M$29=0,0,IF(ISERR(INDEX('Kälte_TEC-Tool'!$A$9:$H$53,nutzid,7)),0,INDEX('Kälte_TEC-Tool'!$A$9:$H$53,nutzid,7)))</f>
        <v>48</v>
      </c>
      <c r="P148" s="493">
        <v>1</v>
      </c>
      <c r="Q148" s="920">
        <v>1</v>
      </c>
      <c r="R148" s="493">
        <v>1</v>
      </c>
      <c r="S148" s="127" t="s">
        <v>167</v>
      </c>
      <c r="U148" s="169"/>
      <c r="V148" s="126"/>
      <c r="W148" s="306"/>
      <c r="X148" s="306"/>
      <c r="Y148" s="126"/>
      <c r="Z148" s="306"/>
      <c r="AA148" s="306"/>
      <c r="AB148" s="127"/>
      <c r="AC148" s="169"/>
      <c r="AD148" s="169"/>
      <c r="AE148" s="129"/>
      <c r="AF148" s="129"/>
      <c r="AG148" s="129"/>
      <c r="AH148" s="129"/>
      <c r="AI148" s="129"/>
      <c r="AJ148" s="129"/>
      <c r="AK148" s="129"/>
      <c r="AL148" s="129"/>
      <c r="AM148" s="129"/>
      <c r="AN148" s="129"/>
      <c r="AO148" s="129"/>
      <c r="AP148" s="163"/>
      <c r="AQ148" s="163"/>
      <c r="AR148" s="111"/>
      <c r="AS148" s="111"/>
      <c r="AT148" s="111"/>
      <c r="AU148" s="111"/>
      <c r="AV148" s="111"/>
      <c r="AW148" s="111"/>
      <c r="AX148" s="111"/>
      <c r="AY148" s="111"/>
      <c r="AZ148" s="111"/>
      <c r="BA148" s="111"/>
      <c r="BB148" s="111"/>
      <c r="BC148" s="111"/>
      <c r="BD148" s="111"/>
      <c r="BE148" s="111"/>
      <c r="BF148" s="111"/>
      <c r="BG148" s="111"/>
      <c r="BH148" s="111"/>
      <c r="BI148" s="111"/>
      <c r="BJ148" s="111"/>
      <c r="BK148" s="111"/>
      <c r="BL148" s="111"/>
      <c r="BM148" s="111"/>
      <c r="BN148" s="111"/>
      <c r="BO148" s="111"/>
      <c r="BP148" s="111"/>
      <c r="BQ148" s="111"/>
      <c r="BR148" s="111"/>
      <c r="BS148" s="111"/>
      <c r="BT148" s="111"/>
      <c r="BU148" s="111"/>
      <c r="BV148" s="111"/>
      <c r="BW148" s="111"/>
      <c r="BX148" s="111"/>
      <c r="BY148" s="111"/>
      <c r="BZ148" s="111"/>
      <c r="CA148" s="111"/>
      <c r="CB148" s="111"/>
      <c r="CC148" s="111"/>
      <c r="CD148" s="111"/>
      <c r="CE148" s="111"/>
      <c r="CF148" s="111"/>
      <c r="CG148" s="111"/>
      <c r="CH148" s="111"/>
      <c r="CI148" s="111"/>
      <c r="CJ148" s="111"/>
      <c r="CK148" s="111"/>
      <c r="CL148" s="111"/>
      <c r="CM148" s="111"/>
      <c r="CN148" s="111"/>
      <c r="CO148" s="111"/>
      <c r="CP148" s="111"/>
      <c r="CQ148" s="111"/>
      <c r="CR148" s="111"/>
      <c r="CS148" s="111"/>
      <c r="CT148" s="111"/>
      <c r="CU148" s="111"/>
      <c r="CV148" s="111"/>
      <c r="CW148" s="111"/>
      <c r="CX148" s="111"/>
      <c r="CY148" s="111"/>
      <c r="CZ148" s="111"/>
      <c r="DA148" s="111"/>
      <c r="DB148" s="111"/>
      <c r="DC148" s="111"/>
      <c r="DD148" s="111"/>
      <c r="DE148" s="112"/>
      <c r="DF148" s="112"/>
      <c r="DG148" s="112"/>
      <c r="DH148" s="112"/>
      <c r="DI148" s="112"/>
      <c r="DJ148" s="112"/>
      <c r="DK148" s="112"/>
      <c r="DL148" s="112"/>
      <c r="DM148" s="112"/>
      <c r="DN148" s="112"/>
      <c r="DO148" s="112"/>
      <c r="DP148" s="112"/>
      <c r="DQ148" s="112"/>
      <c r="DR148" s="112"/>
      <c r="DS148" s="112"/>
      <c r="DT148" s="112"/>
      <c r="DU148" s="112"/>
      <c r="DV148" s="112"/>
      <c r="DW148" s="112"/>
      <c r="DX148" s="112"/>
      <c r="DY148" s="112"/>
      <c r="DZ148" s="112"/>
      <c r="EA148" s="112"/>
      <c r="EB148" s="112"/>
      <c r="EC148" s="112"/>
      <c r="ED148" s="112"/>
      <c r="EE148" s="111"/>
      <c r="EF148" s="111"/>
      <c r="EG148" s="111"/>
      <c r="EH148" s="111"/>
      <c r="EI148" s="111"/>
      <c r="EJ148" s="111"/>
      <c r="EK148" s="111"/>
      <c r="EL148" s="111"/>
      <c r="EM148" s="111"/>
      <c r="EN148" s="111"/>
      <c r="EO148" s="111"/>
      <c r="EP148" s="111"/>
      <c r="EQ148" s="111"/>
      <c r="ER148" s="111"/>
      <c r="ES148" s="111"/>
      <c r="ET148" s="111"/>
      <c r="EU148" s="111"/>
      <c r="EV148" s="111"/>
      <c r="EW148" s="111"/>
      <c r="EX148" s="111"/>
      <c r="EY148" s="111"/>
      <c r="EZ148" s="111"/>
      <c r="FA148" s="111"/>
      <c r="FB148" s="111"/>
      <c r="FC148" s="111"/>
      <c r="FD148" s="111"/>
      <c r="FE148" s="111"/>
      <c r="FF148" s="111"/>
      <c r="FG148" s="111"/>
      <c r="FH148" s="111"/>
      <c r="FI148" s="111"/>
      <c r="FJ148" s="111"/>
      <c r="FK148" s="111"/>
      <c r="FL148" s="111"/>
      <c r="FM148" s="111"/>
      <c r="FN148" s="111"/>
    </row>
    <row r="149" spans="1:170" s="14" customFormat="1" ht="18" customHeight="1">
      <c r="A149" s="1808"/>
      <c r="B149" s="416">
        <v>129</v>
      </c>
      <c r="C149" s="1814" t="str">
        <f>VLOOKUP(B149,Begriffe!$A$6:$E$442,Begriffe!$D$1+2)</f>
        <v>Jährliche Volllaststunden der Raumkühlung</v>
      </c>
      <c r="D149" s="1814"/>
      <c r="E149" s="1814"/>
      <c r="F149" s="21" t="str">
        <f>Begriffe!$F$331</f>
        <v>ohne Fensterlüftung</v>
      </c>
      <c r="G149" s="21"/>
      <c r="H149" s="21"/>
      <c r="I149" s="178" t="s">
        <v>671</v>
      </c>
      <c r="J149" s="188" t="s">
        <v>17</v>
      </c>
      <c r="K149" s="188"/>
      <c r="L149" s="187"/>
      <c r="M149" s="1017">
        <f>IF(M148=0,0,ROUND(M150*1000/M148,-1))</f>
        <v>710</v>
      </c>
      <c r="N149" s="1017">
        <f>IF(N148=0,0,ROUND(N150*1000/N148,-1))</f>
        <v>1040</v>
      </c>
      <c r="O149" s="1017">
        <f>IF(O148=0,0,ROUND(O150*1000/O148,-1))</f>
        <v>310</v>
      </c>
      <c r="P149" s="493">
        <v>1</v>
      </c>
      <c r="Q149" s="920">
        <v>1</v>
      </c>
      <c r="R149" s="493">
        <v>1</v>
      </c>
      <c r="S149" s="496">
        <f>M120/365*1000</f>
        <v>109.57385414451902</v>
      </c>
      <c r="T149" s="127">
        <f>M106*M109</f>
        <v>156.63374570932089</v>
      </c>
      <c r="U149" s="169"/>
      <c r="V149" s="126"/>
      <c r="W149" s="306"/>
      <c r="X149" s="306"/>
      <c r="Y149" s="126"/>
      <c r="Z149" s="306"/>
      <c r="AA149" s="306"/>
      <c r="AB149" s="127"/>
      <c r="AC149" s="169"/>
      <c r="AD149" s="169"/>
      <c r="AE149" s="129"/>
      <c r="AF149" s="129"/>
      <c r="AG149" s="129"/>
      <c r="AH149" s="129"/>
      <c r="AI149" s="129"/>
      <c r="AJ149" s="129"/>
      <c r="AK149" s="129"/>
      <c r="AL149" s="129"/>
      <c r="AM149" s="129"/>
      <c r="AN149" s="129"/>
      <c r="AO149" s="129"/>
      <c r="AP149" s="163"/>
      <c r="AQ149" s="163"/>
      <c r="AR149" s="111"/>
      <c r="AS149" s="111"/>
      <c r="AT149" s="111"/>
      <c r="AU149" s="111"/>
      <c r="AV149" s="111"/>
      <c r="AW149" s="111"/>
      <c r="AX149" s="111"/>
      <c r="AY149" s="111"/>
      <c r="AZ149" s="111"/>
      <c r="BA149" s="111"/>
      <c r="BB149" s="111"/>
      <c r="BC149" s="111"/>
      <c r="BD149" s="111"/>
      <c r="BE149" s="111"/>
      <c r="BF149" s="111"/>
      <c r="BG149" s="111"/>
      <c r="BH149" s="111"/>
      <c r="BI149" s="111"/>
      <c r="BJ149" s="111"/>
      <c r="BK149" s="111"/>
      <c r="BL149" s="111"/>
      <c r="BM149" s="111"/>
      <c r="BN149" s="111"/>
      <c r="BO149" s="111"/>
      <c r="BP149" s="111"/>
      <c r="BQ149" s="111"/>
      <c r="BR149" s="111"/>
      <c r="BS149" s="111"/>
      <c r="BT149" s="111"/>
      <c r="BU149" s="111"/>
      <c r="BV149" s="111"/>
      <c r="BW149" s="111"/>
      <c r="BX149" s="111"/>
      <c r="BY149" s="111"/>
      <c r="BZ149" s="111"/>
      <c r="CA149" s="111"/>
      <c r="CB149" s="111"/>
      <c r="CC149" s="111"/>
      <c r="CD149" s="111"/>
      <c r="CE149" s="111"/>
      <c r="CF149" s="111"/>
      <c r="CG149" s="111"/>
      <c r="CH149" s="111"/>
      <c r="CI149" s="111"/>
      <c r="CJ149" s="111"/>
      <c r="CK149" s="111"/>
      <c r="CL149" s="111"/>
      <c r="CM149" s="111"/>
      <c r="CN149" s="111"/>
      <c r="CO149" s="111"/>
      <c r="CP149" s="111"/>
      <c r="CQ149" s="111"/>
      <c r="CR149" s="111"/>
      <c r="CS149" s="111"/>
      <c r="CT149" s="111"/>
      <c r="CU149" s="111"/>
      <c r="CV149" s="111"/>
      <c r="CW149" s="111"/>
      <c r="CX149" s="111"/>
      <c r="CY149" s="111"/>
      <c r="CZ149" s="111"/>
      <c r="DA149" s="111"/>
      <c r="DB149" s="111"/>
      <c r="DC149" s="111"/>
      <c r="DD149" s="111"/>
      <c r="DE149" s="112"/>
      <c r="DF149" s="112"/>
      <c r="DG149" s="112"/>
      <c r="DH149" s="112"/>
      <c r="DI149" s="112"/>
      <c r="DJ149" s="112"/>
      <c r="DK149" s="112"/>
      <c r="DL149" s="112"/>
      <c r="DM149" s="112"/>
      <c r="DN149" s="112"/>
      <c r="DO149" s="112"/>
      <c r="DP149" s="112"/>
      <c r="DQ149" s="112"/>
      <c r="DR149" s="112"/>
      <c r="DS149" s="112"/>
      <c r="DT149" s="112"/>
      <c r="DU149" s="112"/>
      <c r="DV149" s="112"/>
      <c r="DW149" s="112"/>
      <c r="DX149" s="112"/>
      <c r="DY149" s="112"/>
      <c r="DZ149" s="112"/>
      <c r="EA149" s="112"/>
      <c r="EB149" s="112"/>
      <c r="EC149" s="112"/>
      <c r="ED149" s="112"/>
      <c r="EE149" s="111"/>
      <c r="EF149" s="111"/>
      <c r="EG149" s="111"/>
      <c r="EH149" s="111"/>
      <c r="EI149" s="111"/>
      <c r="EJ149" s="111"/>
      <c r="EK149" s="111"/>
      <c r="EL149" s="111"/>
      <c r="EM149" s="111"/>
      <c r="EN149" s="111"/>
      <c r="EO149" s="111"/>
      <c r="EP149" s="111"/>
      <c r="EQ149" s="111"/>
      <c r="ER149" s="111"/>
      <c r="ES149" s="111"/>
      <c r="ET149" s="111"/>
      <c r="EU149" s="111"/>
      <c r="EV149" s="111"/>
      <c r="EW149" s="111"/>
      <c r="EX149" s="111"/>
      <c r="EY149" s="111"/>
      <c r="EZ149" s="111"/>
      <c r="FA149" s="111"/>
      <c r="FB149" s="111"/>
      <c r="FC149" s="111"/>
      <c r="FD149" s="111"/>
      <c r="FE149" s="111"/>
      <c r="FF149" s="111"/>
      <c r="FG149" s="111"/>
      <c r="FH149" s="111"/>
      <c r="FI149" s="111"/>
      <c r="FJ149" s="111"/>
      <c r="FK149" s="111"/>
      <c r="FL149" s="111"/>
      <c r="FM149" s="111"/>
      <c r="FN149" s="111"/>
    </row>
    <row r="150" spans="1:170" s="14" customFormat="1" ht="18" customHeight="1">
      <c r="A150" s="1809"/>
      <c r="B150" s="416">
        <v>138</v>
      </c>
      <c r="C150" s="1817" t="str">
        <f>VLOOKUP(B150,Begriffe!$A$6:$E$442,Begriffe!$D$1+2)</f>
        <v>Jährlicher Klimakältebedarf</v>
      </c>
      <c r="D150" s="1817"/>
      <c r="E150" s="1817"/>
      <c r="F150" s="21" t="str">
        <f>Begriffe!$F$331</f>
        <v>ohne Fensterlüftung</v>
      </c>
      <c r="G150" s="21"/>
      <c r="H150" s="21"/>
      <c r="I150" s="211" t="s">
        <v>672</v>
      </c>
      <c r="J150" s="212" t="s">
        <v>77</v>
      </c>
      <c r="K150" s="212"/>
      <c r="L150" s="1178"/>
      <c r="M150" s="1018">
        <f>IF(L150&lt;&gt;"",L150,IF(M$29=0,0,IF(ISERR(INDEX('Kälte_TEC-Tool'!$A$9:$H$53,nutzid,4)),0,INDEX('Kälte_TEC-Tool'!$A$9:$H$53,nutzid,4))))</f>
        <v>25.517569444444444</v>
      </c>
      <c r="N150" s="1018">
        <f>IF(M$29=0,0,IF(ISERR(INDEX('Kälte_TEC-Tool'!$A$9:$H$53,nutzid,6)),0,INDEX('Kälte_TEC-Tool'!$A$9:$H$53,nutzid,6)))</f>
        <v>27.991944444444446</v>
      </c>
      <c r="O150" s="1018">
        <f>IF(M$29=0,0,IF(ISERR(INDEX('Kälte_TEC-Tool'!$A$9:$H$53,nutzid,8)),0,INDEX('Kälte_TEC-Tool'!$A$9:$H$53,nutzid,8)))</f>
        <v>14.724305555555556</v>
      </c>
      <c r="P150" s="493">
        <v>1</v>
      </c>
      <c r="Q150" s="920">
        <v>1</v>
      </c>
      <c r="R150" s="493">
        <v>1</v>
      </c>
      <c r="S150" s="496">
        <f>M75/365*1000</f>
        <v>57.342465753424655</v>
      </c>
      <c r="T150" s="127"/>
      <c r="U150" s="169"/>
      <c r="V150" s="126"/>
      <c r="W150" s="306"/>
      <c r="X150" s="306"/>
      <c r="Y150" s="126"/>
      <c r="Z150" s="306"/>
      <c r="AA150" s="306"/>
      <c r="AB150" s="127"/>
      <c r="AC150" s="169"/>
      <c r="AD150" s="169"/>
      <c r="AE150" s="129"/>
      <c r="AF150" s="129"/>
      <c r="AG150" s="129"/>
      <c r="AH150" s="129"/>
      <c r="AI150" s="129"/>
      <c r="AJ150" s="129"/>
      <c r="AK150" s="129"/>
      <c r="AL150" s="129"/>
      <c r="AM150" s="129"/>
      <c r="AN150" s="129"/>
      <c r="AO150" s="129"/>
      <c r="AP150" s="163"/>
      <c r="AQ150" s="163"/>
      <c r="AR150" s="111"/>
      <c r="AS150" s="111"/>
      <c r="AT150" s="111"/>
      <c r="AU150" s="111"/>
      <c r="AV150" s="111"/>
      <c r="AW150" s="111"/>
      <c r="AX150" s="111"/>
      <c r="AY150" s="111"/>
      <c r="AZ150" s="111"/>
      <c r="BA150" s="111"/>
      <c r="BB150" s="111"/>
      <c r="BC150" s="111"/>
      <c r="BD150" s="111"/>
      <c r="BE150" s="111"/>
      <c r="BF150" s="111"/>
      <c r="BG150" s="111"/>
      <c r="BH150" s="111"/>
      <c r="BI150" s="111"/>
      <c r="BJ150" s="111"/>
      <c r="BK150" s="111"/>
      <c r="BL150" s="111"/>
      <c r="BM150" s="111"/>
      <c r="BN150" s="111"/>
      <c r="BO150" s="111"/>
      <c r="BP150" s="111"/>
      <c r="BQ150" s="111"/>
      <c r="BR150" s="111"/>
      <c r="BS150" s="111"/>
      <c r="BT150" s="111"/>
      <c r="BU150" s="111"/>
      <c r="BV150" s="111"/>
      <c r="BW150" s="111"/>
      <c r="BX150" s="111"/>
      <c r="BY150" s="111"/>
      <c r="BZ150" s="111"/>
      <c r="CA150" s="111"/>
      <c r="CB150" s="111"/>
      <c r="CC150" s="111"/>
      <c r="CD150" s="111"/>
      <c r="CE150" s="111"/>
      <c r="CF150" s="111"/>
      <c r="CG150" s="111"/>
      <c r="CH150" s="111"/>
      <c r="CI150" s="111"/>
      <c r="CJ150" s="111"/>
      <c r="CK150" s="111"/>
      <c r="CL150" s="111"/>
      <c r="CM150" s="111"/>
      <c r="CN150" s="111"/>
      <c r="CO150" s="111"/>
      <c r="CP150" s="111"/>
      <c r="CQ150" s="111"/>
      <c r="CR150" s="111"/>
      <c r="CS150" s="111"/>
      <c r="CT150" s="111"/>
      <c r="CU150" s="111"/>
      <c r="CV150" s="111"/>
      <c r="CW150" s="111"/>
      <c r="CX150" s="111"/>
      <c r="CY150" s="111"/>
      <c r="CZ150" s="111"/>
      <c r="DA150" s="111"/>
      <c r="DB150" s="111"/>
      <c r="DC150" s="111"/>
      <c r="DD150" s="111"/>
      <c r="DE150" s="112"/>
      <c r="DF150" s="112"/>
      <c r="DG150" s="112"/>
      <c r="DH150" s="112"/>
      <c r="DI150" s="112"/>
      <c r="DJ150" s="112"/>
      <c r="DK150" s="112"/>
      <c r="DL150" s="112"/>
      <c r="DM150" s="112"/>
      <c r="DN150" s="112"/>
      <c r="DO150" s="112"/>
      <c r="DP150" s="112"/>
      <c r="DQ150" s="112"/>
      <c r="DR150" s="112"/>
      <c r="DS150" s="112"/>
      <c r="DT150" s="112"/>
      <c r="DU150" s="112"/>
      <c r="DV150" s="112"/>
      <c r="DW150" s="112"/>
      <c r="DX150" s="112"/>
      <c r="DY150" s="112"/>
      <c r="DZ150" s="112"/>
      <c r="EA150" s="112"/>
      <c r="EB150" s="112"/>
      <c r="EC150" s="112"/>
      <c r="ED150" s="112"/>
      <c r="EE150" s="111"/>
      <c r="EF150" s="111"/>
      <c r="EG150" s="111"/>
      <c r="EH150" s="111"/>
      <c r="EI150" s="111"/>
      <c r="EJ150" s="111"/>
      <c r="EK150" s="111"/>
      <c r="EL150" s="111"/>
      <c r="EM150" s="111"/>
      <c r="EN150" s="111"/>
      <c r="EO150" s="111"/>
      <c r="EP150" s="111"/>
      <c r="EQ150" s="111"/>
      <c r="ER150" s="111"/>
      <c r="ES150" s="111"/>
      <c r="ET150" s="111"/>
      <c r="EU150" s="111"/>
      <c r="EV150" s="111"/>
      <c r="EW150" s="111"/>
      <c r="EX150" s="111"/>
      <c r="EY150" s="111"/>
      <c r="EZ150" s="111"/>
      <c r="FA150" s="111"/>
      <c r="FB150" s="111"/>
      <c r="FC150" s="111"/>
      <c r="FD150" s="111"/>
      <c r="FE150" s="111"/>
      <c r="FF150" s="111"/>
      <c r="FG150" s="111"/>
      <c r="FH150" s="111"/>
      <c r="FI150" s="111"/>
      <c r="FJ150" s="111"/>
      <c r="FK150" s="111"/>
      <c r="FL150" s="111"/>
      <c r="FM150" s="111"/>
      <c r="FN150" s="111"/>
    </row>
    <row r="151" spans="1:170" s="9" customFormat="1" ht="2.1" customHeight="1">
      <c r="A151" s="198"/>
      <c r="B151" s="1142"/>
      <c r="C151" s="200"/>
      <c r="D151" s="200"/>
      <c r="E151" s="200"/>
      <c r="F151" s="200"/>
      <c r="G151" s="200"/>
      <c r="H151" s="200"/>
      <c r="I151" s="206"/>
      <c r="J151" s="207"/>
      <c r="K151" s="207"/>
      <c r="L151" s="208"/>
      <c r="M151" s="208"/>
      <c r="N151" s="997"/>
      <c r="O151" s="997"/>
      <c r="P151" s="493">
        <v>0</v>
      </c>
      <c r="Q151" s="920">
        <v>1</v>
      </c>
      <c r="R151" s="493">
        <v>0</v>
      </c>
      <c r="S151" s="166"/>
      <c r="T151" s="307"/>
      <c r="U151" s="307"/>
      <c r="V151" s="165"/>
      <c r="W151" s="268"/>
      <c r="X151" s="268"/>
      <c r="Y151" s="165"/>
      <c r="Z151" s="268"/>
      <c r="AA151" s="268"/>
      <c r="AB151" s="166"/>
      <c r="AC151" s="307"/>
      <c r="AD151" s="307"/>
      <c r="AE151" s="166"/>
      <c r="AF151" s="166"/>
      <c r="AG151" s="166"/>
      <c r="AH151" s="166"/>
      <c r="AI151" s="166"/>
      <c r="AJ151" s="166"/>
      <c r="AK151" s="166"/>
      <c r="AL151" s="166"/>
      <c r="AM151" s="166"/>
      <c r="AN151" s="167"/>
      <c r="AO151" s="167"/>
      <c r="AP151" s="168"/>
      <c r="AQ151" s="168"/>
      <c r="AR151" s="113"/>
      <c r="AS151" s="113"/>
      <c r="AT151" s="113"/>
      <c r="AU151" s="113"/>
      <c r="AV151" s="113"/>
      <c r="AW151" s="113"/>
      <c r="AX151" s="113"/>
      <c r="AY151" s="113"/>
      <c r="AZ151" s="113"/>
      <c r="BA151" s="113"/>
      <c r="BB151" s="113"/>
      <c r="BC151" s="113"/>
      <c r="BD151" s="113"/>
      <c r="BE151" s="113"/>
      <c r="BF151" s="113"/>
      <c r="BG151" s="113"/>
      <c r="BH151" s="113"/>
      <c r="BI151" s="113"/>
      <c r="BJ151" s="113"/>
      <c r="BK151" s="113"/>
      <c r="BL151" s="113"/>
      <c r="BM151" s="113"/>
      <c r="BN151" s="113"/>
      <c r="BO151" s="113"/>
      <c r="BP151" s="113"/>
      <c r="BQ151" s="113"/>
      <c r="BR151" s="113"/>
      <c r="BS151" s="113"/>
      <c r="BT151" s="113"/>
      <c r="BU151" s="113"/>
      <c r="BV151" s="113"/>
      <c r="BW151" s="113"/>
      <c r="BX151" s="113"/>
      <c r="BY151" s="113"/>
      <c r="BZ151" s="113"/>
      <c r="CA151" s="113"/>
      <c r="CB151" s="113"/>
      <c r="CC151" s="113"/>
      <c r="CD151" s="113"/>
      <c r="CE151" s="113"/>
      <c r="CF151" s="113"/>
      <c r="CG151" s="113"/>
      <c r="CH151" s="113"/>
      <c r="CI151" s="113"/>
      <c r="CJ151" s="113"/>
      <c r="CK151" s="113"/>
      <c r="CL151" s="113"/>
      <c r="CM151" s="113"/>
      <c r="CN151" s="113"/>
      <c r="CO151" s="113"/>
      <c r="CP151" s="113"/>
      <c r="CQ151" s="113"/>
      <c r="CR151" s="113"/>
      <c r="CS151" s="113"/>
      <c r="CT151" s="113"/>
      <c r="CU151" s="113"/>
      <c r="CV151" s="114"/>
      <c r="CW151" s="114"/>
      <c r="CX151" s="114"/>
      <c r="CY151" s="114"/>
      <c r="CZ151" s="114"/>
      <c r="DA151" s="114"/>
      <c r="DB151" s="114"/>
      <c r="DC151" s="114"/>
      <c r="DD151" s="114"/>
      <c r="DE151" s="114"/>
      <c r="DF151" s="114"/>
      <c r="DG151" s="114"/>
      <c r="DH151" s="114"/>
      <c r="DI151" s="114"/>
      <c r="DJ151" s="114"/>
      <c r="DK151" s="114"/>
      <c r="DL151" s="114"/>
      <c r="DM151" s="114"/>
      <c r="DN151" s="114"/>
      <c r="DO151" s="114"/>
      <c r="DP151" s="114"/>
      <c r="DQ151" s="114"/>
      <c r="DR151" s="114"/>
      <c r="DS151" s="114"/>
      <c r="DT151" s="114"/>
      <c r="DU151" s="114"/>
      <c r="DV151" s="114"/>
      <c r="DW151" s="114"/>
      <c r="DX151" s="114"/>
      <c r="DY151" s="114"/>
      <c r="DZ151" s="114"/>
      <c r="EA151" s="114"/>
      <c r="EB151" s="114"/>
      <c r="EC151" s="114"/>
      <c r="ED151" s="114"/>
      <c r="EE151" s="115"/>
      <c r="EF151" s="115"/>
      <c r="EG151" s="115"/>
      <c r="EH151" s="115"/>
      <c r="EI151" s="115"/>
      <c r="EJ151" s="115"/>
      <c r="EK151" s="115"/>
      <c r="EL151" s="115"/>
      <c r="EM151" s="115"/>
      <c r="EN151" s="115"/>
      <c r="EO151" s="115"/>
      <c r="EP151" s="115"/>
      <c r="EQ151" s="115"/>
      <c r="ER151" s="115"/>
      <c r="ES151" s="115"/>
      <c r="ET151" s="115"/>
      <c r="EU151" s="115"/>
      <c r="EV151" s="115"/>
      <c r="EW151" s="115"/>
      <c r="EX151" s="115"/>
      <c r="EY151" s="115"/>
      <c r="EZ151" s="115"/>
      <c r="FA151" s="115"/>
      <c r="FB151" s="115"/>
      <c r="FC151" s="115"/>
      <c r="FD151" s="115"/>
      <c r="FE151" s="115"/>
      <c r="FF151" s="115"/>
      <c r="FG151" s="115"/>
      <c r="FH151" s="115"/>
      <c r="FI151" s="115"/>
      <c r="FJ151" s="115"/>
      <c r="FK151" s="115"/>
      <c r="FL151" s="115"/>
      <c r="FM151" s="115"/>
      <c r="FN151" s="115"/>
    </row>
    <row r="152" spans="1:170" s="14" customFormat="1" ht="18" hidden="1" customHeight="1">
      <c r="A152" s="1808" t="s">
        <v>24</v>
      </c>
      <c r="B152" s="30"/>
      <c r="C152" s="932" t="s">
        <v>736</v>
      </c>
      <c r="D152" s="932"/>
      <c r="E152" s="932"/>
      <c r="F152" s="932" t="s">
        <v>210</v>
      </c>
      <c r="G152" s="932"/>
      <c r="H152" s="932"/>
      <c r="I152" s="933" t="s">
        <v>211</v>
      </c>
      <c r="J152" s="934" t="s">
        <v>239</v>
      </c>
      <c r="K152" s="934"/>
      <c r="L152" s="935"/>
      <c r="M152" s="936" t="e">
        <f>INDEX(Eingabedaten!$D$10:$CY$54,nutzid,MATCH($C152,Eingabedaten!$D$7:$CY$7,0))</f>
        <v>#N/A</v>
      </c>
      <c r="N152" s="936" t="e">
        <f>INDEX(Eingabedaten!$D$10:$CY$54,nutzid,MATCH($C152,Eingabedaten!$D$7:$CY$7,0)+1)</f>
        <v>#N/A</v>
      </c>
      <c r="O152" s="936" t="e">
        <f>INDEX(Eingabedaten!$D$10:$CY$54,nutzid,MATCH($C152,Eingabedaten!$D$7:$CY$7,0)+2)</f>
        <v>#N/A</v>
      </c>
      <c r="P152" s="493">
        <v>0</v>
      </c>
      <c r="Q152" s="920">
        <v>0</v>
      </c>
      <c r="R152" s="493">
        <v>0</v>
      </c>
      <c r="S152" s="127"/>
      <c r="T152" s="169"/>
      <c r="U152" s="169"/>
      <c r="V152" s="126"/>
      <c r="W152" s="306"/>
      <c r="X152" s="306"/>
      <c r="Y152" s="126"/>
      <c r="Z152" s="306"/>
      <c r="AA152" s="306"/>
      <c r="AB152" s="127"/>
      <c r="AC152" s="169"/>
      <c r="AD152" s="169"/>
      <c r="AE152" s="129"/>
      <c r="AF152" s="129"/>
      <c r="AG152" s="129"/>
      <c r="AH152" s="129"/>
      <c r="AI152" s="129"/>
      <c r="AJ152" s="129"/>
      <c r="AK152" s="129"/>
      <c r="AL152" s="129"/>
      <c r="AM152" s="129"/>
      <c r="AN152" s="129"/>
      <c r="AO152" s="129"/>
      <c r="AP152" s="163"/>
      <c r="AQ152" s="163"/>
      <c r="AR152" s="111"/>
      <c r="AS152" s="111"/>
      <c r="AT152" s="111"/>
      <c r="AU152" s="111"/>
      <c r="AV152" s="111"/>
      <c r="AW152" s="111"/>
      <c r="AX152" s="111"/>
      <c r="AY152" s="111"/>
      <c r="AZ152" s="111"/>
      <c r="BA152" s="111"/>
      <c r="BB152" s="111"/>
      <c r="BC152" s="111"/>
      <c r="BD152" s="111"/>
      <c r="BE152" s="111"/>
      <c r="BF152" s="111"/>
      <c r="BG152" s="111"/>
      <c r="BH152" s="111"/>
      <c r="BI152" s="111"/>
      <c r="BJ152" s="111"/>
      <c r="BK152" s="111"/>
      <c r="BL152" s="111"/>
      <c r="BM152" s="111"/>
      <c r="BN152" s="111"/>
      <c r="BO152" s="111"/>
      <c r="BP152" s="111"/>
      <c r="BQ152" s="111"/>
      <c r="BR152" s="111"/>
      <c r="BS152" s="111"/>
      <c r="BT152" s="111"/>
      <c r="BU152" s="111"/>
      <c r="BV152" s="111"/>
      <c r="BW152" s="111"/>
      <c r="BX152" s="111"/>
      <c r="BY152" s="111"/>
      <c r="BZ152" s="111"/>
      <c r="CA152" s="111"/>
      <c r="CB152" s="111"/>
      <c r="CC152" s="111"/>
      <c r="CD152" s="111"/>
      <c r="CE152" s="111"/>
      <c r="CF152" s="111"/>
      <c r="CG152" s="111"/>
      <c r="CH152" s="111"/>
      <c r="CI152" s="111"/>
      <c r="CJ152" s="111"/>
      <c r="CK152" s="111"/>
      <c r="CL152" s="111"/>
      <c r="CM152" s="111"/>
      <c r="CN152" s="111"/>
      <c r="CO152" s="111"/>
      <c r="CP152" s="111"/>
      <c r="CQ152" s="111"/>
      <c r="CR152" s="111"/>
      <c r="CS152" s="111"/>
      <c r="CT152" s="111"/>
      <c r="CU152" s="111"/>
      <c r="CV152" s="111"/>
      <c r="CW152" s="111"/>
      <c r="CX152" s="111"/>
      <c r="CY152" s="111"/>
      <c r="CZ152" s="111"/>
      <c r="DA152" s="111"/>
      <c r="DB152" s="111"/>
      <c r="DC152" s="111"/>
      <c r="DD152" s="111"/>
      <c r="DE152" s="112"/>
      <c r="DF152" s="112"/>
      <c r="DG152" s="112"/>
      <c r="DH152" s="112"/>
      <c r="DI152" s="112"/>
      <c r="DJ152" s="112"/>
      <c r="DK152" s="112"/>
      <c r="DL152" s="112"/>
      <c r="DM152" s="112"/>
      <c r="DN152" s="112"/>
      <c r="DO152" s="112"/>
      <c r="DP152" s="112"/>
      <c r="DQ152" s="112"/>
      <c r="DR152" s="112"/>
      <c r="DS152" s="112"/>
      <c r="DT152" s="112"/>
      <c r="DU152" s="112"/>
      <c r="DV152" s="112"/>
      <c r="DW152" s="112"/>
      <c r="DX152" s="112"/>
      <c r="DY152" s="112"/>
      <c r="DZ152" s="112"/>
      <c r="EA152" s="112"/>
      <c r="EB152" s="112"/>
      <c r="EC152" s="112"/>
      <c r="ED152" s="112"/>
      <c r="EE152" s="111"/>
      <c r="EF152" s="111"/>
      <c r="EG152" s="111"/>
      <c r="EH152" s="111"/>
      <c r="EI152" s="111"/>
      <c r="EJ152" s="111"/>
      <c r="EK152" s="111"/>
      <c r="EL152" s="111"/>
      <c r="EM152" s="111"/>
      <c r="EN152" s="111"/>
      <c r="EO152" s="111"/>
      <c r="EP152" s="111"/>
      <c r="EQ152" s="111"/>
      <c r="ER152" s="111"/>
      <c r="ES152" s="111"/>
      <c r="ET152" s="111"/>
      <c r="EU152" s="111"/>
      <c r="EV152" s="111"/>
      <c r="EW152" s="111"/>
      <c r="EX152" s="111"/>
      <c r="EY152" s="111"/>
      <c r="EZ152" s="111"/>
      <c r="FA152" s="111"/>
      <c r="FB152" s="111"/>
      <c r="FC152" s="111"/>
      <c r="FD152" s="111"/>
      <c r="FE152" s="111"/>
      <c r="FF152" s="111"/>
      <c r="FG152" s="111"/>
      <c r="FH152" s="111"/>
      <c r="FI152" s="111"/>
      <c r="FJ152" s="111"/>
      <c r="FK152" s="111"/>
      <c r="FL152" s="111"/>
      <c r="FM152" s="111"/>
      <c r="FN152" s="111"/>
    </row>
    <row r="153" spans="1:170" s="14" customFormat="1" ht="18" hidden="1" customHeight="1">
      <c r="A153" s="1808"/>
      <c r="B153" s="30"/>
      <c r="C153" s="1029" t="s">
        <v>758</v>
      </c>
      <c r="D153" s="932"/>
      <c r="E153" s="932"/>
      <c r="F153" s="932"/>
      <c r="G153" s="932"/>
      <c r="H153" s="932"/>
      <c r="I153" s="937" t="s">
        <v>251</v>
      </c>
      <c r="J153" s="934" t="s">
        <v>272</v>
      </c>
      <c r="K153" s="934"/>
      <c r="L153" s="938"/>
      <c r="M153" s="936">
        <v>0.7</v>
      </c>
      <c r="N153" s="936"/>
      <c r="O153" s="936"/>
      <c r="P153" s="493">
        <v>0</v>
      </c>
      <c r="Q153" s="920">
        <v>0</v>
      </c>
      <c r="R153" s="493">
        <v>0</v>
      </c>
      <c r="S153" s="127"/>
      <c r="T153" s="169"/>
      <c r="U153" s="169"/>
      <c r="V153" s="126"/>
      <c r="W153" s="306"/>
      <c r="X153" s="306"/>
      <c r="Y153" s="126"/>
      <c r="Z153" s="306"/>
      <c r="AA153" s="306"/>
      <c r="AB153" s="127"/>
      <c r="AC153" s="169"/>
      <c r="AD153" s="169"/>
      <c r="AE153" s="129"/>
      <c r="AF153" s="129"/>
      <c r="AG153" s="129"/>
      <c r="AH153" s="129"/>
      <c r="AI153" s="129"/>
      <c r="AJ153" s="129"/>
      <c r="AK153" s="129"/>
      <c r="AL153" s="129"/>
      <c r="AM153" s="129"/>
      <c r="AN153" s="129"/>
      <c r="AO153" s="129"/>
      <c r="AP153" s="163"/>
      <c r="AQ153" s="163"/>
      <c r="AR153" s="111"/>
      <c r="AS153" s="111"/>
      <c r="AT153" s="111"/>
      <c r="AU153" s="111"/>
      <c r="AV153" s="111"/>
      <c r="AW153" s="111"/>
      <c r="AX153" s="111"/>
      <c r="AY153" s="111"/>
      <c r="AZ153" s="111"/>
      <c r="BA153" s="111"/>
      <c r="BB153" s="111"/>
      <c r="BC153" s="111"/>
      <c r="BD153" s="111"/>
      <c r="BE153" s="111"/>
      <c r="BF153" s="111"/>
      <c r="BG153" s="111"/>
      <c r="BH153" s="111"/>
      <c r="BI153" s="111"/>
      <c r="BJ153" s="111"/>
      <c r="BK153" s="111"/>
      <c r="BL153" s="111"/>
      <c r="BM153" s="111"/>
      <c r="BN153" s="111"/>
      <c r="BO153" s="111"/>
      <c r="BP153" s="111"/>
      <c r="BQ153" s="111"/>
      <c r="BR153" s="111"/>
      <c r="BS153" s="111"/>
      <c r="BT153" s="111"/>
      <c r="BU153" s="111"/>
      <c r="BV153" s="111"/>
      <c r="BW153" s="111"/>
      <c r="BX153" s="111"/>
      <c r="BY153" s="111"/>
      <c r="BZ153" s="111"/>
      <c r="CA153" s="111"/>
      <c r="CB153" s="111"/>
      <c r="CC153" s="111"/>
      <c r="CD153" s="111"/>
      <c r="CE153" s="111"/>
      <c r="CF153" s="111"/>
      <c r="CG153" s="111"/>
      <c r="CH153" s="111"/>
      <c r="CI153" s="111"/>
      <c r="CJ153" s="111"/>
      <c r="CK153" s="111"/>
      <c r="CL153" s="111"/>
      <c r="CM153" s="111"/>
      <c r="CN153" s="111"/>
      <c r="CO153" s="111"/>
      <c r="CP153" s="111"/>
      <c r="CQ153" s="111"/>
      <c r="CR153" s="111"/>
      <c r="CS153" s="111"/>
      <c r="CT153" s="111"/>
      <c r="CU153" s="111"/>
      <c r="CV153" s="111"/>
      <c r="CW153" s="111"/>
      <c r="CX153" s="111"/>
      <c r="CY153" s="111"/>
      <c r="CZ153" s="111"/>
      <c r="DA153" s="111"/>
      <c r="DB153" s="111"/>
      <c r="DC153" s="111"/>
      <c r="DD153" s="111"/>
      <c r="DE153" s="111"/>
      <c r="DF153" s="111"/>
      <c r="DG153" s="111"/>
      <c r="DH153" s="111"/>
      <c r="DI153" s="111"/>
      <c r="DJ153" s="111"/>
      <c r="DK153" s="111"/>
      <c r="DL153" s="112"/>
      <c r="DM153" s="112"/>
      <c r="DN153" s="112"/>
      <c r="DO153" s="112"/>
      <c r="DP153" s="112"/>
      <c r="DQ153" s="112"/>
      <c r="DR153" s="112"/>
      <c r="DS153" s="112"/>
      <c r="DT153" s="112"/>
      <c r="DU153" s="112"/>
      <c r="DV153" s="112"/>
      <c r="DW153" s="112"/>
      <c r="DX153" s="112"/>
      <c r="DY153" s="112"/>
      <c r="DZ153" s="112"/>
      <c r="EA153" s="112"/>
      <c r="EB153" s="112"/>
      <c r="EC153" s="112"/>
      <c r="ED153" s="112"/>
      <c r="EE153" s="111"/>
      <c r="EF153" s="111"/>
      <c r="EG153" s="111"/>
      <c r="EH153" s="111"/>
      <c r="EI153" s="111"/>
      <c r="EJ153" s="111"/>
      <c r="EK153" s="111"/>
      <c r="EL153" s="111"/>
      <c r="EM153" s="111"/>
      <c r="EN153" s="111"/>
      <c r="EO153" s="111"/>
      <c r="EP153" s="111"/>
      <c r="EQ153" s="111"/>
      <c r="ER153" s="111"/>
      <c r="ES153" s="111"/>
      <c r="ET153" s="111"/>
      <c r="EU153" s="111"/>
      <c r="EV153" s="111"/>
      <c r="EW153" s="111"/>
      <c r="EX153" s="111"/>
      <c r="EY153" s="111"/>
      <c r="EZ153" s="111"/>
      <c r="FA153" s="111"/>
      <c r="FB153" s="111"/>
      <c r="FC153" s="111"/>
      <c r="FD153" s="111"/>
      <c r="FE153" s="111"/>
      <c r="FF153" s="111"/>
      <c r="FG153" s="111"/>
      <c r="FH153" s="111"/>
      <c r="FI153" s="111"/>
      <c r="FJ153" s="111"/>
      <c r="FK153" s="111"/>
      <c r="FL153" s="111"/>
      <c r="FM153" s="111"/>
      <c r="FN153" s="111"/>
    </row>
    <row r="154" spans="1:170" s="14" customFormat="1" ht="18" hidden="1" customHeight="1">
      <c r="A154" s="1808"/>
      <c r="B154" s="30"/>
      <c r="C154" s="1030" t="s">
        <v>759</v>
      </c>
      <c r="D154" s="939"/>
      <c r="E154" s="940"/>
      <c r="F154" s="941"/>
      <c r="G154" s="941"/>
      <c r="H154" s="941"/>
      <c r="I154" s="933" t="s">
        <v>228</v>
      </c>
      <c r="J154" s="934" t="s">
        <v>229</v>
      </c>
      <c r="K154" s="934"/>
      <c r="L154" s="942"/>
      <c r="M154" s="938">
        <f>IF(M32="",0,(288.58*(1.098+21/100)^(8.02))/((273+20)*461.5)*M32/100*1000)</f>
        <v>5.514958704941062</v>
      </c>
      <c r="N154" s="943">
        <f>M154</f>
        <v>5.514958704941062</v>
      </c>
      <c r="O154" s="943">
        <f>M154</f>
        <v>5.514958704941062</v>
      </c>
      <c r="P154" s="493">
        <v>0</v>
      </c>
      <c r="Q154" s="920">
        <v>0</v>
      </c>
      <c r="R154" s="493">
        <v>0</v>
      </c>
      <c r="S154" s="127"/>
      <c r="T154" s="169"/>
      <c r="U154" s="169"/>
      <c r="V154" s="126"/>
      <c r="W154" s="306"/>
      <c r="X154" s="306"/>
      <c r="Y154" s="126"/>
      <c r="Z154" s="306"/>
      <c r="AA154" s="306"/>
      <c r="AB154" s="127"/>
      <c r="AC154" s="169"/>
      <c r="AD154" s="169"/>
      <c r="AE154" s="129"/>
      <c r="AF154" s="129"/>
      <c r="AG154" s="129"/>
      <c r="AH154" s="129"/>
      <c r="AI154" s="129"/>
      <c r="AJ154" s="129"/>
      <c r="AK154" s="129"/>
      <c r="AL154" s="129"/>
      <c r="AM154" s="129"/>
      <c r="AN154" s="129"/>
      <c r="AO154" s="129"/>
      <c r="AP154" s="163"/>
      <c r="AQ154" s="163"/>
      <c r="AR154" s="111"/>
      <c r="AS154" s="111"/>
      <c r="AT154" s="111"/>
      <c r="AU154" s="111"/>
      <c r="AV154" s="111"/>
      <c r="AW154" s="111"/>
      <c r="AX154" s="111"/>
      <c r="AY154" s="111"/>
      <c r="AZ154" s="111"/>
      <c r="BA154" s="111"/>
      <c r="BB154" s="111"/>
      <c r="BC154" s="111"/>
      <c r="BD154" s="111"/>
      <c r="BE154" s="111"/>
      <c r="BF154" s="111"/>
      <c r="BG154" s="111"/>
      <c r="BH154" s="111"/>
      <c r="BI154" s="111"/>
      <c r="BJ154" s="111"/>
      <c r="BK154" s="111"/>
      <c r="BL154" s="111"/>
      <c r="BM154" s="111"/>
      <c r="BN154" s="111"/>
      <c r="BO154" s="111"/>
      <c r="BP154" s="111"/>
      <c r="BQ154" s="111"/>
      <c r="BR154" s="111"/>
      <c r="BS154" s="111"/>
      <c r="BT154" s="111"/>
      <c r="BU154" s="111"/>
      <c r="BV154" s="111"/>
      <c r="BW154" s="111"/>
      <c r="BX154" s="111"/>
      <c r="BY154" s="111"/>
      <c r="BZ154" s="111"/>
      <c r="CA154" s="111"/>
      <c r="CB154" s="111"/>
      <c r="CC154" s="111"/>
      <c r="CD154" s="111"/>
      <c r="CE154" s="111"/>
      <c r="CF154" s="111"/>
      <c r="CG154" s="111"/>
      <c r="CH154" s="111"/>
      <c r="CI154" s="111"/>
      <c r="CJ154" s="111"/>
      <c r="CK154" s="111"/>
      <c r="CL154" s="111"/>
      <c r="CM154" s="111"/>
      <c r="CN154" s="111"/>
      <c r="CO154" s="111"/>
      <c r="CP154" s="111"/>
      <c r="CQ154" s="111"/>
      <c r="CR154" s="111"/>
      <c r="CS154" s="111"/>
      <c r="CT154" s="111"/>
      <c r="CU154" s="111"/>
      <c r="CV154" s="111"/>
      <c r="CW154" s="111"/>
      <c r="CX154" s="111"/>
      <c r="CY154" s="111"/>
      <c r="CZ154" s="111"/>
      <c r="DA154" s="111"/>
      <c r="DB154" s="111"/>
      <c r="DC154" s="111"/>
      <c r="DD154" s="111"/>
      <c r="DE154" s="111"/>
      <c r="DF154" s="111"/>
      <c r="DG154" s="111"/>
      <c r="DH154" s="111"/>
      <c r="DI154" s="111"/>
      <c r="DJ154" s="111"/>
      <c r="DK154" s="111"/>
      <c r="DL154" s="112"/>
      <c r="DM154" s="112"/>
      <c r="DN154" s="112"/>
      <c r="DO154" s="112"/>
      <c r="DP154" s="112"/>
      <c r="DQ154" s="112"/>
      <c r="DR154" s="112"/>
      <c r="DS154" s="112"/>
      <c r="DT154" s="112"/>
      <c r="DU154" s="112"/>
      <c r="DV154" s="112"/>
      <c r="DW154" s="112"/>
      <c r="DX154" s="112"/>
      <c r="DY154" s="112"/>
      <c r="DZ154" s="112"/>
      <c r="EA154" s="112"/>
      <c r="EB154" s="112"/>
      <c r="EC154" s="112"/>
      <c r="ED154" s="112"/>
      <c r="EE154" s="111"/>
      <c r="EF154" s="111"/>
      <c r="EG154" s="111"/>
      <c r="EH154" s="111"/>
      <c r="EI154" s="111"/>
      <c r="EJ154" s="111"/>
      <c r="EK154" s="111"/>
      <c r="EL154" s="111"/>
      <c r="EM154" s="111"/>
      <c r="EN154" s="111"/>
      <c r="EO154" s="111"/>
      <c r="EP154" s="111"/>
      <c r="EQ154" s="111"/>
      <c r="ER154" s="111"/>
      <c r="ES154" s="111"/>
      <c r="ET154" s="111"/>
      <c r="EU154" s="111"/>
      <c r="EV154" s="111"/>
      <c r="EW154" s="111"/>
      <c r="EX154" s="111"/>
      <c r="EY154" s="111"/>
      <c r="EZ154" s="111"/>
      <c r="FA154" s="111"/>
      <c r="FB154" s="111"/>
      <c r="FC154" s="111"/>
      <c r="FD154" s="111"/>
      <c r="FE154" s="111"/>
      <c r="FF154" s="111"/>
      <c r="FG154" s="111"/>
      <c r="FH154" s="111"/>
      <c r="FI154" s="111"/>
      <c r="FJ154" s="111"/>
      <c r="FK154" s="111"/>
      <c r="FL154" s="111"/>
      <c r="FM154" s="111"/>
      <c r="FN154" s="111"/>
    </row>
    <row r="155" spans="1:170" s="14" customFormat="1" ht="18" hidden="1" customHeight="1">
      <c r="A155" s="1808"/>
      <c r="B155" s="30"/>
      <c r="C155" s="1030" t="s">
        <v>760</v>
      </c>
      <c r="D155" s="939"/>
      <c r="E155" s="940"/>
      <c r="F155" s="941" t="s">
        <v>222</v>
      </c>
      <c r="G155" s="941"/>
      <c r="H155" s="941"/>
      <c r="I155" s="933" t="s">
        <v>230</v>
      </c>
      <c r="J155" s="934" t="s">
        <v>229</v>
      </c>
      <c r="K155" s="934"/>
      <c r="L155" s="942"/>
      <c r="M155" s="944">
        <v>1.1499999999999999</v>
      </c>
      <c r="N155" s="938"/>
      <c r="O155" s="938"/>
      <c r="P155" s="493">
        <v>0</v>
      </c>
      <c r="Q155" s="920">
        <v>0</v>
      </c>
      <c r="R155" s="493">
        <v>0</v>
      </c>
      <c r="S155" s="127"/>
      <c r="T155" s="169"/>
      <c r="U155" s="169"/>
      <c r="V155" s="126"/>
      <c r="W155" s="306"/>
      <c r="X155" s="306"/>
      <c r="Y155" s="126"/>
      <c r="Z155" s="306"/>
      <c r="AA155" s="306"/>
      <c r="AB155" s="127"/>
      <c r="AC155" s="169"/>
      <c r="AD155" s="169"/>
      <c r="AE155" s="129"/>
      <c r="AF155" s="129"/>
      <c r="AG155" s="129"/>
      <c r="AH155" s="129"/>
      <c r="AI155" s="129"/>
      <c r="AJ155" s="129"/>
      <c r="AK155" s="129"/>
      <c r="AL155" s="129"/>
      <c r="AM155" s="129"/>
      <c r="AN155" s="129"/>
      <c r="AO155" s="129"/>
      <c r="AP155" s="163"/>
      <c r="AQ155" s="163"/>
      <c r="AR155" s="111"/>
      <c r="AS155" s="111"/>
      <c r="AT155" s="111"/>
      <c r="AU155" s="111"/>
      <c r="AV155" s="111"/>
      <c r="AW155" s="111"/>
      <c r="AX155" s="111"/>
      <c r="AY155" s="111"/>
      <c r="AZ155" s="111"/>
      <c r="BA155" s="111"/>
      <c r="BB155" s="111"/>
      <c r="BC155" s="111"/>
      <c r="BD155" s="111"/>
      <c r="BE155" s="111"/>
      <c r="BF155" s="111"/>
      <c r="BG155" s="111"/>
      <c r="BH155" s="111"/>
      <c r="BI155" s="111"/>
      <c r="BJ155" s="111"/>
      <c r="BK155" s="111"/>
      <c r="BL155" s="111"/>
      <c r="BM155" s="111"/>
      <c r="BN155" s="111"/>
      <c r="BO155" s="111"/>
      <c r="BP155" s="111"/>
      <c r="BQ155" s="111"/>
      <c r="BR155" s="111"/>
      <c r="BS155" s="111"/>
      <c r="BT155" s="111"/>
      <c r="BU155" s="111"/>
      <c r="BV155" s="111"/>
      <c r="BW155" s="111"/>
      <c r="BX155" s="111"/>
      <c r="BY155" s="111"/>
      <c r="BZ155" s="111"/>
      <c r="CA155" s="111"/>
      <c r="CB155" s="111"/>
      <c r="CC155" s="111"/>
      <c r="CD155" s="111"/>
      <c r="CE155" s="111"/>
      <c r="CF155" s="111"/>
      <c r="CG155" s="111"/>
      <c r="CH155" s="111"/>
      <c r="CI155" s="111"/>
      <c r="CJ155" s="111"/>
      <c r="CK155" s="111"/>
      <c r="CL155" s="111"/>
      <c r="CM155" s="111"/>
      <c r="CN155" s="111"/>
      <c r="CO155" s="111"/>
      <c r="CP155" s="111"/>
      <c r="CQ155" s="111"/>
      <c r="CR155" s="111"/>
      <c r="CS155" s="111"/>
      <c r="CT155" s="111"/>
      <c r="CU155" s="111"/>
      <c r="CV155" s="111"/>
      <c r="CW155" s="111"/>
      <c r="CX155" s="111"/>
      <c r="CY155" s="111"/>
      <c r="CZ155" s="111"/>
      <c r="DA155" s="111"/>
      <c r="DB155" s="111"/>
      <c r="DC155" s="111"/>
      <c r="DD155" s="111"/>
      <c r="DE155" s="111"/>
      <c r="DF155" s="111"/>
      <c r="DG155" s="111"/>
      <c r="DH155" s="111"/>
      <c r="DI155" s="111"/>
      <c r="DJ155" s="111"/>
      <c r="DK155" s="111"/>
      <c r="DL155" s="112"/>
      <c r="DM155" s="112"/>
      <c r="DN155" s="112"/>
      <c r="DO155" s="112"/>
      <c r="DP155" s="112"/>
      <c r="DQ155" s="112"/>
      <c r="DR155" s="112"/>
      <c r="DS155" s="112"/>
      <c r="DT155" s="112"/>
      <c r="DU155" s="112"/>
      <c r="DV155" s="112"/>
      <c r="DW155" s="112"/>
      <c r="DX155" s="112"/>
      <c r="DY155" s="112"/>
      <c r="DZ155" s="112"/>
      <c r="EA155" s="112"/>
      <c r="EB155" s="112"/>
      <c r="EC155" s="112"/>
      <c r="ED155" s="112"/>
      <c r="EE155" s="111"/>
      <c r="EF155" s="111"/>
      <c r="EG155" s="111"/>
      <c r="EH155" s="111"/>
      <c r="EI155" s="111"/>
      <c r="EJ155" s="111"/>
      <c r="EK155" s="111"/>
      <c r="EL155" s="111"/>
      <c r="EM155" s="111"/>
      <c r="EN155" s="111"/>
      <c r="EO155" s="111"/>
      <c r="EP155" s="111"/>
      <c r="EQ155" s="111"/>
      <c r="ER155" s="111"/>
      <c r="ES155" s="111"/>
      <c r="ET155" s="111"/>
      <c r="EU155" s="111"/>
      <c r="EV155" s="111"/>
      <c r="EW155" s="111"/>
      <c r="EX155" s="111"/>
      <c r="EY155" s="111"/>
      <c r="EZ155" s="111"/>
      <c r="FA155" s="111"/>
      <c r="FB155" s="111"/>
      <c r="FC155" s="111"/>
      <c r="FD155" s="111"/>
      <c r="FE155" s="111"/>
      <c r="FF155" s="111"/>
      <c r="FG155" s="111"/>
      <c r="FH155" s="111"/>
      <c r="FI155" s="111"/>
      <c r="FJ155" s="111"/>
      <c r="FK155" s="111"/>
      <c r="FL155" s="111"/>
      <c r="FM155" s="111"/>
      <c r="FN155" s="111"/>
    </row>
    <row r="156" spans="1:170" s="14" customFormat="1" ht="18" hidden="1" customHeight="1">
      <c r="A156" s="1808"/>
      <c r="B156" s="30"/>
      <c r="C156" s="1030" t="s">
        <v>761</v>
      </c>
      <c r="D156" s="939"/>
      <c r="E156" s="940"/>
      <c r="F156" s="941"/>
      <c r="G156" s="941"/>
      <c r="H156" s="941"/>
      <c r="I156" s="945" t="s">
        <v>220</v>
      </c>
      <c r="J156" s="934" t="s">
        <v>221</v>
      </c>
      <c r="K156" s="934"/>
      <c r="L156" s="942"/>
      <c r="M156" s="938">
        <v>1.1399999999999999</v>
      </c>
      <c r="N156" s="938"/>
      <c r="O156" s="938"/>
      <c r="P156" s="493">
        <v>0</v>
      </c>
      <c r="Q156" s="920">
        <v>0</v>
      </c>
      <c r="R156" s="493">
        <v>0</v>
      </c>
      <c r="S156" s="127" t="s">
        <v>190</v>
      </c>
      <c r="T156" s="169"/>
      <c r="U156" s="169"/>
      <c r="V156" s="126"/>
      <c r="W156" s="306"/>
      <c r="X156" s="306"/>
      <c r="Y156" s="126"/>
      <c r="Z156" s="306"/>
      <c r="AA156" s="306"/>
      <c r="AB156" s="127"/>
      <c r="AC156" s="169"/>
      <c r="AD156" s="169"/>
      <c r="AE156" s="129"/>
      <c r="AF156" s="129"/>
      <c r="AG156" s="129"/>
      <c r="AH156" s="129"/>
      <c r="AI156" s="129"/>
      <c r="AJ156" s="129"/>
      <c r="AK156" s="129"/>
      <c r="AL156" s="129"/>
      <c r="AM156" s="129"/>
      <c r="AN156" s="129"/>
      <c r="AO156" s="129"/>
      <c r="AP156" s="163"/>
      <c r="AQ156" s="163"/>
      <c r="AR156" s="111"/>
      <c r="AS156" s="111"/>
      <c r="AT156" s="111"/>
      <c r="AU156" s="111"/>
      <c r="AV156" s="111"/>
      <c r="AW156" s="111"/>
      <c r="AX156" s="111"/>
      <c r="AY156" s="111"/>
      <c r="AZ156" s="111"/>
      <c r="BA156" s="111"/>
      <c r="BB156" s="111"/>
      <c r="BC156" s="111"/>
      <c r="BD156" s="111"/>
      <c r="BE156" s="111"/>
      <c r="BF156" s="111"/>
      <c r="BG156" s="111"/>
      <c r="BH156" s="111"/>
      <c r="BI156" s="111"/>
      <c r="BJ156" s="111"/>
      <c r="BK156" s="111"/>
      <c r="BL156" s="111"/>
      <c r="BM156" s="111"/>
      <c r="BN156" s="111"/>
      <c r="BO156" s="111"/>
      <c r="BP156" s="111"/>
      <c r="BQ156" s="111"/>
      <c r="BR156" s="111"/>
      <c r="BS156" s="111"/>
      <c r="BT156" s="111"/>
      <c r="BU156" s="111"/>
      <c r="BV156" s="111"/>
      <c r="BW156" s="111"/>
      <c r="BX156" s="111"/>
      <c r="BY156" s="111"/>
      <c r="BZ156" s="111"/>
      <c r="CA156" s="111"/>
      <c r="CB156" s="111"/>
      <c r="CC156" s="111"/>
      <c r="CD156" s="111"/>
      <c r="CE156" s="111"/>
      <c r="CF156" s="111"/>
      <c r="CG156" s="111"/>
      <c r="CH156" s="111"/>
      <c r="CI156" s="111"/>
      <c r="CJ156" s="111"/>
      <c r="CK156" s="111"/>
      <c r="CL156" s="111"/>
      <c r="CM156" s="111"/>
      <c r="CN156" s="111"/>
      <c r="CO156" s="111"/>
      <c r="CP156" s="111"/>
      <c r="CQ156" s="111"/>
      <c r="CR156" s="111"/>
      <c r="CS156" s="111"/>
      <c r="CT156" s="111"/>
      <c r="CU156" s="111"/>
      <c r="CV156" s="111"/>
      <c r="CW156" s="111"/>
      <c r="CX156" s="111"/>
      <c r="CY156" s="111"/>
      <c r="CZ156" s="111"/>
      <c r="DA156" s="111"/>
      <c r="DB156" s="111"/>
      <c r="DC156" s="111"/>
      <c r="DD156" s="111"/>
      <c r="DE156" s="111"/>
      <c r="DF156" s="111"/>
      <c r="DG156" s="111"/>
      <c r="DH156" s="111"/>
      <c r="DI156" s="111"/>
      <c r="DJ156" s="111"/>
      <c r="DK156" s="111"/>
      <c r="DL156" s="112"/>
      <c r="DM156" s="112"/>
      <c r="DN156" s="112"/>
      <c r="DO156" s="112"/>
      <c r="DP156" s="112"/>
      <c r="DQ156" s="112"/>
      <c r="DR156" s="112"/>
      <c r="DS156" s="112"/>
      <c r="DT156" s="112"/>
      <c r="DU156" s="112"/>
      <c r="DV156" s="112"/>
      <c r="DW156" s="112"/>
      <c r="DX156" s="112"/>
      <c r="DY156" s="112"/>
      <c r="DZ156" s="112"/>
      <c r="EA156" s="112"/>
      <c r="EB156" s="112"/>
      <c r="EC156" s="112"/>
      <c r="ED156" s="112"/>
      <c r="EE156" s="111"/>
      <c r="EF156" s="111"/>
      <c r="EG156" s="111"/>
      <c r="EH156" s="111"/>
      <c r="EI156" s="111"/>
      <c r="EJ156" s="111"/>
      <c r="EK156" s="111"/>
      <c r="EL156" s="111"/>
      <c r="EM156" s="111"/>
      <c r="EN156" s="111"/>
      <c r="EO156" s="111"/>
      <c r="EP156" s="111"/>
      <c r="EQ156" s="111"/>
      <c r="ER156" s="111"/>
      <c r="ES156" s="111"/>
      <c r="ET156" s="111"/>
      <c r="EU156" s="111"/>
      <c r="EV156" s="111"/>
      <c r="EW156" s="111"/>
      <c r="EX156" s="111"/>
      <c r="EY156" s="111"/>
      <c r="EZ156" s="111"/>
      <c r="FA156" s="111"/>
      <c r="FB156" s="111"/>
      <c r="FC156" s="111"/>
      <c r="FD156" s="111"/>
      <c r="FE156" s="111"/>
      <c r="FF156" s="111"/>
      <c r="FG156" s="111"/>
      <c r="FH156" s="111"/>
      <c r="FI156" s="111"/>
      <c r="FJ156" s="111"/>
      <c r="FK156" s="111"/>
      <c r="FL156" s="111"/>
      <c r="FM156" s="111"/>
      <c r="FN156" s="111"/>
    </row>
    <row r="157" spans="1:170" s="14" customFormat="1" ht="18" hidden="1" customHeight="1">
      <c r="A157" s="1808"/>
      <c r="B157" s="30"/>
      <c r="C157" s="1030" t="s">
        <v>762</v>
      </c>
      <c r="D157" s="939"/>
      <c r="E157" s="940"/>
      <c r="F157" s="941"/>
      <c r="G157" s="941"/>
      <c r="H157" s="941"/>
      <c r="I157" s="933" t="s">
        <v>673</v>
      </c>
      <c r="J157" s="934" t="s">
        <v>239</v>
      </c>
      <c r="K157" s="934"/>
      <c r="L157" s="942"/>
      <c r="M157" s="938" t="e">
        <f>IF(M128*($M154-$M155)*(1-$M153)-IF(M130="1-stufig",$M61*$M49/$M48,$M61)-M152&gt;0,M128*($M154-$M155)*(1-$M153)-IF(M130="1-stufig",$M61*$M49/$M48,$M61)-M152,0)</f>
        <v>#N/A</v>
      </c>
      <c r="N157" s="938" t="e">
        <f>IF(N128*($M154-$M155)*(1-$M153)-IF(N130="1-stufig",$M61*$M49/$M48,$M61)-N152&gt;0,N128*($M154-$M155)*(1-$M153)-IF(N130="1-stufig",$M61*$M49/$M48,$M61)-N152,0)</f>
        <v>#N/A</v>
      </c>
      <c r="O157" s="938" t="e">
        <f>IF(O128*($M154-$M155)*(1-$M153)-IF(O130="1-stufig",$M61*$M49/$M48,$M61)-O152&gt;0,O128*($M154-$M155)*(1-$M153)-IF(O130="1-stufig",$M61*$M49/$M48,$M61)-O152,0)</f>
        <v>#N/A</v>
      </c>
      <c r="P157" s="493">
        <v>0</v>
      </c>
      <c r="Q157" s="920">
        <v>0</v>
      </c>
      <c r="R157" s="493">
        <v>0</v>
      </c>
      <c r="S157" s="127"/>
      <c r="T157" s="169"/>
      <c r="U157" s="169"/>
      <c r="V157" s="126"/>
      <c r="W157" s="306"/>
      <c r="X157" s="306"/>
      <c r="Y157" s="126"/>
      <c r="Z157" s="306"/>
      <c r="AA157" s="306"/>
      <c r="AB157" s="127"/>
      <c r="AC157" s="169"/>
      <c r="AD157" s="169"/>
      <c r="AE157" s="129"/>
      <c r="AF157" s="129"/>
      <c r="AG157" s="129"/>
      <c r="AH157" s="129"/>
      <c r="AI157" s="129"/>
      <c r="AJ157" s="129"/>
      <c r="AK157" s="129"/>
      <c r="AL157" s="129"/>
      <c r="AM157" s="129"/>
      <c r="AN157" s="129"/>
      <c r="AO157" s="129"/>
      <c r="AP157" s="163"/>
      <c r="AQ157" s="163"/>
      <c r="AR157" s="111"/>
      <c r="AS157" s="111"/>
      <c r="AT157" s="111"/>
      <c r="AU157" s="111"/>
      <c r="AV157" s="111"/>
      <c r="AW157" s="111"/>
      <c r="AX157" s="111"/>
      <c r="AY157" s="111"/>
      <c r="AZ157" s="111"/>
      <c r="BA157" s="111"/>
      <c r="BB157" s="111"/>
      <c r="BC157" s="111"/>
      <c r="BD157" s="111"/>
      <c r="BE157" s="111"/>
      <c r="BF157" s="111"/>
      <c r="BG157" s="111"/>
      <c r="BH157" s="111"/>
      <c r="BI157" s="111"/>
      <c r="BJ157" s="111"/>
      <c r="BK157" s="111"/>
      <c r="BL157" s="111"/>
      <c r="BM157" s="111"/>
      <c r="BN157" s="111"/>
      <c r="BO157" s="111"/>
      <c r="BP157" s="111"/>
      <c r="BQ157" s="111"/>
      <c r="BR157" s="111"/>
      <c r="BS157" s="111"/>
      <c r="BT157" s="111"/>
      <c r="BU157" s="111"/>
      <c r="BV157" s="111"/>
      <c r="BW157" s="111"/>
      <c r="BX157" s="111"/>
      <c r="BY157" s="111"/>
      <c r="BZ157" s="111"/>
      <c r="CA157" s="111"/>
      <c r="CB157" s="111"/>
      <c r="CC157" s="111"/>
      <c r="CD157" s="111"/>
      <c r="CE157" s="111"/>
      <c r="CF157" s="111"/>
      <c r="CG157" s="111"/>
      <c r="CH157" s="111"/>
      <c r="CI157" s="111"/>
      <c r="CJ157" s="111"/>
      <c r="CK157" s="111"/>
      <c r="CL157" s="111"/>
      <c r="CM157" s="111"/>
      <c r="CN157" s="111"/>
      <c r="CO157" s="111"/>
      <c r="CP157" s="111"/>
      <c r="CQ157" s="111"/>
      <c r="CR157" s="111"/>
      <c r="CS157" s="111"/>
      <c r="CT157" s="111"/>
      <c r="CU157" s="111"/>
      <c r="CV157" s="111"/>
      <c r="CW157" s="111"/>
      <c r="CX157" s="111"/>
      <c r="CY157" s="111"/>
      <c r="CZ157" s="111"/>
      <c r="DA157" s="111"/>
      <c r="DB157" s="111"/>
      <c r="DC157" s="111"/>
      <c r="DD157" s="111"/>
      <c r="DE157" s="111"/>
      <c r="DF157" s="111"/>
      <c r="DG157" s="111"/>
      <c r="DH157" s="111"/>
      <c r="DI157" s="111"/>
      <c r="DJ157" s="111"/>
      <c r="DK157" s="111"/>
      <c r="DL157" s="112"/>
      <c r="DM157" s="112"/>
      <c r="DN157" s="112"/>
      <c r="DO157" s="112"/>
      <c r="DP157" s="112"/>
      <c r="DQ157" s="112"/>
      <c r="DR157" s="112"/>
      <c r="DS157" s="112"/>
      <c r="DT157" s="112"/>
      <c r="DU157" s="112"/>
      <c r="DV157" s="112"/>
      <c r="DW157" s="112"/>
      <c r="DX157" s="112"/>
      <c r="DY157" s="112"/>
      <c r="DZ157" s="112"/>
      <c r="EA157" s="112"/>
      <c r="EB157" s="112"/>
      <c r="EC157" s="112"/>
      <c r="ED157" s="112"/>
      <c r="EE157" s="111"/>
      <c r="EF157" s="111"/>
      <c r="EG157" s="111"/>
      <c r="EH157" s="111"/>
      <c r="EI157" s="111"/>
      <c r="EJ157" s="111"/>
      <c r="EK157" s="111"/>
      <c r="EL157" s="111"/>
      <c r="EM157" s="111"/>
      <c r="EN157" s="111"/>
      <c r="EO157" s="111"/>
      <c r="EP157" s="111"/>
      <c r="EQ157" s="111"/>
      <c r="ER157" s="111"/>
      <c r="ES157" s="111"/>
      <c r="ET157" s="111"/>
      <c r="EU157" s="111"/>
      <c r="EV157" s="111"/>
      <c r="EW157" s="111"/>
      <c r="EX157" s="111"/>
      <c r="EY157" s="111"/>
      <c r="EZ157" s="111"/>
      <c r="FA157" s="111"/>
      <c r="FB157" s="111"/>
      <c r="FC157" s="111"/>
      <c r="FD157" s="111"/>
      <c r="FE157" s="111"/>
      <c r="FF157" s="111"/>
      <c r="FG157" s="111"/>
      <c r="FH157" s="111"/>
      <c r="FI157" s="111"/>
      <c r="FJ157" s="111"/>
      <c r="FK157" s="111"/>
      <c r="FL157" s="111"/>
      <c r="FM157" s="111"/>
      <c r="FN157" s="111"/>
    </row>
    <row r="158" spans="1:170" s="14" customFormat="1" ht="18" hidden="1" customHeight="1">
      <c r="A158" s="1808"/>
      <c r="B158" s="30"/>
      <c r="C158" s="932" t="s">
        <v>763</v>
      </c>
      <c r="D158" s="932"/>
      <c r="E158" s="946"/>
      <c r="F158" s="932"/>
      <c r="G158" s="932"/>
      <c r="H158" s="932"/>
      <c r="I158" s="947" t="s">
        <v>674</v>
      </c>
      <c r="J158" s="934" t="s">
        <v>68</v>
      </c>
      <c r="K158" s="934"/>
      <c r="L158" s="938"/>
      <c r="M158" s="935" t="e">
        <f>M157*0.71</f>
        <v>#N/A</v>
      </c>
      <c r="N158" s="935" t="e">
        <f>N157*0.71</f>
        <v>#N/A</v>
      </c>
      <c r="O158" s="935" t="e">
        <f>O157*0.71</f>
        <v>#N/A</v>
      </c>
      <c r="P158" s="493">
        <v>0</v>
      </c>
      <c r="Q158" s="920">
        <v>0</v>
      </c>
      <c r="R158" s="493">
        <v>0</v>
      </c>
      <c r="S158" s="127"/>
      <c r="T158" s="169"/>
      <c r="U158" s="169"/>
      <c r="V158" s="126"/>
      <c r="W158" s="306"/>
      <c r="X158" s="306"/>
      <c r="Y158" s="126"/>
      <c r="Z158" s="306"/>
      <c r="AA158" s="306"/>
      <c r="AB158" s="127"/>
      <c r="AC158" s="169"/>
      <c r="AD158" s="169"/>
      <c r="AE158" s="129"/>
      <c r="AF158" s="129"/>
      <c r="AG158" s="129"/>
      <c r="AH158" s="129"/>
      <c r="AI158" s="129"/>
      <c r="AJ158" s="129"/>
      <c r="AK158" s="129"/>
      <c r="AL158" s="129"/>
      <c r="AM158" s="129"/>
      <c r="AN158" s="129"/>
      <c r="AO158" s="129"/>
      <c r="AP158" s="163"/>
      <c r="AQ158" s="163"/>
      <c r="AR158" s="111"/>
      <c r="AS158" s="111"/>
      <c r="AT158" s="111"/>
      <c r="AU158" s="111"/>
      <c r="AV158" s="111"/>
      <c r="AW158" s="111"/>
      <c r="AX158" s="111"/>
      <c r="AY158" s="111"/>
      <c r="AZ158" s="111"/>
      <c r="BA158" s="111"/>
      <c r="BB158" s="111"/>
      <c r="BC158" s="111"/>
      <c r="BD158" s="111"/>
      <c r="BE158" s="111"/>
      <c r="BF158" s="111"/>
      <c r="BG158" s="111"/>
      <c r="BH158" s="111"/>
      <c r="BI158" s="111"/>
      <c r="BJ158" s="111"/>
      <c r="BK158" s="111"/>
      <c r="BL158" s="111"/>
      <c r="BM158" s="111"/>
      <c r="BN158" s="111"/>
      <c r="BO158" s="111"/>
      <c r="BP158" s="111"/>
      <c r="BQ158" s="111"/>
      <c r="BR158" s="111"/>
      <c r="BS158" s="111"/>
      <c r="BT158" s="111"/>
      <c r="BU158" s="111"/>
      <c r="BV158" s="111"/>
      <c r="BW158" s="111"/>
      <c r="BX158" s="111"/>
      <c r="BY158" s="111"/>
      <c r="BZ158" s="111"/>
      <c r="CA158" s="111"/>
      <c r="CB158" s="111"/>
      <c r="CC158" s="111"/>
      <c r="CD158" s="111"/>
      <c r="CE158" s="111"/>
      <c r="CF158" s="111"/>
      <c r="CG158" s="111"/>
      <c r="CH158" s="111"/>
      <c r="CI158" s="111"/>
      <c r="CJ158" s="111"/>
      <c r="CK158" s="111"/>
      <c r="CL158" s="111"/>
      <c r="CM158" s="111"/>
      <c r="CN158" s="111"/>
      <c r="CO158" s="111"/>
      <c r="CP158" s="111"/>
      <c r="CQ158" s="111"/>
      <c r="CR158" s="111"/>
      <c r="CS158" s="111"/>
      <c r="CT158" s="111"/>
      <c r="CU158" s="111"/>
      <c r="CV158" s="111"/>
      <c r="CW158" s="111"/>
      <c r="CX158" s="111"/>
      <c r="CY158" s="111"/>
      <c r="CZ158" s="111"/>
      <c r="DA158" s="111"/>
      <c r="DB158" s="111"/>
      <c r="DC158" s="111"/>
      <c r="DD158" s="111"/>
      <c r="DE158" s="112"/>
      <c r="DF158" s="112"/>
      <c r="DG158" s="112"/>
      <c r="DH158" s="112"/>
      <c r="DI158" s="112"/>
      <c r="DJ158" s="112"/>
      <c r="DK158" s="112"/>
      <c r="DL158" s="112"/>
      <c r="DM158" s="112"/>
      <c r="DN158" s="112"/>
      <c r="DO158" s="112"/>
      <c r="DP158" s="112"/>
      <c r="DQ158" s="112"/>
      <c r="DR158" s="112"/>
      <c r="DS158" s="112"/>
      <c r="DT158" s="112"/>
      <c r="DU158" s="112"/>
      <c r="DV158" s="112"/>
      <c r="DW158" s="112"/>
      <c r="DX158" s="112"/>
      <c r="DY158" s="112"/>
      <c r="DZ158" s="112"/>
      <c r="EA158" s="112"/>
      <c r="EB158" s="112"/>
      <c r="EC158" s="112"/>
      <c r="ED158" s="112"/>
      <c r="EE158" s="111"/>
      <c r="EF158" s="111"/>
      <c r="EG158" s="111"/>
      <c r="EH158" s="111"/>
      <c r="EI158" s="111"/>
      <c r="EJ158" s="111"/>
      <c r="EK158" s="111"/>
      <c r="EL158" s="111"/>
      <c r="EM158" s="111"/>
      <c r="EN158" s="111"/>
      <c r="EO158" s="111"/>
      <c r="EP158" s="111"/>
      <c r="EQ158" s="111"/>
      <c r="ER158" s="111"/>
      <c r="ES158" s="111"/>
      <c r="ET158" s="111"/>
      <c r="EU158" s="111"/>
      <c r="EV158" s="111"/>
      <c r="EW158" s="111"/>
      <c r="EX158" s="111"/>
      <c r="EY158" s="111"/>
      <c r="EZ158" s="111"/>
      <c r="FA158" s="111"/>
      <c r="FB158" s="111"/>
      <c r="FC158" s="111"/>
      <c r="FD158" s="111"/>
      <c r="FE158" s="111"/>
      <c r="FF158" s="111"/>
      <c r="FG158" s="111"/>
      <c r="FH158" s="111"/>
      <c r="FI158" s="111"/>
      <c r="FJ158" s="111"/>
      <c r="FK158" s="111"/>
      <c r="FL158" s="111"/>
      <c r="FM158" s="111"/>
      <c r="FN158" s="111"/>
    </row>
    <row r="159" spans="1:170" s="14" customFormat="1" ht="18" hidden="1" customHeight="1">
      <c r="A159" s="1808"/>
      <c r="B159" s="30"/>
      <c r="C159" s="932" t="s">
        <v>745</v>
      </c>
      <c r="D159" s="932"/>
      <c r="E159" s="932"/>
      <c r="F159" s="932"/>
      <c r="G159" s="932"/>
      <c r="H159" s="932"/>
      <c r="I159" s="947" t="s">
        <v>675</v>
      </c>
      <c r="J159" s="934" t="s">
        <v>17</v>
      </c>
      <c r="K159" s="934"/>
      <c r="L159" s="938"/>
      <c r="M159" s="948" t="e">
        <f>IF(M158=0,0,ROUND(M160/M158*1000,-1))</f>
        <v>#N/A</v>
      </c>
      <c r="N159" s="948" t="e">
        <f>IF(N158=0,0,ROUND(N160/N158*1000,-1))</f>
        <v>#N/A</v>
      </c>
      <c r="O159" s="948" t="e">
        <f>IF(O158=0,0,ROUND(O160/O158*1000,-1))</f>
        <v>#N/A</v>
      </c>
      <c r="P159" s="493">
        <v>0</v>
      </c>
      <c r="Q159" s="920">
        <v>0</v>
      </c>
      <c r="R159" s="493">
        <v>0</v>
      </c>
      <c r="S159" s="127"/>
      <c r="T159" s="169"/>
      <c r="U159" s="169"/>
      <c r="V159" s="126"/>
      <c r="W159" s="306"/>
      <c r="X159" s="306"/>
      <c r="Y159" s="126"/>
      <c r="Z159" s="306"/>
      <c r="AA159" s="306"/>
      <c r="AB159" s="127"/>
      <c r="AC159" s="169"/>
      <c r="AD159" s="169"/>
      <c r="AE159" s="129"/>
      <c r="AF159" s="129"/>
      <c r="AG159" s="129"/>
      <c r="AH159" s="129"/>
      <c r="AI159" s="129"/>
      <c r="AJ159" s="129"/>
      <c r="AK159" s="129"/>
      <c r="AL159" s="129"/>
      <c r="AM159" s="129"/>
      <c r="AN159" s="129"/>
      <c r="AO159" s="129"/>
      <c r="AP159" s="163"/>
      <c r="AQ159" s="163"/>
      <c r="AR159" s="111"/>
      <c r="AS159" s="111"/>
      <c r="AT159" s="111"/>
      <c r="AU159" s="111"/>
      <c r="AV159" s="111"/>
      <c r="AW159" s="111"/>
      <c r="AX159" s="111"/>
      <c r="AY159" s="111"/>
      <c r="AZ159" s="111"/>
      <c r="BA159" s="111"/>
      <c r="BB159" s="111"/>
      <c r="BC159" s="111"/>
      <c r="BD159" s="111"/>
      <c r="BE159" s="111"/>
      <c r="BF159" s="111"/>
      <c r="BG159" s="111"/>
      <c r="BH159" s="111"/>
      <c r="BI159" s="111"/>
      <c r="BJ159" s="111"/>
      <c r="BK159" s="111"/>
      <c r="BL159" s="111"/>
      <c r="BM159" s="111"/>
      <c r="BN159" s="111"/>
      <c r="BO159" s="111"/>
      <c r="BP159" s="111"/>
      <c r="BQ159" s="111"/>
      <c r="BR159" s="111"/>
      <c r="BS159" s="111"/>
      <c r="BT159" s="111"/>
      <c r="BU159" s="111"/>
      <c r="BV159" s="111"/>
      <c r="BW159" s="111"/>
      <c r="BX159" s="111"/>
      <c r="BY159" s="111"/>
      <c r="BZ159" s="111"/>
      <c r="CA159" s="111"/>
      <c r="CB159" s="111"/>
      <c r="CC159" s="111"/>
      <c r="CD159" s="111"/>
      <c r="CE159" s="111"/>
      <c r="CF159" s="111"/>
      <c r="CG159" s="111"/>
      <c r="CH159" s="111"/>
      <c r="CI159" s="111"/>
      <c r="CJ159" s="111"/>
      <c r="CK159" s="111"/>
      <c r="CL159" s="111"/>
      <c r="CM159" s="111"/>
      <c r="CN159" s="111"/>
      <c r="CO159" s="111"/>
      <c r="CP159" s="111"/>
      <c r="CQ159" s="111"/>
      <c r="CR159" s="111"/>
      <c r="CS159" s="111"/>
      <c r="CT159" s="111"/>
      <c r="CU159" s="111"/>
      <c r="CV159" s="111"/>
      <c r="CW159" s="111"/>
      <c r="CX159" s="111"/>
      <c r="CY159" s="111"/>
      <c r="CZ159" s="111"/>
      <c r="DA159" s="111"/>
      <c r="DB159" s="111"/>
      <c r="DC159" s="111"/>
      <c r="DD159" s="111"/>
      <c r="DE159" s="112"/>
      <c r="DF159" s="112"/>
      <c r="DG159" s="112"/>
      <c r="DH159" s="112"/>
      <c r="DI159" s="112"/>
      <c r="DJ159" s="112"/>
      <c r="DK159" s="112"/>
      <c r="DL159" s="112"/>
      <c r="DM159" s="112"/>
      <c r="DN159" s="112"/>
      <c r="DO159" s="112"/>
      <c r="DP159" s="112"/>
      <c r="DQ159" s="112"/>
      <c r="DR159" s="112"/>
      <c r="DS159" s="112"/>
      <c r="DT159" s="112"/>
      <c r="DU159" s="112"/>
      <c r="DV159" s="112"/>
      <c r="DW159" s="112"/>
      <c r="DX159" s="112"/>
      <c r="DY159" s="112"/>
      <c r="DZ159" s="112"/>
      <c r="EA159" s="112"/>
      <c r="EB159" s="112"/>
      <c r="EC159" s="112"/>
      <c r="ED159" s="112"/>
      <c r="EE159" s="111"/>
      <c r="EF159" s="111"/>
      <c r="EG159" s="111"/>
      <c r="EH159" s="111"/>
      <c r="EI159" s="111"/>
      <c r="EJ159" s="111"/>
      <c r="EK159" s="111"/>
      <c r="EL159" s="111"/>
      <c r="EM159" s="111"/>
      <c r="EN159" s="111"/>
      <c r="EO159" s="111"/>
      <c r="EP159" s="111"/>
      <c r="EQ159" s="111"/>
      <c r="ER159" s="111"/>
      <c r="ES159" s="111"/>
      <c r="ET159" s="111"/>
      <c r="EU159" s="111"/>
      <c r="EV159" s="111"/>
      <c r="EW159" s="111"/>
      <c r="EX159" s="111"/>
      <c r="EY159" s="111"/>
      <c r="EZ159" s="111"/>
      <c r="FA159" s="111"/>
      <c r="FB159" s="111"/>
      <c r="FC159" s="111"/>
      <c r="FD159" s="111"/>
      <c r="FE159" s="111"/>
      <c r="FF159" s="111"/>
      <c r="FG159" s="111"/>
      <c r="FH159" s="111"/>
      <c r="FI159" s="111"/>
      <c r="FJ159" s="111"/>
      <c r="FK159" s="111"/>
      <c r="FL159" s="111"/>
      <c r="FM159" s="111"/>
      <c r="FN159" s="111"/>
    </row>
    <row r="160" spans="1:170" s="14" customFormat="1" ht="18" hidden="1" customHeight="1">
      <c r="A160" s="1809"/>
      <c r="B160" s="30"/>
      <c r="C160" s="932" t="s">
        <v>764</v>
      </c>
      <c r="D160" s="932"/>
      <c r="E160" s="932"/>
      <c r="F160" s="932"/>
      <c r="G160" s="932"/>
      <c r="H160" s="932"/>
      <c r="I160" s="949" t="s">
        <v>676</v>
      </c>
      <c r="J160" s="950" t="s">
        <v>77</v>
      </c>
      <c r="K160" s="950"/>
      <c r="L160" s="951"/>
      <c r="M160" s="952" t="e">
        <f>#REF!</f>
        <v>#REF!</v>
      </c>
      <c r="N160" s="952" t="e">
        <f>#REF!</f>
        <v>#REF!</v>
      </c>
      <c r="O160" s="952" t="e">
        <f>#REF!</f>
        <v>#REF!</v>
      </c>
      <c r="P160" s="493">
        <v>0</v>
      </c>
      <c r="Q160" s="920">
        <v>0</v>
      </c>
      <c r="R160" s="493">
        <v>0</v>
      </c>
      <c r="S160" s="127"/>
      <c r="T160" s="169"/>
      <c r="U160" s="169"/>
      <c r="V160" s="126"/>
      <c r="W160" s="306"/>
      <c r="X160" s="306"/>
      <c r="Y160" s="126"/>
      <c r="Z160" s="306"/>
      <c r="AA160" s="306"/>
      <c r="AB160" s="127"/>
      <c r="AC160" s="169"/>
      <c r="AD160" s="169"/>
      <c r="AE160" s="129"/>
      <c r="AF160" s="129"/>
      <c r="AG160" s="129"/>
      <c r="AH160" s="129"/>
      <c r="AI160" s="129"/>
      <c r="AJ160" s="129"/>
      <c r="AK160" s="129"/>
      <c r="AL160" s="129"/>
      <c r="AM160" s="129"/>
      <c r="AN160" s="129"/>
      <c r="AO160" s="129"/>
      <c r="AP160" s="163"/>
      <c r="AQ160" s="163"/>
      <c r="AR160" s="111"/>
      <c r="AS160" s="111"/>
      <c r="AT160" s="111"/>
      <c r="AU160" s="111"/>
      <c r="AV160" s="111"/>
      <c r="AW160" s="111"/>
      <c r="AX160" s="111"/>
      <c r="AY160" s="111"/>
      <c r="AZ160" s="111"/>
      <c r="BA160" s="111"/>
      <c r="BB160" s="111"/>
      <c r="BC160" s="111"/>
      <c r="BD160" s="111"/>
      <c r="BE160" s="111"/>
      <c r="BF160" s="111"/>
      <c r="BG160" s="111"/>
      <c r="BH160" s="111"/>
      <c r="BI160" s="111"/>
      <c r="BJ160" s="111"/>
      <c r="BK160" s="111"/>
      <c r="BL160" s="111"/>
      <c r="BM160" s="111"/>
      <c r="BN160" s="111"/>
      <c r="BO160" s="111"/>
      <c r="BP160" s="111"/>
      <c r="BQ160" s="111"/>
      <c r="BR160" s="111"/>
      <c r="BS160" s="111"/>
      <c r="BT160" s="111"/>
      <c r="BU160" s="111"/>
      <c r="BV160" s="111"/>
      <c r="BW160" s="111"/>
      <c r="BX160" s="111"/>
      <c r="BY160" s="111"/>
      <c r="BZ160" s="111"/>
      <c r="CA160" s="111"/>
      <c r="CB160" s="111"/>
      <c r="CC160" s="111"/>
      <c r="CD160" s="111"/>
      <c r="CE160" s="111"/>
      <c r="CF160" s="111"/>
      <c r="CG160" s="111"/>
      <c r="CH160" s="111"/>
      <c r="CI160" s="111"/>
      <c r="CJ160" s="111"/>
      <c r="CK160" s="111"/>
      <c r="CL160" s="111"/>
      <c r="CM160" s="111"/>
      <c r="CN160" s="111"/>
      <c r="CO160" s="111"/>
      <c r="CP160" s="111"/>
      <c r="CQ160" s="111"/>
      <c r="CR160" s="111"/>
      <c r="CS160" s="111"/>
      <c r="CT160" s="111"/>
      <c r="CU160" s="111"/>
      <c r="CV160" s="111"/>
      <c r="CW160" s="111"/>
      <c r="CX160" s="111"/>
      <c r="CY160" s="111"/>
      <c r="CZ160" s="111"/>
      <c r="DA160" s="111"/>
      <c r="DB160" s="111"/>
      <c r="DC160" s="111"/>
      <c r="DD160" s="111"/>
      <c r="DE160" s="112"/>
      <c r="DF160" s="112"/>
      <c r="DG160" s="112"/>
      <c r="DH160" s="112"/>
      <c r="DI160" s="112"/>
      <c r="DJ160" s="112"/>
      <c r="DK160" s="112"/>
      <c r="DL160" s="112"/>
      <c r="DM160" s="112"/>
      <c r="DN160" s="112"/>
      <c r="DO160" s="112"/>
      <c r="DP160" s="112"/>
      <c r="DQ160" s="112"/>
      <c r="DR160" s="112"/>
      <c r="DS160" s="112"/>
      <c r="DT160" s="112"/>
      <c r="DU160" s="112"/>
      <c r="DV160" s="112"/>
      <c r="DW160" s="112"/>
      <c r="DX160" s="112"/>
      <c r="DY160" s="112"/>
      <c r="DZ160" s="112"/>
      <c r="EA160" s="112"/>
      <c r="EB160" s="112"/>
      <c r="EC160" s="112"/>
      <c r="ED160" s="112"/>
      <c r="EE160" s="111"/>
      <c r="EF160" s="111"/>
      <c r="EG160" s="111"/>
      <c r="EH160" s="111"/>
      <c r="EI160" s="111"/>
      <c r="EJ160" s="111"/>
      <c r="EK160" s="111"/>
      <c r="EL160" s="111"/>
      <c r="EM160" s="111"/>
      <c r="EN160" s="111"/>
      <c r="EO160" s="111"/>
      <c r="EP160" s="111"/>
      <c r="EQ160" s="111"/>
      <c r="ER160" s="111"/>
      <c r="ES160" s="111"/>
      <c r="ET160" s="111"/>
      <c r="EU160" s="111"/>
      <c r="EV160" s="111"/>
      <c r="EW160" s="111"/>
      <c r="EX160" s="111"/>
      <c r="EY160" s="111"/>
      <c r="EZ160" s="111"/>
      <c r="FA160" s="111"/>
      <c r="FB160" s="111"/>
      <c r="FC160" s="111"/>
      <c r="FD160" s="111"/>
      <c r="FE160" s="111"/>
      <c r="FF160" s="111"/>
      <c r="FG160" s="111"/>
      <c r="FH160" s="111"/>
      <c r="FI160" s="111"/>
      <c r="FJ160" s="111"/>
      <c r="FK160" s="111"/>
      <c r="FL160" s="111"/>
      <c r="FM160" s="111"/>
      <c r="FN160" s="111"/>
    </row>
    <row r="161" spans="1:170" s="9" customFormat="1" ht="2.1" hidden="1" customHeight="1">
      <c r="A161" s="198"/>
      <c r="B161" s="199"/>
      <c r="C161" s="200"/>
      <c r="D161" s="200"/>
      <c r="E161" s="200"/>
      <c r="F161" s="200"/>
      <c r="G161" s="200"/>
      <c r="H161" s="200"/>
      <c r="I161" s="277"/>
      <c r="J161" s="207"/>
      <c r="K161" s="207"/>
      <c r="L161" s="208"/>
      <c r="M161" s="208"/>
      <c r="N161" s="997"/>
      <c r="O161" s="997"/>
      <c r="P161" s="493">
        <v>0</v>
      </c>
      <c r="Q161" s="920">
        <v>0</v>
      </c>
      <c r="R161" s="493">
        <v>0</v>
      </c>
      <c r="S161" s="166"/>
      <c r="T161" s="307"/>
      <c r="U161" s="307"/>
      <c r="V161" s="166"/>
      <c r="W161" s="268"/>
      <c r="X161" s="268"/>
      <c r="Y161" s="165"/>
      <c r="Z161" s="268"/>
      <c r="AA161" s="268"/>
      <c r="AB161" s="166"/>
      <c r="AC161" s="307"/>
      <c r="AD161" s="307"/>
      <c r="AE161" s="166"/>
      <c r="AF161" s="166"/>
      <c r="AG161" s="166"/>
      <c r="AH161" s="166"/>
      <c r="AI161" s="166"/>
      <c r="AJ161" s="166"/>
      <c r="AK161" s="166"/>
      <c r="AL161" s="166"/>
      <c r="AM161" s="166"/>
      <c r="AN161" s="167"/>
      <c r="AO161" s="167"/>
      <c r="AP161" s="168"/>
      <c r="AQ161" s="168"/>
      <c r="AR161" s="113"/>
      <c r="AS161" s="113"/>
      <c r="AT161" s="113"/>
      <c r="AU161" s="113"/>
      <c r="AV161" s="113"/>
      <c r="AW161" s="113"/>
      <c r="AX161" s="113"/>
      <c r="AY161" s="113"/>
      <c r="AZ161" s="113"/>
      <c r="BA161" s="113"/>
      <c r="BB161" s="113"/>
      <c r="BC161" s="113"/>
      <c r="BD161" s="113"/>
      <c r="BE161" s="113"/>
      <c r="BF161" s="113"/>
      <c r="BG161" s="113"/>
      <c r="BH161" s="113"/>
      <c r="BI161" s="113"/>
      <c r="BJ161" s="113"/>
      <c r="BK161" s="113"/>
      <c r="BL161" s="113"/>
      <c r="BM161" s="113"/>
      <c r="BN161" s="113"/>
      <c r="BO161" s="113"/>
      <c r="BP161" s="113"/>
      <c r="BQ161" s="113"/>
      <c r="BR161" s="113"/>
      <c r="BS161" s="113"/>
      <c r="BT161" s="113"/>
      <c r="BU161" s="113"/>
      <c r="BV161" s="113"/>
      <c r="BW161" s="113"/>
      <c r="BX161" s="113"/>
      <c r="BY161" s="113"/>
      <c r="BZ161" s="113"/>
      <c r="CA161" s="113"/>
      <c r="CB161" s="113"/>
      <c r="CC161" s="113"/>
      <c r="CD161" s="113"/>
      <c r="CE161" s="113"/>
      <c r="CF161" s="113"/>
      <c r="CG161" s="113"/>
      <c r="CH161" s="113"/>
      <c r="CI161" s="113"/>
      <c r="CJ161" s="113"/>
      <c r="CK161" s="113"/>
      <c r="CL161" s="113"/>
      <c r="CM161" s="113"/>
      <c r="CN161" s="113"/>
      <c r="CO161" s="113"/>
      <c r="CP161" s="113"/>
      <c r="CQ161" s="113"/>
      <c r="CR161" s="113"/>
      <c r="CS161" s="113"/>
      <c r="CT161" s="113"/>
      <c r="CU161" s="113"/>
      <c r="CV161" s="114"/>
      <c r="CW161" s="114"/>
      <c r="CX161" s="114"/>
      <c r="CY161" s="114"/>
      <c r="CZ161" s="114"/>
      <c r="DA161" s="114"/>
      <c r="DB161" s="114"/>
      <c r="DC161" s="114"/>
      <c r="DD161" s="114"/>
      <c r="DE161" s="114"/>
      <c r="DF161" s="114"/>
      <c r="DG161" s="114"/>
      <c r="DH161" s="114"/>
      <c r="DI161" s="114"/>
      <c r="DJ161" s="114"/>
      <c r="DK161" s="114"/>
      <c r="DL161" s="114"/>
      <c r="DM161" s="114"/>
      <c r="DN161" s="114"/>
      <c r="DO161" s="114"/>
      <c r="DP161" s="114"/>
      <c r="DQ161" s="114"/>
      <c r="DR161" s="114"/>
      <c r="DS161" s="114"/>
      <c r="DT161" s="114"/>
      <c r="DU161" s="114"/>
      <c r="DV161" s="114"/>
      <c r="DW161" s="114"/>
      <c r="DX161" s="114"/>
      <c r="DY161" s="114"/>
      <c r="DZ161" s="114"/>
      <c r="EA161" s="114"/>
      <c r="EB161" s="114"/>
      <c r="EC161" s="114"/>
      <c r="ED161" s="114"/>
      <c r="EE161" s="115"/>
      <c r="EF161" s="115"/>
      <c r="EG161" s="115"/>
      <c r="EH161" s="115"/>
      <c r="EI161" s="115"/>
      <c r="EJ161" s="115"/>
      <c r="EK161" s="115"/>
      <c r="EL161" s="115"/>
      <c r="EM161" s="115"/>
      <c r="EN161" s="115"/>
      <c r="EO161" s="115"/>
      <c r="EP161" s="115"/>
      <c r="EQ161" s="115"/>
      <c r="ER161" s="115"/>
      <c r="ES161" s="115"/>
      <c r="ET161" s="115"/>
      <c r="EU161" s="115"/>
      <c r="EV161" s="115"/>
      <c r="EW161" s="115"/>
      <c r="EX161" s="115"/>
      <c r="EY161" s="115"/>
      <c r="EZ161" s="115"/>
      <c r="FA161" s="115"/>
      <c r="FB161" s="115"/>
      <c r="FC161" s="115"/>
      <c r="FD161" s="115"/>
      <c r="FE161" s="115"/>
      <c r="FF161" s="115"/>
      <c r="FG161" s="115"/>
      <c r="FH161" s="115"/>
      <c r="FI161" s="115"/>
      <c r="FJ161" s="115"/>
      <c r="FK161" s="115"/>
      <c r="FL161" s="115"/>
      <c r="FM161" s="115"/>
      <c r="FN161" s="115"/>
    </row>
    <row r="162" spans="1:170" s="14" customFormat="1" ht="18" customHeight="1">
      <c r="A162" s="1808" t="str">
        <f>Begriffe!F208</f>
        <v>Raumheizung</v>
      </c>
      <c r="B162" s="416">
        <v>172</v>
      </c>
      <c r="C162" s="1148" t="str">
        <f>VLOOKUP(B162,Begriffe!$A$6:$E$442,Begriffe!$D$1+2)</f>
        <v>Transmissions-Wärmetransferkoeffizient</v>
      </c>
      <c r="D162" s="3"/>
      <c r="E162" s="3"/>
      <c r="F162" s="576"/>
      <c r="G162" s="129"/>
      <c r="H162" s="129"/>
      <c r="I162" s="180" t="s">
        <v>231</v>
      </c>
      <c r="J162" s="582" t="s">
        <v>62</v>
      </c>
      <c r="K162" s="582"/>
      <c r="L162" s="352"/>
      <c r="M162" s="183">
        <f>(($M$12-$M78*($M$11)/M18)*M16+$M78*($M$11)/M18*M17)*(1+M19)</f>
        <v>63.77411764705883</v>
      </c>
      <c r="N162" s="183">
        <f>(($M$12-$M78*($M$11)/N18)*N16+$M78*($M$11)/N18*N17)*(1+N19)</f>
        <v>45.552941176470597</v>
      </c>
      <c r="O162" s="183">
        <f>(($M$12-$M78*($M$11)/O18)*O16+$M78*($M$11)/O18*O17)*(1+O19)</f>
        <v>128.37647058823529</v>
      </c>
      <c r="P162" s="493">
        <v>0</v>
      </c>
      <c r="Q162" s="920">
        <v>1</v>
      </c>
      <c r="R162" s="493">
        <v>0</v>
      </c>
      <c r="S162" s="498" t="s">
        <v>340</v>
      </c>
      <c r="T162" s="169"/>
      <c r="V162" s="126"/>
      <c r="W162" s="306"/>
      <c r="X162" s="306"/>
      <c r="Y162" s="126"/>
      <c r="Z162" s="306"/>
      <c r="AA162" s="306"/>
      <c r="AB162" s="127"/>
      <c r="AC162" s="169"/>
      <c r="AD162" s="169"/>
      <c r="AE162" s="129"/>
      <c r="AF162" s="129"/>
      <c r="AG162" s="129"/>
      <c r="AH162" s="129"/>
      <c r="AI162" s="129"/>
      <c r="AJ162" s="129"/>
      <c r="AK162" s="129"/>
      <c r="AL162" s="129"/>
      <c r="AM162" s="129"/>
      <c r="AN162" s="129"/>
      <c r="AO162" s="129"/>
      <c r="AP162" s="163"/>
      <c r="AQ162" s="163"/>
      <c r="AR162" s="111"/>
      <c r="AS162" s="111"/>
      <c r="AT162" s="111"/>
      <c r="AU162" s="111"/>
      <c r="AV162" s="111"/>
      <c r="AW162" s="111"/>
      <c r="AX162" s="111"/>
      <c r="AY162" s="111"/>
      <c r="AZ162" s="111"/>
      <c r="BA162" s="111"/>
      <c r="BB162" s="111"/>
      <c r="BC162" s="111"/>
      <c r="BD162" s="111"/>
      <c r="BE162" s="111"/>
      <c r="BF162" s="111"/>
      <c r="BG162" s="111"/>
      <c r="BH162" s="111"/>
      <c r="BI162" s="111"/>
      <c r="BJ162" s="111"/>
      <c r="BK162" s="111"/>
      <c r="BL162" s="111"/>
      <c r="BM162" s="111"/>
      <c r="BN162" s="111"/>
      <c r="BO162" s="111"/>
      <c r="BP162" s="111"/>
      <c r="BQ162" s="111"/>
      <c r="BR162" s="111"/>
      <c r="BS162" s="111"/>
      <c r="BT162" s="111"/>
      <c r="BU162" s="111"/>
      <c r="BV162" s="111"/>
      <c r="BW162" s="111"/>
      <c r="BX162" s="111"/>
      <c r="BY162" s="111"/>
      <c r="BZ162" s="111"/>
      <c r="CA162" s="111"/>
      <c r="CB162" s="111"/>
      <c r="CC162" s="111"/>
      <c r="CD162" s="111"/>
      <c r="CE162" s="111"/>
      <c r="CF162" s="111"/>
      <c r="CG162" s="111"/>
      <c r="CH162" s="111"/>
      <c r="CI162" s="111"/>
      <c r="CJ162" s="111"/>
      <c r="CK162" s="111"/>
      <c r="CL162" s="111"/>
      <c r="CM162" s="111"/>
      <c r="CN162" s="111"/>
      <c r="CO162" s="111"/>
      <c r="CP162" s="111"/>
      <c r="CQ162" s="111"/>
      <c r="CR162" s="111"/>
      <c r="CS162" s="111"/>
      <c r="CT162" s="111"/>
      <c r="CU162" s="111"/>
      <c r="CV162" s="111"/>
      <c r="CW162" s="111"/>
      <c r="CX162" s="111"/>
      <c r="CY162" s="111"/>
      <c r="CZ162" s="111"/>
      <c r="DA162" s="111"/>
      <c r="DB162" s="111"/>
      <c r="DC162" s="111"/>
      <c r="DD162" s="111"/>
      <c r="DE162" s="112"/>
      <c r="DF162" s="112"/>
      <c r="DG162" s="112"/>
      <c r="DH162" s="112"/>
      <c r="DI162" s="112"/>
      <c r="DJ162" s="112"/>
      <c r="DK162" s="112"/>
      <c r="DL162" s="112"/>
      <c r="DM162" s="112"/>
      <c r="DN162" s="112"/>
      <c r="DO162" s="112"/>
      <c r="DP162" s="112"/>
      <c r="DQ162" s="112"/>
      <c r="DR162" s="112"/>
      <c r="DS162" s="112"/>
      <c r="DT162" s="112"/>
      <c r="DU162" s="112"/>
      <c r="DV162" s="112"/>
      <c r="DW162" s="112"/>
      <c r="DX162" s="112"/>
      <c r="DY162" s="112"/>
      <c r="DZ162" s="112"/>
      <c r="EA162" s="112"/>
      <c r="EB162" s="112"/>
      <c r="EC162" s="112"/>
      <c r="ED162" s="112"/>
      <c r="EE162" s="111"/>
      <c r="EF162" s="111"/>
      <c r="EG162" s="111"/>
      <c r="EH162" s="111"/>
      <c r="EI162" s="111"/>
      <c r="EJ162" s="111"/>
      <c r="EK162" s="111"/>
      <c r="EL162" s="111"/>
      <c r="EM162" s="111"/>
      <c r="EN162" s="111"/>
      <c r="EO162" s="111"/>
      <c r="EP162" s="111"/>
      <c r="EQ162" s="111"/>
      <c r="ER162" s="111"/>
      <c r="ES162" s="111"/>
      <c r="ET162" s="111"/>
      <c r="EU162" s="111"/>
      <c r="EV162" s="111"/>
      <c r="EW162" s="111"/>
      <c r="EX162" s="111"/>
      <c r="EY162" s="111"/>
      <c r="EZ162" s="111"/>
      <c r="FA162" s="111"/>
      <c r="FB162" s="111"/>
      <c r="FC162" s="111"/>
      <c r="FD162" s="111"/>
      <c r="FE162" s="111"/>
      <c r="FF162" s="111"/>
      <c r="FG162" s="111"/>
      <c r="FH162" s="111"/>
      <c r="FI162" s="111"/>
      <c r="FJ162" s="111"/>
      <c r="FK162" s="111"/>
      <c r="FL162" s="111"/>
      <c r="FM162" s="111"/>
      <c r="FN162" s="111"/>
    </row>
    <row r="163" spans="1:170" s="14" customFormat="1" ht="18" customHeight="1">
      <c r="A163" s="1808"/>
      <c r="B163" s="416">
        <v>147</v>
      </c>
      <c r="C163" s="1149" t="str">
        <f>VLOOKUP(B163,Begriffe!$A$6:$E$442,Begriffe!$D$1+2)</f>
        <v>Lüftungs-Wärmetransferkoeffizient</v>
      </c>
      <c r="D163" s="3"/>
      <c r="E163" s="3"/>
      <c r="F163" s="122"/>
      <c r="G163" s="129"/>
      <c r="H163" s="129"/>
      <c r="I163" s="180" t="s">
        <v>232</v>
      </c>
      <c r="J163" s="582" t="s">
        <v>62</v>
      </c>
      <c r="K163" s="582"/>
      <c r="L163" s="352"/>
      <c r="M163" s="583">
        <f>((M128*(1-M132)+M129)*0.32*$M$11)</f>
        <v>106.44480000000003</v>
      </c>
      <c r="N163" s="583">
        <f>((N128*(1-N132)+N129)*0.32*$M$11)</f>
        <v>73.267199999999988</v>
      </c>
      <c r="O163" s="583">
        <f>((O128*(1-O132)+O129)*0.32*$M$11)</f>
        <v>179.71199999999999</v>
      </c>
      <c r="P163" s="493">
        <v>0</v>
      </c>
      <c r="Q163" s="920">
        <v>1</v>
      </c>
      <c r="R163" s="493">
        <v>0</v>
      </c>
      <c r="S163" s="127"/>
      <c r="T163" s="169"/>
      <c r="U163" s="169"/>
      <c r="V163" s="126"/>
      <c r="W163" s="306"/>
      <c r="X163" s="306"/>
      <c r="Y163" s="126"/>
      <c r="Z163" s="306"/>
      <c r="AA163" s="306"/>
      <c r="AB163" s="127"/>
      <c r="AC163" s="169"/>
      <c r="AD163" s="169"/>
      <c r="AE163" s="129"/>
      <c r="AF163" s="129"/>
      <c r="AG163" s="129"/>
      <c r="AH163" s="129"/>
      <c r="AI163" s="129"/>
      <c r="AJ163" s="129"/>
      <c r="AK163" s="129"/>
      <c r="AL163" s="129"/>
      <c r="AM163" s="129"/>
      <c r="AN163" s="129"/>
      <c r="AO163" s="129"/>
      <c r="AP163" s="163"/>
      <c r="AQ163" s="163"/>
      <c r="AR163" s="111"/>
      <c r="AS163" s="111"/>
      <c r="AT163" s="111"/>
      <c r="AU163" s="111"/>
      <c r="AV163" s="111"/>
      <c r="AW163" s="111"/>
      <c r="AX163" s="111"/>
      <c r="AY163" s="111"/>
      <c r="AZ163" s="111"/>
      <c r="BA163" s="111"/>
      <c r="BB163" s="111"/>
      <c r="BC163" s="111"/>
      <c r="BD163" s="111"/>
      <c r="BE163" s="111"/>
      <c r="BF163" s="111"/>
      <c r="BG163" s="111"/>
      <c r="BH163" s="111"/>
      <c r="BI163" s="111"/>
      <c r="BJ163" s="111"/>
      <c r="BK163" s="111"/>
      <c r="BL163" s="111"/>
      <c r="BM163" s="111"/>
      <c r="BN163" s="111"/>
      <c r="BO163" s="111"/>
      <c r="BP163" s="111"/>
      <c r="BQ163" s="111"/>
      <c r="BR163" s="111"/>
      <c r="BS163" s="111"/>
      <c r="BT163" s="111"/>
      <c r="BU163" s="111"/>
      <c r="BV163" s="111"/>
      <c r="BW163" s="111"/>
      <c r="BX163" s="111"/>
      <c r="BY163" s="111"/>
      <c r="BZ163" s="111"/>
      <c r="CA163" s="111"/>
      <c r="CB163" s="111"/>
      <c r="CC163" s="111"/>
      <c r="CD163" s="111"/>
      <c r="CE163" s="111"/>
      <c r="CF163" s="111"/>
      <c r="CG163" s="111"/>
      <c r="CH163" s="111"/>
      <c r="CI163" s="111"/>
      <c r="CJ163" s="111"/>
      <c r="CK163" s="111"/>
      <c r="CL163" s="111"/>
      <c r="CM163" s="111"/>
      <c r="CN163" s="111"/>
      <c r="CO163" s="111"/>
      <c r="CP163" s="111"/>
      <c r="CQ163" s="111"/>
      <c r="CR163" s="111"/>
      <c r="CS163" s="111"/>
      <c r="CT163" s="111"/>
      <c r="CU163" s="111"/>
      <c r="CV163" s="111"/>
      <c r="CW163" s="111"/>
      <c r="CX163" s="111"/>
      <c r="CY163" s="111"/>
      <c r="CZ163" s="111"/>
      <c r="DA163" s="111"/>
      <c r="DB163" s="111"/>
      <c r="DC163" s="111"/>
      <c r="DD163" s="111"/>
      <c r="DE163" s="112"/>
      <c r="DF163" s="112"/>
      <c r="DG163" s="112"/>
      <c r="DH163" s="112"/>
      <c r="DI163" s="112"/>
      <c r="DJ163" s="112"/>
      <c r="DK163" s="112"/>
      <c r="DL163" s="112"/>
      <c r="DM163" s="112"/>
      <c r="DN163" s="112"/>
      <c r="DO163" s="112"/>
      <c r="DP163" s="112"/>
      <c r="DQ163" s="112"/>
      <c r="DR163" s="112"/>
      <c r="DS163" s="112"/>
      <c r="DT163" s="112"/>
      <c r="DU163" s="112"/>
      <c r="DV163" s="112"/>
      <c r="DW163" s="112"/>
      <c r="DX163" s="112"/>
      <c r="DY163" s="112"/>
      <c r="DZ163" s="112"/>
      <c r="EA163" s="112"/>
      <c r="EB163" s="112"/>
      <c r="EC163" s="112"/>
      <c r="ED163" s="112"/>
      <c r="EE163" s="111"/>
      <c r="EF163" s="111"/>
      <c r="EG163" s="111"/>
      <c r="EH163" s="111"/>
      <c r="EI163" s="111"/>
      <c r="EJ163" s="111"/>
      <c r="EK163" s="111"/>
      <c r="EL163" s="111"/>
      <c r="EM163" s="111"/>
      <c r="EN163" s="111"/>
      <c r="EO163" s="111"/>
      <c r="EP163" s="111"/>
      <c r="EQ163" s="111"/>
      <c r="ER163" s="111"/>
      <c r="ES163" s="111"/>
      <c r="ET163" s="111"/>
      <c r="EU163" s="111"/>
      <c r="EV163" s="111"/>
      <c r="EW163" s="111"/>
      <c r="EX163" s="111"/>
      <c r="EY163" s="111"/>
      <c r="EZ163" s="111"/>
      <c r="FA163" s="111"/>
      <c r="FB163" s="111"/>
      <c r="FC163" s="111"/>
      <c r="FD163" s="111"/>
      <c r="FE163" s="111"/>
      <c r="FF163" s="111"/>
      <c r="FG163" s="111"/>
      <c r="FH163" s="111"/>
      <c r="FI163" s="111"/>
      <c r="FJ163" s="111"/>
      <c r="FK163" s="111"/>
      <c r="FL163" s="111"/>
      <c r="FM163" s="111"/>
      <c r="FN163" s="111"/>
    </row>
    <row r="164" spans="1:170" s="14" customFormat="1" ht="18" customHeight="1">
      <c r="A164" s="1808"/>
      <c r="B164" s="416">
        <v>185</v>
      </c>
      <c r="C164" s="1149" t="str">
        <f>VLOOKUP(B164,Begriffe!$A$6:$E$442,Begriffe!$D$1+2)</f>
        <v>Wärmetransferkoeffizient</v>
      </c>
      <c r="D164" s="3"/>
      <c r="E164" s="3"/>
      <c r="F164" s="129"/>
      <c r="G164" s="129"/>
      <c r="H164" s="129"/>
      <c r="I164" s="180" t="s">
        <v>886</v>
      </c>
      <c r="J164" s="582" t="s">
        <v>62</v>
      </c>
      <c r="K164" s="582"/>
      <c r="L164" s="352"/>
      <c r="M164" s="583">
        <f>SUM(M162:M163)</f>
        <v>170.21891764705884</v>
      </c>
      <c r="N164" s="583">
        <f>SUM(N162:N163)</f>
        <v>118.82014117647059</v>
      </c>
      <c r="O164" s="583">
        <f>SUM(O162:O163)</f>
        <v>308.08847058823528</v>
      </c>
      <c r="P164" s="493">
        <v>1</v>
      </c>
      <c r="Q164" s="920">
        <v>1</v>
      </c>
      <c r="R164" s="493">
        <v>0</v>
      </c>
      <c r="S164" s="127"/>
      <c r="T164" s="169"/>
      <c r="U164" s="169"/>
      <c r="V164" s="126"/>
      <c r="W164" s="306"/>
      <c r="X164" s="306"/>
      <c r="Y164" s="126"/>
      <c r="Z164" s="306"/>
      <c r="AA164" s="306"/>
      <c r="AB164" s="127"/>
      <c r="AC164" s="169"/>
      <c r="AD164" s="169"/>
      <c r="AE164" s="129"/>
      <c r="AF164" s="129"/>
      <c r="AG164" s="129"/>
      <c r="AH164" s="129"/>
      <c r="AI164" s="129"/>
      <c r="AJ164" s="129"/>
      <c r="AK164" s="129"/>
      <c r="AL164" s="129"/>
      <c r="AM164" s="129"/>
      <c r="AN164" s="129"/>
      <c r="AO164" s="129"/>
      <c r="AP164" s="163"/>
      <c r="AQ164" s="163"/>
      <c r="AR164" s="111"/>
      <c r="AS164" s="111"/>
      <c r="AT164" s="111"/>
      <c r="AU164" s="111"/>
      <c r="AV164" s="111"/>
      <c r="AW164" s="111"/>
      <c r="AX164" s="111"/>
      <c r="AY164" s="111"/>
      <c r="AZ164" s="111"/>
      <c r="BA164" s="111"/>
      <c r="BB164" s="111"/>
      <c r="BC164" s="111"/>
      <c r="BD164" s="111"/>
      <c r="BE164" s="111"/>
      <c r="BF164" s="111"/>
      <c r="BG164" s="111"/>
      <c r="BH164" s="111"/>
      <c r="BI164" s="111"/>
      <c r="BJ164" s="111"/>
      <c r="BK164" s="111"/>
      <c r="BL164" s="111"/>
      <c r="BM164" s="111"/>
      <c r="BN164" s="111"/>
      <c r="BO164" s="111"/>
      <c r="BP164" s="111"/>
      <c r="BQ164" s="111"/>
      <c r="BR164" s="111"/>
      <c r="BS164" s="111"/>
      <c r="BT164" s="111"/>
      <c r="BU164" s="111"/>
      <c r="BV164" s="111"/>
      <c r="BW164" s="111"/>
      <c r="BX164" s="111"/>
      <c r="BY164" s="111"/>
      <c r="BZ164" s="111"/>
      <c r="CA164" s="111"/>
      <c r="CB164" s="111"/>
      <c r="CC164" s="111"/>
      <c r="CD164" s="111"/>
      <c r="CE164" s="111"/>
      <c r="CF164" s="111"/>
      <c r="CG164" s="111"/>
      <c r="CH164" s="111"/>
      <c r="CI164" s="111"/>
      <c r="CJ164" s="111"/>
      <c r="CK164" s="111"/>
      <c r="CL164" s="111"/>
      <c r="CM164" s="111"/>
      <c r="CN164" s="111"/>
      <c r="CO164" s="111"/>
      <c r="CP164" s="111"/>
      <c r="CQ164" s="111"/>
      <c r="CR164" s="111"/>
      <c r="CS164" s="111"/>
      <c r="CT164" s="111"/>
      <c r="CU164" s="111"/>
      <c r="CV164" s="111"/>
      <c r="CW164" s="111"/>
      <c r="CX164" s="111"/>
      <c r="CY164" s="111"/>
      <c r="CZ164" s="111"/>
      <c r="DA164" s="111"/>
      <c r="DB164" s="111"/>
      <c r="DC164" s="111"/>
      <c r="DD164" s="111"/>
      <c r="DE164" s="112"/>
      <c r="DF164" s="112"/>
      <c r="DG164" s="112"/>
      <c r="DH164" s="112"/>
      <c r="DI164" s="112"/>
      <c r="DJ164" s="112"/>
      <c r="DK164" s="112"/>
      <c r="DL164" s="112"/>
      <c r="DM164" s="112"/>
      <c r="DN164" s="112"/>
      <c r="DO164" s="112"/>
      <c r="DP164" s="112"/>
      <c r="DQ164" s="112"/>
      <c r="DR164" s="112"/>
      <c r="DS164" s="112"/>
      <c r="DT164" s="112"/>
      <c r="DU164" s="112"/>
      <c r="DV164" s="112"/>
      <c r="DW164" s="112"/>
      <c r="DX164" s="112"/>
      <c r="DY164" s="112"/>
      <c r="DZ164" s="112"/>
      <c r="EA164" s="112"/>
      <c r="EB164" s="112"/>
      <c r="EC164" s="112"/>
      <c r="ED164" s="112"/>
      <c r="EE164" s="111"/>
      <c r="EF164" s="111"/>
      <c r="EG164" s="111"/>
      <c r="EH164" s="111"/>
      <c r="EI164" s="111"/>
      <c r="EJ164" s="111"/>
      <c r="EK164" s="111"/>
      <c r="EL164" s="111"/>
      <c r="EM164" s="111"/>
      <c r="EN164" s="111"/>
      <c r="EO164" s="111"/>
      <c r="EP164" s="111"/>
      <c r="EQ164" s="111"/>
      <c r="ER164" s="111"/>
      <c r="ES164" s="111"/>
      <c r="ET164" s="111"/>
      <c r="EU164" s="111"/>
      <c r="EV164" s="111"/>
      <c r="EW164" s="111"/>
      <c r="EX164" s="111"/>
      <c r="EY164" s="111"/>
      <c r="EZ164" s="111"/>
      <c r="FA164" s="111"/>
      <c r="FB164" s="111"/>
      <c r="FC164" s="111"/>
      <c r="FD164" s="111"/>
      <c r="FE164" s="111"/>
      <c r="FF164" s="111"/>
      <c r="FG164" s="111"/>
      <c r="FH164" s="111"/>
      <c r="FI164" s="111"/>
      <c r="FJ164" s="111"/>
      <c r="FK164" s="111"/>
      <c r="FL164" s="111"/>
      <c r="FM164" s="111"/>
      <c r="FN164" s="111"/>
    </row>
    <row r="165" spans="1:170" s="14" customFormat="1" ht="18" customHeight="1">
      <c r="A165" s="1808"/>
      <c r="B165" s="416">
        <v>188</v>
      </c>
      <c r="C165" s="1149" t="str">
        <f>VLOOKUP(B165,Begriffe!$A$6:$E$442,Begriffe!$D$1+2)</f>
        <v>Zeitkonstante</v>
      </c>
      <c r="D165" s="3"/>
      <c r="E165" s="3"/>
      <c r="F165" s="129"/>
      <c r="G165" s="129"/>
      <c r="H165" s="129"/>
      <c r="I165" s="239" t="s">
        <v>233</v>
      </c>
      <c r="J165" s="582" t="s">
        <v>17</v>
      </c>
      <c r="K165" s="582"/>
      <c r="L165" s="352"/>
      <c r="M165" s="584">
        <f>IF(M164&lt;=0,0,$M26*$M11/M164)</f>
        <v>85.950493648041316</v>
      </c>
      <c r="N165" s="584">
        <f>IF(N164&lt;=0,0,$M26*$M11/N164)</f>
        <v>123.13063976477746</v>
      </c>
      <c r="O165" s="584">
        <f>IF(O164&lt;=0,0,$M26*$M11/O164)</f>
        <v>47.487658243315899</v>
      </c>
      <c r="P165" s="493">
        <v>1</v>
      </c>
      <c r="Q165" s="920">
        <v>1</v>
      </c>
      <c r="R165" s="493">
        <v>0</v>
      </c>
      <c r="S165" s="127"/>
      <c r="T165" s="169"/>
      <c r="U165" s="169"/>
      <c r="V165" s="126"/>
      <c r="W165" s="306"/>
      <c r="X165" s="306"/>
      <c r="Y165" s="126"/>
      <c r="Z165" s="306"/>
      <c r="AA165" s="306"/>
      <c r="AB165" s="127"/>
      <c r="AC165" s="169"/>
      <c r="AD165" s="169"/>
      <c r="AE165" s="129"/>
      <c r="AF165" s="129"/>
      <c r="AG165" s="129"/>
      <c r="AH165" s="129"/>
      <c r="AI165" s="129"/>
      <c r="AJ165" s="129"/>
      <c r="AK165" s="129"/>
      <c r="AL165" s="129"/>
      <c r="AM165" s="129"/>
      <c r="AN165" s="129"/>
      <c r="AO165" s="129"/>
      <c r="AP165" s="163"/>
      <c r="AQ165" s="163"/>
      <c r="AR165" s="111"/>
      <c r="AS165" s="111"/>
      <c r="AT165" s="111"/>
      <c r="AU165" s="111"/>
      <c r="AV165" s="111"/>
      <c r="AW165" s="111"/>
      <c r="AX165" s="111"/>
      <c r="AY165" s="111"/>
      <c r="AZ165" s="111"/>
      <c r="BA165" s="111"/>
      <c r="BB165" s="111"/>
      <c r="BC165" s="111"/>
      <c r="BD165" s="111"/>
      <c r="BE165" s="111"/>
      <c r="BF165" s="111"/>
      <c r="BG165" s="111"/>
      <c r="BH165" s="111"/>
      <c r="BI165" s="111"/>
      <c r="BJ165" s="111"/>
      <c r="BK165" s="111"/>
      <c r="BL165" s="111"/>
      <c r="BM165" s="111"/>
      <c r="BN165" s="111"/>
      <c r="BO165" s="111"/>
      <c r="BP165" s="111"/>
      <c r="BQ165" s="111"/>
      <c r="BR165" s="111"/>
      <c r="BS165" s="111"/>
      <c r="BT165" s="111"/>
      <c r="BU165" s="111"/>
      <c r="BV165" s="111"/>
      <c r="BW165" s="111"/>
      <c r="BX165" s="111"/>
      <c r="BY165" s="111"/>
      <c r="BZ165" s="111"/>
      <c r="CA165" s="111"/>
      <c r="CB165" s="111"/>
      <c r="CC165" s="111"/>
      <c r="CD165" s="111"/>
      <c r="CE165" s="111"/>
      <c r="CF165" s="111"/>
      <c r="CG165" s="111"/>
      <c r="CH165" s="111"/>
      <c r="CI165" s="111"/>
      <c r="CJ165" s="111"/>
      <c r="CK165" s="111"/>
      <c r="CL165" s="111"/>
      <c r="CM165" s="111"/>
      <c r="CN165" s="111"/>
      <c r="CO165" s="111"/>
      <c r="CP165" s="111"/>
      <c r="CQ165" s="111"/>
      <c r="CR165" s="111"/>
      <c r="CS165" s="111"/>
      <c r="CT165" s="111"/>
      <c r="CU165" s="111"/>
      <c r="CV165" s="111"/>
      <c r="CW165" s="111"/>
      <c r="CX165" s="111"/>
      <c r="CY165" s="111"/>
      <c r="CZ165" s="111"/>
      <c r="DA165" s="111"/>
      <c r="DB165" s="111"/>
      <c r="DC165" s="111"/>
      <c r="DD165" s="111"/>
      <c r="DE165" s="112"/>
      <c r="DF165" s="112"/>
      <c r="DG165" s="112"/>
      <c r="DH165" s="112"/>
      <c r="DI165" s="112"/>
      <c r="DJ165" s="112"/>
      <c r="DK165" s="112"/>
      <c r="DL165" s="112"/>
      <c r="DM165" s="112"/>
      <c r="DN165" s="112"/>
      <c r="DO165" s="112"/>
      <c r="DP165" s="112"/>
      <c r="DQ165" s="112"/>
      <c r="DR165" s="112"/>
      <c r="DS165" s="112"/>
      <c r="DT165" s="112"/>
      <c r="DU165" s="112"/>
      <c r="DV165" s="112"/>
      <c r="DW165" s="112"/>
      <c r="DX165" s="112"/>
      <c r="DY165" s="112"/>
      <c r="DZ165" s="112"/>
      <c r="EA165" s="112"/>
      <c r="EB165" s="112"/>
      <c r="EC165" s="112"/>
      <c r="ED165" s="112"/>
      <c r="EE165" s="111"/>
      <c r="EF165" s="111"/>
      <c r="EG165" s="111"/>
      <c r="EH165" s="111"/>
      <c r="EI165" s="111"/>
      <c r="EJ165" s="111"/>
      <c r="EK165" s="111"/>
      <c r="EL165" s="111"/>
      <c r="EM165" s="111"/>
      <c r="EN165" s="111"/>
      <c r="EO165" s="111"/>
      <c r="EP165" s="111"/>
      <c r="EQ165" s="111"/>
      <c r="ER165" s="111"/>
      <c r="ES165" s="111"/>
      <c r="ET165" s="111"/>
      <c r="EU165" s="111"/>
      <c r="EV165" s="111"/>
      <c r="EW165" s="111"/>
      <c r="EX165" s="111"/>
      <c r="EY165" s="111"/>
      <c r="EZ165" s="111"/>
      <c r="FA165" s="111"/>
      <c r="FB165" s="111"/>
      <c r="FC165" s="111"/>
      <c r="FD165" s="111"/>
      <c r="FE165" s="111"/>
      <c r="FF165" s="111"/>
      <c r="FG165" s="111"/>
      <c r="FH165" s="111"/>
      <c r="FI165" s="111"/>
      <c r="FJ165" s="111"/>
      <c r="FK165" s="111"/>
      <c r="FL165" s="111"/>
      <c r="FM165" s="111"/>
      <c r="FN165" s="111"/>
    </row>
    <row r="166" spans="1:170" s="14" customFormat="1" ht="18" customHeight="1">
      <c r="A166" s="1808"/>
      <c r="B166" s="416">
        <v>169</v>
      </c>
      <c r="C166" s="1149" t="str">
        <f>VLOOKUP(B166,Begriffe!$A$6:$E$442,Begriffe!$D$1+2)</f>
        <v>Temperaturkorrektur</v>
      </c>
      <c r="D166" s="3"/>
      <c r="E166" s="3"/>
      <c r="F166" s="121"/>
      <c r="G166" s="129"/>
      <c r="H166" s="129"/>
      <c r="I166" s="239" t="s">
        <v>780</v>
      </c>
      <c r="J166" s="1190" t="s">
        <v>3</v>
      </c>
      <c r="K166" s="582"/>
      <c r="L166" s="352"/>
      <c r="M166" s="341">
        <f>IF(M165&lt;51,-3,IF(M165&lt;101,-2,IF(M165&lt;201,-1,0)))</f>
        <v>-2</v>
      </c>
      <c r="N166" s="341">
        <f>IF(N165&lt;51,-3,IF(N165&lt;101,-2,IF(N165&lt;201,-1,0)))</f>
        <v>-1</v>
      </c>
      <c r="O166" s="341">
        <f>IF(O165&lt;51,-3,IF(O165&lt;101,-2,IF(O165&lt;201,-1,0)))</f>
        <v>-3</v>
      </c>
      <c r="P166" s="22">
        <v>1</v>
      </c>
      <c r="Q166" s="920">
        <v>1</v>
      </c>
      <c r="R166" s="22">
        <v>0</v>
      </c>
      <c r="S166" s="127"/>
      <c r="T166" s="169"/>
      <c r="U166" s="169"/>
      <c r="V166" s="126"/>
      <c r="W166" s="306"/>
      <c r="X166" s="306"/>
      <c r="Y166" s="126"/>
      <c r="Z166" s="306"/>
      <c r="AA166" s="306"/>
      <c r="AB166" s="127"/>
      <c r="AC166" s="169"/>
      <c r="AD166" s="169"/>
      <c r="AE166" s="129"/>
      <c r="AF166" s="129"/>
      <c r="AG166" s="129"/>
      <c r="AH166" s="129"/>
      <c r="AI166" s="129"/>
      <c r="AJ166" s="129"/>
      <c r="AK166" s="129"/>
      <c r="AL166" s="129"/>
      <c r="AM166" s="129"/>
      <c r="AN166" s="129"/>
      <c r="AO166" s="129"/>
      <c r="AP166" s="163"/>
      <c r="AQ166" s="163"/>
      <c r="AR166" s="111"/>
      <c r="AS166" s="111"/>
      <c r="AT166" s="111"/>
      <c r="AU166" s="111"/>
      <c r="AV166" s="111"/>
      <c r="AW166" s="111"/>
      <c r="AX166" s="111"/>
      <c r="AY166" s="111"/>
      <c r="AZ166" s="111"/>
      <c r="BA166" s="111"/>
      <c r="BB166" s="111"/>
      <c r="BC166" s="111"/>
      <c r="BD166" s="111"/>
      <c r="BE166" s="111"/>
      <c r="BF166" s="111"/>
      <c r="BG166" s="111"/>
      <c r="BH166" s="111"/>
      <c r="BI166" s="111"/>
      <c r="BJ166" s="111"/>
      <c r="BK166" s="111"/>
      <c r="BL166" s="111"/>
      <c r="BM166" s="111"/>
      <c r="BN166" s="111"/>
      <c r="BO166" s="111"/>
      <c r="BP166" s="111"/>
      <c r="BQ166" s="111"/>
      <c r="BR166" s="111"/>
      <c r="BS166" s="111"/>
      <c r="BT166" s="111"/>
      <c r="BU166" s="111"/>
      <c r="BV166" s="111"/>
      <c r="BW166" s="111"/>
      <c r="BX166" s="111"/>
      <c r="BY166" s="111"/>
      <c r="BZ166" s="111"/>
      <c r="CA166" s="111"/>
      <c r="CB166" s="111"/>
      <c r="CC166" s="111"/>
      <c r="CD166" s="111"/>
      <c r="CE166" s="111"/>
      <c r="CF166" s="111"/>
      <c r="CG166" s="111"/>
      <c r="CH166" s="111"/>
      <c r="CI166" s="111"/>
      <c r="CJ166" s="111"/>
      <c r="CK166" s="111"/>
      <c r="CL166" s="111"/>
      <c r="CM166" s="111"/>
      <c r="CN166" s="111"/>
      <c r="CO166" s="111"/>
      <c r="CP166" s="111"/>
      <c r="CQ166" s="111"/>
      <c r="CR166" s="111"/>
      <c r="CS166" s="111"/>
      <c r="CT166" s="111"/>
      <c r="CU166" s="111"/>
      <c r="CV166" s="111"/>
      <c r="CW166" s="111"/>
      <c r="CX166" s="111"/>
      <c r="CY166" s="111"/>
      <c r="CZ166" s="111"/>
      <c r="DA166" s="111"/>
      <c r="DB166" s="111"/>
      <c r="DC166" s="111"/>
      <c r="DD166" s="111"/>
      <c r="DE166" s="112"/>
      <c r="DF166" s="112"/>
      <c r="DG166" s="112"/>
      <c r="DH166" s="112"/>
      <c r="DI166" s="112"/>
      <c r="DJ166" s="112"/>
      <c r="DK166" s="112"/>
      <c r="DL166" s="112"/>
      <c r="DM166" s="112"/>
      <c r="DN166" s="112"/>
      <c r="DO166" s="112"/>
      <c r="DP166" s="112"/>
      <c r="DQ166" s="112"/>
      <c r="DR166" s="112"/>
      <c r="DS166" s="112"/>
      <c r="DT166" s="112"/>
      <c r="DU166" s="112"/>
      <c r="DV166" s="112"/>
      <c r="DW166" s="112"/>
      <c r="DX166" s="112"/>
      <c r="DY166" s="112"/>
      <c r="DZ166" s="112"/>
      <c r="EA166" s="112"/>
      <c r="EB166" s="112"/>
      <c r="EC166" s="112"/>
      <c r="ED166" s="112"/>
      <c r="EE166" s="111"/>
      <c r="EF166" s="111"/>
      <c r="EG166" s="111"/>
      <c r="EH166" s="111"/>
      <c r="EI166" s="111"/>
      <c r="EJ166" s="111"/>
      <c r="EK166" s="111"/>
      <c r="EL166" s="111"/>
      <c r="EM166" s="111"/>
      <c r="EN166" s="111"/>
      <c r="EO166" s="111"/>
      <c r="EP166" s="111"/>
      <c r="EQ166" s="111"/>
      <c r="ER166" s="111"/>
      <c r="ES166" s="111"/>
      <c r="ET166" s="111"/>
      <c r="EU166" s="111"/>
      <c r="EV166" s="111"/>
      <c r="EW166" s="111"/>
      <c r="EX166" s="111"/>
      <c r="EY166" s="111"/>
      <c r="EZ166" s="111"/>
      <c r="FA166" s="111"/>
      <c r="FB166" s="111"/>
      <c r="FC166" s="111"/>
      <c r="FD166" s="111"/>
      <c r="FE166" s="111"/>
      <c r="FF166" s="111"/>
      <c r="FG166" s="111"/>
      <c r="FH166" s="111"/>
      <c r="FI166" s="111"/>
      <c r="FJ166" s="111"/>
      <c r="FK166" s="111"/>
      <c r="FL166" s="111"/>
      <c r="FM166" s="111"/>
      <c r="FN166" s="111"/>
    </row>
    <row r="167" spans="1:170" s="14" customFormat="1" ht="18" hidden="1" customHeight="1">
      <c r="A167" s="1808"/>
      <c r="B167" s="30"/>
      <c r="C167" s="519" t="s">
        <v>773</v>
      </c>
      <c r="D167" s="84"/>
      <c r="E167" s="84"/>
      <c r="F167" s="84" t="s">
        <v>375</v>
      </c>
      <c r="G167" s="84"/>
      <c r="H167" s="84"/>
      <c r="I167" s="31"/>
      <c r="J167" s="354" t="s">
        <v>29</v>
      </c>
      <c r="K167" s="354"/>
      <c r="L167" s="353"/>
      <c r="M167" s="213">
        <f>IF($M30=0,0,M164*($M30-$M5-M166)/$M11)</f>
        <v>36.644350326797387</v>
      </c>
      <c r="N167" s="213">
        <f>IF($M30=0,0,N164*($M30-$M5-N166)/$M11)</f>
        <v>24.754196078431374</v>
      </c>
      <c r="O167" s="213">
        <f>IF($M30=0,0,O164*($M30-$M5-O166)/$M11)</f>
        <v>68.46410457516339</v>
      </c>
      <c r="P167" s="22">
        <v>0</v>
      </c>
      <c r="Q167" s="920">
        <v>0</v>
      </c>
      <c r="R167" s="22">
        <v>0</v>
      </c>
      <c r="S167" s="127"/>
      <c r="T167" s="169"/>
      <c r="U167" s="169"/>
      <c r="V167" s="126"/>
      <c r="W167" s="306"/>
      <c r="X167" s="306"/>
      <c r="Y167" s="126"/>
      <c r="Z167" s="306"/>
      <c r="AA167" s="306"/>
      <c r="AB167" s="127"/>
      <c r="AC167" s="169"/>
      <c r="AD167" s="169"/>
      <c r="AE167" s="129"/>
      <c r="AF167" s="129"/>
      <c r="AG167" s="129"/>
      <c r="AH167" s="129"/>
      <c r="AI167" s="129"/>
      <c r="AJ167" s="129"/>
      <c r="AK167" s="129"/>
      <c r="AL167" s="129"/>
      <c r="AM167" s="129"/>
      <c r="AN167" s="129"/>
      <c r="AO167" s="129"/>
      <c r="AP167" s="163"/>
      <c r="AQ167" s="163"/>
      <c r="AR167" s="111"/>
      <c r="AS167" s="111"/>
      <c r="AT167" s="111"/>
      <c r="AU167" s="111"/>
      <c r="AV167" s="111"/>
      <c r="AW167" s="111"/>
      <c r="AX167" s="111"/>
      <c r="AY167" s="111"/>
      <c r="AZ167" s="111"/>
      <c r="BA167" s="111"/>
      <c r="BB167" s="111"/>
      <c r="BC167" s="111"/>
      <c r="BD167" s="111"/>
      <c r="BE167" s="111"/>
      <c r="BF167" s="111"/>
      <c r="BG167" s="111"/>
      <c r="BH167" s="111"/>
      <c r="BI167" s="111"/>
      <c r="BJ167" s="111"/>
      <c r="BK167" s="111"/>
      <c r="BL167" s="111"/>
      <c r="BM167" s="111"/>
      <c r="BN167" s="111"/>
      <c r="BO167" s="111"/>
      <c r="BP167" s="111"/>
      <c r="BQ167" s="111"/>
      <c r="BR167" s="111"/>
      <c r="BS167" s="111"/>
      <c r="BT167" s="111"/>
      <c r="BU167" s="111"/>
      <c r="BV167" s="111"/>
      <c r="BW167" s="111"/>
      <c r="BX167" s="111"/>
      <c r="BY167" s="111"/>
      <c r="BZ167" s="111"/>
      <c r="CA167" s="111"/>
      <c r="CB167" s="111"/>
      <c r="CC167" s="111"/>
      <c r="CD167" s="111"/>
      <c r="CE167" s="111"/>
      <c r="CF167" s="111"/>
      <c r="CG167" s="111"/>
      <c r="CH167" s="111"/>
      <c r="CI167" s="111"/>
      <c r="CJ167" s="111"/>
      <c r="CK167" s="111"/>
      <c r="CL167" s="111"/>
      <c r="CM167" s="111"/>
      <c r="CN167" s="111"/>
      <c r="CO167" s="111"/>
      <c r="CP167" s="111"/>
      <c r="CQ167" s="111"/>
      <c r="CR167" s="111"/>
      <c r="CS167" s="111"/>
      <c r="CT167" s="111"/>
      <c r="CU167" s="111"/>
      <c r="CV167" s="111"/>
      <c r="CW167" s="111"/>
      <c r="CX167" s="111"/>
      <c r="CY167" s="111"/>
      <c r="CZ167" s="111"/>
      <c r="DA167" s="111"/>
      <c r="DB167" s="111"/>
      <c r="DC167" s="111"/>
      <c r="DD167" s="111"/>
      <c r="DE167" s="112"/>
      <c r="DF167" s="112"/>
      <c r="DG167" s="112"/>
      <c r="DH167" s="112"/>
      <c r="DI167" s="112"/>
      <c r="DJ167" s="112"/>
      <c r="DK167" s="112"/>
      <c r="DL167" s="112"/>
      <c r="DM167" s="112"/>
      <c r="DN167" s="112"/>
      <c r="DO167" s="112"/>
      <c r="DP167" s="112"/>
      <c r="DQ167" s="112"/>
      <c r="DR167" s="112"/>
      <c r="DS167" s="112"/>
      <c r="DT167" s="112"/>
      <c r="DU167" s="112"/>
      <c r="DV167" s="112"/>
      <c r="DW167" s="112"/>
      <c r="DX167" s="112"/>
      <c r="DY167" s="112"/>
      <c r="DZ167" s="112"/>
      <c r="EA167" s="112"/>
      <c r="EB167" s="112"/>
      <c r="EC167" s="112"/>
      <c r="ED167" s="112"/>
      <c r="EE167" s="111"/>
      <c r="EF167" s="111"/>
      <c r="EG167" s="111"/>
      <c r="EH167" s="111"/>
      <c r="EI167" s="111"/>
      <c r="EJ167" s="111"/>
      <c r="EK167" s="111"/>
      <c r="EL167" s="111"/>
      <c r="EM167" s="111"/>
      <c r="EN167" s="111"/>
      <c r="EO167" s="111"/>
      <c r="EP167" s="111"/>
      <c r="EQ167" s="111"/>
      <c r="ER167" s="111"/>
      <c r="ES167" s="111"/>
      <c r="ET167" s="111"/>
      <c r="EU167" s="111"/>
      <c r="EV167" s="111"/>
      <c r="EW167" s="111"/>
      <c r="EX167" s="111"/>
      <c r="EY167" s="111"/>
      <c r="EZ167" s="111"/>
      <c r="FA167" s="111"/>
      <c r="FB167" s="111"/>
      <c r="FC167" s="111"/>
      <c r="FD167" s="111"/>
      <c r="FE167" s="111"/>
      <c r="FF167" s="111"/>
      <c r="FG167" s="111"/>
      <c r="FH167" s="111"/>
      <c r="FI167" s="111"/>
      <c r="FJ167" s="111"/>
      <c r="FK167" s="111"/>
      <c r="FL167" s="111"/>
      <c r="FM167" s="111"/>
      <c r="FN167" s="111"/>
    </row>
    <row r="168" spans="1:170" s="14" customFormat="1" ht="18" customHeight="1">
      <c r="A168" s="1808"/>
      <c r="B168" s="416">
        <v>150</v>
      </c>
      <c r="C168" s="1149" t="str">
        <f>VLOOKUP(B168,Begriffe!$A$6:$E$442,Begriffe!$D$1+2)</f>
        <v>Norm-Heizwärmeleistungsbedarf</v>
      </c>
      <c r="D168" s="21"/>
      <c r="E168" s="21"/>
      <c r="F168" s="21"/>
      <c r="G168" s="21"/>
      <c r="H168" s="21"/>
      <c r="I168" s="262" t="s">
        <v>677</v>
      </c>
      <c r="J168" s="188" t="s">
        <v>68</v>
      </c>
      <c r="K168" s="188"/>
      <c r="L168" s="1175"/>
      <c r="M168" s="269">
        <f>IF(L168&lt;&gt;"",L168,IF(nutzid=44,0,M167))</f>
        <v>36.644350326797387</v>
      </c>
      <c r="N168" s="269">
        <f>IF(nutzid=44,0,N167)</f>
        <v>24.754196078431374</v>
      </c>
      <c r="O168" s="269">
        <f>IF(nutzid=44,0,O167)</f>
        <v>68.46410457516339</v>
      </c>
      <c r="P168" s="493">
        <v>1</v>
      </c>
      <c r="Q168" s="920">
        <v>1</v>
      </c>
      <c r="R168" s="493">
        <v>0</v>
      </c>
      <c r="S168" s="127" t="s">
        <v>177</v>
      </c>
      <c r="T168" s="169"/>
      <c r="U168" s="308"/>
      <c r="V168" s="313"/>
      <c r="W168" s="306"/>
      <c r="X168" s="306"/>
      <c r="Y168" s="126"/>
      <c r="Z168" s="306"/>
      <c r="AA168" s="306"/>
      <c r="AB168" s="127"/>
      <c r="AC168" s="169"/>
      <c r="AD168" s="169"/>
      <c r="AE168" s="129"/>
      <c r="AF168" s="129"/>
      <c r="AG168" s="129"/>
      <c r="AH168" s="129"/>
      <c r="AI168" s="129"/>
      <c r="AJ168" s="129"/>
      <c r="AK168" s="129"/>
      <c r="AL168" s="129"/>
      <c r="AM168" s="129"/>
      <c r="AN168" s="129"/>
      <c r="AO168" s="129"/>
      <c r="AP168" s="163"/>
      <c r="AQ168" s="163"/>
      <c r="AR168" s="111"/>
      <c r="AS168" s="111"/>
      <c r="AT168" s="111"/>
      <c r="AU168" s="111"/>
      <c r="AV168" s="111"/>
      <c r="AW168" s="111"/>
      <c r="AX168" s="111"/>
      <c r="AY168" s="111"/>
      <c r="AZ168" s="111"/>
      <c r="BA168" s="111"/>
      <c r="BB168" s="111"/>
      <c r="BC168" s="111"/>
      <c r="BD168" s="111"/>
      <c r="BE168" s="111"/>
      <c r="BF168" s="111"/>
      <c r="BG168" s="111"/>
      <c r="BH168" s="111"/>
      <c r="BI168" s="111"/>
      <c r="BJ168" s="111"/>
      <c r="BK168" s="111"/>
      <c r="BL168" s="111"/>
      <c r="BM168" s="111"/>
      <c r="BN168" s="111"/>
      <c r="BO168" s="111"/>
      <c r="BP168" s="111"/>
      <c r="BQ168" s="111"/>
      <c r="BR168" s="111"/>
      <c r="BS168" s="111"/>
      <c r="BT168" s="111"/>
      <c r="BU168" s="111"/>
      <c r="BV168" s="111"/>
      <c r="BW168" s="111"/>
      <c r="BX168" s="111"/>
      <c r="BY168" s="111"/>
      <c r="BZ168" s="111"/>
      <c r="CA168" s="111"/>
      <c r="CB168" s="111"/>
      <c r="CC168" s="111"/>
      <c r="CD168" s="111"/>
      <c r="CE168" s="111"/>
      <c r="CF168" s="111"/>
      <c r="CG168" s="111"/>
      <c r="CH168" s="111"/>
      <c r="CI168" s="111"/>
      <c r="CJ168" s="111"/>
      <c r="CK168" s="111"/>
      <c r="CL168" s="111"/>
      <c r="CM168" s="111"/>
      <c r="CN168" s="111"/>
      <c r="CO168" s="111"/>
      <c r="CP168" s="111"/>
      <c r="CQ168" s="111"/>
      <c r="CR168" s="111"/>
      <c r="CS168" s="111"/>
      <c r="CT168" s="111"/>
      <c r="CU168" s="111"/>
      <c r="CV168" s="111"/>
      <c r="CW168" s="111"/>
      <c r="CX168" s="111"/>
      <c r="CY168" s="111"/>
      <c r="CZ168" s="111"/>
      <c r="DA168" s="111"/>
      <c r="DB168" s="111"/>
      <c r="DC168" s="111"/>
      <c r="DD168" s="111"/>
      <c r="DE168" s="112"/>
      <c r="DF168" s="112"/>
      <c r="DG168" s="112"/>
      <c r="DH168" s="112"/>
      <c r="DI168" s="112"/>
      <c r="DJ168" s="112"/>
      <c r="DK168" s="112"/>
      <c r="DL168" s="112"/>
      <c r="DM168" s="112"/>
      <c r="DN168" s="112"/>
      <c r="DO168" s="112"/>
      <c r="DP168" s="112"/>
      <c r="DQ168" s="112"/>
      <c r="DR168" s="112"/>
      <c r="DS168" s="112"/>
      <c r="DT168" s="112"/>
      <c r="DU168" s="112"/>
      <c r="DV168" s="112"/>
      <c r="DW168" s="112"/>
      <c r="DX168" s="112"/>
      <c r="DY168" s="112"/>
      <c r="DZ168" s="112"/>
      <c r="EA168" s="112"/>
      <c r="EB168" s="112"/>
      <c r="EC168" s="112"/>
      <c r="ED168" s="112"/>
      <c r="EE168" s="111"/>
      <c r="EF168" s="111"/>
      <c r="EG168" s="111"/>
      <c r="EH168" s="111"/>
      <c r="EI168" s="111"/>
      <c r="EJ168" s="111"/>
      <c r="EK168" s="111"/>
      <c r="EL168" s="111"/>
      <c r="EM168" s="111"/>
      <c r="EN168" s="111"/>
      <c r="EO168" s="111"/>
      <c r="EP168" s="111"/>
      <c r="EQ168" s="111"/>
      <c r="ER168" s="111"/>
      <c r="ES168" s="111"/>
      <c r="ET168" s="111"/>
      <c r="EU168" s="111"/>
      <c r="EV168" s="111"/>
      <c r="EW168" s="111"/>
      <c r="EX168" s="111"/>
      <c r="EY168" s="111"/>
      <c r="EZ168" s="111"/>
      <c r="FA168" s="111"/>
      <c r="FB168" s="111"/>
      <c r="FC168" s="111"/>
      <c r="FD168" s="111"/>
      <c r="FE168" s="111"/>
      <c r="FF168" s="111"/>
      <c r="FG168" s="111"/>
      <c r="FH168" s="111"/>
      <c r="FI168" s="111"/>
      <c r="FJ168" s="111"/>
      <c r="FK168" s="111"/>
      <c r="FL168" s="111"/>
      <c r="FM168" s="111"/>
      <c r="FN168" s="111"/>
    </row>
    <row r="169" spans="1:170" s="14" customFormat="1" ht="18" customHeight="1">
      <c r="A169" s="1808"/>
      <c r="B169" s="416">
        <v>130</v>
      </c>
      <c r="C169" s="1149" t="str">
        <f>VLOOKUP(B169,Begriffe!$A$6:$E$442,Begriffe!$D$1+2)</f>
        <v>Jährliche Volllaststunden der Raumheizung</v>
      </c>
      <c r="D169" s="21"/>
      <c r="E169" s="21"/>
      <c r="F169" s="21"/>
      <c r="G169" s="21"/>
      <c r="H169" s="21"/>
      <c r="I169" s="180" t="s">
        <v>227</v>
      </c>
      <c r="J169" s="188" t="s">
        <v>17</v>
      </c>
      <c r="K169" s="188"/>
      <c r="L169" s="182"/>
      <c r="M169" s="1017">
        <f>IF(M168=0,0,ROUND(M174*1000/M168,-1))</f>
        <v>60</v>
      </c>
      <c r="N169" s="1017">
        <f>IF(N168=0,0,ROUND(N174*1000/N168,-1))</f>
        <v>20</v>
      </c>
      <c r="O169" s="1017">
        <f>IF(O168=0,0,ROUND(O174*1000/O168,-1))</f>
        <v>660</v>
      </c>
      <c r="P169" s="493">
        <v>1</v>
      </c>
      <c r="Q169" s="920">
        <v>1</v>
      </c>
      <c r="R169" s="493">
        <v>0</v>
      </c>
      <c r="S169" s="22"/>
      <c r="T169" s="22"/>
      <c r="U169" s="169"/>
      <c r="V169" s="126"/>
      <c r="W169" s="306"/>
      <c r="X169" s="306"/>
      <c r="Y169" s="126"/>
      <c r="Z169" s="306"/>
      <c r="AA169" s="306"/>
      <c r="AB169" s="127"/>
      <c r="AC169" s="169"/>
      <c r="AD169" s="169"/>
      <c r="AE169" s="129"/>
      <c r="AF169" s="129"/>
      <c r="AG169" s="129"/>
      <c r="AH169" s="129"/>
      <c r="AI169" s="129"/>
      <c r="AJ169" s="129"/>
      <c r="AK169" s="129"/>
      <c r="AL169" s="129"/>
      <c r="AM169" s="129"/>
      <c r="AN169" s="129"/>
      <c r="AO169" s="129"/>
      <c r="AP169" s="163"/>
      <c r="AQ169" s="163"/>
      <c r="AR169" s="111"/>
      <c r="AS169" s="111"/>
      <c r="AT169" s="111"/>
      <c r="AU169" s="111"/>
      <c r="AV169" s="111"/>
      <c r="AW169" s="111"/>
      <c r="AX169" s="111"/>
      <c r="AY169" s="111"/>
      <c r="AZ169" s="111"/>
      <c r="BA169" s="111"/>
      <c r="BB169" s="111"/>
      <c r="BC169" s="111"/>
      <c r="BD169" s="111"/>
      <c r="BE169" s="111"/>
      <c r="BF169" s="111"/>
      <c r="BG169" s="111"/>
      <c r="BH169" s="111"/>
      <c r="BI169" s="111"/>
      <c r="BJ169" s="111"/>
      <c r="BK169" s="111"/>
      <c r="BL169" s="111"/>
      <c r="BM169" s="111"/>
      <c r="BN169" s="111"/>
      <c r="BO169" s="111"/>
      <c r="BP169" s="111"/>
      <c r="BQ169" s="111"/>
      <c r="BR169" s="111"/>
      <c r="BS169" s="111"/>
      <c r="BT169" s="111"/>
      <c r="BU169" s="111"/>
      <c r="BV169" s="111"/>
      <c r="BW169" s="111"/>
      <c r="BX169" s="111"/>
      <c r="BY169" s="111"/>
      <c r="BZ169" s="111"/>
      <c r="CA169" s="111"/>
      <c r="CB169" s="111"/>
      <c r="CC169" s="111"/>
      <c r="CD169" s="111"/>
      <c r="CE169" s="111"/>
      <c r="CF169" s="111"/>
      <c r="CG169" s="111"/>
      <c r="CH169" s="111"/>
      <c r="CI169" s="111"/>
      <c r="CJ169" s="111"/>
      <c r="CK169" s="111"/>
      <c r="CL169" s="111"/>
      <c r="CM169" s="111"/>
      <c r="CN169" s="111"/>
      <c r="CO169" s="111"/>
      <c r="CP169" s="111"/>
      <c r="CQ169" s="111"/>
      <c r="CR169" s="111"/>
      <c r="CS169" s="111"/>
      <c r="CT169" s="111"/>
      <c r="CU169" s="111"/>
      <c r="CV169" s="111"/>
      <c r="CW169" s="111"/>
      <c r="CX169" s="111"/>
      <c r="CY169" s="111"/>
      <c r="CZ169" s="111"/>
      <c r="DA169" s="111"/>
      <c r="DB169" s="111"/>
      <c r="DC169" s="111"/>
      <c r="DD169" s="111"/>
      <c r="DE169" s="112"/>
      <c r="DF169" s="112"/>
      <c r="DG169" s="112"/>
      <c r="DH169" s="112"/>
      <c r="DI169" s="112"/>
      <c r="DJ169" s="112"/>
      <c r="DK169" s="112"/>
      <c r="DL169" s="112"/>
      <c r="DM169" s="112"/>
      <c r="DN169" s="112"/>
      <c r="DO169" s="112"/>
      <c r="DP169" s="112"/>
      <c r="DQ169" s="112"/>
      <c r="DR169" s="112"/>
      <c r="DS169" s="112"/>
      <c r="DT169" s="112"/>
      <c r="DU169" s="112"/>
      <c r="DV169" s="112"/>
      <c r="DW169" s="112"/>
      <c r="DX169" s="112"/>
      <c r="DY169" s="112"/>
      <c r="DZ169" s="112"/>
      <c r="EA169" s="112"/>
      <c r="EB169" s="112"/>
      <c r="EC169" s="112"/>
      <c r="ED169" s="112"/>
      <c r="EE169" s="111"/>
      <c r="EF169" s="111"/>
      <c r="EG169" s="111"/>
      <c r="EH169" s="111"/>
      <c r="EI169" s="111"/>
      <c r="EJ169" s="111"/>
      <c r="EK169" s="111"/>
      <c r="EL169" s="111"/>
      <c r="EM169" s="111"/>
      <c r="EN169" s="111"/>
      <c r="EO169" s="111"/>
      <c r="EP169" s="111"/>
      <c r="EQ169" s="111"/>
      <c r="ER169" s="111"/>
      <c r="ES169" s="111"/>
      <c r="ET169" s="111"/>
      <c r="EU169" s="111"/>
      <c r="EV169" s="111"/>
      <c r="EW169" s="111"/>
      <c r="EX169" s="111"/>
      <c r="EY169" s="111"/>
      <c r="EZ169" s="111"/>
      <c r="FA169" s="111"/>
      <c r="FB169" s="111"/>
      <c r="FC169" s="111"/>
      <c r="FD169" s="111"/>
      <c r="FE169" s="111"/>
      <c r="FF169" s="111"/>
      <c r="FG169" s="111"/>
      <c r="FH169" s="111"/>
      <c r="FI169" s="111"/>
      <c r="FJ169" s="111"/>
      <c r="FK169" s="111"/>
      <c r="FL169" s="111"/>
      <c r="FM169" s="111"/>
      <c r="FN169" s="111"/>
    </row>
    <row r="170" spans="1:170" s="14" customFormat="1" ht="18" hidden="1" customHeight="1">
      <c r="A170" s="1808"/>
      <c r="B170" s="30"/>
      <c r="C170" s="519" t="s">
        <v>353</v>
      </c>
      <c r="D170" s="84"/>
      <c r="E170" s="84"/>
      <c r="F170" s="84"/>
      <c r="G170" s="84"/>
      <c r="H170" s="84"/>
      <c r="I170" s="31" t="s">
        <v>678</v>
      </c>
      <c r="J170" s="354" t="s">
        <v>77</v>
      </c>
      <c r="K170" s="354"/>
      <c r="L170" s="353"/>
      <c r="M170" s="213">
        <f>INDEX(Eingabedaten!$D$10:$HJ$54,nutzid,MATCH("Qh,li0",Eingabedaten!$D$7:$HJ$7,0))/3.6</f>
        <v>3.6111111111111112</v>
      </c>
      <c r="N170" s="213">
        <f>M170</f>
        <v>3.6111111111111112</v>
      </c>
      <c r="O170" s="213">
        <f>M170</f>
        <v>3.6111111111111112</v>
      </c>
      <c r="P170" s="493">
        <v>0</v>
      </c>
      <c r="Q170" s="920">
        <v>0</v>
      </c>
      <c r="R170" s="493">
        <v>0</v>
      </c>
      <c r="S170" s="22"/>
      <c r="T170" s="22"/>
      <c r="U170" s="169"/>
      <c r="V170" s="126"/>
      <c r="W170" s="306"/>
      <c r="X170" s="306"/>
      <c r="Y170" s="126"/>
      <c r="Z170" s="306"/>
      <c r="AA170" s="306"/>
      <c r="AB170" s="127"/>
      <c r="AC170" s="169"/>
      <c r="AD170" s="169"/>
      <c r="AE170" s="129"/>
      <c r="AF170" s="129"/>
      <c r="AG170" s="129"/>
      <c r="AH170" s="129"/>
      <c r="AI170" s="129"/>
      <c r="AJ170" s="129"/>
      <c r="AK170" s="129"/>
      <c r="AL170" s="129"/>
      <c r="AM170" s="129"/>
      <c r="AN170" s="129"/>
      <c r="AO170" s="129"/>
      <c r="AP170" s="163"/>
      <c r="AQ170" s="163"/>
      <c r="AR170" s="111"/>
      <c r="AS170" s="111"/>
      <c r="AT170" s="111"/>
      <c r="AU170" s="111"/>
      <c r="AV170" s="111"/>
      <c r="AW170" s="111"/>
      <c r="AX170" s="111"/>
      <c r="AY170" s="111"/>
      <c r="AZ170" s="111"/>
      <c r="BA170" s="111"/>
      <c r="BB170" s="111"/>
      <c r="BC170" s="111"/>
      <c r="BD170" s="111"/>
      <c r="BE170" s="111"/>
      <c r="BF170" s="111"/>
      <c r="BG170" s="111"/>
      <c r="BH170" s="111"/>
      <c r="BI170" s="111"/>
      <c r="BJ170" s="111"/>
      <c r="BK170" s="111"/>
      <c r="BL170" s="111"/>
      <c r="BM170" s="111"/>
      <c r="BN170" s="111"/>
      <c r="BO170" s="111"/>
      <c r="BP170" s="111"/>
      <c r="BQ170" s="111"/>
      <c r="BR170" s="111"/>
      <c r="BS170" s="111"/>
      <c r="BT170" s="111"/>
      <c r="BU170" s="111"/>
      <c r="BV170" s="111"/>
      <c r="BW170" s="111"/>
      <c r="BX170" s="111"/>
      <c r="BY170" s="111"/>
      <c r="BZ170" s="111"/>
      <c r="CA170" s="111"/>
      <c r="CB170" s="111"/>
      <c r="CC170" s="111"/>
      <c r="CD170" s="111"/>
      <c r="CE170" s="111"/>
      <c r="CF170" s="111"/>
      <c r="CG170" s="111"/>
      <c r="CH170" s="111"/>
      <c r="CI170" s="111"/>
      <c r="CJ170" s="111"/>
      <c r="CK170" s="111"/>
      <c r="CL170" s="111"/>
      <c r="CM170" s="111"/>
      <c r="CN170" s="111"/>
      <c r="CO170" s="111"/>
      <c r="CP170" s="111"/>
      <c r="CQ170" s="111"/>
      <c r="CR170" s="111"/>
      <c r="CS170" s="111"/>
      <c r="CT170" s="111"/>
      <c r="CU170" s="111"/>
      <c r="CV170" s="111"/>
      <c r="CW170" s="111"/>
      <c r="CX170" s="111"/>
      <c r="CY170" s="111"/>
      <c r="CZ170" s="111"/>
      <c r="DA170" s="111"/>
      <c r="DB170" s="111"/>
      <c r="DC170" s="111"/>
      <c r="DD170" s="111"/>
      <c r="DE170" s="112"/>
      <c r="DF170" s="112"/>
      <c r="DG170" s="112"/>
      <c r="DH170" s="112"/>
      <c r="DI170" s="112"/>
      <c r="DJ170" s="112"/>
      <c r="DK170" s="112"/>
      <c r="DL170" s="112"/>
      <c r="DM170" s="112"/>
      <c r="DN170" s="112"/>
      <c r="DO170" s="112"/>
      <c r="DP170" s="112"/>
      <c r="DQ170" s="112"/>
      <c r="DR170" s="112"/>
      <c r="DS170" s="112"/>
      <c r="DT170" s="112"/>
      <c r="DU170" s="112"/>
      <c r="DV170" s="112"/>
      <c r="DW170" s="112"/>
      <c r="DX170" s="112"/>
      <c r="DY170" s="112"/>
      <c r="DZ170" s="112"/>
      <c r="EA170" s="112"/>
      <c r="EB170" s="112"/>
      <c r="EC170" s="112"/>
      <c r="ED170" s="112"/>
      <c r="EE170" s="111"/>
      <c r="EF170" s="111"/>
      <c r="EG170" s="111"/>
      <c r="EH170" s="111"/>
      <c r="EI170" s="111"/>
      <c r="EJ170" s="111"/>
      <c r="EK170" s="111"/>
      <c r="EL170" s="111"/>
      <c r="EM170" s="111"/>
      <c r="EN170" s="111"/>
      <c r="EO170" s="111"/>
      <c r="EP170" s="111"/>
      <c r="EQ170" s="111"/>
      <c r="ER170" s="111"/>
      <c r="ES170" s="111"/>
      <c r="ET170" s="111"/>
      <c r="EU170" s="111"/>
      <c r="EV170" s="111"/>
      <c r="EW170" s="111"/>
      <c r="EX170" s="111"/>
      <c r="EY170" s="111"/>
      <c r="EZ170" s="111"/>
      <c r="FA170" s="111"/>
      <c r="FB170" s="111"/>
      <c r="FC170" s="111"/>
      <c r="FD170" s="111"/>
      <c r="FE170" s="111"/>
      <c r="FF170" s="111"/>
      <c r="FG170" s="111"/>
      <c r="FH170" s="111"/>
      <c r="FI170" s="111"/>
      <c r="FJ170" s="111"/>
      <c r="FK170" s="111"/>
      <c r="FL170" s="111"/>
      <c r="FM170" s="111"/>
      <c r="FN170" s="111"/>
    </row>
    <row r="171" spans="1:170" s="14" customFormat="1" ht="18" hidden="1" customHeight="1">
      <c r="A171" s="1808"/>
      <c r="B171" s="30"/>
      <c r="C171" s="519" t="s">
        <v>354</v>
      </c>
      <c r="D171" s="84"/>
      <c r="E171" s="84"/>
      <c r="F171" s="84"/>
      <c r="G171" s="84"/>
      <c r="H171" s="84"/>
      <c r="I171" s="31" t="s">
        <v>679</v>
      </c>
      <c r="J171" s="354" t="s">
        <v>77</v>
      </c>
      <c r="K171" s="354"/>
      <c r="L171" s="353"/>
      <c r="M171" s="213">
        <f>INDEX(Eingabedaten!$D$10:$HJ$54,nutzid,MATCH("dQh,li",Eingabedaten!$D$7:$HJ$7,0))/3.6</f>
        <v>3.8888888888888888</v>
      </c>
      <c r="N171" s="213">
        <f>M171</f>
        <v>3.8888888888888888</v>
      </c>
      <c r="O171" s="213">
        <f>M171</f>
        <v>3.8888888888888888</v>
      </c>
      <c r="P171" s="493">
        <v>0</v>
      </c>
      <c r="Q171" s="920">
        <v>0</v>
      </c>
      <c r="R171" s="493">
        <v>0</v>
      </c>
      <c r="S171" s="22"/>
      <c r="T171" s="22"/>
      <c r="U171" s="169"/>
      <c r="V171" s="126"/>
      <c r="W171" s="306"/>
      <c r="X171" s="306"/>
      <c r="Y171" s="126"/>
      <c r="Z171" s="306"/>
      <c r="AA171" s="306"/>
      <c r="AB171" s="127"/>
      <c r="AC171" s="169"/>
      <c r="AD171" s="169"/>
      <c r="AE171" s="129"/>
      <c r="AF171" s="129"/>
      <c r="AG171" s="129"/>
      <c r="AH171" s="129"/>
      <c r="AI171" s="129"/>
      <c r="AJ171" s="129"/>
      <c r="AK171" s="129"/>
      <c r="AL171" s="129"/>
      <c r="AM171" s="129"/>
      <c r="AN171" s="129"/>
      <c r="AO171" s="129"/>
      <c r="AP171" s="163"/>
      <c r="AQ171" s="163"/>
      <c r="AR171" s="111"/>
      <c r="AS171" s="111"/>
      <c r="AT171" s="111"/>
      <c r="AU171" s="111"/>
      <c r="AV171" s="111"/>
      <c r="AW171" s="111"/>
      <c r="AX171" s="111"/>
      <c r="AY171" s="111"/>
      <c r="AZ171" s="111"/>
      <c r="BA171" s="111"/>
      <c r="BB171" s="111"/>
      <c r="BC171" s="111"/>
      <c r="BD171" s="111"/>
      <c r="BE171" s="111"/>
      <c r="BF171" s="111"/>
      <c r="BG171" s="111"/>
      <c r="BH171" s="111"/>
      <c r="BI171" s="111"/>
      <c r="BJ171" s="111"/>
      <c r="BK171" s="111"/>
      <c r="BL171" s="111"/>
      <c r="BM171" s="111"/>
      <c r="BN171" s="111"/>
      <c r="BO171" s="111"/>
      <c r="BP171" s="111"/>
      <c r="BQ171" s="111"/>
      <c r="BR171" s="111"/>
      <c r="BS171" s="111"/>
      <c r="BT171" s="111"/>
      <c r="BU171" s="111"/>
      <c r="BV171" s="111"/>
      <c r="BW171" s="111"/>
      <c r="BX171" s="111"/>
      <c r="BY171" s="111"/>
      <c r="BZ171" s="111"/>
      <c r="CA171" s="111"/>
      <c r="CB171" s="111"/>
      <c r="CC171" s="111"/>
      <c r="CD171" s="111"/>
      <c r="CE171" s="111"/>
      <c r="CF171" s="111"/>
      <c r="CG171" s="111"/>
      <c r="CH171" s="111"/>
      <c r="CI171" s="111"/>
      <c r="CJ171" s="111"/>
      <c r="CK171" s="111"/>
      <c r="CL171" s="111"/>
      <c r="CM171" s="111"/>
      <c r="CN171" s="111"/>
      <c r="CO171" s="111"/>
      <c r="CP171" s="111"/>
      <c r="CQ171" s="111"/>
      <c r="CR171" s="111"/>
      <c r="CS171" s="111"/>
      <c r="CT171" s="111"/>
      <c r="CU171" s="111"/>
      <c r="CV171" s="111"/>
      <c r="CW171" s="111"/>
      <c r="CX171" s="111"/>
      <c r="CY171" s="111"/>
      <c r="CZ171" s="111"/>
      <c r="DA171" s="111"/>
      <c r="DB171" s="111"/>
      <c r="DC171" s="111"/>
      <c r="DD171" s="111"/>
      <c r="DE171" s="112"/>
      <c r="DF171" s="112"/>
      <c r="DG171" s="112"/>
      <c r="DH171" s="112"/>
      <c r="DI171" s="112"/>
      <c r="DJ171" s="112"/>
      <c r="DK171" s="112"/>
      <c r="DL171" s="112"/>
      <c r="DM171" s="112"/>
      <c r="DN171" s="112"/>
      <c r="DO171" s="112"/>
      <c r="DP171" s="112"/>
      <c r="DQ171" s="112"/>
      <c r="DR171" s="112"/>
      <c r="DS171" s="112"/>
      <c r="DT171" s="112"/>
      <c r="DU171" s="112"/>
      <c r="DV171" s="112"/>
      <c r="DW171" s="112"/>
      <c r="DX171" s="112"/>
      <c r="DY171" s="112"/>
      <c r="DZ171" s="112"/>
      <c r="EA171" s="112"/>
      <c r="EB171" s="112"/>
      <c r="EC171" s="112"/>
      <c r="ED171" s="112"/>
      <c r="EE171" s="111"/>
      <c r="EF171" s="111"/>
      <c r="EG171" s="111"/>
      <c r="EH171" s="111"/>
      <c r="EI171" s="111"/>
      <c r="EJ171" s="111"/>
      <c r="EK171" s="111"/>
      <c r="EL171" s="111"/>
      <c r="EM171" s="111"/>
      <c r="EN171" s="111"/>
      <c r="EO171" s="111"/>
      <c r="EP171" s="111"/>
      <c r="EQ171" s="111"/>
      <c r="ER171" s="111"/>
      <c r="ES171" s="111"/>
      <c r="ET171" s="111"/>
      <c r="EU171" s="111"/>
      <c r="EV171" s="111"/>
      <c r="EW171" s="111"/>
      <c r="EX171" s="111"/>
      <c r="EY171" s="111"/>
      <c r="EZ171" s="111"/>
      <c r="FA171" s="111"/>
      <c r="FB171" s="111"/>
      <c r="FC171" s="111"/>
      <c r="FD171" s="111"/>
      <c r="FE171" s="111"/>
      <c r="FF171" s="111"/>
      <c r="FG171" s="111"/>
      <c r="FH171" s="111"/>
      <c r="FI171" s="111"/>
      <c r="FJ171" s="111"/>
      <c r="FK171" s="111"/>
      <c r="FL171" s="111"/>
      <c r="FM171" s="111"/>
      <c r="FN171" s="111"/>
    </row>
    <row r="172" spans="1:170" s="14" customFormat="1" ht="18" hidden="1" customHeight="1">
      <c r="A172" s="1808"/>
      <c r="B172" s="30"/>
      <c r="C172" s="519">
        <f>Begriffe!F298</f>
        <v>0</v>
      </c>
      <c r="D172" s="84"/>
      <c r="E172" s="84"/>
      <c r="F172" s="84"/>
      <c r="G172" s="84"/>
      <c r="H172" s="84"/>
      <c r="I172" s="31" t="s">
        <v>352</v>
      </c>
      <c r="J172" s="354" t="s">
        <v>240</v>
      </c>
      <c r="K172" s="354"/>
      <c r="L172" s="353"/>
      <c r="M172" s="213">
        <f>INDEX(Eingabedaten!$D$10:$HZ$54,nutzid,MATCH($C172,Eingabedaten!$D$7:$HZ$7,0))</f>
        <v>0.7</v>
      </c>
      <c r="N172" s="213">
        <f>M172</f>
        <v>0.7</v>
      </c>
      <c r="O172" s="213">
        <f>M172</f>
        <v>0.7</v>
      </c>
      <c r="P172" s="493">
        <v>0</v>
      </c>
      <c r="Q172" s="920">
        <v>0</v>
      </c>
      <c r="R172" s="493">
        <v>0</v>
      </c>
      <c r="S172" s="22"/>
      <c r="T172" s="22"/>
      <c r="U172" s="169"/>
      <c r="V172" s="126"/>
      <c r="W172" s="306"/>
      <c r="X172" s="306"/>
      <c r="Y172" s="126"/>
      <c r="Z172" s="306"/>
      <c r="AA172" s="306"/>
      <c r="AB172" s="127"/>
      <c r="AC172" s="169"/>
      <c r="AD172" s="169"/>
      <c r="AE172" s="129"/>
      <c r="AF172" s="129"/>
      <c r="AG172" s="129"/>
      <c r="AH172" s="129"/>
      <c r="AI172" s="129"/>
      <c r="AJ172" s="129"/>
      <c r="AK172" s="129"/>
      <c r="AL172" s="129"/>
      <c r="AM172" s="129"/>
      <c r="AN172" s="129"/>
      <c r="AO172" s="129"/>
      <c r="AP172" s="163"/>
      <c r="AQ172" s="163"/>
      <c r="AR172" s="111"/>
      <c r="AS172" s="111"/>
      <c r="AT172" s="111"/>
      <c r="AU172" s="111"/>
      <c r="AV172" s="111"/>
      <c r="AW172" s="111"/>
      <c r="AX172" s="111"/>
      <c r="AY172" s="111"/>
      <c r="AZ172" s="111"/>
      <c r="BA172" s="111"/>
      <c r="BB172" s="111"/>
      <c r="BC172" s="111"/>
      <c r="BD172" s="111"/>
      <c r="BE172" s="111"/>
      <c r="BF172" s="111"/>
      <c r="BG172" s="111"/>
      <c r="BH172" s="111"/>
      <c r="BI172" s="111"/>
      <c r="BJ172" s="111"/>
      <c r="BK172" s="111"/>
      <c r="BL172" s="111"/>
      <c r="BM172" s="111"/>
      <c r="BN172" s="111"/>
      <c r="BO172" s="111"/>
      <c r="BP172" s="111"/>
      <c r="BQ172" s="111"/>
      <c r="BR172" s="111"/>
      <c r="BS172" s="111"/>
      <c r="BT172" s="111"/>
      <c r="BU172" s="111"/>
      <c r="BV172" s="111"/>
      <c r="BW172" s="111"/>
      <c r="BX172" s="111"/>
      <c r="BY172" s="111"/>
      <c r="BZ172" s="111"/>
      <c r="CA172" s="111"/>
      <c r="CB172" s="111"/>
      <c r="CC172" s="111"/>
      <c r="CD172" s="111"/>
      <c r="CE172" s="111"/>
      <c r="CF172" s="111"/>
      <c r="CG172" s="111"/>
      <c r="CH172" s="111"/>
      <c r="CI172" s="111"/>
      <c r="CJ172" s="111"/>
      <c r="CK172" s="111"/>
      <c r="CL172" s="111"/>
      <c r="CM172" s="111"/>
      <c r="CN172" s="111"/>
      <c r="CO172" s="111"/>
      <c r="CP172" s="111"/>
      <c r="CQ172" s="111"/>
      <c r="CR172" s="111"/>
      <c r="CS172" s="111"/>
      <c r="CT172" s="111"/>
      <c r="CU172" s="111"/>
      <c r="CV172" s="111"/>
      <c r="CW172" s="111"/>
      <c r="CX172" s="111"/>
      <c r="CY172" s="111"/>
      <c r="CZ172" s="111"/>
      <c r="DA172" s="111"/>
      <c r="DB172" s="111"/>
      <c r="DC172" s="111"/>
      <c r="DD172" s="111"/>
      <c r="DE172" s="112"/>
      <c r="DF172" s="112"/>
      <c r="DG172" s="112"/>
      <c r="DH172" s="112"/>
      <c r="DI172" s="112"/>
      <c r="DJ172" s="112"/>
      <c r="DK172" s="112"/>
      <c r="DL172" s="112"/>
      <c r="DM172" s="112"/>
      <c r="DN172" s="112"/>
      <c r="DO172" s="112"/>
      <c r="DP172" s="112"/>
      <c r="DQ172" s="112"/>
      <c r="DR172" s="112"/>
      <c r="DS172" s="112"/>
      <c r="DT172" s="112"/>
      <c r="DU172" s="112"/>
      <c r="DV172" s="112"/>
      <c r="DW172" s="112"/>
      <c r="DX172" s="112"/>
      <c r="DY172" s="112"/>
      <c r="DZ172" s="112"/>
      <c r="EA172" s="112"/>
      <c r="EB172" s="112"/>
      <c r="EC172" s="112"/>
      <c r="ED172" s="112"/>
      <c r="EE172" s="111"/>
      <c r="EF172" s="111"/>
      <c r="EG172" s="111"/>
      <c r="EH172" s="111"/>
      <c r="EI172" s="111"/>
      <c r="EJ172" s="111"/>
      <c r="EK172" s="111"/>
      <c r="EL172" s="111"/>
      <c r="EM172" s="111"/>
      <c r="EN172" s="111"/>
      <c r="EO172" s="111"/>
      <c r="EP172" s="111"/>
      <c r="EQ172" s="111"/>
      <c r="ER172" s="111"/>
      <c r="ES172" s="111"/>
      <c r="ET172" s="111"/>
      <c r="EU172" s="111"/>
      <c r="EV172" s="111"/>
      <c r="EW172" s="111"/>
      <c r="EX172" s="111"/>
      <c r="EY172" s="111"/>
      <c r="EZ172" s="111"/>
      <c r="FA172" s="111"/>
      <c r="FB172" s="111"/>
      <c r="FC172" s="111"/>
      <c r="FD172" s="111"/>
      <c r="FE172" s="111"/>
      <c r="FF172" s="111"/>
      <c r="FG172" s="111"/>
      <c r="FH172" s="111"/>
      <c r="FI172" s="111"/>
      <c r="FJ172" s="111"/>
      <c r="FK172" s="111"/>
      <c r="FL172" s="111"/>
      <c r="FM172" s="111"/>
      <c r="FN172" s="111"/>
    </row>
    <row r="173" spans="1:170" s="14" customFormat="1" ht="18" customHeight="1">
      <c r="A173" s="1808"/>
      <c r="B173" s="416">
        <v>170</v>
      </c>
      <c r="C173" s="1149" t="str">
        <f>VLOOKUP(B173,Begriffe!$A$6:$E$442,Begriffe!$D$1+2)</f>
        <v>Thermisch wirksamer Aussenluft-Volumenstrom</v>
      </c>
      <c r="D173" s="121"/>
      <c r="E173" s="121"/>
      <c r="F173" s="121"/>
      <c r="G173" s="121"/>
      <c r="H173" s="121"/>
      <c r="I173" s="215" t="s">
        <v>718</v>
      </c>
      <c r="J173" s="212" t="s">
        <v>240</v>
      </c>
      <c r="K173" s="188"/>
      <c r="L173" s="352"/>
      <c r="M173" s="1019">
        <f>IF(M128=0,0,(($M128*(1-M133)-M129)*M127)/8760+M129)</f>
        <v>0.93058749999999513</v>
      </c>
      <c r="N173" s="1019">
        <f>IF(M128=0,0,(($M128*(1-N133)-N129)*N127)/8760+N129)</f>
        <v>0.50262499999999788</v>
      </c>
      <c r="O173" s="1019">
        <f>IF(M128=0,0,(($M128*(1-O133)-O129)*O127)/8760+O129)</f>
        <v>2.4174999999999929</v>
      </c>
      <c r="P173" s="493">
        <v>0</v>
      </c>
      <c r="Q173" s="920">
        <v>1</v>
      </c>
      <c r="R173" s="493">
        <v>0</v>
      </c>
      <c r="S173" s="22"/>
      <c r="T173" s="22"/>
      <c r="U173" s="169"/>
      <c r="V173" s="126"/>
      <c r="W173" s="306"/>
      <c r="X173" s="306"/>
      <c r="Y173" s="126"/>
      <c r="Z173" s="306"/>
      <c r="AA173" s="306"/>
      <c r="AB173" s="127"/>
      <c r="AC173" s="169"/>
      <c r="AD173" s="169"/>
      <c r="AE173" s="129"/>
      <c r="AF173" s="129"/>
      <c r="AG173" s="129"/>
      <c r="AH173" s="129"/>
      <c r="AI173" s="129"/>
      <c r="AJ173" s="129"/>
      <c r="AK173" s="129"/>
      <c r="AL173" s="129"/>
      <c r="AM173" s="129"/>
      <c r="AN173" s="129"/>
      <c r="AO173" s="129"/>
      <c r="AP173" s="163"/>
      <c r="AQ173" s="163"/>
      <c r="AR173" s="111"/>
      <c r="AS173" s="111"/>
      <c r="AT173" s="111"/>
      <c r="AU173" s="111"/>
      <c r="AV173" s="111"/>
      <c r="AW173" s="111"/>
      <c r="AX173" s="111"/>
      <c r="AY173" s="111"/>
      <c r="AZ173" s="111"/>
      <c r="BA173" s="111"/>
      <c r="BB173" s="111"/>
      <c r="BC173" s="111"/>
      <c r="BD173" s="111"/>
      <c r="BE173" s="111"/>
      <c r="BF173" s="111"/>
      <c r="BG173" s="111"/>
      <c r="BH173" s="111"/>
      <c r="BI173" s="111"/>
      <c r="BJ173" s="111"/>
      <c r="BK173" s="111"/>
      <c r="BL173" s="111"/>
      <c r="BM173" s="111"/>
      <c r="BN173" s="111"/>
      <c r="BO173" s="111"/>
      <c r="BP173" s="111"/>
      <c r="BQ173" s="111"/>
      <c r="BR173" s="111"/>
      <c r="BS173" s="111"/>
      <c r="BT173" s="111"/>
      <c r="BU173" s="111"/>
      <c r="BV173" s="111"/>
      <c r="BW173" s="111"/>
      <c r="BX173" s="111"/>
      <c r="BY173" s="111"/>
      <c r="BZ173" s="111"/>
      <c r="CA173" s="111"/>
      <c r="CB173" s="111"/>
      <c r="CC173" s="111"/>
      <c r="CD173" s="111"/>
      <c r="CE173" s="111"/>
      <c r="CF173" s="111"/>
      <c r="CG173" s="111"/>
      <c r="CH173" s="111"/>
      <c r="CI173" s="111"/>
      <c r="CJ173" s="111"/>
      <c r="CK173" s="111"/>
      <c r="CL173" s="111"/>
      <c r="CM173" s="111"/>
      <c r="CN173" s="111"/>
      <c r="CO173" s="111"/>
      <c r="CP173" s="111"/>
      <c r="CQ173" s="111"/>
      <c r="CR173" s="111"/>
      <c r="CS173" s="111"/>
      <c r="CT173" s="111"/>
      <c r="CU173" s="111"/>
      <c r="CV173" s="111"/>
      <c r="CW173" s="111"/>
      <c r="CX173" s="111"/>
      <c r="CY173" s="111"/>
      <c r="CZ173" s="111"/>
      <c r="DA173" s="111"/>
      <c r="DB173" s="111"/>
      <c r="DC173" s="111"/>
      <c r="DD173" s="111"/>
      <c r="DE173" s="112"/>
      <c r="DF173" s="112"/>
      <c r="DG173" s="112"/>
      <c r="DH173" s="112"/>
      <c r="DI173" s="112"/>
      <c r="DJ173" s="112"/>
      <c r="DK173" s="112"/>
      <c r="DL173" s="112"/>
      <c r="DM173" s="112"/>
      <c r="DN173" s="112"/>
      <c r="DO173" s="112"/>
      <c r="DP173" s="112"/>
      <c r="DQ173" s="112"/>
      <c r="DR173" s="112"/>
      <c r="DS173" s="112"/>
      <c r="DT173" s="112"/>
      <c r="DU173" s="112"/>
      <c r="DV173" s="112"/>
      <c r="DW173" s="112"/>
      <c r="DX173" s="112"/>
      <c r="DY173" s="112"/>
      <c r="DZ173" s="112"/>
      <c r="EA173" s="112"/>
      <c r="EB173" s="112"/>
      <c r="EC173" s="112"/>
      <c r="ED173" s="112"/>
      <c r="EE173" s="111"/>
      <c r="EF173" s="111"/>
      <c r="EG173" s="111"/>
      <c r="EH173" s="111"/>
      <c r="EI173" s="111"/>
      <c r="EJ173" s="111"/>
      <c r="EK173" s="111"/>
      <c r="EL173" s="111"/>
      <c r="EM173" s="111"/>
      <c r="EN173" s="111"/>
      <c r="EO173" s="111"/>
      <c r="EP173" s="111"/>
      <c r="EQ173" s="111"/>
      <c r="ER173" s="111"/>
      <c r="ES173" s="111"/>
      <c r="ET173" s="111"/>
      <c r="EU173" s="111"/>
      <c r="EV173" s="111"/>
      <c r="EW173" s="111"/>
      <c r="EX173" s="111"/>
      <c r="EY173" s="111"/>
      <c r="EZ173" s="111"/>
      <c r="FA173" s="111"/>
      <c r="FB173" s="111"/>
      <c r="FC173" s="111"/>
      <c r="FD173" s="111"/>
      <c r="FE173" s="111"/>
      <c r="FF173" s="111"/>
      <c r="FG173" s="111"/>
      <c r="FH173" s="111"/>
      <c r="FI173" s="111"/>
      <c r="FJ173" s="111"/>
      <c r="FK173" s="111"/>
      <c r="FL173" s="111"/>
      <c r="FM173" s="111"/>
      <c r="FN173" s="111"/>
    </row>
    <row r="174" spans="1:170" s="14" customFormat="1" ht="18" customHeight="1">
      <c r="A174" s="1809"/>
      <c r="B174" s="416">
        <v>137</v>
      </c>
      <c r="C174" s="21" t="str">
        <f>VLOOKUP(B174,Begriffe!$A$6:$E$442,Begriffe!$D$1+2)</f>
        <v xml:space="preserve">Jährlicher Heizwärmebedarf </v>
      </c>
      <c r="D174" s="21"/>
      <c r="E174" s="21"/>
      <c r="F174" s="21"/>
      <c r="G174" s="21"/>
      <c r="H174" s="21"/>
      <c r="I174" s="215" t="s">
        <v>680</v>
      </c>
      <c r="J174" s="212" t="s">
        <v>77</v>
      </c>
      <c r="K174" s="212"/>
      <c r="L174" s="1178"/>
      <c r="M174" s="1020">
        <f>IF(L174&lt;&gt;"",L174,MAX(0,'SIA 380-1'!P131/3.6))</f>
        <v>2.2677545523408651</v>
      </c>
      <c r="N174" s="1020">
        <f>MAX(0,'SIA 380-1'!P162/3.6)</f>
        <v>0.38811752986723469</v>
      </c>
      <c r="O174" s="1020">
        <f>MAX(0,'SIA 380-1'!P193/3.6)</f>
        <v>45.357615428647577</v>
      </c>
      <c r="P174" s="493">
        <v>1</v>
      </c>
      <c r="Q174" s="920">
        <v>1</v>
      </c>
      <c r="R174" s="493">
        <v>0</v>
      </c>
      <c r="S174" s="920"/>
      <c r="T174" s="169"/>
      <c r="U174" s="22"/>
      <c r="V174" s="306"/>
      <c r="W174" s="306"/>
      <c r="X174" s="306"/>
      <c r="Y174" s="126"/>
      <c r="Z174" s="496"/>
      <c r="AA174" s="306"/>
      <c r="AB174" s="127"/>
      <c r="AC174" s="169"/>
      <c r="AD174" s="169"/>
      <c r="AE174" s="129"/>
      <c r="AF174" s="129"/>
      <c r="AG174" s="129"/>
      <c r="AH174" s="129"/>
      <c r="AI174" s="129"/>
      <c r="AJ174" s="129"/>
      <c r="AK174" s="129"/>
      <c r="AL174" s="129"/>
      <c r="AM174" s="129"/>
      <c r="AN174" s="129"/>
      <c r="AO174" s="129"/>
      <c r="AP174" s="163"/>
      <c r="AQ174" s="163"/>
      <c r="AR174" s="111"/>
      <c r="AS174" s="111"/>
      <c r="AT174" s="111"/>
      <c r="AU174" s="111"/>
      <c r="AV174" s="111"/>
      <c r="AW174" s="111"/>
      <c r="AX174" s="111"/>
      <c r="AY174" s="111"/>
      <c r="AZ174" s="111"/>
      <c r="BA174" s="111"/>
      <c r="BB174" s="111"/>
      <c r="BC174" s="111"/>
      <c r="BD174" s="111"/>
      <c r="BE174" s="111"/>
      <c r="BF174" s="111"/>
      <c r="BG174" s="111"/>
      <c r="BH174" s="111"/>
      <c r="BI174" s="111"/>
      <c r="BJ174" s="111"/>
      <c r="BK174" s="111"/>
      <c r="BL174" s="111"/>
      <c r="BM174" s="111"/>
      <c r="BN174" s="111"/>
      <c r="BO174" s="111"/>
      <c r="BP174" s="111"/>
      <c r="BQ174" s="111"/>
      <c r="BR174" s="111"/>
      <c r="BS174" s="111"/>
      <c r="BT174" s="111"/>
      <c r="BU174" s="111"/>
      <c r="BV174" s="111"/>
      <c r="BW174" s="111"/>
      <c r="BX174" s="111"/>
      <c r="BY174" s="111"/>
      <c r="BZ174" s="111"/>
      <c r="CA174" s="111"/>
      <c r="CB174" s="111"/>
      <c r="CC174" s="111"/>
      <c r="CD174" s="111"/>
      <c r="CE174" s="111"/>
      <c r="CF174" s="111"/>
      <c r="CG174" s="111"/>
      <c r="CH174" s="111"/>
      <c r="CI174" s="111"/>
      <c r="CJ174" s="111"/>
      <c r="CK174" s="111"/>
      <c r="CL174" s="111"/>
      <c r="CM174" s="111"/>
      <c r="CN174" s="111"/>
      <c r="CO174" s="111"/>
      <c r="CP174" s="111"/>
      <c r="CQ174" s="111"/>
      <c r="CR174" s="111"/>
      <c r="CS174" s="111"/>
      <c r="CT174" s="111"/>
      <c r="CU174" s="111"/>
      <c r="CV174" s="111"/>
      <c r="CW174" s="111"/>
      <c r="CX174" s="111"/>
      <c r="CY174" s="111"/>
      <c r="CZ174" s="111"/>
      <c r="DA174" s="111"/>
      <c r="DB174" s="111"/>
      <c r="DC174" s="111"/>
      <c r="DD174" s="111"/>
      <c r="DE174" s="112"/>
      <c r="DF174" s="112"/>
      <c r="DG174" s="112"/>
      <c r="DH174" s="112"/>
      <c r="DI174" s="112"/>
      <c r="DJ174" s="112"/>
      <c r="DK174" s="112"/>
      <c r="DL174" s="112"/>
      <c r="DM174" s="112"/>
      <c r="DN174" s="112"/>
      <c r="DO174" s="112"/>
      <c r="DP174" s="112"/>
      <c r="DQ174" s="112"/>
      <c r="DR174" s="112"/>
      <c r="DS174" s="112"/>
      <c r="DT174" s="112"/>
      <c r="DU174" s="112"/>
      <c r="DV174" s="112"/>
      <c r="DW174" s="112"/>
      <c r="DX174" s="112"/>
      <c r="DY174" s="112"/>
      <c r="DZ174" s="112"/>
      <c r="EA174" s="112"/>
      <c r="EB174" s="112"/>
      <c r="EC174" s="112"/>
      <c r="ED174" s="112"/>
      <c r="EE174" s="111"/>
      <c r="EF174" s="111"/>
      <c r="EG174" s="111"/>
      <c r="EH174" s="111"/>
      <c r="EI174" s="111"/>
      <c r="EJ174" s="111"/>
      <c r="EK174" s="111"/>
      <c r="EL174" s="111"/>
      <c r="EM174" s="111"/>
      <c r="EN174" s="111"/>
      <c r="EO174" s="111"/>
      <c r="EP174" s="111"/>
      <c r="EQ174" s="111"/>
      <c r="ER174" s="111"/>
      <c r="ES174" s="111"/>
      <c r="ET174" s="111"/>
      <c r="EU174" s="111"/>
      <c r="EV174" s="111"/>
      <c r="EW174" s="111"/>
      <c r="EX174" s="111"/>
      <c r="EY174" s="111"/>
      <c r="EZ174" s="111"/>
      <c r="FA174" s="111"/>
      <c r="FB174" s="111"/>
      <c r="FC174" s="111"/>
      <c r="FD174" s="111"/>
      <c r="FE174" s="111"/>
      <c r="FF174" s="111"/>
      <c r="FG174" s="111"/>
      <c r="FH174" s="111"/>
      <c r="FI174" s="111"/>
      <c r="FJ174" s="111"/>
      <c r="FK174" s="111"/>
      <c r="FL174" s="111"/>
      <c r="FM174" s="111"/>
      <c r="FN174" s="111"/>
    </row>
    <row r="175" spans="1:170" s="9" customFormat="1" ht="1.5" customHeight="1">
      <c r="A175" s="198"/>
      <c r="B175" s="1142"/>
      <c r="C175" s="200"/>
      <c r="D175" s="200"/>
      <c r="E175" s="200"/>
      <c r="F175" s="200"/>
      <c r="G175" s="200"/>
      <c r="H175" s="200"/>
      <c r="I175" s="277"/>
      <c r="J175" s="207"/>
      <c r="K175" s="207"/>
      <c r="L175" s="208"/>
      <c r="M175" s="208"/>
      <c r="N175" s="997"/>
      <c r="O175" s="997"/>
      <c r="P175" s="493">
        <v>0</v>
      </c>
      <c r="Q175" s="920">
        <v>1</v>
      </c>
      <c r="R175" s="493">
        <v>0</v>
      </c>
      <c r="S175" s="166"/>
      <c r="T175" s="307"/>
      <c r="U175" s="307"/>
      <c r="V175" s="165"/>
      <c r="W175" s="268"/>
      <c r="X175" s="268"/>
      <c r="Y175" s="165"/>
      <c r="Z175" s="268"/>
      <c r="AA175" s="268"/>
      <c r="AB175" s="166"/>
      <c r="AC175" s="307"/>
      <c r="AD175" s="307"/>
      <c r="AE175" s="166"/>
      <c r="AF175" s="166"/>
      <c r="AG175" s="166"/>
      <c r="AH175" s="166"/>
      <c r="AI175" s="166"/>
      <c r="AJ175" s="166"/>
      <c r="AK175" s="166"/>
      <c r="AL175" s="166"/>
      <c r="AM175" s="166"/>
      <c r="AN175" s="167"/>
      <c r="AO175" s="167"/>
      <c r="AP175" s="168"/>
      <c r="AQ175" s="168"/>
      <c r="AR175" s="113"/>
      <c r="AS175" s="113"/>
      <c r="AT175" s="113"/>
      <c r="AU175" s="113"/>
      <c r="AV175" s="113"/>
      <c r="AW175" s="113"/>
      <c r="AX175" s="113"/>
      <c r="AY175" s="113"/>
      <c r="AZ175" s="113"/>
      <c r="BA175" s="113"/>
      <c r="BB175" s="113"/>
      <c r="BC175" s="113"/>
      <c r="BD175" s="113"/>
      <c r="BE175" s="113"/>
      <c r="BF175" s="113"/>
      <c r="BG175" s="113"/>
      <c r="BH175" s="113"/>
      <c r="BI175" s="113"/>
      <c r="BJ175" s="113"/>
      <c r="BK175" s="113"/>
      <c r="BL175" s="113"/>
      <c r="BM175" s="113"/>
      <c r="BN175" s="113"/>
      <c r="BO175" s="113"/>
      <c r="BP175" s="113"/>
      <c r="BQ175" s="113"/>
      <c r="BR175" s="113"/>
      <c r="BS175" s="113"/>
      <c r="BT175" s="113"/>
      <c r="BU175" s="113"/>
      <c r="BV175" s="113"/>
      <c r="BW175" s="113"/>
      <c r="BX175" s="113"/>
      <c r="BY175" s="113"/>
      <c r="BZ175" s="113"/>
      <c r="CA175" s="113"/>
      <c r="CB175" s="113"/>
      <c r="CC175" s="113"/>
      <c r="CD175" s="113"/>
      <c r="CE175" s="113"/>
      <c r="CF175" s="113"/>
      <c r="CG175" s="113"/>
      <c r="CH175" s="113"/>
      <c r="CI175" s="113"/>
      <c r="CJ175" s="113"/>
      <c r="CK175" s="113"/>
      <c r="CL175" s="113"/>
      <c r="CM175" s="113"/>
      <c r="CN175" s="113"/>
      <c r="CO175" s="113"/>
      <c r="CP175" s="113"/>
      <c r="CQ175" s="113"/>
      <c r="CR175" s="113"/>
      <c r="CS175" s="113"/>
      <c r="CT175" s="113"/>
      <c r="CU175" s="113"/>
      <c r="CV175" s="114"/>
      <c r="CW175" s="114"/>
      <c r="CX175" s="114"/>
      <c r="CY175" s="114"/>
      <c r="CZ175" s="114"/>
      <c r="DA175" s="114"/>
      <c r="DB175" s="114"/>
      <c r="DC175" s="114"/>
      <c r="DD175" s="114"/>
      <c r="DE175" s="114"/>
      <c r="DF175" s="114"/>
      <c r="DG175" s="114"/>
      <c r="DH175" s="114"/>
      <c r="DI175" s="114"/>
      <c r="DJ175" s="114"/>
      <c r="DK175" s="114"/>
      <c r="DL175" s="114"/>
      <c r="DM175" s="114"/>
      <c r="DN175" s="114"/>
      <c r="DO175" s="114"/>
      <c r="DP175" s="114"/>
      <c r="DQ175" s="114"/>
      <c r="DR175" s="114"/>
      <c r="DS175" s="114"/>
      <c r="DT175" s="114"/>
      <c r="DU175" s="114"/>
      <c r="DV175" s="114"/>
      <c r="DW175" s="114"/>
      <c r="DX175" s="114"/>
      <c r="DY175" s="114"/>
      <c r="DZ175" s="114"/>
      <c r="EA175" s="114"/>
      <c r="EB175" s="114"/>
      <c r="EC175" s="114"/>
      <c r="ED175" s="114"/>
      <c r="EE175" s="115"/>
      <c r="EF175" s="115"/>
      <c r="EG175" s="115"/>
      <c r="EH175" s="115"/>
      <c r="EI175" s="115"/>
      <c r="EJ175" s="115"/>
      <c r="EK175" s="115"/>
      <c r="EL175" s="115"/>
      <c r="EM175" s="115"/>
      <c r="EN175" s="115"/>
      <c r="EO175" s="115"/>
      <c r="EP175" s="115"/>
      <c r="EQ175" s="115"/>
      <c r="ER175" s="115"/>
      <c r="ES175" s="115"/>
      <c r="ET175" s="115"/>
      <c r="EU175" s="115"/>
      <c r="EV175" s="115"/>
      <c r="EW175" s="115"/>
      <c r="EX175" s="115"/>
      <c r="EY175" s="115"/>
      <c r="EZ175" s="115"/>
      <c r="FA175" s="115"/>
      <c r="FB175" s="115"/>
      <c r="FC175" s="115"/>
      <c r="FD175" s="115"/>
      <c r="FE175" s="115"/>
      <c r="FF175" s="115"/>
      <c r="FG175" s="115"/>
      <c r="FH175" s="115"/>
      <c r="FI175" s="115"/>
      <c r="FJ175" s="115"/>
      <c r="FK175" s="115"/>
      <c r="FL175" s="115"/>
      <c r="FM175" s="115"/>
      <c r="FN175" s="115"/>
    </row>
    <row r="176" spans="1:170" s="17" customFormat="1" ht="18" customHeight="1">
      <c r="A176" s="1808" t="str">
        <f>Begriffe!F209</f>
        <v>Wasser</v>
      </c>
      <c r="B176" s="416">
        <v>110</v>
      </c>
      <c r="C176" s="21" t="str">
        <f>VLOOKUP(B176,Begriffe!$A$6:$E$442,Begriffe!$D$1+2)</f>
        <v>Bezugseinheit</v>
      </c>
      <c r="D176" s="21"/>
      <c r="E176" s="21"/>
      <c r="F176" s="21"/>
      <c r="G176" s="21"/>
      <c r="H176" s="21"/>
      <c r="I176" s="180"/>
      <c r="J176" s="210"/>
      <c r="K176" s="188"/>
      <c r="L176" s="1161"/>
      <c r="M176" s="931" t="str">
        <f>IF(INDEX(Eingabedaten!$D$10:$CY$54,nutzid,MATCH($C176,Eingabedaten!$D$7:$CY$7,0))=0,"",INDEX(Eingabedaten!$D$10:$CY$54,nutzid,MATCH($C176,Eingabedaten!$D$7:$CY$7,0)))</f>
        <v/>
      </c>
      <c r="N176" s="266"/>
      <c r="O176" s="266"/>
      <c r="P176" s="493">
        <v>0</v>
      </c>
      <c r="Q176" s="493">
        <v>1</v>
      </c>
      <c r="R176" s="493">
        <v>0</v>
      </c>
      <c r="S176" s="127"/>
      <c r="V176" s="126"/>
      <c r="W176" s="306"/>
      <c r="X176" s="306"/>
      <c r="Y176" s="126"/>
      <c r="Z176" s="306"/>
      <c r="AA176" s="306"/>
      <c r="AB176" s="127"/>
      <c r="AC176" s="169"/>
      <c r="AD176" s="169"/>
      <c r="AE176" s="127"/>
      <c r="AF176" s="127"/>
      <c r="AG176" s="127"/>
      <c r="AH176" s="127"/>
      <c r="AI176" s="127"/>
      <c r="AJ176" s="127"/>
      <c r="AK176" s="127"/>
      <c r="AL176" s="127"/>
      <c r="AM176" s="127"/>
      <c r="AN176" s="128"/>
      <c r="AO176" s="128"/>
      <c r="AP176" s="151"/>
      <c r="AQ176" s="151"/>
      <c r="AR176" s="91"/>
      <c r="AS176" s="91"/>
      <c r="AT176" s="91"/>
      <c r="AU176" s="91"/>
      <c r="AV176" s="91"/>
      <c r="AW176" s="91"/>
      <c r="AX176" s="91"/>
      <c r="AY176" s="91"/>
      <c r="AZ176" s="91"/>
      <c r="BA176" s="91"/>
      <c r="BB176" s="91"/>
      <c r="BC176" s="91"/>
      <c r="BD176" s="91"/>
      <c r="BE176" s="91"/>
      <c r="BF176" s="91"/>
      <c r="BG176" s="91"/>
      <c r="BH176" s="91"/>
      <c r="BI176" s="91"/>
      <c r="BJ176" s="91"/>
      <c r="BK176" s="91"/>
      <c r="BL176" s="91"/>
      <c r="BM176" s="91"/>
      <c r="BN176" s="91"/>
      <c r="BO176" s="91"/>
      <c r="BP176" s="91"/>
      <c r="BQ176" s="91"/>
      <c r="BR176" s="91"/>
      <c r="BS176" s="91"/>
      <c r="BT176" s="91"/>
      <c r="BU176" s="91"/>
      <c r="BV176" s="91"/>
      <c r="BW176" s="91"/>
      <c r="BX176" s="91"/>
      <c r="BY176" s="91"/>
      <c r="BZ176" s="91"/>
      <c r="CA176" s="91"/>
      <c r="CB176" s="91"/>
      <c r="CC176" s="91"/>
      <c r="CD176" s="91"/>
      <c r="CE176" s="91"/>
      <c r="CF176" s="91"/>
      <c r="CG176" s="91"/>
      <c r="CH176" s="91"/>
      <c r="CI176" s="91"/>
      <c r="CJ176" s="91"/>
      <c r="CK176" s="91"/>
      <c r="CL176" s="91"/>
      <c r="CM176" s="91"/>
      <c r="CN176" s="91"/>
      <c r="CO176" s="91"/>
      <c r="CP176" s="91"/>
      <c r="CQ176" s="91"/>
      <c r="CR176" s="91"/>
      <c r="CS176" s="91"/>
      <c r="CT176" s="91"/>
      <c r="CU176" s="91"/>
      <c r="CV176" s="92"/>
      <c r="CW176" s="92"/>
      <c r="CX176" s="92"/>
      <c r="CY176" s="92"/>
      <c r="CZ176" s="92"/>
      <c r="DA176" s="92"/>
      <c r="DB176" s="92"/>
      <c r="DC176" s="92"/>
      <c r="DD176" s="92"/>
      <c r="DE176" s="92"/>
      <c r="DF176" s="92"/>
      <c r="DG176" s="92"/>
      <c r="DH176" s="92"/>
      <c r="DI176" s="92"/>
      <c r="DJ176" s="92"/>
      <c r="DK176" s="92"/>
      <c r="DL176" s="92"/>
      <c r="DM176" s="92"/>
      <c r="DN176" s="92"/>
      <c r="DO176" s="92"/>
      <c r="DP176" s="92"/>
      <c r="DQ176" s="92"/>
      <c r="DR176" s="92"/>
      <c r="DS176" s="92"/>
      <c r="DT176" s="92"/>
      <c r="DU176" s="92"/>
      <c r="DV176" s="92"/>
      <c r="DW176" s="92"/>
      <c r="DX176" s="92"/>
      <c r="DY176" s="92"/>
      <c r="DZ176" s="92"/>
      <c r="EA176" s="92"/>
      <c r="EB176" s="92"/>
      <c r="EC176" s="92"/>
      <c r="ED176" s="92"/>
      <c r="EE176" s="116"/>
      <c r="EF176" s="116"/>
      <c r="EG176" s="116"/>
      <c r="EH176" s="116"/>
      <c r="EI176" s="116"/>
      <c r="EJ176" s="116"/>
      <c r="EK176" s="116"/>
      <c r="EL176" s="116"/>
      <c r="EM176" s="116"/>
      <c r="EN176" s="116"/>
      <c r="EO176" s="116"/>
      <c r="EP176" s="116"/>
      <c r="EQ176" s="116"/>
      <c r="ER176" s="116"/>
      <c r="ES176" s="116"/>
      <c r="ET176" s="116"/>
      <c r="EU176" s="116"/>
      <c r="EV176" s="116"/>
      <c r="EW176" s="116"/>
      <c r="EX176" s="116"/>
      <c r="EY176" s="116"/>
      <c r="EZ176" s="116"/>
      <c r="FA176" s="116"/>
      <c r="FB176" s="116"/>
      <c r="FC176" s="116"/>
      <c r="FD176" s="116"/>
      <c r="FE176" s="116"/>
      <c r="FF176" s="116"/>
      <c r="FG176" s="116"/>
      <c r="FH176" s="116"/>
      <c r="FI176" s="116"/>
      <c r="FJ176" s="116"/>
      <c r="FK176" s="116"/>
      <c r="FL176" s="116"/>
      <c r="FM176" s="116"/>
      <c r="FN176" s="116"/>
    </row>
    <row r="177" spans="1:175" s="17" customFormat="1" ht="18" customHeight="1">
      <c r="A177" s="1808"/>
      <c r="B177" s="416">
        <v>155</v>
      </c>
      <c r="C177" s="21" t="str">
        <f>VLOOKUP(B177,Begriffe!$A$6:$E$442,Begriffe!$D$1+2)</f>
        <v>Nutzwarmwasserbedarf pro Bezugseinheit</v>
      </c>
      <c r="D177" s="21"/>
      <c r="E177" s="21"/>
      <c r="F177" s="21" t="s">
        <v>719</v>
      </c>
      <c r="G177" s="21"/>
      <c r="H177" s="21"/>
      <c r="I177" s="215" t="s">
        <v>872</v>
      </c>
      <c r="J177" s="210" t="s">
        <v>825</v>
      </c>
      <c r="K177" s="188"/>
      <c r="L177" s="1177"/>
      <c r="M177" s="984">
        <f>IF(L177&lt;&gt;"",L177,INDEX(Eingabedaten!$D$10:$CY$54,nutzid,MATCH($C177,Eingabedaten!$D$7:$CY$7,0)))</f>
        <v>0</v>
      </c>
      <c r="N177" s="266"/>
      <c r="O177" s="266"/>
      <c r="P177" s="493">
        <v>0</v>
      </c>
      <c r="Q177" s="493">
        <v>1</v>
      </c>
      <c r="R177" s="493">
        <v>0</v>
      </c>
      <c r="S177" s="127"/>
      <c r="V177" s="126"/>
      <c r="W177" s="306"/>
      <c r="X177" s="306"/>
      <c r="Y177" s="126"/>
      <c r="Z177" s="306"/>
      <c r="AA177" s="306"/>
      <c r="AB177" s="127"/>
      <c r="AC177" s="169"/>
      <c r="AD177" s="169"/>
      <c r="AE177" s="127"/>
      <c r="AF177" s="127"/>
      <c r="AG177" s="127"/>
      <c r="AH177" s="127"/>
      <c r="AI177" s="127"/>
      <c r="AJ177" s="127"/>
      <c r="AK177" s="127"/>
      <c r="AL177" s="127"/>
      <c r="AM177" s="127"/>
      <c r="AN177" s="128"/>
      <c r="AO177" s="128"/>
      <c r="AP177" s="151"/>
      <c r="AQ177" s="151"/>
      <c r="AR177" s="91"/>
      <c r="AS177" s="91"/>
      <c r="AT177" s="91"/>
      <c r="AU177" s="91"/>
      <c r="AV177" s="91"/>
      <c r="AW177" s="91"/>
      <c r="AX177" s="91"/>
      <c r="AY177" s="91"/>
      <c r="AZ177" s="91"/>
      <c r="BA177" s="91"/>
      <c r="BB177" s="91"/>
      <c r="BC177" s="91"/>
      <c r="BD177" s="91"/>
      <c r="BE177" s="91"/>
      <c r="BF177" s="91"/>
      <c r="BG177" s="91"/>
      <c r="BH177" s="91"/>
      <c r="BI177" s="91"/>
      <c r="BJ177" s="91"/>
      <c r="BK177" s="91"/>
      <c r="BL177" s="91"/>
      <c r="BM177" s="91"/>
      <c r="BN177" s="91"/>
      <c r="BO177" s="91"/>
      <c r="BP177" s="91"/>
      <c r="BQ177" s="91"/>
      <c r="BR177" s="91"/>
      <c r="BS177" s="91"/>
      <c r="BT177" s="91"/>
      <c r="BU177" s="91"/>
      <c r="BV177" s="91"/>
      <c r="BW177" s="91"/>
      <c r="BX177" s="91"/>
      <c r="BY177" s="91"/>
      <c r="BZ177" s="91"/>
      <c r="CA177" s="91"/>
      <c r="CB177" s="91"/>
      <c r="CC177" s="91"/>
      <c r="CD177" s="91"/>
      <c r="CE177" s="91"/>
      <c r="CF177" s="91"/>
      <c r="CG177" s="91"/>
      <c r="CH177" s="91"/>
      <c r="CI177" s="91"/>
      <c r="CJ177" s="91"/>
      <c r="CK177" s="91"/>
      <c r="CL177" s="91"/>
      <c r="CM177" s="91"/>
      <c r="CN177" s="91"/>
      <c r="CO177" s="91"/>
      <c r="CP177" s="91"/>
      <c r="CQ177" s="91"/>
      <c r="CR177" s="91"/>
      <c r="CS177" s="91"/>
      <c r="CT177" s="91"/>
      <c r="CU177" s="91"/>
      <c r="CV177" s="92"/>
      <c r="CW177" s="92"/>
      <c r="CX177" s="92"/>
      <c r="CY177" s="92"/>
      <c r="CZ177" s="92"/>
      <c r="DA177" s="92"/>
      <c r="DB177" s="92"/>
      <c r="DC177" s="92"/>
      <c r="DD177" s="92"/>
      <c r="DE177" s="92"/>
      <c r="DF177" s="92"/>
      <c r="DG177" s="92"/>
      <c r="DH177" s="92"/>
      <c r="DI177" s="92"/>
      <c r="DJ177" s="92"/>
      <c r="DK177" s="92"/>
      <c r="DL177" s="92"/>
      <c r="DM177" s="92"/>
      <c r="DN177" s="92"/>
      <c r="DO177" s="92"/>
      <c r="DP177" s="92"/>
      <c r="DQ177" s="92"/>
      <c r="DR177" s="92"/>
      <c r="DS177" s="92"/>
      <c r="DT177" s="92"/>
      <c r="DU177" s="92"/>
      <c r="DV177" s="92"/>
      <c r="DW177" s="92"/>
      <c r="DX177" s="92"/>
      <c r="DY177" s="92"/>
      <c r="DZ177" s="92"/>
      <c r="EA177" s="92"/>
      <c r="EB177" s="92"/>
      <c r="EC177" s="92"/>
      <c r="ED177" s="92"/>
      <c r="EE177" s="116"/>
      <c r="EF177" s="116"/>
      <c r="EG177" s="116"/>
      <c r="EH177" s="116"/>
      <c r="EI177" s="116"/>
      <c r="EJ177" s="116"/>
      <c r="EK177" s="116"/>
      <c r="EL177" s="116"/>
      <c r="EM177" s="116"/>
      <c r="EN177" s="116"/>
      <c r="EO177" s="116"/>
      <c r="EP177" s="116"/>
      <c r="EQ177" s="116"/>
      <c r="ER177" s="116"/>
      <c r="ES177" s="116"/>
      <c r="ET177" s="116"/>
      <c r="EU177" s="116"/>
      <c r="EV177" s="116"/>
      <c r="EW177" s="116"/>
      <c r="EX177" s="116"/>
      <c r="EY177" s="116"/>
      <c r="EZ177" s="116"/>
      <c r="FA177" s="116"/>
      <c r="FB177" s="116"/>
      <c r="FC177" s="116"/>
      <c r="FD177" s="116"/>
      <c r="FE177" s="116"/>
      <c r="FF177" s="116"/>
      <c r="FG177" s="116"/>
      <c r="FH177" s="116"/>
      <c r="FI177" s="116"/>
      <c r="FJ177" s="116"/>
      <c r="FK177" s="116"/>
      <c r="FL177" s="116"/>
      <c r="FM177" s="116"/>
      <c r="FN177" s="116"/>
    </row>
    <row r="178" spans="1:175" s="17" customFormat="1" ht="18" customHeight="1">
      <c r="A178" s="1808"/>
      <c r="B178" s="416">
        <v>103</v>
      </c>
      <c r="C178" s="21" t="str">
        <f>VLOOKUP(B178,Begriffe!$A$6:$E$442,Begriffe!$D$1+2)</f>
        <v>Anzahl Bezugseinheiten pro Person</v>
      </c>
      <c r="D178" s="21"/>
      <c r="E178" s="21"/>
      <c r="F178" s="21"/>
      <c r="G178" s="21"/>
      <c r="H178" s="21"/>
      <c r="I178" s="180"/>
      <c r="J178" s="210"/>
      <c r="K178" s="188"/>
      <c r="L178" s="1161"/>
      <c r="M178" s="931">
        <f>IF(L178&lt;&gt;"",L178,INDEX(Eingabedaten!$D$10:$CY$54,nutzid,MATCH($C178,Eingabedaten!$D$7:$CY$7,0)))</f>
        <v>0</v>
      </c>
      <c r="N178" s="266"/>
      <c r="O178" s="266"/>
      <c r="P178" s="493">
        <v>0</v>
      </c>
      <c r="Q178" s="493">
        <v>1</v>
      </c>
      <c r="R178" s="493">
        <v>0</v>
      </c>
      <c r="S178" s="127"/>
      <c r="V178" s="126"/>
      <c r="W178" s="306"/>
      <c r="X178" s="306"/>
      <c r="Y178" s="126"/>
      <c r="Z178" s="306"/>
      <c r="AA178" s="306"/>
      <c r="AB178" s="127"/>
      <c r="AC178" s="169"/>
      <c r="AD178" s="169"/>
      <c r="AE178" s="127"/>
      <c r="AF178" s="127"/>
      <c r="AG178" s="127"/>
      <c r="AH178" s="127"/>
      <c r="AI178" s="127"/>
      <c r="AJ178" s="127"/>
      <c r="AK178" s="127"/>
      <c r="AL178" s="127"/>
      <c r="AM178" s="127"/>
      <c r="AN178" s="128"/>
      <c r="AO178" s="128"/>
      <c r="AP178" s="151"/>
      <c r="AQ178" s="151"/>
      <c r="AR178" s="91"/>
      <c r="AS178" s="91"/>
      <c r="AT178" s="91"/>
      <c r="AU178" s="91"/>
      <c r="AV178" s="91"/>
      <c r="AW178" s="91"/>
      <c r="AX178" s="91"/>
      <c r="AY178" s="91"/>
      <c r="AZ178" s="91"/>
      <c r="BA178" s="91"/>
      <c r="BB178" s="91"/>
      <c r="BC178" s="91"/>
      <c r="BD178" s="91"/>
      <c r="BE178" s="91"/>
      <c r="BF178" s="91"/>
      <c r="BG178" s="91"/>
      <c r="BH178" s="91"/>
      <c r="BI178" s="91"/>
      <c r="BJ178" s="91"/>
      <c r="BK178" s="91"/>
      <c r="BL178" s="91"/>
      <c r="BM178" s="91"/>
      <c r="BN178" s="91"/>
      <c r="BO178" s="91"/>
      <c r="BP178" s="91"/>
      <c r="BQ178" s="91"/>
      <c r="BR178" s="91"/>
      <c r="BS178" s="91"/>
      <c r="BT178" s="91"/>
      <c r="BU178" s="91"/>
      <c r="BV178" s="91"/>
      <c r="BW178" s="91"/>
      <c r="BX178" s="91"/>
      <c r="BY178" s="91"/>
      <c r="BZ178" s="91"/>
      <c r="CA178" s="91"/>
      <c r="CB178" s="91"/>
      <c r="CC178" s="91"/>
      <c r="CD178" s="91"/>
      <c r="CE178" s="91"/>
      <c r="CF178" s="91"/>
      <c r="CG178" s="91"/>
      <c r="CH178" s="91"/>
      <c r="CI178" s="91"/>
      <c r="CJ178" s="91"/>
      <c r="CK178" s="91"/>
      <c r="CL178" s="91"/>
      <c r="CM178" s="91"/>
      <c r="CN178" s="91"/>
      <c r="CO178" s="91"/>
      <c r="CP178" s="91"/>
      <c r="CQ178" s="91"/>
      <c r="CR178" s="91"/>
      <c r="CS178" s="91"/>
      <c r="CT178" s="91"/>
      <c r="CU178" s="91"/>
      <c r="CV178" s="92"/>
      <c r="CW178" s="92"/>
      <c r="CX178" s="92"/>
      <c r="CY178" s="92"/>
      <c r="CZ178" s="92"/>
      <c r="DA178" s="92"/>
      <c r="DB178" s="92"/>
      <c r="DC178" s="92"/>
      <c r="DD178" s="92"/>
      <c r="DE178" s="92"/>
      <c r="DF178" s="92"/>
      <c r="DG178" s="92"/>
      <c r="DH178" s="92"/>
      <c r="DI178" s="92"/>
      <c r="DJ178" s="92"/>
      <c r="DK178" s="92"/>
      <c r="DL178" s="92"/>
      <c r="DM178" s="92"/>
      <c r="DN178" s="92"/>
      <c r="DO178" s="92"/>
      <c r="DP178" s="92"/>
      <c r="DQ178" s="92"/>
      <c r="DR178" s="92"/>
      <c r="DS178" s="92"/>
      <c r="DT178" s="92"/>
      <c r="DU178" s="92"/>
      <c r="DV178" s="92"/>
      <c r="DW178" s="92"/>
      <c r="DX178" s="92"/>
      <c r="DY178" s="92"/>
      <c r="DZ178" s="92"/>
      <c r="EA178" s="92"/>
      <c r="EB178" s="92"/>
      <c r="EC178" s="92"/>
      <c r="ED178" s="92"/>
      <c r="EE178" s="116"/>
      <c r="EF178" s="116"/>
      <c r="EG178" s="116"/>
      <c r="EH178" s="116"/>
      <c r="EI178" s="116"/>
      <c r="EJ178" s="116"/>
      <c r="EK178" s="116"/>
      <c r="EL178" s="116"/>
      <c r="EM178" s="116"/>
      <c r="EN178" s="116"/>
      <c r="EO178" s="116"/>
      <c r="EP178" s="116"/>
      <c r="EQ178" s="116"/>
      <c r="ER178" s="116"/>
      <c r="ES178" s="116"/>
      <c r="ET178" s="116"/>
      <c r="EU178" s="116"/>
      <c r="EV178" s="116"/>
      <c r="EW178" s="116"/>
      <c r="EX178" s="116"/>
      <c r="EY178" s="116"/>
      <c r="EZ178" s="116"/>
      <c r="FA178" s="116"/>
      <c r="FB178" s="116"/>
      <c r="FC178" s="116"/>
      <c r="FD178" s="116"/>
      <c r="FE178" s="116"/>
      <c r="FF178" s="116"/>
      <c r="FG178" s="116"/>
      <c r="FH178" s="116"/>
      <c r="FI178" s="116"/>
      <c r="FJ178" s="116"/>
      <c r="FK178" s="116"/>
      <c r="FL178" s="116"/>
      <c r="FM178" s="116"/>
      <c r="FN178" s="116"/>
    </row>
    <row r="179" spans="1:175" s="17" customFormat="1" ht="18" customHeight="1">
      <c r="A179" s="1808"/>
      <c r="B179" s="416">
        <v>186</v>
      </c>
      <c r="C179" s="21" t="str">
        <f>VLOOKUP(B179,Begriffe!$A$6:$E$442,Begriffe!$D$1+2)</f>
        <v>Warmwasserbedarf pro Person</v>
      </c>
      <c r="D179" s="21"/>
      <c r="E179" s="21"/>
      <c r="F179" s="21" t="s">
        <v>719</v>
      </c>
      <c r="G179" s="21"/>
      <c r="H179" s="21"/>
      <c r="I179" s="215" t="s">
        <v>870</v>
      </c>
      <c r="J179" s="210" t="s">
        <v>825</v>
      </c>
      <c r="K179" s="188"/>
      <c r="L179" s="187"/>
      <c r="M179" s="984">
        <f>M177*M178</f>
        <v>0</v>
      </c>
      <c r="N179" s="266"/>
      <c r="O179" s="266"/>
      <c r="P179" s="493">
        <v>1</v>
      </c>
      <c r="Q179" s="493">
        <v>1</v>
      </c>
      <c r="R179" s="493">
        <v>0</v>
      </c>
      <c r="S179" s="127"/>
      <c r="V179" s="126"/>
      <c r="W179" s="306"/>
      <c r="X179" s="306"/>
      <c r="Y179" s="126"/>
      <c r="Z179" s="306"/>
      <c r="AA179" s="306"/>
      <c r="AB179" s="127"/>
      <c r="AC179" s="169"/>
      <c r="AD179" s="169"/>
      <c r="AE179" s="127"/>
      <c r="AF179" s="127"/>
      <c r="AG179" s="127"/>
      <c r="AH179" s="127"/>
      <c r="AI179" s="127"/>
      <c r="AJ179" s="127"/>
      <c r="AK179" s="127"/>
      <c r="AL179" s="127"/>
      <c r="AM179" s="127"/>
      <c r="AN179" s="128"/>
      <c r="AO179" s="128"/>
      <c r="AP179" s="151"/>
      <c r="AQ179" s="151"/>
      <c r="AR179" s="91"/>
      <c r="AS179" s="91"/>
      <c r="AT179" s="91"/>
      <c r="AU179" s="91"/>
      <c r="AV179" s="91"/>
      <c r="AW179" s="91"/>
      <c r="AX179" s="91"/>
      <c r="AY179" s="91"/>
      <c r="AZ179" s="91"/>
      <c r="BA179" s="91"/>
      <c r="BB179" s="91"/>
      <c r="BC179" s="91"/>
      <c r="BD179" s="91"/>
      <c r="BE179" s="91"/>
      <c r="BF179" s="91"/>
      <c r="BG179" s="91"/>
      <c r="BH179" s="91"/>
      <c r="BI179" s="91"/>
      <c r="BJ179" s="91"/>
      <c r="BK179" s="91"/>
      <c r="BL179" s="91"/>
      <c r="BM179" s="91"/>
      <c r="BN179" s="91"/>
      <c r="BO179" s="91"/>
      <c r="BP179" s="91"/>
      <c r="BQ179" s="91"/>
      <c r="BR179" s="91"/>
      <c r="BS179" s="91"/>
      <c r="BT179" s="91"/>
      <c r="BU179" s="91"/>
      <c r="BV179" s="91"/>
      <c r="BW179" s="91"/>
      <c r="BX179" s="91"/>
      <c r="BY179" s="91"/>
      <c r="BZ179" s="91"/>
      <c r="CA179" s="91"/>
      <c r="CB179" s="91"/>
      <c r="CC179" s="91"/>
      <c r="CD179" s="91"/>
      <c r="CE179" s="91"/>
      <c r="CF179" s="91"/>
      <c r="CG179" s="91"/>
      <c r="CH179" s="91"/>
      <c r="CI179" s="91"/>
      <c r="CJ179" s="91"/>
      <c r="CK179" s="91"/>
      <c r="CL179" s="91"/>
      <c r="CM179" s="91"/>
      <c r="CN179" s="91"/>
      <c r="CO179" s="91"/>
      <c r="CP179" s="91"/>
      <c r="CQ179" s="91"/>
      <c r="CR179" s="91"/>
      <c r="CS179" s="91"/>
      <c r="CT179" s="91"/>
      <c r="CU179" s="91"/>
      <c r="CV179" s="92"/>
      <c r="CW179" s="92"/>
      <c r="CX179" s="92"/>
      <c r="CY179" s="92"/>
      <c r="CZ179" s="92"/>
      <c r="DA179" s="92"/>
      <c r="DB179" s="92"/>
      <c r="DC179" s="92"/>
      <c r="DD179" s="92"/>
      <c r="DE179" s="92"/>
      <c r="DF179" s="92"/>
      <c r="DG179" s="92"/>
      <c r="DH179" s="92"/>
      <c r="DI179" s="92"/>
      <c r="DJ179" s="92"/>
      <c r="DK179" s="92"/>
      <c r="DL179" s="92"/>
      <c r="DM179" s="92"/>
      <c r="DN179" s="92"/>
      <c r="DO179" s="92"/>
      <c r="DP179" s="92"/>
      <c r="DQ179" s="92"/>
      <c r="DR179" s="92"/>
      <c r="DS179" s="92"/>
      <c r="DT179" s="92"/>
      <c r="DU179" s="92"/>
      <c r="DV179" s="92"/>
      <c r="DW179" s="92"/>
      <c r="DX179" s="92"/>
      <c r="DY179" s="92"/>
      <c r="DZ179" s="92"/>
      <c r="EA179" s="92"/>
      <c r="EB179" s="92"/>
      <c r="EC179" s="92"/>
      <c r="ED179" s="92"/>
      <c r="EE179" s="116"/>
      <c r="EF179" s="116"/>
      <c r="EG179" s="116"/>
      <c r="EH179" s="116"/>
      <c r="EI179" s="116"/>
      <c r="EJ179" s="116"/>
      <c r="EK179" s="116"/>
      <c r="EL179" s="116"/>
      <c r="EM179" s="116"/>
      <c r="EN179" s="116"/>
      <c r="EO179" s="116"/>
      <c r="EP179" s="116"/>
      <c r="EQ179" s="116"/>
      <c r="ER179" s="116"/>
      <c r="ES179" s="116"/>
      <c r="ET179" s="116"/>
      <c r="EU179" s="116"/>
      <c r="EV179" s="116"/>
      <c r="EW179" s="116"/>
      <c r="EX179" s="116"/>
      <c r="EY179" s="116"/>
      <c r="EZ179" s="116"/>
      <c r="FA179" s="116"/>
      <c r="FB179" s="116"/>
      <c r="FC179" s="116"/>
      <c r="FD179" s="116"/>
      <c r="FE179" s="116"/>
      <c r="FF179" s="116"/>
      <c r="FG179" s="116"/>
      <c r="FH179" s="116"/>
      <c r="FI179" s="116"/>
      <c r="FJ179" s="116"/>
      <c r="FK179" s="116"/>
      <c r="FL179" s="116"/>
      <c r="FM179" s="116"/>
      <c r="FN179" s="116"/>
    </row>
    <row r="180" spans="1:175" s="17" customFormat="1" ht="18" customHeight="1">
      <c r="A180" s="1808"/>
      <c r="B180" s="416">
        <v>173</v>
      </c>
      <c r="C180" s="21" t="str">
        <f>VLOOKUP(B180,Begriffe!$A$6:$E$442,Begriffe!$D$1+2)</f>
        <v>Verhältnis Warmwasserbedarf zu Wasserbedarf</v>
      </c>
      <c r="D180" s="21"/>
      <c r="E180" s="21"/>
      <c r="F180" s="21"/>
      <c r="G180" s="21"/>
      <c r="H180" s="21"/>
      <c r="I180" s="180"/>
      <c r="J180" s="210"/>
      <c r="K180" s="188"/>
      <c r="L180" s="1161"/>
      <c r="M180" s="931">
        <f>IF(L180&lt;&gt;"",L180,INDEX(Eingabedaten!$D$10:$CY$54,nutzid,MATCH($C180,Eingabedaten!$D$7:$CY$7,0)))</f>
        <v>0</v>
      </c>
      <c r="N180" s="266"/>
      <c r="O180" s="266"/>
      <c r="P180" s="493">
        <v>0</v>
      </c>
      <c r="Q180" s="493">
        <v>1</v>
      </c>
      <c r="R180" s="493">
        <v>0</v>
      </c>
      <c r="S180" s="127"/>
      <c r="V180" s="126"/>
      <c r="W180" s="306"/>
      <c r="X180" s="306"/>
      <c r="Y180" s="126"/>
      <c r="Z180" s="306"/>
      <c r="AA180" s="306"/>
      <c r="AB180" s="127"/>
      <c r="AC180" s="169"/>
      <c r="AD180" s="169"/>
      <c r="AE180" s="127"/>
      <c r="AF180" s="127"/>
      <c r="AG180" s="127"/>
      <c r="AH180" s="127"/>
      <c r="AI180" s="127"/>
      <c r="AJ180" s="127"/>
      <c r="AK180" s="127"/>
      <c r="AL180" s="127"/>
      <c r="AM180" s="127"/>
      <c r="AN180" s="128"/>
      <c r="AO180" s="128"/>
      <c r="AP180" s="151"/>
      <c r="AQ180" s="151"/>
      <c r="AR180" s="91"/>
      <c r="AS180" s="91"/>
      <c r="AT180" s="91"/>
      <c r="AU180" s="91"/>
      <c r="AV180" s="91"/>
      <c r="AW180" s="91"/>
      <c r="AX180" s="91"/>
      <c r="AY180" s="91"/>
      <c r="AZ180" s="91"/>
      <c r="BA180" s="91"/>
      <c r="BB180" s="91"/>
      <c r="BC180" s="91"/>
      <c r="BD180" s="91"/>
      <c r="BE180" s="91"/>
      <c r="BF180" s="91"/>
      <c r="BG180" s="91"/>
      <c r="BH180" s="91"/>
      <c r="BI180" s="91"/>
      <c r="BJ180" s="91"/>
      <c r="BK180" s="91"/>
      <c r="BL180" s="91"/>
      <c r="BM180" s="91"/>
      <c r="BN180" s="91"/>
      <c r="BO180" s="91"/>
      <c r="BP180" s="91"/>
      <c r="BQ180" s="91"/>
      <c r="BR180" s="91"/>
      <c r="BS180" s="91"/>
      <c r="BT180" s="91"/>
      <c r="BU180" s="91"/>
      <c r="BV180" s="91"/>
      <c r="BW180" s="91"/>
      <c r="BX180" s="91"/>
      <c r="BY180" s="91"/>
      <c r="BZ180" s="91"/>
      <c r="CA180" s="91"/>
      <c r="CB180" s="91"/>
      <c r="CC180" s="91"/>
      <c r="CD180" s="91"/>
      <c r="CE180" s="91"/>
      <c r="CF180" s="91"/>
      <c r="CG180" s="91"/>
      <c r="CH180" s="91"/>
      <c r="CI180" s="91"/>
      <c r="CJ180" s="91"/>
      <c r="CK180" s="91"/>
      <c r="CL180" s="91"/>
      <c r="CM180" s="91"/>
      <c r="CN180" s="91"/>
      <c r="CO180" s="91"/>
      <c r="CP180" s="91"/>
      <c r="CQ180" s="91"/>
      <c r="CR180" s="91"/>
      <c r="CS180" s="91"/>
      <c r="CT180" s="91"/>
      <c r="CU180" s="91"/>
      <c r="CV180" s="92"/>
      <c r="CW180" s="92"/>
      <c r="CX180" s="92"/>
      <c r="CY180" s="92"/>
      <c r="CZ180" s="92"/>
      <c r="DA180" s="92"/>
      <c r="DB180" s="92"/>
      <c r="DC180" s="92"/>
      <c r="DD180" s="92"/>
      <c r="DE180" s="92"/>
      <c r="DF180" s="92"/>
      <c r="DG180" s="92"/>
      <c r="DH180" s="92"/>
      <c r="DI180" s="92"/>
      <c r="DJ180" s="92"/>
      <c r="DK180" s="92"/>
      <c r="DL180" s="92"/>
      <c r="DM180" s="92"/>
      <c r="DN180" s="92"/>
      <c r="DO180" s="92"/>
      <c r="DP180" s="92"/>
      <c r="DQ180" s="92"/>
      <c r="DR180" s="92"/>
      <c r="DS180" s="92"/>
      <c r="DT180" s="92"/>
      <c r="DU180" s="92"/>
      <c r="DV180" s="92"/>
      <c r="DW180" s="92"/>
      <c r="DX180" s="92"/>
      <c r="DY180" s="92"/>
      <c r="DZ180" s="92"/>
      <c r="EA180" s="92"/>
      <c r="EB180" s="92"/>
      <c r="EC180" s="92"/>
      <c r="ED180" s="92"/>
      <c r="EE180" s="116"/>
      <c r="EF180" s="116"/>
      <c r="EG180" s="116"/>
      <c r="EH180" s="116"/>
      <c r="EI180" s="116"/>
      <c r="EJ180" s="116"/>
      <c r="EK180" s="116"/>
      <c r="EL180" s="116"/>
      <c r="EM180" s="116"/>
      <c r="EN180" s="116"/>
      <c r="EO180" s="116"/>
      <c r="EP180" s="116"/>
      <c r="EQ180" s="116"/>
      <c r="ER180" s="116"/>
      <c r="ES180" s="116"/>
      <c r="ET180" s="116"/>
      <c r="EU180" s="116"/>
      <c r="EV180" s="116"/>
      <c r="EW180" s="116"/>
      <c r="EX180" s="116"/>
      <c r="EY180" s="116"/>
      <c r="EZ180" s="116"/>
      <c r="FA180" s="116"/>
      <c r="FB180" s="116"/>
      <c r="FC180" s="116"/>
      <c r="FD180" s="116"/>
      <c r="FE180" s="116"/>
      <c r="FF180" s="116"/>
      <c r="FG180" s="116"/>
      <c r="FH180" s="116"/>
      <c r="FI180" s="116"/>
      <c r="FJ180" s="116"/>
      <c r="FK180" s="116"/>
      <c r="FL180" s="116"/>
      <c r="FM180" s="116"/>
      <c r="FN180" s="116"/>
    </row>
    <row r="181" spans="1:175" s="17" customFormat="1" ht="18" customHeight="1">
      <c r="A181" s="1808"/>
      <c r="B181" s="416">
        <v>187</v>
      </c>
      <c r="C181" s="21" t="str">
        <f>VLOOKUP(B181,Begriffe!$A$6:$E$442,Begriffe!$D$1+2)</f>
        <v>Wasserbedarf pro Person</v>
      </c>
      <c r="D181" s="21"/>
      <c r="E181" s="21"/>
      <c r="F181" s="21" t="str">
        <f>Begriffe!F332</f>
        <v>Warm- und Kaltwasser</v>
      </c>
      <c r="G181" s="21"/>
      <c r="H181" s="21"/>
      <c r="I181" s="215" t="s">
        <v>871</v>
      </c>
      <c r="J181" s="210" t="s">
        <v>825</v>
      </c>
      <c r="K181" s="188"/>
      <c r="L181" s="183"/>
      <c r="M181" s="984">
        <f>M179*M180</f>
        <v>0</v>
      </c>
      <c r="N181" s="266"/>
      <c r="O181" s="266"/>
      <c r="P181" s="493">
        <v>1</v>
      </c>
      <c r="Q181" s="493">
        <v>1</v>
      </c>
      <c r="R181" s="493">
        <v>0</v>
      </c>
      <c r="S181" s="127"/>
      <c r="V181" s="126"/>
      <c r="W181" s="306"/>
      <c r="X181" s="306"/>
      <c r="Y181" s="126"/>
      <c r="Z181" s="306"/>
      <c r="AA181" s="306"/>
      <c r="AB181" s="127"/>
      <c r="AC181" s="169"/>
      <c r="AD181" s="169"/>
      <c r="AE181" s="127"/>
      <c r="AF181" s="127"/>
      <c r="AG181" s="127"/>
      <c r="AH181" s="127"/>
      <c r="AI181" s="127"/>
      <c r="AJ181" s="127"/>
      <c r="AK181" s="127"/>
      <c r="AL181" s="127"/>
      <c r="AM181" s="127"/>
      <c r="AN181" s="128"/>
      <c r="AO181" s="128"/>
      <c r="AP181" s="151"/>
      <c r="AQ181" s="151"/>
      <c r="AR181" s="91"/>
      <c r="AS181" s="91"/>
      <c r="AT181" s="91"/>
      <c r="AU181" s="91"/>
      <c r="AV181" s="91"/>
      <c r="AW181" s="91"/>
      <c r="AX181" s="91"/>
      <c r="AY181" s="91"/>
      <c r="AZ181" s="91"/>
      <c r="BA181" s="91"/>
      <c r="BB181" s="91"/>
      <c r="BC181" s="91"/>
      <c r="BD181" s="91"/>
      <c r="BE181" s="91"/>
      <c r="BF181" s="91"/>
      <c r="BG181" s="91"/>
      <c r="BH181" s="91"/>
      <c r="BI181" s="91"/>
      <c r="BJ181" s="91"/>
      <c r="BK181" s="91"/>
      <c r="BL181" s="91"/>
      <c r="BM181" s="91"/>
      <c r="BN181" s="91"/>
      <c r="BO181" s="91"/>
      <c r="BP181" s="91"/>
      <c r="BQ181" s="91"/>
      <c r="BR181" s="91"/>
      <c r="BS181" s="91"/>
      <c r="BT181" s="91"/>
      <c r="BU181" s="91"/>
      <c r="BV181" s="91"/>
      <c r="BW181" s="91"/>
      <c r="BX181" s="91"/>
      <c r="BY181" s="91"/>
      <c r="BZ181" s="91"/>
      <c r="CA181" s="91"/>
      <c r="CB181" s="91"/>
      <c r="CC181" s="91"/>
      <c r="CD181" s="91"/>
      <c r="CE181" s="91"/>
      <c r="CF181" s="91"/>
      <c r="CG181" s="91"/>
      <c r="CH181" s="91"/>
      <c r="CI181" s="91"/>
      <c r="CJ181" s="91"/>
      <c r="CK181" s="91"/>
      <c r="CL181" s="91"/>
      <c r="CM181" s="91"/>
      <c r="CN181" s="91"/>
      <c r="CO181" s="91"/>
      <c r="CP181" s="91"/>
      <c r="CQ181" s="91"/>
      <c r="CR181" s="91"/>
      <c r="CS181" s="91"/>
      <c r="CT181" s="91"/>
      <c r="CU181" s="91"/>
      <c r="CV181" s="92"/>
      <c r="CW181" s="92"/>
      <c r="CX181" s="92"/>
      <c r="CY181" s="92"/>
      <c r="CZ181" s="92"/>
      <c r="DA181" s="92"/>
      <c r="DB181" s="92"/>
      <c r="DC181" s="92"/>
      <c r="DD181" s="92"/>
      <c r="DE181" s="92"/>
      <c r="DF181" s="92"/>
      <c r="DG181" s="92"/>
      <c r="DH181" s="92"/>
      <c r="DI181" s="92"/>
      <c r="DJ181" s="92"/>
      <c r="DK181" s="92"/>
      <c r="DL181" s="92"/>
      <c r="DM181" s="92"/>
      <c r="DN181" s="92"/>
      <c r="DO181" s="92"/>
      <c r="DP181" s="92"/>
      <c r="DQ181" s="92"/>
      <c r="DR181" s="92"/>
      <c r="DS181" s="92"/>
      <c r="DT181" s="92"/>
      <c r="DU181" s="92"/>
      <c r="DV181" s="92"/>
      <c r="DW181" s="92"/>
      <c r="DX181" s="92"/>
      <c r="DY181" s="92"/>
      <c r="DZ181" s="92"/>
      <c r="EA181" s="92"/>
      <c r="EB181" s="92"/>
      <c r="EC181" s="92"/>
      <c r="ED181" s="92"/>
      <c r="EE181" s="116"/>
      <c r="EF181" s="116"/>
      <c r="EG181" s="116"/>
      <c r="EH181" s="116"/>
      <c r="EI181" s="116"/>
      <c r="EJ181" s="116"/>
      <c r="EK181" s="116"/>
      <c r="EL181" s="116"/>
      <c r="EM181" s="116"/>
      <c r="EN181" s="116"/>
      <c r="EO181" s="116"/>
      <c r="EP181" s="116"/>
      <c r="EQ181" s="116"/>
      <c r="ER181" s="116"/>
      <c r="ES181" s="116"/>
      <c r="ET181" s="116"/>
      <c r="EU181" s="116"/>
      <c r="EV181" s="116"/>
      <c r="EW181" s="116"/>
      <c r="EX181" s="116"/>
      <c r="EY181" s="116"/>
      <c r="EZ181" s="116"/>
      <c r="FA181" s="116"/>
      <c r="FB181" s="116"/>
      <c r="FC181" s="116"/>
      <c r="FD181" s="116"/>
      <c r="FE181" s="116"/>
      <c r="FF181" s="116"/>
      <c r="FG181" s="116"/>
      <c r="FH181" s="116"/>
      <c r="FI181" s="116"/>
      <c r="FJ181" s="116"/>
      <c r="FK181" s="116"/>
      <c r="FL181" s="116"/>
      <c r="FM181" s="116"/>
      <c r="FN181" s="116"/>
    </row>
    <row r="182" spans="1:175" s="22" customFormat="1" ht="18" customHeight="1">
      <c r="A182" s="1809"/>
      <c r="B182" s="416">
        <v>139</v>
      </c>
      <c r="C182" s="1820" t="str">
        <f>VLOOKUP(B182,Begriffe!$A$6:$E$442,Begriffe!$D$1+2)</f>
        <v>Jährlicher Wärmebedarf für Warmwasser</v>
      </c>
      <c r="D182" s="1820"/>
      <c r="E182" s="1820"/>
      <c r="F182" s="21" t="s">
        <v>1194</v>
      </c>
      <c r="G182" s="21"/>
      <c r="H182" s="21"/>
      <c r="I182" s="215" t="s">
        <v>663</v>
      </c>
      <c r="J182" s="212" t="s">
        <v>77</v>
      </c>
      <c r="K182" s="212"/>
      <c r="L182" s="214"/>
      <c r="M182" s="1018">
        <f>IF($M$54=0,0,$M179*0.058*$M51/$M$54*$M$52)</f>
        <v>0</v>
      </c>
      <c r="N182" s="1018">
        <f>IF($M$54=0,0,$M179*0.058*$M51/$M$54*$M$52)</f>
        <v>0</v>
      </c>
      <c r="O182" s="1018">
        <f>IF($M$54=0,0,$M179*0.058*$M51/$M$54*$M$52)</f>
        <v>0</v>
      </c>
      <c r="P182" s="493">
        <v>1</v>
      </c>
      <c r="Q182" s="920">
        <v>1</v>
      </c>
      <c r="R182" s="493">
        <v>0</v>
      </c>
      <c r="S182" s="22" t="s">
        <v>71</v>
      </c>
      <c r="T182" s="129"/>
      <c r="U182" s="129"/>
      <c r="V182" s="132"/>
      <c r="W182" s="132"/>
      <c r="X182" s="126"/>
      <c r="Y182" s="132"/>
      <c r="Z182" s="132"/>
      <c r="AA182" s="132"/>
      <c r="AB182" s="132"/>
      <c r="AC182" s="132"/>
      <c r="AD182" s="132"/>
      <c r="AE182" s="132"/>
      <c r="AF182" s="129"/>
      <c r="AG182" s="129"/>
      <c r="AH182" s="129"/>
      <c r="AI182" s="129"/>
      <c r="AJ182" s="129"/>
      <c r="AK182" s="129"/>
      <c r="AL182" s="129"/>
      <c r="AM182" s="129"/>
      <c r="AN182" s="129"/>
      <c r="AO182" s="129"/>
      <c r="AP182" s="129"/>
      <c r="AQ182" s="129"/>
      <c r="AR182" s="129"/>
      <c r="AS182" s="129"/>
      <c r="AT182" s="129"/>
      <c r="AU182" s="163"/>
      <c r="AV182" s="163"/>
      <c r="AW182" s="111"/>
      <c r="AX182" s="111"/>
      <c r="AY182" s="111"/>
      <c r="AZ182" s="111"/>
      <c r="BA182" s="111"/>
      <c r="BB182" s="111"/>
      <c r="BC182" s="111"/>
      <c r="BD182" s="111"/>
      <c r="BE182" s="111"/>
      <c r="BF182" s="111"/>
      <c r="BG182" s="111"/>
      <c r="BH182" s="111"/>
      <c r="BI182" s="111"/>
      <c r="BJ182" s="111"/>
      <c r="BK182" s="111"/>
      <c r="BL182" s="111"/>
      <c r="BM182" s="111"/>
      <c r="BN182" s="111"/>
      <c r="BO182" s="111"/>
      <c r="BP182" s="111"/>
      <c r="BQ182" s="111"/>
      <c r="BR182" s="111"/>
      <c r="BS182" s="111"/>
      <c r="BT182" s="111"/>
      <c r="BU182" s="111"/>
      <c r="BV182" s="111"/>
      <c r="BW182" s="111"/>
      <c r="BX182" s="111"/>
      <c r="BY182" s="111"/>
      <c r="BZ182" s="111"/>
      <c r="CA182" s="111"/>
      <c r="CB182" s="111"/>
      <c r="CC182" s="111"/>
      <c r="CD182" s="111"/>
      <c r="CE182" s="111"/>
      <c r="CF182" s="111"/>
      <c r="CG182" s="111"/>
      <c r="CH182" s="111"/>
      <c r="CI182" s="111"/>
      <c r="CJ182" s="111"/>
      <c r="CK182" s="111"/>
      <c r="CL182" s="111"/>
      <c r="CM182" s="111"/>
      <c r="CN182" s="111"/>
      <c r="CO182" s="111"/>
      <c r="CP182" s="111"/>
      <c r="CQ182" s="111"/>
      <c r="CR182" s="111"/>
      <c r="CS182" s="111"/>
      <c r="CT182" s="111"/>
      <c r="CU182" s="111"/>
      <c r="CV182" s="111"/>
      <c r="CW182" s="111"/>
      <c r="CX182" s="111"/>
      <c r="CY182" s="111"/>
      <c r="CZ182" s="111"/>
      <c r="DA182" s="111"/>
      <c r="DB182" s="111"/>
      <c r="DC182" s="111"/>
      <c r="DD182" s="111"/>
      <c r="DE182" s="111"/>
      <c r="DF182" s="111"/>
      <c r="DG182" s="111"/>
      <c r="DH182" s="111"/>
      <c r="DI182" s="111"/>
      <c r="DJ182" s="112"/>
      <c r="DK182" s="112"/>
      <c r="DL182" s="112"/>
      <c r="DM182" s="112"/>
      <c r="DN182" s="112"/>
      <c r="DO182" s="112"/>
      <c r="DP182" s="112"/>
      <c r="DQ182" s="112"/>
      <c r="DR182" s="112"/>
      <c r="DS182" s="112"/>
      <c r="DT182" s="112"/>
      <c r="DU182" s="112"/>
      <c r="DV182" s="112"/>
      <c r="DW182" s="112"/>
      <c r="DX182" s="112"/>
      <c r="DY182" s="112"/>
      <c r="DZ182" s="112"/>
      <c r="EA182" s="112"/>
      <c r="EB182" s="112"/>
      <c r="EC182" s="112"/>
      <c r="ED182" s="112"/>
      <c r="EE182" s="112"/>
      <c r="EF182" s="112"/>
      <c r="EG182" s="112"/>
      <c r="EH182" s="112"/>
      <c r="EI182" s="112"/>
      <c r="EJ182" s="111"/>
      <c r="EK182" s="111"/>
      <c r="EL182" s="111"/>
      <c r="EM182" s="111"/>
      <c r="EN182" s="111"/>
      <c r="EO182" s="111"/>
      <c r="EP182" s="111"/>
      <c r="EQ182" s="111"/>
      <c r="ER182" s="111"/>
      <c r="ES182" s="111"/>
      <c r="ET182" s="111"/>
      <c r="EU182" s="111"/>
      <c r="EV182" s="111"/>
      <c r="EW182" s="111"/>
      <c r="EX182" s="111"/>
      <c r="EY182" s="111"/>
      <c r="EZ182" s="111"/>
      <c r="FA182" s="111"/>
      <c r="FB182" s="111"/>
      <c r="FC182" s="111"/>
      <c r="FD182" s="111"/>
      <c r="FE182" s="111"/>
      <c r="FF182" s="111"/>
      <c r="FG182" s="111"/>
      <c r="FH182" s="111"/>
      <c r="FI182" s="111"/>
      <c r="FJ182" s="111"/>
      <c r="FK182" s="111"/>
      <c r="FL182" s="111"/>
      <c r="FM182" s="111"/>
      <c r="FN182" s="111"/>
      <c r="FO182" s="111"/>
      <c r="FP182" s="111"/>
      <c r="FQ182" s="111"/>
      <c r="FR182" s="111"/>
      <c r="FS182" s="111"/>
    </row>
    <row r="183" spans="1:175" s="9" customFormat="1" ht="1.5" customHeight="1">
      <c r="A183" s="198"/>
      <c r="B183" s="1142"/>
      <c r="C183" s="200"/>
      <c r="D183" s="200"/>
      <c r="E183" s="200"/>
      <c r="F183" s="200"/>
      <c r="G183" s="200"/>
      <c r="H183" s="200"/>
      <c r="I183" s="277"/>
      <c r="J183" s="207"/>
      <c r="K183" s="207"/>
      <c r="L183" s="208"/>
      <c r="M183" s="208"/>
      <c r="N183" s="997"/>
      <c r="O183" s="997"/>
      <c r="P183" s="991"/>
      <c r="Q183" s="920">
        <v>1</v>
      </c>
      <c r="R183" s="3"/>
      <c r="T183" s="3"/>
      <c r="U183" s="3"/>
      <c r="V183" s="164"/>
      <c r="W183" s="164"/>
      <c r="X183" s="165"/>
      <c r="Y183" s="165"/>
      <c r="Z183" s="165"/>
      <c r="AA183" s="165"/>
      <c r="AB183" s="165"/>
      <c r="AC183" s="165"/>
      <c r="AD183" s="165"/>
      <c r="AE183" s="165"/>
      <c r="AF183" s="166"/>
      <c r="AG183" s="166"/>
      <c r="AH183" s="166"/>
      <c r="AI183" s="166"/>
      <c r="AJ183" s="166"/>
      <c r="AK183" s="166"/>
      <c r="AL183" s="166"/>
      <c r="AM183" s="166"/>
      <c r="AN183" s="166"/>
      <c r="AO183" s="166"/>
      <c r="AP183" s="166"/>
      <c r="AQ183" s="166"/>
      <c r="AR183" s="166"/>
      <c r="AS183" s="167"/>
      <c r="AT183" s="167"/>
      <c r="AU183" s="168"/>
      <c r="AV183" s="168"/>
      <c r="AW183" s="113"/>
      <c r="AX183" s="113"/>
      <c r="AY183" s="113"/>
      <c r="AZ183" s="113"/>
      <c r="BA183" s="113"/>
      <c r="BB183" s="113"/>
      <c r="BC183" s="113"/>
      <c r="BD183" s="113"/>
      <c r="BE183" s="113"/>
      <c r="BF183" s="113"/>
      <c r="BG183" s="113"/>
      <c r="BH183" s="113"/>
      <c r="BI183" s="113"/>
      <c r="BJ183" s="113"/>
      <c r="BK183" s="113"/>
      <c r="BL183" s="113"/>
      <c r="BM183" s="113"/>
      <c r="BN183" s="113"/>
      <c r="BO183" s="113"/>
      <c r="BP183" s="113"/>
      <c r="BQ183" s="113"/>
      <c r="BR183" s="113"/>
      <c r="BS183" s="113"/>
      <c r="BT183" s="113"/>
      <c r="BU183" s="113"/>
      <c r="BV183" s="113"/>
      <c r="BW183" s="113"/>
      <c r="BX183" s="113"/>
      <c r="BY183" s="113"/>
      <c r="BZ183" s="113"/>
      <c r="CA183" s="113"/>
      <c r="CB183" s="113"/>
      <c r="CC183" s="113"/>
      <c r="CD183" s="113"/>
      <c r="CE183" s="113"/>
      <c r="CF183" s="113"/>
      <c r="CG183" s="113"/>
      <c r="CH183" s="113"/>
      <c r="CI183" s="113"/>
      <c r="CJ183" s="113"/>
      <c r="CK183" s="113"/>
      <c r="CL183" s="113"/>
      <c r="CM183" s="113"/>
      <c r="CN183" s="113"/>
      <c r="CO183" s="113"/>
      <c r="CP183" s="113"/>
      <c r="CQ183" s="113"/>
      <c r="CR183" s="113"/>
      <c r="CS183" s="113"/>
      <c r="CT183" s="113"/>
      <c r="CU183" s="113"/>
      <c r="CV183" s="113"/>
      <c r="CW183" s="113"/>
      <c r="CX183" s="113"/>
      <c r="CY183" s="113"/>
      <c r="CZ183" s="113"/>
      <c r="DA183" s="114"/>
      <c r="DB183" s="114"/>
      <c r="DC183" s="114"/>
      <c r="DD183" s="114"/>
      <c r="DE183" s="114"/>
      <c r="DF183" s="114"/>
      <c r="DG183" s="114"/>
      <c r="DH183" s="114"/>
      <c r="DI183" s="114"/>
      <c r="DJ183" s="114"/>
      <c r="DK183" s="114"/>
      <c r="DL183" s="114"/>
      <c r="DM183" s="114"/>
      <c r="DN183" s="114"/>
      <c r="DO183" s="114"/>
      <c r="DP183" s="114"/>
      <c r="DQ183" s="114"/>
      <c r="DR183" s="114"/>
      <c r="DS183" s="114"/>
      <c r="DT183" s="114"/>
      <c r="DU183" s="114"/>
      <c r="DV183" s="114"/>
      <c r="DW183" s="114"/>
      <c r="DX183" s="114"/>
      <c r="DY183" s="114"/>
      <c r="DZ183" s="114"/>
      <c r="EA183" s="114"/>
      <c r="EB183" s="114"/>
      <c r="EC183" s="114"/>
      <c r="ED183" s="114"/>
      <c r="EE183" s="114"/>
      <c r="EF183" s="114"/>
      <c r="EG183" s="114"/>
      <c r="EH183" s="114"/>
      <c r="EI183" s="114"/>
      <c r="EJ183" s="115"/>
      <c r="EK183" s="115"/>
      <c r="EL183" s="115"/>
      <c r="EM183" s="115"/>
      <c r="EN183" s="115"/>
      <c r="EO183" s="115"/>
      <c r="EP183" s="115"/>
      <c r="EQ183" s="115"/>
      <c r="ER183" s="115"/>
      <c r="ES183" s="115"/>
      <c r="ET183" s="115"/>
      <c r="EU183" s="115"/>
      <c r="EV183" s="115"/>
      <c r="EW183" s="115"/>
      <c r="EX183" s="115"/>
      <c r="EY183" s="115"/>
      <c r="EZ183" s="115"/>
      <c r="FA183" s="115"/>
      <c r="FB183" s="115"/>
      <c r="FC183" s="115"/>
      <c r="FD183" s="115"/>
      <c r="FE183" s="115"/>
      <c r="FF183" s="115"/>
      <c r="FG183" s="115"/>
      <c r="FH183" s="115"/>
      <c r="FI183" s="115"/>
      <c r="FJ183" s="115"/>
      <c r="FK183" s="115"/>
      <c r="FL183" s="115"/>
      <c r="FM183" s="115"/>
      <c r="FN183" s="115"/>
      <c r="FO183" s="115"/>
      <c r="FP183" s="115"/>
      <c r="FQ183" s="115"/>
      <c r="FR183" s="115"/>
      <c r="FS183" s="115"/>
    </row>
    <row r="184" spans="1:175" s="23" customFormat="1" ht="15.9" customHeight="1">
      <c r="A184" s="1810" t="str">
        <f>Begriffe!F308</f>
        <v>Energie- und Leistungsbedarf</v>
      </c>
      <c r="B184" s="416"/>
      <c r="C184" s="985" t="str">
        <f>Begriffe!F333</f>
        <v>Elektrischer und thermischer Energiebedarf</v>
      </c>
      <c r="D184" s="176"/>
      <c r="E184" s="176"/>
      <c r="F184" s="176"/>
      <c r="G184" s="176"/>
      <c r="H184" s="176"/>
      <c r="I184" s="176" t="str">
        <f>Begriffe!F334</f>
        <v xml:space="preserve">Elektrischer und thermischer Leistungsbedarf </v>
      </c>
      <c r="N184" s="218"/>
      <c r="O184" s="219"/>
      <c r="P184" s="992"/>
      <c r="Q184" s="22">
        <v>1</v>
      </c>
      <c r="R184" s="162"/>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89"/>
      <c r="AX184" s="89"/>
      <c r="AY184" s="89"/>
      <c r="AZ184" s="89"/>
      <c r="BA184" s="89"/>
      <c r="BB184" s="89"/>
      <c r="BC184" s="89"/>
      <c r="BD184" s="89"/>
      <c r="BE184" s="89"/>
      <c r="BF184" s="89"/>
      <c r="BG184" s="89"/>
      <c r="BH184" s="89"/>
      <c r="BI184" s="89"/>
      <c r="BJ184" s="89"/>
      <c r="BK184" s="89"/>
      <c r="BL184" s="89"/>
      <c r="BM184" s="89"/>
      <c r="BN184" s="89"/>
      <c r="BO184" s="89"/>
      <c r="BP184" s="89"/>
      <c r="BQ184" s="89"/>
      <c r="BR184" s="89"/>
      <c r="BS184" s="89"/>
      <c r="BT184" s="89"/>
      <c r="BU184" s="89"/>
      <c r="BV184" s="89"/>
      <c r="BW184" s="89"/>
      <c r="BX184" s="89"/>
      <c r="BY184" s="89"/>
      <c r="BZ184" s="89"/>
      <c r="CA184" s="89"/>
      <c r="CB184" s="89"/>
      <c r="CC184" s="89"/>
      <c r="CD184" s="89"/>
      <c r="CE184" s="89"/>
      <c r="CF184" s="89"/>
      <c r="CG184" s="89"/>
      <c r="CH184" s="89"/>
      <c r="CI184" s="89"/>
      <c r="CJ184" s="89"/>
      <c r="CK184" s="89"/>
      <c r="CL184" s="89"/>
      <c r="CM184" s="89"/>
      <c r="CN184" s="89"/>
      <c r="CO184" s="89"/>
      <c r="CP184" s="89"/>
      <c r="CQ184" s="89"/>
      <c r="CR184" s="89"/>
      <c r="CS184" s="89"/>
      <c r="CT184" s="89"/>
      <c r="CU184" s="89"/>
      <c r="CV184" s="89"/>
      <c r="CW184" s="89"/>
      <c r="CX184" s="89"/>
      <c r="CY184" s="89"/>
      <c r="CZ184" s="89"/>
      <c r="DA184" s="89"/>
      <c r="DB184" s="89"/>
      <c r="DC184" s="89"/>
      <c r="DD184" s="89"/>
      <c r="DE184" s="89"/>
      <c r="DF184" s="89"/>
      <c r="DG184" s="89"/>
      <c r="DH184" s="89"/>
      <c r="DI184" s="89"/>
      <c r="DJ184" s="117"/>
      <c r="DK184" s="117"/>
      <c r="DL184" s="117"/>
      <c r="DM184" s="117"/>
      <c r="DN184" s="117"/>
      <c r="DO184" s="117"/>
      <c r="DP184" s="117"/>
      <c r="DQ184" s="117"/>
      <c r="DR184" s="117"/>
      <c r="DS184" s="117"/>
      <c r="DT184" s="117"/>
      <c r="DU184" s="117"/>
      <c r="DV184" s="117"/>
      <c r="DW184" s="117"/>
      <c r="DX184" s="117"/>
      <c r="DY184" s="117"/>
      <c r="DZ184" s="117"/>
      <c r="EA184" s="117"/>
      <c r="EB184" s="117"/>
      <c r="EC184" s="117"/>
      <c r="ED184" s="117"/>
      <c r="EE184" s="117"/>
      <c r="EF184" s="117"/>
      <c r="EG184" s="117"/>
      <c r="EH184" s="117"/>
      <c r="EI184" s="117"/>
      <c r="EJ184" s="89"/>
      <c r="EK184" s="89"/>
      <c r="EL184" s="89"/>
      <c r="EM184" s="89"/>
      <c r="EN184" s="89"/>
      <c r="EO184" s="89"/>
      <c r="EP184" s="89"/>
      <c r="EQ184" s="89"/>
      <c r="ER184" s="89"/>
      <c r="ES184" s="89"/>
      <c r="ET184" s="89"/>
      <c r="EU184" s="89"/>
      <c r="EV184" s="89"/>
      <c r="EW184" s="89"/>
      <c r="EX184" s="89"/>
      <c r="EY184" s="89"/>
      <c r="EZ184" s="89"/>
      <c r="FA184" s="89"/>
      <c r="FB184" s="89"/>
      <c r="FC184" s="89"/>
      <c r="FD184" s="89"/>
      <c r="FE184" s="89"/>
      <c r="FF184" s="89"/>
      <c r="FG184" s="89"/>
      <c r="FH184" s="89"/>
      <c r="FI184" s="89"/>
      <c r="FJ184" s="89"/>
      <c r="FK184" s="89"/>
      <c r="FL184" s="89"/>
      <c r="FM184" s="89"/>
      <c r="FN184" s="89"/>
      <c r="FO184" s="89"/>
      <c r="FP184" s="89"/>
      <c r="FQ184" s="89"/>
      <c r="FR184" s="89"/>
      <c r="FS184" s="89"/>
    </row>
    <row r="185" spans="1:175" s="23" customFormat="1" ht="15.9" customHeight="1">
      <c r="A185" s="1808"/>
      <c r="B185" s="416"/>
      <c r="C185" s="21"/>
      <c r="D185" s="21"/>
      <c r="E185" s="21"/>
      <c r="F185" s="21"/>
      <c r="G185" s="21"/>
      <c r="H185" s="21"/>
      <c r="I185" s="21"/>
      <c r="J185" s="21"/>
      <c r="K185" s="21"/>
      <c r="L185" s="21"/>
      <c r="M185" s="21"/>
      <c r="N185" s="21"/>
      <c r="O185" s="196"/>
      <c r="P185" s="992"/>
      <c r="Q185" s="22">
        <v>1</v>
      </c>
      <c r="R185" s="129"/>
      <c r="T185" s="129"/>
      <c r="U185" s="129"/>
      <c r="V185" s="129"/>
      <c r="W185" s="129"/>
      <c r="X185" s="129"/>
      <c r="Y185" s="129"/>
      <c r="Z185" s="129"/>
      <c r="AA185" s="129"/>
      <c r="AB185" s="129"/>
      <c r="AC185" s="129"/>
      <c r="AD185" s="129"/>
      <c r="AE185" s="129"/>
      <c r="AF185" s="129"/>
      <c r="AG185" s="129"/>
      <c r="AH185" s="129"/>
      <c r="AI185" s="129"/>
      <c r="AJ185" s="129"/>
      <c r="AK185" s="129"/>
      <c r="AL185" s="129"/>
      <c r="AM185" s="129"/>
      <c r="AN185" s="129"/>
      <c r="AO185" s="129"/>
      <c r="AP185" s="129"/>
      <c r="AQ185" s="129"/>
      <c r="AR185" s="129"/>
      <c r="AS185" s="129"/>
      <c r="AT185" s="129"/>
      <c r="AU185" s="129"/>
      <c r="AV185" s="129"/>
      <c r="AW185" s="89"/>
      <c r="AX185" s="89"/>
      <c r="AY185" s="89"/>
      <c r="AZ185" s="89"/>
      <c r="BA185" s="89"/>
      <c r="BB185" s="89"/>
      <c r="BC185" s="89"/>
      <c r="BD185" s="89"/>
      <c r="BE185" s="89"/>
      <c r="BF185" s="89"/>
      <c r="BG185" s="89"/>
      <c r="BH185" s="89"/>
      <c r="BI185" s="89"/>
      <c r="BJ185" s="89"/>
      <c r="BK185" s="89"/>
      <c r="BL185" s="89"/>
      <c r="BM185" s="89"/>
      <c r="BN185" s="89"/>
      <c r="BO185" s="89"/>
      <c r="BP185" s="89"/>
      <c r="BQ185" s="89"/>
      <c r="BR185" s="89"/>
      <c r="BS185" s="89"/>
      <c r="BT185" s="89"/>
      <c r="BU185" s="89"/>
      <c r="BV185" s="89"/>
      <c r="BW185" s="89"/>
      <c r="BX185" s="89"/>
      <c r="BY185" s="89"/>
      <c r="BZ185" s="89"/>
      <c r="CA185" s="89"/>
      <c r="CB185" s="89"/>
      <c r="CC185" s="89"/>
      <c r="CD185" s="89"/>
      <c r="CE185" s="89"/>
      <c r="CF185" s="89"/>
      <c r="CG185" s="89"/>
      <c r="CH185" s="89"/>
      <c r="CI185" s="89"/>
      <c r="CJ185" s="89"/>
      <c r="CK185" s="89"/>
      <c r="CL185" s="89"/>
      <c r="CM185" s="89"/>
      <c r="CN185" s="89"/>
      <c r="CO185" s="89"/>
      <c r="CP185" s="89"/>
      <c r="CQ185" s="89"/>
      <c r="CR185" s="89"/>
      <c r="CS185" s="89"/>
      <c r="CT185" s="89"/>
      <c r="CU185" s="89"/>
      <c r="CV185" s="89"/>
      <c r="CW185" s="89"/>
      <c r="CX185" s="89"/>
      <c r="CY185" s="89"/>
      <c r="CZ185" s="89"/>
      <c r="DA185" s="89"/>
      <c r="DB185" s="89"/>
      <c r="DC185" s="89"/>
      <c r="DD185" s="89"/>
      <c r="DE185" s="89"/>
      <c r="DF185" s="89"/>
      <c r="DG185" s="89"/>
      <c r="DH185" s="89"/>
      <c r="DI185" s="89"/>
      <c r="DJ185" s="117"/>
      <c r="DK185" s="117"/>
      <c r="DL185" s="117"/>
      <c r="DM185" s="117"/>
      <c r="DN185" s="117"/>
      <c r="DO185" s="117"/>
      <c r="DP185" s="117"/>
      <c r="DQ185" s="117"/>
      <c r="DR185" s="117"/>
      <c r="DS185" s="117"/>
      <c r="DT185" s="117"/>
      <c r="DU185" s="117"/>
      <c r="DV185" s="117"/>
      <c r="DW185" s="117"/>
      <c r="DX185" s="117"/>
      <c r="DY185" s="117"/>
      <c r="DZ185" s="117"/>
      <c r="EA185" s="117"/>
      <c r="EB185" s="117"/>
      <c r="EC185" s="117"/>
      <c r="ED185" s="117"/>
      <c r="EE185" s="117"/>
      <c r="EF185" s="117"/>
      <c r="EG185" s="117"/>
      <c r="EH185" s="117"/>
      <c r="EI185" s="117"/>
      <c r="EJ185" s="89"/>
      <c r="EK185" s="89"/>
      <c r="EL185" s="89"/>
      <c r="EM185" s="89"/>
      <c r="EN185" s="89"/>
      <c r="EO185" s="89"/>
      <c r="EP185" s="89"/>
      <c r="EQ185" s="89"/>
      <c r="ER185" s="89"/>
      <c r="ES185" s="89"/>
      <c r="ET185" s="89"/>
      <c r="EU185" s="89"/>
      <c r="EV185" s="89"/>
      <c r="EW185" s="89"/>
      <c r="EX185" s="89"/>
      <c r="EY185" s="89"/>
      <c r="EZ185" s="89"/>
      <c r="FA185" s="89"/>
      <c r="FB185" s="89"/>
      <c r="FC185" s="89"/>
      <c r="FD185" s="89"/>
      <c r="FE185" s="89"/>
      <c r="FF185" s="89"/>
      <c r="FG185" s="89"/>
      <c r="FH185" s="89"/>
      <c r="FI185" s="89"/>
      <c r="FJ185" s="89"/>
      <c r="FK185" s="89"/>
      <c r="FL185" s="89"/>
      <c r="FM185" s="89"/>
      <c r="FN185" s="89"/>
      <c r="FO185" s="89"/>
      <c r="FP185" s="89"/>
      <c r="FQ185" s="89"/>
      <c r="FR185" s="89"/>
      <c r="FS185" s="89"/>
    </row>
    <row r="186" spans="1:175" s="23" customFormat="1" ht="15.9" customHeight="1">
      <c r="A186" s="1808"/>
      <c r="B186" s="416"/>
      <c r="C186" s="21"/>
      <c r="D186" s="21"/>
      <c r="E186" s="21"/>
      <c r="F186" s="21"/>
      <c r="G186" s="21"/>
      <c r="H186" s="21"/>
      <c r="I186" s="21"/>
      <c r="J186" s="21"/>
      <c r="K186" s="21"/>
      <c r="L186" s="21"/>
      <c r="M186" s="21"/>
      <c r="N186" s="21"/>
      <c r="O186" s="196"/>
      <c r="P186" s="992"/>
      <c r="Q186" s="22">
        <v>1</v>
      </c>
      <c r="R186" s="129"/>
      <c r="S186" s="129"/>
      <c r="T186" s="129"/>
      <c r="U186" s="129"/>
      <c r="V186" s="129"/>
      <c r="W186" s="129"/>
      <c r="X186" s="129"/>
      <c r="Y186" s="129"/>
      <c r="Z186" s="129"/>
      <c r="AA186" s="129"/>
      <c r="AB186" s="129"/>
      <c r="AC186" s="129"/>
      <c r="AD186" s="129"/>
      <c r="AE186" s="129"/>
      <c r="AF186" s="129"/>
      <c r="AG186" s="129"/>
      <c r="AH186" s="129"/>
      <c r="AI186" s="129"/>
      <c r="AJ186" s="129"/>
      <c r="AK186" s="129"/>
      <c r="AL186" s="129"/>
      <c r="AM186" s="129"/>
      <c r="AN186" s="129"/>
      <c r="AO186" s="129"/>
      <c r="AP186" s="129"/>
      <c r="AQ186" s="129"/>
      <c r="AR186" s="129"/>
      <c r="AS186" s="129"/>
      <c r="AT186" s="129"/>
      <c r="AU186" s="129"/>
      <c r="AV186" s="129"/>
      <c r="AW186" s="89"/>
      <c r="AX186" s="89"/>
      <c r="AY186" s="89"/>
      <c r="AZ186" s="89"/>
      <c r="BA186" s="89"/>
      <c r="BB186" s="89"/>
      <c r="BC186" s="89"/>
      <c r="BD186" s="89"/>
      <c r="BE186" s="89"/>
      <c r="BF186" s="89"/>
      <c r="BG186" s="89"/>
      <c r="BH186" s="89"/>
      <c r="BI186" s="89"/>
      <c r="BJ186" s="89"/>
      <c r="BK186" s="89"/>
      <c r="BL186" s="89"/>
      <c r="BM186" s="89"/>
      <c r="BN186" s="89"/>
      <c r="BO186" s="89"/>
      <c r="BP186" s="89"/>
      <c r="BQ186" s="89"/>
      <c r="BR186" s="89"/>
      <c r="BS186" s="89"/>
      <c r="BT186" s="89"/>
      <c r="BU186" s="89"/>
      <c r="BV186" s="89"/>
      <c r="BW186" s="89"/>
      <c r="BX186" s="89"/>
      <c r="BY186" s="89"/>
      <c r="BZ186" s="89"/>
      <c r="CA186" s="89"/>
      <c r="CB186" s="89"/>
      <c r="CC186" s="89"/>
      <c r="CD186" s="89"/>
      <c r="CE186" s="89"/>
      <c r="CF186" s="89"/>
      <c r="CG186" s="89"/>
      <c r="CH186" s="89"/>
      <c r="CI186" s="89"/>
      <c r="CJ186" s="89"/>
      <c r="CK186" s="89"/>
      <c r="CL186" s="89"/>
      <c r="CM186" s="89"/>
      <c r="CN186" s="89"/>
      <c r="CO186" s="89"/>
      <c r="CP186" s="89"/>
      <c r="CQ186" s="89"/>
      <c r="CR186" s="89"/>
      <c r="CS186" s="89"/>
      <c r="CT186" s="89"/>
      <c r="CU186" s="89"/>
      <c r="CV186" s="89"/>
      <c r="CW186" s="89"/>
      <c r="CX186" s="89"/>
      <c r="CY186" s="89"/>
      <c r="CZ186" s="89"/>
      <c r="DA186" s="89"/>
      <c r="DB186" s="89"/>
      <c r="DC186" s="89"/>
      <c r="DD186" s="89"/>
      <c r="DE186" s="89"/>
      <c r="DF186" s="89"/>
      <c r="DG186" s="89"/>
      <c r="DH186" s="89"/>
      <c r="DI186" s="89"/>
      <c r="DJ186" s="117"/>
      <c r="DK186" s="117"/>
      <c r="DL186" s="117"/>
      <c r="DM186" s="117"/>
      <c r="DN186" s="117"/>
      <c r="DO186" s="117"/>
      <c r="DP186" s="117"/>
      <c r="DQ186" s="117"/>
      <c r="DR186" s="117"/>
      <c r="DS186" s="117"/>
      <c r="DT186" s="117"/>
      <c r="DU186" s="117"/>
      <c r="DV186" s="117"/>
      <c r="DW186" s="117"/>
      <c r="DX186" s="117"/>
      <c r="DY186" s="117"/>
      <c r="DZ186" s="117"/>
      <c r="EA186" s="117"/>
      <c r="EB186" s="117"/>
      <c r="EC186" s="117"/>
      <c r="ED186" s="117"/>
      <c r="EE186" s="117"/>
      <c r="EF186" s="117"/>
      <c r="EG186" s="117"/>
      <c r="EH186" s="117"/>
      <c r="EI186" s="117"/>
      <c r="EJ186" s="89"/>
      <c r="EK186" s="89"/>
      <c r="EL186" s="89"/>
      <c r="EM186" s="89"/>
      <c r="EN186" s="89"/>
      <c r="EO186" s="89"/>
      <c r="EP186" s="89"/>
      <c r="EQ186" s="89"/>
      <c r="ER186" s="89"/>
      <c r="ES186" s="89"/>
      <c r="ET186" s="89"/>
      <c r="EU186" s="89"/>
      <c r="EV186" s="89"/>
      <c r="EW186" s="89"/>
      <c r="EX186" s="89"/>
      <c r="EY186" s="89"/>
      <c r="EZ186" s="89"/>
      <c r="FA186" s="89"/>
      <c r="FB186" s="89"/>
      <c r="FC186" s="89"/>
      <c r="FD186" s="89"/>
      <c r="FE186" s="89"/>
      <c r="FF186" s="89"/>
      <c r="FG186" s="89"/>
      <c r="FH186" s="89"/>
      <c r="FI186" s="89"/>
      <c r="FJ186" s="89"/>
      <c r="FK186" s="89"/>
      <c r="FL186" s="89"/>
      <c r="FM186" s="89"/>
      <c r="FN186" s="89"/>
      <c r="FO186" s="89"/>
      <c r="FP186" s="89"/>
      <c r="FQ186" s="89"/>
      <c r="FR186" s="89"/>
      <c r="FS186" s="89"/>
    </row>
    <row r="187" spans="1:175" s="23" customFormat="1" ht="15.9" customHeight="1">
      <c r="A187" s="1808"/>
      <c r="B187" s="416"/>
      <c r="C187" s="1818" t="str">
        <f>C241</f>
        <v>Energiebedarf, kWh/m2</v>
      </c>
      <c r="D187" s="1153" t="str">
        <f>Begriffe!F335</f>
        <v xml:space="preserve">Elektrischer Energiebedarf                              </v>
      </c>
      <c r="E187" s="1153"/>
      <c r="F187" s="1155"/>
      <c r="G187" s="1156" t="str">
        <f>Begriffe!F336</f>
        <v xml:space="preserve">Thermischer Energiebedarf                              </v>
      </c>
      <c r="H187" s="1153"/>
      <c r="I187" s="1818" t="str">
        <f>C236</f>
        <v>Leistungsbedarf, W/m2</v>
      </c>
      <c r="J187" s="1153" t="str">
        <f>Begriffe!F337</f>
        <v xml:space="preserve">Elektrischer Leistungsbedarf                              </v>
      </c>
      <c r="K187" s="1153"/>
      <c r="L187" s="1153"/>
      <c r="M187" s="1153"/>
      <c r="N187" s="1153" t="str">
        <f>Begriffe!F338</f>
        <v xml:space="preserve">Thermischer Leistungsbedarf                              </v>
      </c>
      <c r="O187" s="1154"/>
      <c r="P187" s="992"/>
      <c r="Q187" s="22">
        <v>1</v>
      </c>
      <c r="R187" s="129"/>
      <c r="S187" s="129"/>
      <c r="T187" s="129"/>
      <c r="U187" s="129"/>
      <c r="V187" s="129"/>
      <c r="W187" s="129"/>
      <c r="X187" s="129"/>
      <c r="Y187" s="129"/>
      <c r="Z187" s="129"/>
      <c r="AA187" s="129"/>
      <c r="AB187" s="129"/>
      <c r="AC187" s="129"/>
      <c r="AD187" s="129"/>
      <c r="AE187" s="129"/>
      <c r="AF187" s="129"/>
      <c r="AG187" s="129"/>
      <c r="AH187" s="129"/>
      <c r="AI187" s="129"/>
      <c r="AJ187" s="129"/>
      <c r="AK187" s="129"/>
      <c r="AL187" s="129"/>
      <c r="AM187" s="129"/>
      <c r="AN187" s="129"/>
      <c r="AO187" s="129"/>
      <c r="AP187" s="129"/>
      <c r="AQ187" s="129"/>
      <c r="AR187" s="129"/>
      <c r="AS187" s="129"/>
      <c r="AT187" s="129"/>
      <c r="AU187" s="129"/>
      <c r="AV187" s="129"/>
      <c r="AW187" s="89"/>
      <c r="AX187" s="89"/>
      <c r="AY187" s="89"/>
      <c r="AZ187" s="89"/>
      <c r="BA187" s="89"/>
      <c r="BB187" s="89"/>
      <c r="BC187" s="89"/>
      <c r="BD187" s="89"/>
      <c r="BE187" s="89"/>
      <c r="BF187" s="89"/>
      <c r="BG187" s="89"/>
      <c r="BH187" s="89"/>
      <c r="BI187" s="89"/>
      <c r="BJ187" s="89"/>
      <c r="BK187" s="89"/>
      <c r="BL187" s="89"/>
      <c r="BM187" s="89"/>
      <c r="BN187" s="89"/>
      <c r="BO187" s="89"/>
      <c r="BP187" s="89"/>
      <c r="BQ187" s="89"/>
      <c r="BR187" s="89"/>
      <c r="BS187" s="89"/>
      <c r="BT187" s="89"/>
      <c r="BU187" s="89"/>
      <c r="BV187" s="89"/>
      <c r="BW187" s="89"/>
      <c r="BX187" s="89"/>
      <c r="BY187" s="89"/>
      <c r="BZ187" s="89"/>
      <c r="CA187" s="89"/>
      <c r="CB187" s="89"/>
      <c r="CC187" s="89"/>
      <c r="CD187" s="89"/>
      <c r="CE187" s="89"/>
      <c r="CF187" s="89"/>
      <c r="CG187" s="89"/>
      <c r="CH187" s="89"/>
      <c r="CI187" s="89"/>
      <c r="CJ187" s="89"/>
      <c r="CK187" s="89"/>
      <c r="CL187" s="89"/>
      <c r="CM187" s="89"/>
      <c r="CN187" s="89"/>
      <c r="CO187" s="89"/>
      <c r="CP187" s="89"/>
      <c r="CQ187" s="89"/>
      <c r="CR187" s="89"/>
      <c r="CS187" s="89"/>
      <c r="CT187" s="89"/>
      <c r="CU187" s="89"/>
      <c r="CV187" s="89"/>
      <c r="CW187" s="89"/>
      <c r="CX187" s="89"/>
      <c r="CY187" s="89"/>
      <c r="CZ187" s="89"/>
      <c r="DA187" s="89"/>
      <c r="DB187" s="89"/>
      <c r="DC187" s="89"/>
      <c r="DD187" s="89"/>
      <c r="DE187" s="89"/>
      <c r="DF187" s="89"/>
      <c r="DG187" s="89"/>
      <c r="DH187" s="89"/>
      <c r="DI187" s="89"/>
      <c r="DJ187" s="117"/>
      <c r="DK187" s="117"/>
      <c r="DL187" s="117"/>
      <c r="DM187" s="117"/>
      <c r="DN187" s="117"/>
      <c r="DO187" s="117"/>
      <c r="DP187" s="117"/>
      <c r="DQ187" s="117"/>
      <c r="DR187" s="117"/>
      <c r="DS187" s="117"/>
      <c r="DT187" s="117"/>
      <c r="DU187" s="117"/>
      <c r="DV187" s="117"/>
      <c r="DW187" s="117"/>
      <c r="DX187" s="117"/>
      <c r="DY187" s="117"/>
      <c r="DZ187" s="117"/>
      <c r="EA187" s="117"/>
      <c r="EB187" s="117"/>
      <c r="EC187" s="117"/>
      <c r="ED187" s="117"/>
      <c r="EE187" s="117"/>
      <c r="EF187" s="117"/>
      <c r="EG187" s="117"/>
      <c r="EH187" s="117"/>
      <c r="EI187" s="117"/>
      <c r="EJ187" s="89"/>
      <c r="EK187" s="89"/>
      <c r="EL187" s="89"/>
      <c r="EM187" s="89"/>
      <c r="EN187" s="89"/>
      <c r="EO187" s="89"/>
      <c r="EP187" s="89"/>
      <c r="EQ187" s="89"/>
      <c r="ER187" s="89"/>
      <c r="ES187" s="89"/>
      <c r="ET187" s="89"/>
      <c r="EU187" s="89"/>
      <c r="EV187" s="89"/>
      <c r="EW187" s="89"/>
      <c r="EX187" s="89"/>
      <c r="EY187" s="89"/>
      <c r="EZ187" s="89"/>
      <c r="FA187" s="89"/>
      <c r="FB187" s="89"/>
      <c r="FC187" s="89"/>
      <c r="FD187" s="89"/>
      <c r="FE187" s="89"/>
      <c r="FF187" s="89"/>
      <c r="FG187" s="89"/>
      <c r="FH187" s="89"/>
      <c r="FI187" s="89"/>
      <c r="FJ187" s="89"/>
      <c r="FK187" s="89"/>
      <c r="FL187" s="89"/>
      <c r="FM187" s="89"/>
      <c r="FN187" s="89"/>
      <c r="FO187" s="89"/>
      <c r="FP187" s="89"/>
      <c r="FQ187" s="89"/>
      <c r="FR187" s="89"/>
      <c r="FS187" s="89"/>
    </row>
    <row r="188" spans="1:175" s="23" customFormat="1" ht="15.9" customHeight="1">
      <c r="A188" s="1808"/>
      <c r="B188" s="416"/>
      <c r="C188" s="1818"/>
      <c r="D188" s="21"/>
      <c r="E188" s="21"/>
      <c r="F188" s="21"/>
      <c r="G188" s="21"/>
      <c r="H188" s="21"/>
      <c r="I188" s="1818"/>
      <c r="J188" s="21"/>
      <c r="K188" s="21"/>
      <c r="L188" s="21"/>
      <c r="M188" s="21"/>
      <c r="N188" s="21"/>
      <c r="O188" s="196"/>
      <c r="P188" s="921"/>
      <c r="Q188" s="22">
        <v>1</v>
      </c>
      <c r="R188" s="129"/>
      <c r="S188" s="129"/>
      <c r="T188" s="129"/>
      <c r="U188" s="129"/>
      <c r="V188" s="129"/>
      <c r="W188" s="129"/>
      <c r="X188" s="129"/>
      <c r="Y188" s="129"/>
      <c r="Z188" s="129"/>
      <c r="AA188" s="129"/>
      <c r="AB188" s="129"/>
      <c r="AC188" s="129"/>
      <c r="AD188" s="129"/>
      <c r="AE188" s="129"/>
      <c r="AF188" s="129"/>
      <c r="AG188" s="129"/>
      <c r="AH188" s="129"/>
      <c r="AI188" s="129"/>
      <c r="AJ188" s="129"/>
      <c r="AK188" s="129"/>
      <c r="AL188" s="129"/>
      <c r="AM188" s="129"/>
      <c r="AN188" s="129"/>
      <c r="AO188" s="129"/>
      <c r="AP188" s="129"/>
      <c r="AQ188" s="129"/>
      <c r="AR188" s="129"/>
      <c r="AS188" s="129"/>
      <c r="AT188" s="129"/>
      <c r="AU188" s="129"/>
      <c r="AV188" s="129"/>
      <c r="AW188" s="89"/>
      <c r="AX188" s="89"/>
      <c r="AY188" s="89"/>
      <c r="AZ188" s="89"/>
      <c r="BA188" s="89"/>
      <c r="BB188" s="89"/>
      <c r="BC188" s="89"/>
      <c r="BD188" s="89"/>
      <c r="BE188" s="89"/>
      <c r="BF188" s="89"/>
      <c r="BG188" s="89"/>
      <c r="BH188" s="89"/>
      <c r="BI188" s="89"/>
      <c r="BJ188" s="89"/>
      <c r="BK188" s="89"/>
      <c r="BL188" s="89"/>
      <c r="BM188" s="89"/>
      <c r="BN188" s="89"/>
      <c r="BO188" s="89"/>
      <c r="BP188" s="89"/>
      <c r="BQ188" s="89"/>
      <c r="BR188" s="89"/>
      <c r="BS188" s="89"/>
      <c r="BT188" s="89"/>
      <c r="BU188" s="89"/>
      <c r="BV188" s="89"/>
      <c r="BW188" s="89"/>
      <c r="BX188" s="89"/>
      <c r="BY188" s="89"/>
      <c r="BZ188" s="89"/>
      <c r="CA188" s="89"/>
      <c r="CB188" s="89"/>
      <c r="CC188" s="89"/>
      <c r="CD188" s="89"/>
      <c r="CE188" s="89"/>
      <c r="CF188" s="89"/>
      <c r="CG188" s="89"/>
      <c r="CH188" s="89"/>
      <c r="CI188" s="89"/>
      <c r="CJ188" s="89"/>
      <c r="CK188" s="89"/>
      <c r="CL188" s="89"/>
      <c r="CM188" s="89"/>
      <c r="CN188" s="89"/>
      <c r="CO188" s="89"/>
      <c r="CP188" s="89"/>
      <c r="CQ188" s="89"/>
      <c r="CR188" s="89"/>
      <c r="CS188" s="89"/>
      <c r="CT188" s="89"/>
      <c r="CU188" s="89"/>
      <c r="CV188" s="89"/>
      <c r="CW188" s="89"/>
      <c r="CX188" s="89"/>
      <c r="CY188" s="89"/>
      <c r="CZ188" s="89"/>
      <c r="DA188" s="89"/>
      <c r="DB188" s="89"/>
      <c r="DC188" s="89"/>
      <c r="DD188" s="89"/>
      <c r="DE188" s="89"/>
      <c r="DF188" s="89"/>
      <c r="DG188" s="89"/>
      <c r="DH188" s="89"/>
      <c r="DI188" s="89"/>
      <c r="DJ188" s="117"/>
      <c r="DK188" s="117"/>
      <c r="DL188" s="117"/>
      <c r="DM188" s="117"/>
      <c r="DN188" s="117"/>
      <c r="DO188" s="117"/>
      <c r="DP188" s="117"/>
      <c r="DQ188" s="117"/>
      <c r="DR188" s="117"/>
      <c r="DS188" s="117"/>
      <c r="DT188" s="117"/>
      <c r="DU188" s="117"/>
      <c r="DV188" s="117"/>
      <c r="DW188" s="117"/>
      <c r="DX188" s="117"/>
      <c r="DY188" s="117"/>
      <c r="DZ188" s="117"/>
      <c r="EA188" s="117"/>
      <c r="EB188" s="117"/>
      <c r="EC188" s="117"/>
      <c r="ED188" s="117"/>
      <c r="EE188" s="117"/>
      <c r="EF188" s="117"/>
      <c r="EG188" s="117"/>
      <c r="EH188" s="117"/>
      <c r="EI188" s="117"/>
      <c r="EJ188" s="89"/>
      <c r="EK188" s="89"/>
      <c r="EL188" s="89"/>
      <c r="EM188" s="89"/>
      <c r="EN188" s="89"/>
      <c r="EO188" s="89"/>
      <c r="EP188" s="89"/>
      <c r="EQ188" s="89"/>
      <c r="ER188" s="89"/>
      <c r="ES188" s="89"/>
      <c r="ET188" s="89"/>
      <c r="EU188" s="89"/>
      <c r="EV188" s="89"/>
      <c r="EW188" s="89"/>
      <c r="EX188" s="89"/>
      <c r="EY188" s="89"/>
      <c r="EZ188" s="89"/>
      <c r="FA188" s="89"/>
      <c r="FB188" s="89"/>
      <c r="FC188" s="89"/>
      <c r="FD188" s="89"/>
      <c r="FE188" s="89"/>
      <c r="FF188" s="89"/>
      <c r="FG188" s="89"/>
      <c r="FH188" s="89"/>
      <c r="FI188" s="89"/>
      <c r="FJ188" s="89"/>
      <c r="FK188" s="89"/>
      <c r="FL188" s="89"/>
      <c r="FM188" s="89"/>
      <c r="FN188" s="89"/>
      <c r="FO188" s="89"/>
      <c r="FP188" s="89"/>
      <c r="FQ188" s="89"/>
      <c r="FR188" s="89"/>
      <c r="FS188" s="89"/>
    </row>
    <row r="189" spans="1:175" s="23" customFormat="1" ht="15.9" customHeight="1">
      <c r="A189" s="1808"/>
      <c r="B189" s="416"/>
      <c r="C189" s="1818"/>
      <c r="D189" s="179"/>
      <c r="E189" s="179"/>
      <c r="F189" s="179"/>
      <c r="G189" s="179"/>
      <c r="H189" s="21"/>
      <c r="I189" s="1818"/>
      <c r="J189" s="21"/>
      <c r="K189" s="21"/>
      <c r="L189" s="21"/>
      <c r="M189" s="21"/>
      <c r="N189" s="21"/>
      <c r="O189" s="196"/>
      <c r="P189" s="921"/>
      <c r="Q189" s="22">
        <v>1</v>
      </c>
      <c r="R189" s="129"/>
      <c r="S189" s="129"/>
      <c r="T189" s="129"/>
      <c r="U189" s="129"/>
      <c r="V189" s="129"/>
      <c r="W189" s="129"/>
      <c r="X189" s="129"/>
      <c r="Y189" s="129"/>
      <c r="Z189" s="129"/>
      <c r="AA189" s="129"/>
      <c r="AB189" s="129"/>
      <c r="AC189" s="129"/>
      <c r="AD189" s="129"/>
      <c r="AE189" s="129"/>
      <c r="AF189" s="129"/>
      <c r="AG189" s="129"/>
      <c r="AH189" s="129"/>
      <c r="AI189" s="129"/>
      <c r="AJ189" s="129"/>
      <c r="AK189" s="129"/>
      <c r="AL189" s="129"/>
      <c r="AM189" s="129"/>
      <c r="AN189" s="129"/>
      <c r="AO189" s="129"/>
      <c r="AP189" s="129"/>
      <c r="AQ189" s="129"/>
      <c r="AR189" s="129"/>
      <c r="AS189" s="129"/>
      <c r="AT189" s="129"/>
      <c r="AU189" s="129"/>
      <c r="AV189" s="129"/>
      <c r="AW189" s="89"/>
      <c r="AX189" s="89"/>
      <c r="AY189" s="89"/>
      <c r="AZ189" s="89"/>
      <c r="BA189" s="89"/>
      <c r="BB189" s="89"/>
      <c r="BC189" s="89"/>
      <c r="BD189" s="89"/>
      <c r="BE189" s="89"/>
      <c r="BF189" s="89"/>
      <c r="BG189" s="89"/>
      <c r="BH189" s="89"/>
      <c r="BI189" s="89"/>
      <c r="BJ189" s="89"/>
      <c r="BK189" s="89"/>
      <c r="BL189" s="89"/>
      <c r="BM189" s="89"/>
      <c r="BN189" s="89"/>
      <c r="BO189" s="89"/>
      <c r="BP189" s="89"/>
      <c r="BQ189" s="89"/>
      <c r="BR189" s="89"/>
      <c r="BS189" s="89"/>
      <c r="BT189" s="89"/>
      <c r="BU189" s="89"/>
      <c r="BV189" s="89"/>
      <c r="BW189" s="89"/>
      <c r="BX189" s="89"/>
      <c r="BY189" s="89"/>
      <c r="BZ189" s="89"/>
      <c r="CA189" s="89"/>
      <c r="CB189" s="89"/>
      <c r="CC189" s="89"/>
      <c r="CD189" s="89"/>
      <c r="CE189" s="89"/>
      <c r="CF189" s="89"/>
      <c r="CG189" s="89"/>
      <c r="CH189" s="89"/>
      <c r="CI189" s="89"/>
      <c r="CJ189" s="89"/>
      <c r="CK189" s="89"/>
      <c r="CL189" s="89"/>
      <c r="CM189" s="89"/>
      <c r="CN189" s="89"/>
      <c r="CO189" s="89"/>
      <c r="CP189" s="89"/>
      <c r="CQ189" s="89"/>
      <c r="CR189" s="89"/>
      <c r="CS189" s="89"/>
      <c r="CT189" s="89"/>
      <c r="CU189" s="89"/>
      <c r="CV189" s="89"/>
      <c r="CW189" s="89"/>
      <c r="CX189" s="89"/>
      <c r="CY189" s="89"/>
      <c r="CZ189" s="89"/>
      <c r="DA189" s="89"/>
      <c r="DB189" s="89"/>
      <c r="DC189" s="89"/>
      <c r="DD189" s="89"/>
      <c r="DE189" s="89"/>
      <c r="DF189" s="89"/>
      <c r="DG189" s="89"/>
      <c r="DH189" s="89"/>
      <c r="DI189" s="89"/>
      <c r="DJ189" s="117"/>
      <c r="DK189" s="117"/>
      <c r="DL189" s="117"/>
      <c r="DM189" s="117"/>
      <c r="DN189" s="117"/>
      <c r="DO189" s="117"/>
      <c r="DP189" s="117"/>
      <c r="DQ189" s="117"/>
      <c r="DR189" s="117"/>
      <c r="DS189" s="117"/>
      <c r="DT189" s="117"/>
      <c r="DU189" s="117"/>
      <c r="DV189" s="117"/>
      <c r="DW189" s="117"/>
      <c r="DX189" s="117"/>
      <c r="DY189" s="117"/>
      <c r="DZ189" s="117"/>
      <c r="EA189" s="117"/>
      <c r="EB189" s="117"/>
      <c r="EC189" s="117"/>
      <c r="ED189" s="117"/>
      <c r="EE189" s="117"/>
      <c r="EF189" s="117"/>
      <c r="EG189" s="117"/>
      <c r="EH189" s="117"/>
      <c r="EI189" s="117"/>
      <c r="EJ189" s="89"/>
      <c r="EK189" s="89"/>
      <c r="EL189" s="89"/>
      <c r="EM189" s="89"/>
      <c r="EN189" s="89"/>
      <c r="EO189" s="89"/>
      <c r="EP189" s="89"/>
      <c r="EQ189" s="89"/>
      <c r="ER189" s="89"/>
      <c r="ES189" s="89"/>
      <c r="ET189" s="89"/>
      <c r="EU189" s="89"/>
      <c r="EV189" s="89"/>
      <c r="EW189" s="89"/>
      <c r="EX189" s="89"/>
      <c r="EY189" s="89"/>
      <c r="EZ189" s="89"/>
      <c r="FA189" s="89"/>
      <c r="FB189" s="89"/>
      <c r="FC189" s="89"/>
      <c r="FD189" s="89"/>
      <c r="FE189" s="89"/>
      <c r="FF189" s="89"/>
      <c r="FG189" s="89"/>
      <c r="FH189" s="89"/>
      <c r="FI189" s="89"/>
      <c r="FJ189" s="89"/>
      <c r="FK189" s="89"/>
      <c r="FL189" s="89"/>
      <c r="FM189" s="89"/>
      <c r="FN189" s="89"/>
      <c r="FO189" s="89"/>
      <c r="FP189" s="89"/>
      <c r="FQ189" s="89"/>
      <c r="FR189" s="89"/>
      <c r="FS189" s="89"/>
    </row>
    <row r="190" spans="1:175" s="23" customFormat="1" ht="15.9" customHeight="1">
      <c r="A190" s="1808"/>
      <c r="B190" s="416"/>
      <c r="C190" s="1818"/>
      <c r="D190" s="21"/>
      <c r="E190" s="21"/>
      <c r="F190" s="21"/>
      <c r="G190" s="21"/>
      <c r="H190" s="21"/>
      <c r="I190" s="1818"/>
      <c r="J190" s="21"/>
      <c r="K190" s="21"/>
      <c r="L190" s="21"/>
      <c r="M190" s="21"/>
      <c r="N190" s="21"/>
      <c r="O190" s="196"/>
      <c r="P190" s="921"/>
      <c r="Q190" s="22">
        <v>1</v>
      </c>
      <c r="R190" s="129"/>
      <c r="S190" s="129"/>
      <c r="T190" s="129"/>
      <c r="U190" s="129"/>
      <c r="V190" s="129"/>
      <c r="W190" s="129"/>
      <c r="X190" s="129"/>
      <c r="Y190" s="129"/>
      <c r="Z190" s="129"/>
      <c r="AA190" s="129"/>
      <c r="AB190" s="129"/>
      <c r="AC190" s="129"/>
      <c r="AD190" s="129"/>
      <c r="AE190" s="129"/>
      <c r="AF190" s="129"/>
      <c r="AG190" s="129"/>
      <c r="AH190" s="129"/>
      <c r="AI190" s="129"/>
      <c r="AJ190" s="129"/>
      <c r="AK190" s="129"/>
      <c r="AL190" s="129"/>
      <c r="AM190" s="129"/>
      <c r="AN190" s="129"/>
      <c r="AO190" s="129"/>
      <c r="AP190" s="129"/>
      <c r="AQ190" s="129"/>
      <c r="AR190" s="129"/>
      <c r="AS190" s="129"/>
      <c r="AT190" s="129"/>
      <c r="AU190" s="129"/>
      <c r="AV190" s="129"/>
      <c r="AW190" s="89"/>
      <c r="AX190" s="89"/>
      <c r="AY190" s="89"/>
      <c r="AZ190" s="89"/>
      <c r="BA190" s="89"/>
      <c r="BB190" s="89"/>
      <c r="BC190" s="89"/>
      <c r="BD190" s="89"/>
      <c r="BE190" s="89"/>
      <c r="BF190" s="89"/>
      <c r="BG190" s="89"/>
      <c r="BH190" s="89"/>
      <c r="BI190" s="89"/>
      <c r="BJ190" s="89"/>
      <c r="BK190" s="89"/>
      <c r="BL190" s="89"/>
      <c r="BM190" s="89"/>
      <c r="BN190" s="89"/>
      <c r="BO190" s="89"/>
      <c r="BP190" s="89"/>
      <c r="BQ190" s="89"/>
      <c r="BR190" s="89"/>
      <c r="BS190" s="89"/>
      <c r="BT190" s="89"/>
      <c r="BU190" s="89"/>
      <c r="BV190" s="89"/>
      <c r="BW190" s="89"/>
      <c r="BX190" s="89"/>
      <c r="BY190" s="89"/>
      <c r="BZ190" s="89"/>
      <c r="CA190" s="89"/>
      <c r="CB190" s="89"/>
      <c r="CC190" s="89"/>
      <c r="CD190" s="89"/>
      <c r="CE190" s="89"/>
      <c r="CF190" s="89"/>
      <c r="CG190" s="89"/>
      <c r="CH190" s="89"/>
      <c r="CI190" s="89"/>
      <c r="CJ190" s="89"/>
      <c r="CK190" s="89"/>
      <c r="CL190" s="89"/>
      <c r="CM190" s="89"/>
      <c r="CN190" s="89"/>
      <c r="CO190" s="89"/>
      <c r="CP190" s="89"/>
      <c r="CQ190" s="89"/>
      <c r="CR190" s="89"/>
      <c r="CS190" s="89"/>
      <c r="CT190" s="89"/>
      <c r="CU190" s="89"/>
      <c r="CV190" s="89"/>
      <c r="CW190" s="89"/>
      <c r="CX190" s="89"/>
      <c r="CY190" s="89"/>
      <c r="CZ190" s="89"/>
      <c r="DA190" s="89"/>
      <c r="DB190" s="89"/>
      <c r="DC190" s="89"/>
      <c r="DD190" s="89"/>
      <c r="DE190" s="89"/>
      <c r="DF190" s="89"/>
      <c r="DG190" s="89"/>
      <c r="DH190" s="89"/>
      <c r="DI190" s="89"/>
      <c r="DJ190" s="117"/>
      <c r="DK190" s="117"/>
      <c r="DL190" s="117"/>
      <c r="DM190" s="117"/>
      <c r="DN190" s="117"/>
      <c r="DO190" s="117"/>
      <c r="DP190" s="117"/>
      <c r="DQ190" s="117"/>
      <c r="DR190" s="117"/>
      <c r="DS190" s="117"/>
      <c r="DT190" s="117"/>
      <c r="DU190" s="117"/>
      <c r="DV190" s="117"/>
      <c r="DW190" s="117"/>
      <c r="DX190" s="117"/>
      <c r="DY190" s="117"/>
      <c r="DZ190" s="117"/>
      <c r="EA190" s="117"/>
      <c r="EB190" s="117"/>
      <c r="EC190" s="117"/>
      <c r="ED190" s="117"/>
      <c r="EE190" s="117"/>
      <c r="EF190" s="117"/>
      <c r="EG190" s="117"/>
      <c r="EH190" s="117"/>
      <c r="EI190" s="117"/>
      <c r="EJ190" s="89"/>
      <c r="EK190" s="89"/>
      <c r="EL190" s="89"/>
      <c r="EM190" s="89"/>
      <c r="EN190" s="89"/>
      <c r="EO190" s="89"/>
      <c r="EP190" s="89"/>
      <c r="EQ190" s="89"/>
      <c r="ER190" s="89"/>
      <c r="ES190" s="89"/>
      <c r="ET190" s="89"/>
      <c r="EU190" s="89"/>
      <c r="EV190" s="89"/>
      <c r="EW190" s="89"/>
      <c r="EX190" s="89"/>
      <c r="EY190" s="89"/>
      <c r="EZ190" s="89"/>
      <c r="FA190" s="89"/>
      <c r="FB190" s="89"/>
      <c r="FC190" s="89"/>
      <c r="FD190" s="89"/>
      <c r="FE190" s="89"/>
      <c r="FF190" s="89"/>
      <c r="FG190" s="89"/>
      <c r="FH190" s="89"/>
      <c r="FI190" s="89"/>
      <c r="FJ190" s="89"/>
      <c r="FK190" s="89"/>
      <c r="FL190" s="89"/>
      <c r="FM190" s="89"/>
      <c r="FN190" s="89"/>
      <c r="FO190" s="89"/>
      <c r="FP190" s="89"/>
      <c r="FQ190" s="89"/>
      <c r="FR190" s="89"/>
      <c r="FS190" s="89"/>
    </row>
    <row r="191" spans="1:175" s="23" customFormat="1" ht="15.9" customHeight="1">
      <c r="A191" s="1808"/>
      <c r="B191" s="416"/>
      <c r="C191" s="1818"/>
      <c r="D191" s="21"/>
      <c r="E191" s="21"/>
      <c r="F191" s="21"/>
      <c r="G191" s="21"/>
      <c r="H191" s="21"/>
      <c r="I191" s="1818"/>
      <c r="J191" s="21"/>
      <c r="K191" s="21"/>
      <c r="L191" s="21"/>
      <c r="M191" s="21"/>
      <c r="N191" s="21"/>
      <c r="O191" s="196"/>
      <c r="P191" s="921"/>
      <c r="Q191" s="22">
        <v>1</v>
      </c>
      <c r="R191" s="129"/>
      <c r="S191" s="129"/>
      <c r="T191" s="129"/>
      <c r="U191" s="129"/>
      <c r="V191" s="129"/>
      <c r="W191" s="129"/>
      <c r="X191" s="129"/>
      <c r="Y191" s="129"/>
      <c r="Z191" s="129"/>
      <c r="AA191" s="129"/>
      <c r="AB191" s="129"/>
      <c r="AC191" s="129"/>
      <c r="AD191" s="129"/>
      <c r="AE191" s="129"/>
      <c r="AF191" s="129"/>
      <c r="AG191" s="129"/>
      <c r="AH191" s="129"/>
      <c r="AI191" s="129"/>
      <c r="AJ191" s="129"/>
      <c r="AK191" s="129"/>
      <c r="AL191" s="129"/>
      <c r="AM191" s="129"/>
      <c r="AN191" s="129"/>
      <c r="AO191" s="129"/>
      <c r="AP191" s="129"/>
      <c r="AQ191" s="129"/>
      <c r="AR191" s="129"/>
      <c r="AS191" s="129"/>
      <c r="AT191" s="129"/>
      <c r="AU191" s="129"/>
      <c r="AV191" s="129"/>
      <c r="AW191" s="89"/>
      <c r="AX191" s="89"/>
      <c r="AY191" s="89"/>
      <c r="AZ191" s="89"/>
      <c r="BA191" s="89"/>
      <c r="BB191" s="89"/>
      <c r="BC191" s="89"/>
      <c r="BD191" s="89"/>
      <c r="BE191" s="89"/>
      <c r="BF191" s="89"/>
      <c r="BG191" s="89"/>
      <c r="BH191" s="89"/>
      <c r="BI191" s="89"/>
      <c r="BJ191" s="89"/>
      <c r="BK191" s="89"/>
      <c r="BL191" s="89"/>
      <c r="BM191" s="89"/>
      <c r="BN191" s="89"/>
      <c r="BO191" s="89"/>
      <c r="BP191" s="89"/>
      <c r="BQ191" s="89"/>
      <c r="BR191" s="89"/>
      <c r="BS191" s="89"/>
      <c r="BT191" s="89"/>
      <c r="BU191" s="89"/>
      <c r="BV191" s="89"/>
      <c r="BW191" s="89"/>
      <c r="BX191" s="89"/>
      <c r="BY191" s="89"/>
      <c r="BZ191" s="89"/>
      <c r="CA191" s="89"/>
      <c r="CB191" s="89"/>
      <c r="CC191" s="89"/>
      <c r="CD191" s="89"/>
      <c r="CE191" s="89"/>
      <c r="CF191" s="89"/>
      <c r="CG191" s="89"/>
      <c r="CH191" s="89"/>
      <c r="CI191" s="89"/>
      <c r="CJ191" s="89"/>
      <c r="CK191" s="89"/>
      <c r="CL191" s="89"/>
      <c r="CM191" s="89"/>
      <c r="CN191" s="89"/>
      <c r="CO191" s="89"/>
      <c r="CP191" s="89"/>
      <c r="CQ191" s="89"/>
      <c r="CR191" s="89"/>
      <c r="CS191" s="89"/>
      <c r="CT191" s="89"/>
      <c r="CU191" s="89"/>
      <c r="CV191" s="89"/>
      <c r="CW191" s="89"/>
      <c r="CX191" s="89"/>
      <c r="CY191" s="89"/>
      <c r="CZ191" s="89"/>
      <c r="DA191" s="89"/>
      <c r="DB191" s="89"/>
      <c r="DC191" s="89"/>
      <c r="DD191" s="89"/>
      <c r="DE191" s="89"/>
      <c r="DF191" s="89"/>
      <c r="DG191" s="89"/>
      <c r="DH191" s="89"/>
      <c r="DI191" s="89"/>
      <c r="DJ191" s="117"/>
      <c r="DK191" s="117"/>
      <c r="DL191" s="117"/>
      <c r="DM191" s="117"/>
      <c r="DN191" s="117"/>
      <c r="DO191" s="117"/>
      <c r="DP191" s="117"/>
      <c r="DQ191" s="117"/>
      <c r="DR191" s="117"/>
      <c r="DS191" s="117"/>
      <c r="DT191" s="117"/>
      <c r="DU191" s="117"/>
      <c r="DV191" s="117"/>
      <c r="DW191" s="117"/>
      <c r="DX191" s="117"/>
      <c r="DY191" s="117"/>
      <c r="DZ191" s="117"/>
      <c r="EA191" s="117"/>
      <c r="EB191" s="117"/>
      <c r="EC191" s="117"/>
      <c r="ED191" s="117"/>
      <c r="EE191" s="117"/>
      <c r="EF191" s="117"/>
      <c r="EG191" s="117"/>
      <c r="EH191" s="117"/>
      <c r="EI191" s="117"/>
      <c r="EJ191" s="89"/>
      <c r="EK191" s="89"/>
      <c r="EL191" s="89"/>
      <c r="EM191" s="89"/>
      <c r="EN191" s="89"/>
      <c r="EO191" s="89"/>
      <c r="EP191" s="89"/>
      <c r="EQ191" s="89"/>
      <c r="ER191" s="89"/>
      <c r="ES191" s="89"/>
      <c r="ET191" s="89"/>
      <c r="EU191" s="89"/>
      <c r="EV191" s="89"/>
      <c r="EW191" s="89"/>
      <c r="EX191" s="89"/>
      <c r="EY191" s="89"/>
      <c r="EZ191" s="89"/>
      <c r="FA191" s="89"/>
      <c r="FB191" s="89"/>
      <c r="FC191" s="89"/>
      <c r="FD191" s="89"/>
      <c r="FE191" s="89"/>
      <c r="FF191" s="89"/>
      <c r="FG191" s="89"/>
      <c r="FH191" s="89"/>
      <c r="FI191" s="89"/>
      <c r="FJ191" s="89"/>
      <c r="FK191" s="89"/>
      <c r="FL191" s="89"/>
      <c r="FM191" s="89"/>
      <c r="FN191" s="89"/>
      <c r="FO191" s="89"/>
      <c r="FP191" s="89"/>
      <c r="FQ191" s="89"/>
      <c r="FR191" s="89"/>
      <c r="FS191" s="89"/>
    </row>
    <row r="192" spans="1:175" s="23" customFormat="1" ht="15.9" customHeight="1">
      <c r="A192" s="1808"/>
      <c r="B192" s="416"/>
      <c r="C192" s="1818"/>
      <c r="D192" s="21"/>
      <c r="E192" s="21"/>
      <c r="F192" s="21"/>
      <c r="G192" s="21"/>
      <c r="H192" s="21"/>
      <c r="I192" s="1818"/>
      <c r="J192" s="21"/>
      <c r="K192" s="21"/>
      <c r="L192" s="21"/>
      <c r="M192" s="21"/>
      <c r="N192" s="21"/>
      <c r="O192" s="196"/>
      <c r="P192" s="921"/>
      <c r="Q192" s="22">
        <v>1</v>
      </c>
      <c r="R192" s="129"/>
      <c r="S192" s="129"/>
      <c r="T192" s="129"/>
      <c r="U192" s="129"/>
      <c r="V192" s="129"/>
      <c r="W192" s="129"/>
      <c r="X192" s="129"/>
      <c r="Y192" s="129"/>
      <c r="Z192" s="129"/>
      <c r="AA192" s="129"/>
      <c r="AB192" s="129"/>
      <c r="AC192" s="129"/>
      <c r="AD192" s="129"/>
      <c r="AE192" s="129"/>
      <c r="AF192" s="129"/>
      <c r="AG192" s="129"/>
      <c r="AH192" s="129"/>
      <c r="AI192" s="129"/>
      <c r="AJ192" s="129"/>
      <c r="AK192" s="129"/>
      <c r="AL192" s="129"/>
      <c r="AM192" s="129"/>
      <c r="AN192" s="129"/>
      <c r="AO192" s="129"/>
      <c r="AP192" s="129"/>
      <c r="AQ192" s="129"/>
      <c r="AR192" s="129"/>
      <c r="AS192" s="129"/>
      <c r="AT192" s="129"/>
      <c r="AU192" s="129"/>
      <c r="AV192" s="129"/>
      <c r="AW192" s="89"/>
      <c r="AX192" s="89"/>
      <c r="AY192" s="89"/>
      <c r="AZ192" s="89"/>
      <c r="BA192" s="89"/>
      <c r="BB192" s="89"/>
      <c r="BC192" s="89"/>
      <c r="BD192" s="89"/>
      <c r="BE192" s="89"/>
      <c r="BF192" s="89"/>
      <c r="BG192" s="89"/>
      <c r="BH192" s="89"/>
      <c r="BI192" s="89"/>
      <c r="BJ192" s="89"/>
      <c r="BK192" s="89"/>
      <c r="BL192" s="89"/>
      <c r="BM192" s="89"/>
      <c r="BN192" s="89"/>
      <c r="BO192" s="89"/>
      <c r="BP192" s="89"/>
      <c r="BQ192" s="89"/>
      <c r="BR192" s="89"/>
      <c r="BS192" s="89"/>
      <c r="BT192" s="89"/>
      <c r="BU192" s="89"/>
      <c r="BV192" s="89"/>
      <c r="BW192" s="89"/>
      <c r="BX192" s="89"/>
      <c r="BY192" s="89"/>
      <c r="BZ192" s="89"/>
      <c r="CA192" s="89"/>
      <c r="CB192" s="89"/>
      <c r="CC192" s="89"/>
      <c r="CD192" s="89"/>
      <c r="CE192" s="89"/>
      <c r="CF192" s="89"/>
      <c r="CG192" s="89"/>
      <c r="CH192" s="89"/>
      <c r="CI192" s="89"/>
      <c r="CJ192" s="89"/>
      <c r="CK192" s="89"/>
      <c r="CL192" s="89"/>
      <c r="CM192" s="89"/>
      <c r="CN192" s="89"/>
      <c r="CO192" s="89"/>
      <c r="CP192" s="89"/>
      <c r="CQ192" s="89"/>
      <c r="CR192" s="89"/>
      <c r="CS192" s="89"/>
      <c r="CT192" s="89"/>
      <c r="CU192" s="89"/>
      <c r="CV192" s="89"/>
      <c r="CW192" s="89"/>
      <c r="CX192" s="89"/>
      <c r="CY192" s="89"/>
      <c r="CZ192" s="89"/>
      <c r="DA192" s="89"/>
      <c r="DB192" s="89"/>
      <c r="DC192" s="89"/>
      <c r="DD192" s="89"/>
      <c r="DE192" s="89"/>
      <c r="DF192" s="89"/>
      <c r="DG192" s="89"/>
      <c r="DH192" s="89"/>
      <c r="DI192" s="89"/>
      <c r="DJ192" s="117"/>
      <c r="DK192" s="117"/>
      <c r="DL192" s="117"/>
      <c r="DM192" s="117"/>
      <c r="DN192" s="117"/>
      <c r="DO192" s="117"/>
      <c r="DP192" s="117"/>
      <c r="DQ192" s="117"/>
      <c r="DR192" s="117"/>
      <c r="DS192" s="117"/>
      <c r="DT192" s="117"/>
      <c r="DU192" s="117"/>
      <c r="DV192" s="117"/>
      <c r="DW192" s="117"/>
      <c r="DX192" s="117"/>
      <c r="DY192" s="117"/>
      <c r="DZ192" s="117"/>
      <c r="EA192" s="117"/>
      <c r="EB192" s="117"/>
      <c r="EC192" s="117"/>
      <c r="ED192" s="117"/>
      <c r="EE192" s="117"/>
      <c r="EF192" s="117"/>
      <c r="EG192" s="117"/>
      <c r="EH192" s="117"/>
      <c r="EI192" s="117"/>
      <c r="EJ192" s="89"/>
      <c r="EK192" s="89"/>
      <c r="EL192" s="89"/>
      <c r="EM192" s="89"/>
      <c r="EN192" s="89"/>
      <c r="EO192" s="89"/>
      <c r="EP192" s="89"/>
      <c r="EQ192" s="89"/>
      <c r="ER192" s="89"/>
      <c r="ES192" s="89"/>
      <c r="ET192" s="89"/>
      <c r="EU192" s="89"/>
      <c r="EV192" s="89"/>
      <c r="EW192" s="89"/>
      <c r="EX192" s="89"/>
      <c r="EY192" s="89"/>
      <c r="EZ192" s="89"/>
      <c r="FA192" s="89"/>
      <c r="FB192" s="89"/>
      <c r="FC192" s="89"/>
      <c r="FD192" s="89"/>
      <c r="FE192" s="89"/>
      <c r="FF192" s="89"/>
      <c r="FG192" s="89"/>
      <c r="FH192" s="89"/>
      <c r="FI192" s="89"/>
      <c r="FJ192" s="89"/>
      <c r="FK192" s="89"/>
      <c r="FL192" s="89"/>
      <c r="FM192" s="89"/>
      <c r="FN192" s="89"/>
      <c r="FO192" s="89"/>
      <c r="FP192" s="89"/>
      <c r="FQ192" s="89"/>
      <c r="FR192" s="89"/>
      <c r="FS192" s="89"/>
    </row>
    <row r="193" spans="1:253" s="23" customFormat="1" ht="15.9" customHeight="1">
      <c r="A193" s="1808"/>
      <c r="B193" s="416"/>
      <c r="C193" s="1818"/>
      <c r="D193" s="21"/>
      <c r="E193" s="21"/>
      <c r="F193" s="21"/>
      <c r="G193" s="21"/>
      <c r="H193" s="21"/>
      <c r="I193" s="1818"/>
      <c r="J193" s="21"/>
      <c r="K193" s="21"/>
      <c r="L193" s="21"/>
      <c r="M193" s="21"/>
      <c r="N193" s="21"/>
      <c r="O193" s="196"/>
      <c r="P193" s="921"/>
      <c r="Q193" s="493">
        <v>1</v>
      </c>
      <c r="R193" s="13"/>
      <c r="S193" s="13"/>
      <c r="T193" s="129"/>
      <c r="U193" s="129"/>
      <c r="V193" s="129"/>
      <c r="W193" s="129"/>
      <c r="X193" s="129"/>
      <c r="Y193" s="129"/>
      <c r="Z193" s="129"/>
      <c r="AA193" s="129"/>
      <c r="AB193" s="129"/>
      <c r="AC193" s="129"/>
      <c r="AD193" s="129"/>
      <c r="AE193" s="129"/>
      <c r="AF193" s="13"/>
      <c r="AG193" s="13"/>
      <c r="AH193" s="13"/>
      <c r="AI193" s="13"/>
      <c r="AJ193" s="13"/>
      <c r="AK193" s="13"/>
      <c r="AL193" s="13"/>
      <c r="AM193" s="13"/>
      <c r="AN193" s="13"/>
      <c r="AO193" s="13"/>
      <c r="AP193" s="13"/>
      <c r="AQ193" s="13"/>
      <c r="AR193" s="13"/>
      <c r="AS193" s="13"/>
      <c r="AT193" s="13"/>
      <c r="AU193" s="13"/>
      <c r="AV193" s="13"/>
      <c r="AW193" s="88"/>
      <c r="AX193" s="88"/>
      <c r="AY193" s="88"/>
      <c r="AZ193" s="88"/>
      <c r="BA193" s="88"/>
      <c r="BB193" s="88"/>
      <c r="BC193" s="88"/>
      <c r="BD193" s="88"/>
      <c r="BE193" s="88"/>
      <c r="BF193" s="88"/>
      <c r="BG193" s="88"/>
      <c r="BH193" s="88"/>
      <c r="BI193" s="88"/>
      <c r="BJ193" s="88"/>
      <c r="BK193" s="88"/>
      <c r="BL193" s="88"/>
      <c r="BM193" s="88"/>
      <c r="BN193" s="88"/>
      <c r="BO193" s="88"/>
      <c r="BP193" s="88"/>
      <c r="BQ193" s="88"/>
      <c r="BR193" s="88"/>
      <c r="BS193" s="88"/>
      <c r="BT193" s="88"/>
      <c r="BU193" s="88"/>
      <c r="BV193" s="88"/>
      <c r="BW193" s="88"/>
      <c r="BX193" s="88"/>
      <c r="BY193" s="88"/>
      <c r="BZ193" s="88"/>
      <c r="CA193" s="88"/>
      <c r="CB193" s="88"/>
      <c r="CC193" s="88"/>
      <c r="CD193" s="88"/>
      <c r="CE193" s="88"/>
      <c r="CF193" s="88"/>
      <c r="CG193" s="88"/>
      <c r="CH193" s="88"/>
      <c r="CI193" s="88"/>
      <c r="CJ193" s="88"/>
      <c r="CK193" s="88"/>
      <c r="CL193" s="88"/>
      <c r="CM193" s="88"/>
      <c r="CN193" s="88"/>
      <c r="CO193" s="88"/>
      <c r="CP193" s="88"/>
      <c r="CQ193" s="88"/>
      <c r="CR193" s="88"/>
      <c r="CS193" s="88"/>
      <c r="CT193" s="88"/>
      <c r="CU193" s="88"/>
      <c r="CV193" s="88"/>
      <c r="CW193" s="88"/>
      <c r="CX193" s="88"/>
      <c r="CY193" s="88"/>
      <c r="CZ193" s="88"/>
      <c r="DA193" s="88"/>
      <c r="DB193" s="88"/>
      <c r="DC193" s="88"/>
      <c r="DD193" s="88"/>
      <c r="DE193" s="88"/>
      <c r="DF193" s="88"/>
      <c r="DG193" s="88"/>
      <c r="DH193" s="88"/>
      <c r="DI193" s="88"/>
      <c r="DJ193" s="103"/>
      <c r="DK193" s="103"/>
      <c r="DL193" s="103"/>
      <c r="DM193" s="103"/>
      <c r="DN193" s="103"/>
      <c r="DO193" s="103"/>
      <c r="DP193" s="103"/>
      <c r="DQ193" s="103"/>
      <c r="DR193" s="103"/>
      <c r="DS193" s="103"/>
      <c r="DT193" s="103"/>
      <c r="DU193" s="103"/>
      <c r="DV193" s="103"/>
      <c r="DW193" s="103"/>
      <c r="DX193" s="103"/>
      <c r="DY193" s="103"/>
      <c r="DZ193" s="103"/>
      <c r="EA193" s="103"/>
      <c r="EB193" s="103"/>
      <c r="EC193" s="103"/>
      <c r="ED193" s="103"/>
      <c r="EE193" s="103"/>
      <c r="EF193" s="103"/>
      <c r="EG193" s="103"/>
      <c r="EH193" s="103"/>
      <c r="EI193" s="103"/>
      <c r="EJ193" s="88"/>
      <c r="EK193" s="88"/>
      <c r="EL193" s="88"/>
      <c r="EM193" s="88"/>
      <c r="EN193" s="88"/>
      <c r="EO193" s="88"/>
      <c r="EP193" s="88"/>
      <c r="EQ193" s="88"/>
      <c r="ER193" s="88"/>
      <c r="ES193" s="88"/>
      <c r="ET193" s="88"/>
      <c r="EU193" s="88"/>
      <c r="EV193" s="88"/>
      <c r="EW193" s="88"/>
      <c r="EX193" s="88"/>
      <c r="EY193" s="88"/>
      <c r="EZ193" s="88"/>
      <c r="FA193" s="88"/>
      <c r="FB193" s="88"/>
      <c r="FC193" s="88"/>
      <c r="FD193" s="88"/>
      <c r="FE193" s="88"/>
      <c r="FF193" s="88"/>
      <c r="FG193" s="88"/>
      <c r="FH193" s="88"/>
      <c r="FI193" s="88"/>
      <c r="FJ193" s="88"/>
      <c r="FK193" s="88"/>
      <c r="FL193" s="88"/>
      <c r="FM193" s="88"/>
      <c r="FN193" s="88"/>
      <c r="FO193" s="88"/>
      <c r="FP193" s="88"/>
      <c r="FQ193" s="88"/>
      <c r="FR193" s="88"/>
      <c r="FS193" s="88"/>
      <c r="FT193" s="21"/>
      <c r="FU193" s="21"/>
      <c r="FV193" s="21"/>
      <c r="FW193" s="21"/>
      <c r="FX193" s="21"/>
      <c r="FY193" s="21"/>
      <c r="FZ193" s="21"/>
      <c r="GA193" s="21"/>
      <c r="GB193" s="21"/>
      <c r="GC193" s="21"/>
      <c r="GD193" s="21"/>
      <c r="GE193" s="21"/>
      <c r="GF193" s="21"/>
      <c r="GG193" s="21"/>
      <c r="GH193" s="21"/>
      <c r="GI193" s="21"/>
      <c r="GJ193" s="21"/>
      <c r="GK193" s="21"/>
      <c r="GL193" s="21"/>
      <c r="GM193" s="21"/>
      <c r="GN193" s="21"/>
      <c r="GO193" s="21"/>
      <c r="GP193" s="21"/>
      <c r="GQ193" s="21"/>
      <c r="GR193" s="21"/>
      <c r="GS193" s="21"/>
      <c r="GT193" s="21"/>
      <c r="GU193" s="21"/>
      <c r="GV193" s="21"/>
      <c r="GW193" s="21"/>
      <c r="GX193" s="21"/>
      <c r="GY193" s="21"/>
      <c r="GZ193" s="21"/>
      <c r="HA193" s="21"/>
      <c r="HB193" s="21"/>
      <c r="HC193" s="21"/>
      <c r="HD193" s="21"/>
      <c r="HE193" s="21"/>
      <c r="HF193" s="21"/>
      <c r="HG193" s="21"/>
      <c r="HH193" s="21"/>
      <c r="HI193" s="21"/>
      <c r="HJ193" s="21"/>
      <c r="HK193" s="21"/>
      <c r="HL193" s="21"/>
      <c r="HM193" s="21"/>
      <c r="HN193" s="21"/>
      <c r="HO193" s="21"/>
      <c r="HP193" s="21"/>
      <c r="HQ193" s="21"/>
      <c r="HR193" s="21"/>
      <c r="HS193" s="21"/>
      <c r="HT193" s="21"/>
      <c r="HU193" s="21"/>
      <c r="HV193" s="21"/>
      <c r="HW193" s="21"/>
      <c r="HX193" s="21"/>
      <c r="HY193" s="21"/>
      <c r="HZ193" s="21"/>
      <c r="IA193" s="21"/>
      <c r="IB193" s="21"/>
      <c r="IC193" s="21"/>
      <c r="ID193" s="21"/>
      <c r="IE193" s="21"/>
      <c r="IF193" s="21"/>
      <c r="IG193" s="21"/>
      <c r="IH193" s="21"/>
      <c r="II193" s="21"/>
      <c r="IJ193" s="21"/>
      <c r="IK193" s="21"/>
      <c r="IL193" s="21"/>
      <c r="IM193" s="21"/>
      <c r="IN193" s="21"/>
      <c r="IO193" s="21"/>
      <c r="IP193" s="21"/>
      <c r="IQ193" s="21"/>
      <c r="IR193" s="21"/>
      <c r="IS193" s="21"/>
    </row>
    <row r="194" spans="1:253" s="23" customFormat="1" ht="15.9" customHeight="1">
      <c r="A194" s="1808"/>
      <c r="B194" s="416"/>
      <c r="C194" s="1818"/>
      <c r="D194" s="21"/>
      <c r="E194" s="21"/>
      <c r="F194" s="21"/>
      <c r="G194" s="21"/>
      <c r="H194" s="21"/>
      <c r="I194" s="1818"/>
      <c r="J194" s="21"/>
      <c r="K194" s="21"/>
      <c r="L194" s="21"/>
      <c r="M194" s="21"/>
      <c r="N194" s="21"/>
      <c r="O194" s="196"/>
      <c r="P194" s="921"/>
      <c r="Q194" s="493">
        <v>1</v>
      </c>
      <c r="R194" s="13"/>
      <c r="S194" s="13"/>
      <c r="T194" s="13"/>
      <c r="U194" s="13"/>
      <c r="V194" s="125"/>
      <c r="W194" s="125"/>
      <c r="X194" s="150"/>
      <c r="Y194" s="125"/>
      <c r="Z194" s="125"/>
      <c r="AA194" s="125"/>
      <c r="AB194" s="125"/>
      <c r="AC194" s="125"/>
      <c r="AD194" s="125"/>
      <c r="AE194" s="125"/>
      <c r="AF194" s="13"/>
      <c r="AG194" s="13"/>
      <c r="AH194" s="13"/>
      <c r="AI194" s="13"/>
      <c r="AJ194" s="13"/>
      <c r="AK194" s="13"/>
      <c r="AL194" s="13"/>
      <c r="AM194" s="13"/>
      <c r="AN194" s="13"/>
      <c r="AO194" s="13"/>
      <c r="AP194" s="13"/>
      <c r="AQ194" s="13"/>
      <c r="AR194" s="13"/>
      <c r="AS194" s="13"/>
      <c r="AT194" s="13"/>
      <c r="AU194" s="13"/>
      <c r="AV194" s="13"/>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c r="BS194" s="88"/>
      <c r="BT194" s="88"/>
      <c r="BU194" s="88"/>
      <c r="BV194" s="88"/>
      <c r="BW194" s="88"/>
      <c r="BX194" s="88"/>
      <c r="BY194" s="88"/>
      <c r="BZ194" s="88"/>
      <c r="CA194" s="88"/>
      <c r="CB194" s="88"/>
      <c r="CC194" s="88"/>
      <c r="CD194" s="88"/>
      <c r="CE194" s="88"/>
      <c r="CF194" s="88"/>
      <c r="CG194" s="88"/>
      <c r="CH194" s="88"/>
      <c r="CI194" s="88"/>
      <c r="CJ194" s="88"/>
      <c r="CK194" s="88"/>
      <c r="CL194" s="88"/>
      <c r="CM194" s="88"/>
      <c r="CN194" s="88"/>
      <c r="CO194" s="88"/>
      <c r="CP194" s="88"/>
      <c r="CQ194" s="88"/>
      <c r="CR194" s="88"/>
      <c r="CS194" s="88"/>
      <c r="CT194" s="88"/>
      <c r="CU194" s="88"/>
      <c r="CV194" s="88"/>
      <c r="CW194" s="88"/>
      <c r="CX194" s="88"/>
      <c r="CY194" s="88"/>
      <c r="CZ194" s="88"/>
      <c r="DA194" s="88"/>
      <c r="DB194" s="88"/>
      <c r="DC194" s="88"/>
      <c r="DD194" s="88"/>
      <c r="DE194" s="88"/>
      <c r="DF194" s="88"/>
      <c r="DG194" s="88"/>
      <c r="DH194" s="88"/>
      <c r="DI194" s="88"/>
      <c r="DJ194" s="103"/>
      <c r="DK194" s="103"/>
      <c r="DL194" s="103"/>
      <c r="DM194" s="103"/>
      <c r="DN194" s="103"/>
      <c r="DO194" s="103"/>
      <c r="DP194" s="103"/>
      <c r="DQ194" s="103"/>
      <c r="DR194" s="103"/>
      <c r="DS194" s="103"/>
      <c r="DT194" s="103"/>
      <c r="DU194" s="103"/>
      <c r="DV194" s="103"/>
      <c r="DW194" s="103"/>
      <c r="DX194" s="103"/>
      <c r="DY194" s="103"/>
      <c r="DZ194" s="103"/>
      <c r="EA194" s="103"/>
      <c r="EB194" s="103"/>
      <c r="EC194" s="103"/>
      <c r="ED194" s="103"/>
      <c r="EE194" s="103"/>
      <c r="EF194" s="103"/>
      <c r="EG194" s="103"/>
      <c r="EH194" s="103"/>
      <c r="EI194" s="103"/>
      <c r="EJ194" s="88"/>
      <c r="EK194" s="88"/>
      <c r="EL194" s="88"/>
      <c r="EM194" s="88"/>
      <c r="EN194" s="88"/>
      <c r="EO194" s="88"/>
      <c r="EP194" s="88"/>
      <c r="EQ194" s="88"/>
      <c r="ER194" s="88"/>
      <c r="ES194" s="88"/>
      <c r="ET194" s="88"/>
      <c r="EU194" s="88"/>
      <c r="EV194" s="88"/>
      <c r="EW194" s="88"/>
      <c r="EX194" s="88"/>
      <c r="EY194" s="88"/>
      <c r="EZ194" s="88"/>
      <c r="FA194" s="88"/>
      <c r="FB194" s="88"/>
      <c r="FC194" s="88"/>
      <c r="FD194" s="88"/>
      <c r="FE194" s="88"/>
      <c r="FF194" s="88"/>
      <c r="FG194" s="88"/>
      <c r="FH194" s="88"/>
      <c r="FI194" s="88"/>
      <c r="FJ194" s="88"/>
      <c r="FK194" s="88"/>
      <c r="FL194" s="88"/>
      <c r="FM194" s="88"/>
      <c r="FN194" s="88"/>
      <c r="FO194" s="88"/>
      <c r="FP194" s="88"/>
      <c r="FQ194" s="88"/>
      <c r="FR194" s="88"/>
      <c r="FS194" s="88"/>
      <c r="FT194" s="21"/>
      <c r="FU194" s="21"/>
      <c r="FV194" s="21"/>
      <c r="FW194" s="21"/>
      <c r="FX194" s="21"/>
      <c r="FY194" s="21"/>
      <c r="FZ194" s="21"/>
      <c r="GA194" s="21"/>
      <c r="GB194" s="21"/>
      <c r="GC194" s="21"/>
      <c r="GD194" s="21"/>
      <c r="GE194" s="21"/>
      <c r="GF194" s="21"/>
      <c r="GG194" s="21"/>
      <c r="GH194" s="21"/>
      <c r="GI194" s="21"/>
      <c r="GJ194" s="21"/>
      <c r="GK194" s="21"/>
      <c r="GL194" s="21"/>
      <c r="GM194" s="21"/>
      <c r="GN194" s="21"/>
      <c r="GO194" s="21"/>
      <c r="GP194" s="21"/>
      <c r="GQ194" s="21"/>
      <c r="GR194" s="21"/>
      <c r="GS194" s="21"/>
      <c r="GT194" s="21"/>
      <c r="GU194" s="21"/>
      <c r="GV194" s="21"/>
      <c r="GW194" s="21"/>
      <c r="GX194" s="21"/>
      <c r="GY194" s="21"/>
      <c r="GZ194" s="21"/>
      <c r="HA194" s="21"/>
      <c r="HB194" s="21"/>
      <c r="HC194" s="21"/>
      <c r="HD194" s="21"/>
      <c r="HE194" s="21"/>
      <c r="HF194" s="21"/>
      <c r="HG194" s="21"/>
      <c r="HH194" s="21"/>
      <c r="HI194" s="21"/>
      <c r="HJ194" s="21"/>
      <c r="HK194" s="21"/>
      <c r="HL194" s="21"/>
      <c r="HM194" s="21"/>
      <c r="HN194" s="21"/>
      <c r="HO194" s="21"/>
      <c r="HP194" s="21"/>
      <c r="HQ194" s="21"/>
      <c r="HR194" s="21"/>
      <c r="HS194" s="21"/>
      <c r="HT194" s="21"/>
      <c r="HU194" s="21"/>
      <c r="HV194" s="21"/>
      <c r="HW194" s="21"/>
      <c r="HX194" s="21"/>
      <c r="HY194" s="21"/>
      <c r="HZ194" s="21"/>
      <c r="IA194" s="21"/>
      <c r="IB194" s="21"/>
      <c r="IC194" s="21"/>
      <c r="ID194" s="21"/>
      <c r="IE194" s="21"/>
      <c r="IF194" s="21"/>
      <c r="IG194" s="21"/>
      <c r="IH194" s="21"/>
      <c r="II194" s="21"/>
      <c r="IJ194" s="21"/>
      <c r="IK194" s="21"/>
      <c r="IL194" s="21"/>
      <c r="IM194" s="21"/>
      <c r="IN194" s="21"/>
      <c r="IO194" s="21"/>
      <c r="IP194" s="21"/>
      <c r="IQ194" s="21"/>
      <c r="IR194" s="21"/>
      <c r="IS194" s="21"/>
    </row>
    <row r="195" spans="1:253" s="23" customFormat="1" ht="15.9" customHeight="1">
      <c r="A195" s="1808"/>
      <c r="B195" s="416"/>
      <c r="C195" s="21"/>
      <c r="D195" s="21"/>
      <c r="E195" s="21"/>
      <c r="F195" s="21"/>
      <c r="G195" s="21"/>
      <c r="H195" s="21"/>
      <c r="I195" s="21"/>
      <c r="J195" s="21"/>
      <c r="K195" s="21"/>
      <c r="L195" s="21"/>
      <c r="M195" s="21"/>
      <c r="N195" s="21"/>
      <c r="O195" s="196"/>
      <c r="P195" s="992"/>
      <c r="Q195" s="493">
        <v>1</v>
      </c>
      <c r="R195" s="13"/>
      <c r="S195" s="13"/>
      <c r="T195" s="13"/>
      <c r="U195" s="13"/>
      <c r="V195" s="125"/>
      <c r="W195" s="125"/>
      <c r="X195" s="150"/>
      <c r="Y195" s="125"/>
      <c r="Z195" s="125"/>
      <c r="AA195" s="125"/>
      <c r="AB195" s="125"/>
      <c r="AC195" s="125"/>
      <c r="AD195" s="125"/>
      <c r="AE195" s="125"/>
      <c r="AF195" s="13"/>
      <c r="AG195" s="13"/>
      <c r="AH195" s="13"/>
      <c r="AI195" s="13"/>
      <c r="AJ195" s="13"/>
      <c r="AK195" s="13"/>
      <c r="AL195" s="13"/>
      <c r="AM195" s="13"/>
      <c r="AN195" s="13"/>
      <c r="AO195" s="13"/>
      <c r="AP195" s="13"/>
      <c r="AQ195" s="13"/>
      <c r="AR195" s="13"/>
      <c r="AS195" s="13"/>
      <c r="AT195" s="13"/>
      <c r="AU195" s="13"/>
      <c r="AV195" s="13"/>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c r="BS195" s="88"/>
      <c r="BT195" s="88"/>
      <c r="BU195" s="88"/>
      <c r="BV195" s="88"/>
      <c r="BW195" s="88"/>
      <c r="BX195" s="88"/>
      <c r="BY195" s="88"/>
      <c r="BZ195" s="88"/>
      <c r="CA195" s="88"/>
      <c r="CB195" s="88"/>
      <c r="CC195" s="88"/>
      <c r="CD195" s="88"/>
      <c r="CE195" s="88"/>
      <c r="CF195" s="88"/>
      <c r="CG195" s="88"/>
      <c r="CH195" s="88"/>
      <c r="CI195" s="88"/>
      <c r="CJ195" s="88"/>
      <c r="CK195" s="88"/>
      <c r="CL195" s="88"/>
      <c r="CM195" s="88"/>
      <c r="CN195" s="88"/>
      <c r="CO195" s="88"/>
      <c r="CP195" s="88"/>
      <c r="CQ195" s="88"/>
      <c r="CR195" s="88"/>
      <c r="CS195" s="88"/>
      <c r="CT195" s="88"/>
      <c r="CU195" s="88"/>
      <c r="CV195" s="88"/>
      <c r="CW195" s="88"/>
      <c r="CX195" s="88"/>
      <c r="CY195" s="88"/>
      <c r="CZ195" s="88"/>
      <c r="DA195" s="88"/>
      <c r="DB195" s="88"/>
      <c r="DC195" s="88"/>
      <c r="DD195" s="88"/>
      <c r="DE195" s="88"/>
      <c r="DF195" s="88"/>
      <c r="DG195" s="88"/>
      <c r="DH195" s="88"/>
      <c r="DI195" s="88"/>
      <c r="DJ195" s="103"/>
      <c r="DK195" s="103"/>
      <c r="DL195" s="103"/>
      <c r="DM195" s="103"/>
      <c r="DN195" s="103"/>
      <c r="DO195" s="103"/>
      <c r="DP195" s="103"/>
      <c r="DQ195" s="103"/>
      <c r="DR195" s="103"/>
      <c r="DS195" s="103"/>
      <c r="DT195" s="103"/>
      <c r="DU195" s="103"/>
      <c r="DV195" s="103"/>
      <c r="DW195" s="103"/>
      <c r="DX195" s="103"/>
      <c r="DY195" s="103"/>
      <c r="DZ195" s="103"/>
      <c r="EA195" s="103"/>
      <c r="EB195" s="103"/>
      <c r="EC195" s="103"/>
      <c r="ED195" s="103"/>
      <c r="EE195" s="103"/>
      <c r="EF195" s="103"/>
      <c r="EG195" s="103"/>
      <c r="EH195" s="103"/>
      <c r="EI195" s="103"/>
      <c r="EJ195" s="88"/>
      <c r="EK195" s="88"/>
      <c r="EL195" s="88"/>
      <c r="EM195" s="88"/>
      <c r="EN195" s="88"/>
      <c r="EO195" s="88"/>
      <c r="EP195" s="88"/>
      <c r="EQ195" s="88"/>
      <c r="ER195" s="88"/>
      <c r="ES195" s="88"/>
      <c r="ET195" s="88"/>
      <c r="EU195" s="88"/>
      <c r="EV195" s="88"/>
      <c r="EW195" s="88"/>
      <c r="EX195" s="88"/>
      <c r="EY195" s="88"/>
      <c r="EZ195" s="88"/>
      <c r="FA195" s="88"/>
      <c r="FB195" s="88"/>
      <c r="FC195" s="88"/>
      <c r="FD195" s="88"/>
      <c r="FE195" s="88"/>
      <c r="FF195" s="88"/>
      <c r="FG195" s="88"/>
      <c r="FH195" s="88"/>
      <c r="FI195" s="88"/>
      <c r="FJ195" s="88"/>
      <c r="FK195" s="88"/>
      <c r="FL195" s="88"/>
      <c r="FM195" s="88"/>
      <c r="FN195" s="88"/>
      <c r="FO195" s="88"/>
      <c r="FP195" s="88"/>
      <c r="FQ195" s="88"/>
      <c r="FR195" s="88"/>
      <c r="FS195" s="88"/>
      <c r="FT195" s="21"/>
      <c r="FU195" s="21"/>
      <c r="FV195" s="21"/>
      <c r="FW195" s="21"/>
      <c r="FX195" s="21"/>
      <c r="FY195" s="21"/>
      <c r="FZ195" s="21"/>
      <c r="GA195" s="21"/>
      <c r="GB195" s="21"/>
      <c r="GC195" s="21"/>
      <c r="GD195" s="21"/>
      <c r="GE195" s="21"/>
      <c r="GF195" s="21"/>
      <c r="GG195" s="21"/>
      <c r="GH195" s="21"/>
      <c r="GI195" s="21"/>
      <c r="GJ195" s="21"/>
      <c r="GK195" s="21"/>
      <c r="GL195" s="21"/>
      <c r="GM195" s="21"/>
      <c r="GN195" s="21"/>
      <c r="GO195" s="21"/>
      <c r="GP195" s="21"/>
      <c r="GQ195" s="21"/>
      <c r="GR195" s="21"/>
      <c r="GS195" s="21"/>
      <c r="GT195" s="21"/>
      <c r="GU195" s="21"/>
      <c r="GV195" s="21"/>
      <c r="GW195" s="21"/>
      <c r="GX195" s="21"/>
      <c r="GY195" s="21"/>
      <c r="GZ195" s="21"/>
      <c r="HA195" s="21"/>
      <c r="HB195" s="21"/>
      <c r="HC195" s="21"/>
      <c r="HD195" s="21"/>
      <c r="HE195" s="21"/>
      <c r="HF195" s="21"/>
      <c r="HG195" s="21"/>
      <c r="HH195" s="21"/>
      <c r="HI195" s="21"/>
      <c r="HJ195" s="21"/>
      <c r="HK195" s="21"/>
      <c r="HL195" s="21"/>
      <c r="HM195" s="21"/>
      <c r="HN195" s="21"/>
      <c r="HO195" s="21"/>
      <c r="HP195" s="21"/>
      <c r="HQ195" s="21"/>
      <c r="HR195" s="21"/>
      <c r="HS195" s="21"/>
      <c r="HT195" s="21"/>
      <c r="HU195" s="21"/>
      <c r="HV195" s="21"/>
      <c r="HW195" s="21"/>
      <c r="HX195" s="21"/>
      <c r="HY195" s="21"/>
      <c r="HZ195" s="21"/>
      <c r="IA195" s="21"/>
      <c r="IB195" s="21"/>
      <c r="IC195" s="21"/>
      <c r="ID195" s="21"/>
      <c r="IE195" s="21"/>
      <c r="IF195" s="21"/>
      <c r="IG195" s="21"/>
      <c r="IH195" s="21"/>
      <c r="II195" s="21"/>
      <c r="IJ195" s="21"/>
      <c r="IK195" s="21"/>
      <c r="IL195" s="21"/>
      <c r="IM195" s="21"/>
      <c r="IN195" s="21"/>
      <c r="IO195" s="21"/>
      <c r="IP195" s="21"/>
      <c r="IQ195" s="21"/>
      <c r="IR195" s="21"/>
      <c r="IS195" s="21"/>
    </row>
    <row r="196" spans="1:253" s="23" customFormat="1" ht="15.9" customHeight="1">
      <c r="A196" s="1809"/>
      <c r="B196" s="416"/>
      <c r="C196" s="21"/>
      <c r="D196" s="21"/>
      <c r="E196" s="21"/>
      <c r="F196" s="21"/>
      <c r="G196" s="21"/>
      <c r="H196" s="21"/>
      <c r="I196" s="21"/>
      <c r="J196" s="21"/>
      <c r="K196" s="21"/>
      <c r="L196" s="21"/>
      <c r="M196" s="21"/>
      <c r="N196" s="21"/>
      <c r="O196" s="196"/>
      <c r="P196" s="992"/>
      <c r="Q196" s="493">
        <v>1</v>
      </c>
      <c r="R196" s="13"/>
      <c r="S196" s="13"/>
      <c r="T196" s="13"/>
      <c r="U196" s="13"/>
      <c r="V196" s="125"/>
      <c r="W196" s="125"/>
      <c r="X196" s="150"/>
      <c r="Y196" s="125"/>
      <c r="Z196" s="125"/>
      <c r="AA196" s="125"/>
      <c r="AB196" s="125"/>
      <c r="AC196" s="125"/>
      <c r="AD196" s="125"/>
      <c r="AE196" s="125"/>
      <c r="AF196" s="13"/>
      <c r="AG196" s="13"/>
      <c r="AH196" s="13"/>
      <c r="AI196" s="13"/>
      <c r="AJ196" s="13"/>
      <c r="AK196" s="13"/>
      <c r="AL196" s="13"/>
      <c r="AM196" s="13"/>
      <c r="AN196" s="13"/>
      <c r="AO196" s="13"/>
      <c r="AP196" s="13"/>
      <c r="AQ196" s="13"/>
      <c r="AR196" s="13"/>
      <c r="AS196" s="13"/>
      <c r="AT196" s="13"/>
      <c r="AU196" s="13"/>
      <c r="AV196" s="13"/>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c r="BS196" s="88"/>
      <c r="BT196" s="88"/>
      <c r="BU196" s="88"/>
      <c r="BV196" s="88"/>
      <c r="BW196" s="88"/>
      <c r="BX196" s="88"/>
      <c r="BY196" s="88"/>
      <c r="BZ196" s="88"/>
      <c r="CA196" s="88"/>
      <c r="CB196" s="88"/>
      <c r="CC196" s="88"/>
      <c r="CD196" s="88"/>
      <c r="CE196" s="88"/>
      <c r="CF196" s="88"/>
      <c r="CG196" s="88"/>
      <c r="CH196" s="88"/>
      <c r="CI196" s="88"/>
      <c r="CJ196" s="88"/>
      <c r="CK196" s="88"/>
      <c r="CL196" s="88"/>
      <c r="CM196" s="88"/>
      <c r="CN196" s="88"/>
      <c r="CO196" s="88"/>
      <c r="CP196" s="88"/>
      <c r="CQ196" s="88"/>
      <c r="CR196" s="88"/>
      <c r="CS196" s="88"/>
      <c r="CT196" s="88"/>
      <c r="CU196" s="88"/>
      <c r="CV196" s="88"/>
      <c r="CW196" s="88"/>
      <c r="CX196" s="88"/>
      <c r="CY196" s="88"/>
      <c r="CZ196" s="88"/>
      <c r="DA196" s="88"/>
      <c r="DB196" s="88"/>
      <c r="DC196" s="88"/>
      <c r="DD196" s="88"/>
      <c r="DE196" s="88"/>
      <c r="DF196" s="88"/>
      <c r="DG196" s="88"/>
      <c r="DH196" s="88"/>
      <c r="DI196" s="88"/>
      <c r="DJ196" s="103"/>
      <c r="DK196" s="103"/>
      <c r="DL196" s="103"/>
      <c r="DM196" s="103"/>
      <c r="DN196" s="103"/>
      <c r="DO196" s="103"/>
      <c r="DP196" s="103"/>
      <c r="DQ196" s="103"/>
      <c r="DR196" s="103"/>
      <c r="DS196" s="103"/>
      <c r="DT196" s="103"/>
      <c r="DU196" s="103"/>
      <c r="DV196" s="103"/>
      <c r="DW196" s="103"/>
      <c r="DX196" s="103"/>
      <c r="DY196" s="103"/>
      <c r="DZ196" s="103"/>
      <c r="EA196" s="103"/>
      <c r="EB196" s="103"/>
      <c r="EC196" s="103"/>
      <c r="ED196" s="103"/>
      <c r="EE196" s="103"/>
      <c r="EF196" s="103"/>
      <c r="EG196" s="103"/>
      <c r="EH196" s="103"/>
      <c r="EI196" s="103"/>
      <c r="EJ196" s="88"/>
      <c r="EK196" s="88"/>
      <c r="EL196" s="88"/>
      <c r="EM196" s="88"/>
      <c r="EN196" s="88"/>
      <c r="EO196" s="88"/>
      <c r="EP196" s="88"/>
      <c r="EQ196" s="88"/>
      <c r="ER196" s="88"/>
      <c r="ES196" s="88"/>
      <c r="ET196" s="88"/>
      <c r="EU196" s="88"/>
      <c r="EV196" s="88"/>
      <c r="EW196" s="88"/>
      <c r="EX196" s="88"/>
      <c r="EY196" s="88"/>
      <c r="EZ196" s="88"/>
      <c r="FA196" s="88"/>
      <c r="FB196" s="88"/>
      <c r="FC196" s="88"/>
      <c r="FD196" s="88"/>
      <c r="FE196" s="88"/>
      <c r="FF196" s="88"/>
      <c r="FG196" s="88"/>
      <c r="FH196" s="88"/>
      <c r="FI196" s="88"/>
      <c r="FJ196" s="88"/>
      <c r="FK196" s="88"/>
      <c r="FL196" s="88"/>
      <c r="FM196" s="88"/>
      <c r="FN196" s="88"/>
      <c r="FO196" s="88"/>
      <c r="FP196" s="88"/>
      <c r="FQ196" s="88"/>
      <c r="FR196" s="88"/>
      <c r="FS196" s="88"/>
      <c r="FT196" s="21"/>
      <c r="FU196" s="21"/>
      <c r="FV196" s="21"/>
      <c r="FW196" s="21"/>
      <c r="FX196" s="21"/>
      <c r="FY196" s="21"/>
      <c r="FZ196" s="21"/>
      <c r="GA196" s="21"/>
      <c r="GB196" s="21"/>
      <c r="GC196" s="21"/>
      <c r="GD196" s="21"/>
      <c r="GE196" s="21"/>
      <c r="GF196" s="21"/>
      <c r="GG196" s="21"/>
      <c r="GH196" s="21"/>
      <c r="GI196" s="21"/>
      <c r="GJ196" s="21"/>
      <c r="GK196" s="21"/>
      <c r="GL196" s="21"/>
      <c r="GM196" s="21"/>
      <c r="GN196" s="21"/>
      <c r="GO196" s="21"/>
      <c r="GP196" s="21"/>
      <c r="GQ196" s="21"/>
      <c r="GR196" s="21"/>
      <c r="GS196" s="21"/>
      <c r="GT196" s="21"/>
      <c r="GU196" s="21"/>
      <c r="GV196" s="21"/>
      <c r="GW196" s="21"/>
      <c r="GX196" s="21"/>
      <c r="GY196" s="21"/>
      <c r="GZ196" s="21"/>
      <c r="HA196" s="21"/>
      <c r="HB196" s="21"/>
      <c r="HC196" s="21"/>
      <c r="HD196" s="21"/>
      <c r="HE196" s="21"/>
      <c r="HF196" s="21"/>
      <c r="HG196" s="21"/>
      <c r="HH196" s="21"/>
      <c r="HI196" s="21"/>
      <c r="HJ196" s="21"/>
      <c r="HK196" s="21"/>
      <c r="HL196" s="21"/>
      <c r="HM196" s="21"/>
      <c r="HN196" s="21"/>
      <c r="HO196" s="21"/>
      <c r="HP196" s="21"/>
      <c r="HQ196" s="21"/>
      <c r="HR196" s="21"/>
      <c r="HS196" s="21"/>
      <c r="HT196" s="21"/>
      <c r="HU196" s="21"/>
      <c r="HV196" s="21"/>
      <c r="HW196" s="21"/>
      <c r="HX196" s="21"/>
      <c r="HY196" s="21"/>
      <c r="HZ196" s="21"/>
      <c r="IA196" s="21"/>
      <c r="IB196" s="21"/>
      <c r="IC196" s="21"/>
      <c r="ID196" s="21"/>
      <c r="IE196" s="21"/>
      <c r="IF196" s="21"/>
      <c r="IG196" s="21"/>
      <c r="IH196" s="21"/>
      <c r="II196" s="21"/>
      <c r="IJ196" s="21"/>
      <c r="IK196" s="21"/>
      <c r="IL196" s="21"/>
      <c r="IM196" s="21"/>
      <c r="IN196" s="21"/>
      <c r="IO196" s="21"/>
      <c r="IP196" s="21"/>
      <c r="IQ196" s="21"/>
      <c r="IR196" s="21"/>
      <c r="IS196" s="21"/>
    </row>
    <row r="197" spans="1:253" s="23" customFormat="1" ht="2.1" customHeight="1">
      <c r="A197" s="198"/>
      <c r="B197" s="1142"/>
      <c r="C197" s="200"/>
      <c r="D197" s="200"/>
      <c r="E197" s="200"/>
      <c r="F197" s="200"/>
      <c r="G197" s="200"/>
      <c r="H197" s="200"/>
      <c r="I197" s="201"/>
      <c r="J197" s="200"/>
      <c r="K197" s="200"/>
      <c r="L197" s="202"/>
      <c r="M197" s="202"/>
      <c r="N197" s="997"/>
      <c r="O197" s="998"/>
      <c r="P197" s="992"/>
      <c r="Q197" s="992">
        <v>1</v>
      </c>
      <c r="R197" s="129"/>
      <c r="S197" s="129"/>
      <c r="T197" s="129"/>
      <c r="U197" s="129"/>
      <c r="V197" s="132"/>
      <c r="W197" s="132"/>
      <c r="X197" s="126"/>
      <c r="Y197" s="132"/>
      <c r="Z197" s="132"/>
      <c r="AA197" s="132"/>
      <c r="AB197" s="132"/>
      <c r="AC197" s="132"/>
      <c r="AD197" s="132"/>
      <c r="AE197" s="132"/>
      <c r="AF197" s="129"/>
      <c r="AG197" s="129"/>
      <c r="AH197" s="129"/>
      <c r="AI197" s="129"/>
      <c r="AJ197" s="129"/>
      <c r="AK197" s="129"/>
      <c r="AL197" s="129"/>
      <c r="AM197" s="129"/>
      <c r="AN197" s="129"/>
      <c r="AO197" s="129"/>
      <c r="AP197" s="129"/>
      <c r="AQ197" s="129"/>
      <c r="AR197" s="129"/>
      <c r="AS197" s="129"/>
      <c r="AT197" s="129"/>
      <c r="AU197" s="129"/>
      <c r="AV197" s="129"/>
      <c r="AW197" s="89"/>
      <c r="AX197" s="89"/>
      <c r="AY197" s="89"/>
      <c r="AZ197" s="89"/>
      <c r="BA197" s="89"/>
      <c r="BB197" s="89"/>
      <c r="BC197" s="89"/>
      <c r="BD197" s="89"/>
      <c r="BE197" s="89"/>
      <c r="BF197" s="89"/>
      <c r="BG197" s="89"/>
      <c r="BH197" s="89"/>
      <c r="BI197" s="89"/>
      <c r="BJ197" s="89"/>
      <c r="BK197" s="89"/>
      <c r="BL197" s="89"/>
      <c r="BM197" s="89"/>
      <c r="BN197" s="89"/>
      <c r="BO197" s="89"/>
      <c r="BP197" s="89"/>
      <c r="BQ197" s="89"/>
      <c r="BR197" s="89"/>
      <c r="BS197" s="89"/>
      <c r="BT197" s="89"/>
      <c r="BU197" s="89"/>
      <c r="BV197" s="89"/>
      <c r="BW197" s="89"/>
      <c r="BX197" s="89"/>
      <c r="BY197" s="89"/>
      <c r="BZ197" s="89"/>
      <c r="CA197" s="89"/>
      <c r="CB197" s="89"/>
      <c r="CC197" s="89"/>
      <c r="CD197" s="89"/>
      <c r="CE197" s="89"/>
      <c r="CF197" s="89"/>
      <c r="CG197" s="89"/>
      <c r="CH197" s="89"/>
      <c r="CI197" s="89"/>
      <c r="CJ197" s="89"/>
      <c r="CK197" s="89"/>
      <c r="CL197" s="89"/>
      <c r="CM197" s="89"/>
      <c r="CN197" s="89"/>
      <c r="CO197" s="89"/>
      <c r="CP197" s="89"/>
      <c r="CQ197" s="89"/>
      <c r="CR197" s="89"/>
      <c r="CS197" s="89"/>
      <c r="CT197" s="89"/>
      <c r="CU197" s="89"/>
      <c r="CV197" s="89"/>
      <c r="CW197" s="89"/>
      <c r="CX197" s="89"/>
      <c r="CY197" s="89"/>
      <c r="CZ197" s="89"/>
      <c r="DA197" s="89"/>
      <c r="DB197" s="89"/>
      <c r="DC197" s="89"/>
      <c r="DD197" s="89"/>
      <c r="DE197" s="89"/>
      <c r="DF197" s="89"/>
      <c r="DG197" s="89"/>
      <c r="DH197" s="89"/>
      <c r="DI197" s="89"/>
      <c r="DJ197" s="117"/>
      <c r="DK197" s="117"/>
      <c r="DL197" s="117"/>
      <c r="DM197" s="117"/>
      <c r="DN197" s="117"/>
      <c r="DO197" s="117"/>
      <c r="DP197" s="117"/>
      <c r="DQ197" s="117"/>
      <c r="DR197" s="117"/>
      <c r="DS197" s="117"/>
      <c r="DT197" s="117"/>
      <c r="DU197" s="117"/>
      <c r="DV197" s="117"/>
      <c r="DW197" s="117"/>
      <c r="DX197" s="117"/>
      <c r="DY197" s="117"/>
      <c r="DZ197" s="117"/>
      <c r="EA197" s="117"/>
      <c r="EB197" s="117"/>
      <c r="EC197" s="117"/>
      <c r="ED197" s="117"/>
      <c r="EE197" s="117"/>
      <c r="EF197" s="117"/>
      <c r="EG197" s="117"/>
      <c r="EH197" s="117"/>
      <c r="EI197" s="117"/>
      <c r="EJ197" s="89"/>
      <c r="EK197" s="89"/>
      <c r="EL197" s="89"/>
      <c r="EM197" s="89"/>
      <c r="EN197" s="89"/>
      <c r="EO197" s="89"/>
      <c r="EP197" s="89"/>
      <c r="EQ197" s="89"/>
      <c r="ER197" s="89"/>
      <c r="ES197" s="89"/>
      <c r="ET197" s="89"/>
      <c r="EU197" s="89"/>
      <c r="EV197" s="89"/>
      <c r="EW197" s="89"/>
      <c r="EX197" s="89"/>
      <c r="EY197" s="89"/>
      <c r="EZ197" s="89"/>
      <c r="FA197" s="89"/>
      <c r="FB197" s="89"/>
      <c r="FC197" s="89"/>
      <c r="FD197" s="89"/>
      <c r="FE197" s="89"/>
      <c r="FF197" s="89"/>
      <c r="FG197" s="89"/>
      <c r="FH197" s="89"/>
      <c r="FI197" s="89"/>
      <c r="FJ197" s="89"/>
      <c r="FK197" s="89"/>
      <c r="FL197" s="89"/>
      <c r="FM197" s="89"/>
      <c r="FN197" s="89"/>
      <c r="FO197" s="89"/>
      <c r="FP197" s="89"/>
      <c r="FQ197" s="89"/>
      <c r="FR197" s="89"/>
      <c r="FS197" s="89"/>
    </row>
    <row r="198" spans="1:253" s="23" customFormat="1" ht="15.9" customHeight="1">
      <c r="A198" s="1810" t="str">
        <f>Begriffe!F218</f>
        <v>Kommentare</v>
      </c>
      <c r="B198" s="416"/>
      <c r="C198" s="16"/>
      <c r="D198" s="16"/>
      <c r="E198" s="16"/>
      <c r="F198" s="16"/>
      <c r="G198" s="21"/>
      <c r="H198" s="21"/>
      <c r="I198" s="16"/>
      <c r="J198" s="16"/>
      <c r="K198" s="16"/>
      <c r="L198" s="16"/>
      <c r="M198" s="16"/>
      <c r="N198" s="21"/>
      <c r="O198" s="221"/>
      <c r="P198" s="921"/>
      <c r="Q198" s="989">
        <v>1</v>
      </c>
      <c r="R198" s="131"/>
      <c r="S198" s="131"/>
      <c r="T198" s="131"/>
      <c r="U198" s="131"/>
      <c r="V198" s="131"/>
      <c r="W198" s="132"/>
      <c r="X198" s="126"/>
      <c r="Y198" s="126"/>
      <c r="Z198" s="126"/>
      <c r="AA198" s="126"/>
      <c r="AB198" s="126"/>
      <c r="AC198" s="126"/>
      <c r="AD198" s="126"/>
      <c r="AE198" s="126"/>
      <c r="AF198" s="127"/>
      <c r="AG198" s="127"/>
      <c r="AH198" s="127"/>
      <c r="AI198" s="127"/>
      <c r="AJ198" s="127"/>
      <c r="AK198" s="127"/>
      <c r="AL198" s="127"/>
      <c r="AM198" s="127"/>
      <c r="AN198" s="127"/>
      <c r="AO198" s="127"/>
      <c r="AP198" s="127"/>
      <c r="AQ198" s="127"/>
      <c r="AR198" s="127"/>
      <c r="AS198" s="128"/>
      <c r="AT198" s="128"/>
      <c r="AU198" s="128"/>
      <c r="AV198" s="128"/>
      <c r="AW198" s="90"/>
      <c r="AX198" s="90"/>
      <c r="AY198" s="90"/>
      <c r="AZ198" s="90"/>
      <c r="BA198" s="90"/>
      <c r="BB198" s="90"/>
      <c r="BC198" s="90"/>
      <c r="BD198" s="90"/>
      <c r="BE198" s="90"/>
      <c r="BF198" s="90"/>
      <c r="BG198" s="90"/>
      <c r="BH198" s="90"/>
      <c r="BI198" s="90"/>
      <c r="BJ198" s="90"/>
      <c r="BK198" s="90"/>
      <c r="BL198" s="90"/>
      <c r="BM198" s="90"/>
      <c r="BN198" s="90"/>
      <c r="BO198" s="90"/>
      <c r="BP198" s="90"/>
      <c r="BQ198" s="90"/>
      <c r="BR198" s="90"/>
      <c r="BS198" s="90"/>
      <c r="BT198" s="90"/>
      <c r="BU198" s="90"/>
      <c r="BV198" s="90"/>
      <c r="BW198" s="90"/>
      <c r="BX198" s="90"/>
      <c r="BY198" s="90"/>
      <c r="BZ198" s="90"/>
      <c r="CA198" s="90"/>
      <c r="CB198" s="90"/>
      <c r="CC198" s="90"/>
      <c r="CD198" s="90"/>
      <c r="CE198" s="90"/>
      <c r="CF198" s="90"/>
      <c r="CG198" s="90"/>
      <c r="CH198" s="90"/>
      <c r="CI198" s="90"/>
      <c r="CJ198" s="90"/>
      <c r="CK198" s="90"/>
      <c r="CL198" s="90"/>
      <c r="CM198" s="90"/>
      <c r="CN198" s="90"/>
      <c r="CO198" s="90"/>
      <c r="CP198" s="90"/>
      <c r="CQ198" s="90"/>
      <c r="CR198" s="90"/>
      <c r="CS198" s="90"/>
      <c r="CT198" s="90"/>
      <c r="CU198" s="90"/>
      <c r="CV198" s="90"/>
      <c r="CW198" s="90"/>
      <c r="CX198" s="90"/>
      <c r="CY198" s="90"/>
      <c r="CZ198" s="90"/>
      <c r="DA198" s="117"/>
      <c r="DB198" s="117"/>
      <c r="DC198" s="117"/>
      <c r="DD198" s="117"/>
      <c r="DE198" s="117"/>
      <c r="DF198" s="117"/>
      <c r="DG198" s="117"/>
      <c r="DH198" s="117"/>
      <c r="DI198" s="117"/>
      <c r="DJ198" s="117"/>
      <c r="DK198" s="117"/>
      <c r="DL198" s="117"/>
      <c r="DM198" s="117"/>
      <c r="DN198" s="117"/>
      <c r="DO198" s="117"/>
      <c r="DP198" s="117"/>
      <c r="DQ198" s="117"/>
      <c r="DR198" s="117"/>
      <c r="DS198" s="117"/>
      <c r="DT198" s="117"/>
      <c r="DU198" s="117"/>
      <c r="DV198" s="117"/>
      <c r="DW198" s="117"/>
      <c r="DX198" s="117"/>
      <c r="DY198" s="117"/>
      <c r="DZ198" s="117"/>
      <c r="EA198" s="117"/>
      <c r="EB198" s="117"/>
      <c r="EC198" s="117"/>
      <c r="ED198" s="117"/>
      <c r="EE198" s="117"/>
      <c r="EF198" s="117"/>
      <c r="EG198" s="117"/>
      <c r="EH198" s="117"/>
      <c r="EI198" s="117"/>
      <c r="EJ198" s="89"/>
      <c r="EK198" s="89"/>
      <c r="EL198" s="89"/>
      <c r="EM198" s="89"/>
      <c r="EN198" s="89"/>
      <c r="EO198" s="89"/>
      <c r="EP198" s="89"/>
      <c r="EQ198" s="89"/>
      <c r="ER198" s="89"/>
      <c r="ES198" s="89"/>
      <c r="ET198" s="89"/>
      <c r="EU198" s="89"/>
      <c r="EV198" s="89"/>
      <c r="EW198" s="89"/>
      <c r="EX198" s="89"/>
      <c r="EY198" s="89"/>
      <c r="EZ198" s="89"/>
      <c r="FA198" s="89"/>
      <c r="FB198" s="89"/>
      <c r="FC198" s="89"/>
      <c r="FD198" s="89"/>
      <c r="FE198" s="89"/>
      <c r="FF198" s="89"/>
      <c r="FG198" s="89"/>
      <c r="FH198" s="89"/>
      <c r="FI198" s="89"/>
      <c r="FJ198" s="89"/>
      <c r="FK198" s="89"/>
      <c r="FL198" s="89"/>
      <c r="FM198" s="89"/>
      <c r="FN198" s="89"/>
      <c r="FO198" s="89"/>
      <c r="FP198" s="89"/>
      <c r="FQ198" s="89"/>
      <c r="FR198" s="89"/>
      <c r="FS198" s="89"/>
    </row>
    <row r="199" spans="1:253" s="23" customFormat="1" ht="15.9" customHeight="1">
      <c r="A199" s="1808"/>
      <c r="B199" s="416" t="s">
        <v>180</v>
      </c>
      <c r="C199" s="16" t="str">
        <f>IF(INDEX(Eingabedaten!$FV$10:$GE$54,nutzid,MATCH($B199,Eingabedaten!$FV$7:$GZ$7,0))=0,"",INDEX(Eingabedaten!$FV$10:$GE$54,nutzid,MATCH($B199,Eingabedaten!$FV$7:$GZ$7,0)))</f>
        <v/>
      </c>
      <c r="D199" s="16"/>
      <c r="E199" s="16"/>
      <c r="F199" s="16"/>
      <c r="G199" s="21"/>
      <c r="H199" s="21"/>
      <c r="I199" s="16"/>
      <c r="J199" s="16"/>
      <c r="K199" s="16"/>
      <c r="L199" s="16"/>
      <c r="M199" s="16"/>
      <c r="N199" s="21"/>
      <c r="O199" s="196"/>
      <c r="P199" s="921"/>
      <c r="Q199" s="989">
        <v>1</v>
      </c>
      <c r="R199" s="131"/>
      <c r="S199" s="131"/>
      <c r="T199" s="131"/>
      <c r="U199" s="131"/>
      <c r="V199" s="131"/>
      <c r="W199" s="132"/>
      <c r="X199" s="126"/>
      <c r="Y199" s="126"/>
      <c r="Z199" s="126"/>
      <c r="AA199" s="126"/>
      <c r="AB199" s="126"/>
      <c r="AC199" s="126"/>
      <c r="AD199" s="126"/>
      <c r="AE199" s="126"/>
      <c r="AF199" s="127"/>
      <c r="AG199" s="127"/>
      <c r="AH199" s="127"/>
      <c r="AI199" s="127"/>
      <c r="AJ199" s="127"/>
      <c r="AK199" s="127"/>
      <c r="AL199" s="127"/>
      <c r="AM199" s="127"/>
      <c r="AN199" s="127"/>
      <c r="AO199" s="127"/>
      <c r="AP199" s="127"/>
      <c r="AQ199" s="127"/>
      <c r="AR199" s="127"/>
      <c r="AS199" s="128"/>
      <c r="AT199" s="128"/>
      <c r="AU199" s="128"/>
      <c r="AV199" s="128"/>
      <c r="AW199" s="90"/>
      <c r="AX199" s="90"/>
      <c r="AY199" s="90"/>
      <c r="AZ199" s="90"/>
      <c r="BA199" s="90"/>
      <c r="BB199" s="90"/>
      <c r="BC199" s="90"/>
      <c r="BD199" s="90"/>
      <c r="BE199" s="90"/>
      <c r="BF199" s="90"/>
      <c r="BG199" s="90"/>
      <c r="BH199" s="90"/>
      <c r="BI199" s="90"/>
      <c r="BJ199" s="90"/>
      <c r="BK199" s="90"/>
      <c r="BL199" s="90"/>
      <c r="BM199" s="90"/>
      <c r="BN199" s="90"/>
      <c r="BO199" s="90"/>
      <c r="BP199" s="90"/>
      <c r="BQ199" s="90"/>
      <c r="BR199" s="90"/>
      <c r="BS199" s="90"/>
      <c r="BT199" s="90"/>
      <c r="BU199" s="90"/>
      <c r="BV199" s="90"/>
      <c r="BW199" s="90"/>
      <c r="BX199" s="90"/>
      <c r="BY199" s="90"/>
      <c r="BZ199" s="90"/>
      <c r="CA199" s="90"/>
      <c r="CB199" s="90"/>
      <c r="CC199" s="90"/>
      <c r="CD199" s="90"/>
      <c r="CE199" s="90"/>
      <c r="CF199" s="90"/>
      <c r="CG199" s="90"/>
      <c r="CH199" s="90"/>
      <c r="CI199" s="90"/>
      <c r="CJ199" s="90"/>
      <c r="CK199" s="90"/>
      <c r="CL199" s="90"/>
      <c r="CM199" s="90"/>
      <c r="CN199" s="90"/>
      <c r="CO199" s="90"/>
      <c r="CP199" s="90"/>
      <c r="CQ199" s="90"/>
      <c r="CR199" s="90"/>
      <c r="CS199" s="90"/>
      <c r="CT199" s="90"/>
      <c r="CU199" s="90"/>
      <c r="CV199" s="90"/>
      <c r="CW199" s="90"/>
      <c r="CX199" s="90"/>
      <c r="CY199" s="90"/>
      <c r="CZ199" s="90"/>
      <c r="DA199" s="117"/>
      <c r="DB199" s="117"/>
      <c r="DC199" s="117"/>
      <c r="DD199" s="117"/>
      <c r="DE199" s="117"/>
      <c r="DF199" s="117"/>
      <c r="DG199" s="117"/>
      <c r="DH199" s="117"/>
      <c r="DI199" s="117"/>
      <c r="DJ199" s="117"/>
      <c r="DK199" s="117"/>
      <c r="DL199" s="117"/>
      <c r="DM199" s="117"/>
      <c r="DN199" s="117"/>
      <c r="DO199" s="117"/>
      <c r="DP199" s="117"/>
      <c r="DQ199" s="117"/>
      <c r="DR199" s="117"/>
      <c r="DS199" s="117"/>
      <c r="DT199" s="117"/>
      <c r="DU199" s="117"/>
      <c r="DV199" s="117"/>
      <c r="DW199" s="117"/>
      <c r="DX199" s="117"/>
      <c r="DY199" s="117"/>
      <c r="DZ199" s="117"/>
      <c r="EA199" s="117"/>
      <c r="EB199" s="117"/>
      <c r="EC199" s="117"/>
      <c r="ED199" s="117"/>
      <c r="EE199" s="117"/>
      <c r="EF199" s="117"/>
      <c r="EG199" s="117"/>
      <c r="EH199" s="117"/>
      <c r="EI199" s="117"/>
      <c r="EJ199" s="89"/>
      <c r="EK199" s="89"/>
      <c r="EL199" s="89"/>
      <c r="EM199" s="89"/>
      <c r="EN199" s="89"/>
      <c r="EO199" s="89"/>
      <c r="EP199" s="89"/>
      <c r="EQ199" s="89"/>
      <c r="ER199" s="89"/>
      <c r="ES199" s="89"/>
      <c r="ET199" s="89"/>
      <c r="EU199" s="89"/>
      <c r="EV199" s="89"/>
      <c r="EW199" s="89"/>
      <c r="EX199" s="89"/>
      <c r="EY199" s="89"/>
      <c r="EZ199" s="89"/>
      <c r="FA199" s="89"/>
      <c r="FB199" s="89"/>
      <c r="FC199" s="89"/>
      <c r="FD199" s="89"/>
      <c r="FE199" s="89"/>
      <c r="FF199" s="89"/>
      <c r="FG199" s="89"/>
      <c r="FH199" s="89"/>
      <c r="FI199" s="89"/>
      <c r="FJ199" s="89"/>
      <c r="FK199" s="89"/>
      <c r="FL199" s="89"/>
      <c r="FM199" s="89"/>
      <c r="FN199" s="89"/>
      <c r="FO199" s="89"/>
      <c r="FP199" s="89"/>
      <c r="FQ199" s="89"/>
      <c r="FR199" s="89"/>
      <c r="FS199" s="89"/>
    </row>
    <row r="200" spans="1:253" s="23" customFormat="1" ht="5.25" customHeight="1">
      <c r="A200" s="1808"/>
      <c r="B200" s="416"/>
      <c r="C200" s="16"/>
      <c r="D200" s="16"/>
      <c r="E200" s="16"/>
      <c r="F200" s="16"/>
      <c r="G200" s="21"/>
      <c r="H200" s="21"/>
      <c r="I200" s="16"/>
      <c r="J200" s="16"/>
      <c r="K200" s="16"/>
      <c r="L200" s="16"/>
      <c r="M200" s="16"/>
      <c r="N200" s="21"/>
      <c r="O200" s="196"/>
      <c r="P200" s="921"/>
      <c r="Q200" s="989">
        <v>1</v>
      </c>
      <c r="R200" s="131"/>
      <c r="S200" s="131"/>
      <c r="T200" s="131"/>
      <c r="U200" s="131"/>
      <c r="V200" s="131"/>
      <c r="W200" s="132"/>
      <c r="X200" s="126"/>
      <c r="Y200" s="126"/>
      <c r="Z200" s="126"/>
      <c r="AA200" s="126"/>
      <c r="AB200" s="126"/>
      <c r="AC200" s="126"/>
      <c r="AD200" s="126"/>
      <c r="AE200" s="126"/>
      <c r="AF200" s="127"/>
      <c r="AG200" s="127"/>
      <c r="AH200" s="127"/>
      <c r="AI200" s="127"/>
      <c r="AJ200" s="127"/>
      <c r="AK200" s="127"/>
      <c r="AL200" s="127"/>
      <c r="AM200" s="127"/>
      <c r="AN200" s="127"/>
      <c r="AO200" s="127"/>
      <c r="AP200" s="127"/>
      <c r="AQ200" s="127"/>
      <c r="AR200" s="127"/>
      <c r="AS200" s="128"/>
      <c r="AT200" s="128"/>
      <c r="AU200" s="128"/>
      <c r="AV200" s="128"/>
      <c r="AW200" s="90"/>
      <c r="AX200" s="90"/>
      <c r="AY200" s="90"/>
      <c r="AZ200" s="90"/>
      <c r="BA200" s="90"/>
      <c r="BB200" s="90"/>
      <c r="BC200" s="90"/>
      <c r="BD200" s="90"/>
      <c r="BE200" s="90"/>
      <c r="BF200" s="90"/>
      <c r="BG200" s="90"/>
      <c r="BH200" s="90"/>
      <c r="BI200" s="90"/>
      <c r="BJ200" s="90"/>
      <c r="BK200" s="90"/>
      <c r="BL200" s="90"/>
      <c r="BM200" s="90"/>
      <c r="BN200" s="90"/>
      <c r="BO200" s="90"/>
      <c r="BP200" s="90"/>
      <c r="BQ200" s="90"/>
      <c r="BR200" s="90"/>
      <c r="BS200" s="90"/>
      <c r="BT200" s="90"/>
      <c r="BU200" s="90"/>
      <c r="BV200" s="90"/>
      <c r="BW200" s="90"/>
      <c r="BX200" s="90"/>
      <c r="BY200" s="90"/>
      <c r="BZ200" s="90"/>
      <c r="CA200" s="90"/>
      <c r="CB200" s="90"/>
      <c r="CC200" s="90"/>
      <c r="CD200" s="90"/>
      <c r="CE200" s="90"/>
      <c r="CF200" s="90"/>
      <c r="CG200" s="90"/>
      <c r="CH200" s="90"/>
      <c r="CI200" s="90"/>
      <c r="CJ200" s="90"/>
      <c r="CK200" s="90"/>
      <c r="CL200" s="90"/>
      <c r="CM200" s="90"/>
      <c r="CN200" s="90"/>
      <c r="CO200" s="90"/>
      <c r="CP200" s="90"/>
      <c r="CQ200" s="90"/>
      <c r="CR200" s="90"/>
      <c r="CS200" s="90"/>
      <c r="CT200" s="90"/>
      <c r="CU200" s="90"/>
      <c r="CV200" s="90"/>
      <c r="CW200" s="90"/>
      <c r="CX200" s="90"/>
      <c r="CY200" s="90"/>
      <c r="CZ200" s="90"/>
      <c r="DA200" s="117"/>
      <c r="DB200" s="117"/>
      <c r="DC200" s="117"/>
      <c r="DD200" s="117"/>
      <c r="DE200" s="117"/>
      <c r="DF200" s="117"/>
      <c r="DG200" s="117"/>
      <c r="DH200" s="117"/>
      <c r="DI200" s="117"/>
      <c r="DJ200" s="117"/>
      <c r="DK200" s="117"/>
      <c r="DL200" s="117"/>
      <c r="DM200" s="117"/>
      <c r="DN200" s="117"/>
      <c r="DO200" s="117"/>
      <c r="DP200" s="117"/>
      <c r="DQ200" s="117"/>
      <c r="DR200" s="117"/>
      <c r="DS200" s="117"/>
      <c r="DT200" s="117"/>
      <c r="DU200" s="117"/>
      <c r="DV200" s="117"/>
      <c r="DW200" s="117"/>
      <c r="DX200" s="117"/>
      <c r="DY200" s="117"/>
      <c r="DZ200" s="117"/>
      <c r="EA200" s="117"/>
      <c r="EB200" s="117"/>
      <c r="EC200" s="117"/>
      <c r="ED200" s="117"/>
      <c r="EE200" s="117"/>
      <c r="EF200" s="117"/>
      <c r="EG200" s="117"/>
      <c r="EH200" s="117"/>
      <c r="EI200" s="117"/>
      <c r="EJ200" s="89"/>
      <c r="EK200" s="89"/>
      <c r="EL200" s="89"/>
      <c r="EM200" s="89"/>
      <c r="EN200" s="89"/>
      <c r="EO200" s="89"/>
      <c r="EP200" s="89"/>
      <c r="EQ200" s="89"/>
      <c r="ER200" s="89"/>
      <c r="ES200" s="89"/>
      <c r="ET200" s="89"/>
      <c r="EU200" s="89"/>
      <c r="EV200" s="89"/>
      <c r="EW200" s="89"/>
      <c r="EX200" s="89"/>
      <c r="EY200" s="89"/>
      <c r="EZ200" s="89"/>
      <c r="FA200" s="89"/>
      <c r="FB200" s="89"/>
      <c r="FC200" s="89"/>
      <c r="FD200" s="89"/>
      <c r="FE200" s="89"/>
      <c r="FF200" s="89"/>
      <c r="FG200" s="89"/>
      <c r="FH200" s="89"/>
      <c r="FI200" s="89"/>
      <c r="FJ200" s="89"/>
      <c r="FK200" s="89"/>
      <c r="FL200" s="89"/>
      <c r="FM200" s="89"/>
      <c r="FN200" s="89"/>
      <c r="FO200" s="89"/>
      <c r="FP200" s="89"/>
      <c r="FQ200" s="89"/>
      <c r="FR200" s="89"/>
      <c r="FS200" s="89"/>
    </row>
    <row r="201" spans="1:253" s="23" customFormat="1" ht="15.9" customHeight="1">
      <c r="A201" s="1808"/>
      <c r="B201" s="416" t="s">
        <v>181</v>
      </c>
      <c r="C201" s="16" t="str">
        <f>IF(INDEX(Eingabedaten!$FV$10:$GE$54,nutzid,MATCH($B201,Eingabedaten!$FV$7:$GZ$7,0))=0,"",INDEX(Eingabedaten!$FV$10:$GE$54,nutzid,MATCH($B201,Eingabedaten!$FV$7:$GZ$7,0)))</f>
        <v/>
      </c>
      <c r="D201" s="16"/>
      <c r="E201" s="16"/>
      <c r="F201" s="16"/>
      <c r="G201" s="21"/>
      <c r="H201" s="21"/>
      <c r="I201" s="16"/>
      <c r="J201" s="16"/>
      <c r="K201" s="16"/>
      <c r="L201" s="16"/>
      <c r="M201" s="16"/>
      <c r="N201" s="21"/>
      <c r="O201" s="196"/>
      <c r="P201" s="921"/>
      <c r="Q201" s="989">
        <v>1</v>
      </c>
      <c r="R201" s="131"/>
      <c r="S201" s="131"/>
      <c r="T201" s="131"/>
      <c r="U201" s="131"/>
      <c r="V201" s="131"/>
      <c r="W201" s="132"/>
      <c r="X201" s="126"/>
      <c r="Y201" s="126"/>
      <c r="Z201" s="126"/>
      <c r="AA201" s="126"/>
      <c r="AB201" s="126"/>
      <c r="AC201" s="126"/>
      <c r="AD201" s="126"/>
      <c r="AE201" s="126"/>
      <c r="AF201" s="127"/>
      <c r="AG201" s="127"/>
      <c r="AH201" s="127"/>
      <c r="AI201" s="127"/>
      <c r="AJ201" s="127"/>
      <c r="AK201" s="127"/>
      <c r="AL201" s="127"/>
      <c r="AM201" s="127"/>
      <c r="AN201" s="127"/>
      <c r="AO201" s="127"/>
      <c r="AP201" s="127"/>
      <c r="AQ201" s="127"/>
      <c r="AR201" s="127"/>
      <c r="AS201" s="128"/>
      <c r="AT201" s="128"/>
      <c r="AU201" s="128"/>
      <c r="AV201" s="128"/>
      <c r="AW201" s="90"/>
      <c r="AX201" s="90"/>
      <c r="AY201" s="90"/>
      <c r="AZ201" s="90"/>
      <c r="BA201" s="90"/>
      <c r="BB201" s="90"/>
      <c r="BC201" s="90"/>
      <c r="BD201" s="90"/>
      <c r="BE201" s="90"/>
      <c r="BF201" s="90"/>
      <c r="BG201" s="90"/>
      <c r="BH201" s="90"/>
      <c r="BI201" s="90"/>
      <c r="BJ201" s="90"/>
      <c r="BK201" s="90"/>
      <c r="BL201" s="90"/>
      <c r="BM201" s="90"/>
      <c r="BN201" s="90"/>
      <c r="BO201" s="90"/>
      <c r="BP201" s="90"/>
      <c r="BQ201" s="90"/>
      <c r="BR201" s="90"/>
      <c r="BS201" s="90"/>
      <c r="BT201" s="90"/>
      <c r="BU201" s="90"/>
      <c r="BV201" s="90"/>
      <c r="BW201" s="90"/>
      <c r="BX201" s="90"/>
      <c r="BY201" s="90"/>
      <c r="BZ201" s="90"/>
      <c r="CA201" s="90"/>
      <c r="CB201" s="90"/>
      <c r="CC201" s="90"/>
      <c r="CD201" s="90"/>
      <c r="CE201" s="90"/>
      <c r="CF201" s="90"/>
      <c r="CG201" s="90"/>
      <c r="CH201" s="90"/>
      <c r="CI201" s="90"/>
      <c r="CJ201" s="90"/>
      <c r="CK201" s="90"/>
      <c r="CL201" s="90"/>
      <c r="CM201" s="90"/>
      <c r="CN201" s="90"/>
      <c r="CO201" s="90"/>
      <c r="CP201" s="90"/>
      <c r="CQ201" s="90"/>
      <c r="CR201" s="90"/>
      <c r="CS201" s="90"/>
      <c r="CT201" s="90"/>
      <c r="CU201" s="90"/>
      <c r="CV201" s="90"/>
      <c r="CW201" s="90"/>
      <c r="CX201" s="90"/>
      <c r="CY201" s="90"/>
      <c r="CZ201" s="90"/>
      <c r="DA201" s="117"/>
      <c r="DB201" s="117"/>
      <c r="DC201" s="117"/>
      <c r="DD201" s="117"/>
      <c r="DE201" s="117"/>
      <c r="DF201" s="117"/>
      <c r="DG201" s="117"/>
      <c r="DH201" s="117"/>
      <c r="DI201" s="117"/>
      <c r="DJ201" s="117"/>
      <c r="DK201" s="117"/>
      <c r="DL201" s="117"/>
      <c r="DM201" s="117"/>
      <c r="DN201" s="117"/>
      <c r="DO201" s="117"/>
      <c r="DP201" s="117"/>
      <c r="DQ201" s="117"/>
      <c r="DR201" s="117"/>
      <c r="DS201" s="117"/>
      <c r="DT201" s="117"/>
      <c r="DU201" s="117"/>
      <c r="DV201" s="117"/>
      <c r="DW201" s="117"/>
      <c r="DX201" s="117"/>
      <c r="DY201" s="117"/>
      <c r="DZ201" s="117"/>
      <c r="EA201" s="117"/>
      <c r="EB201" s="117"/>
      <c r="EC201" s="117"/>
      <c r="ED201" s="117"/>
      <c r="EE201" s="117"/>
      <c r="EF201" s="117"/>
      <c r="EG201" s="117"/>
      <c r="EH201" s="117"/>
      <c r="EI201" s="117"/>
      <c r="EJ201" s="89"/>
      <c r="EK201" s="89"/>
      <c r="EL201" s="89"/>
      <c r="EM201" s="89"/>
      <c r="EN201" s="89"/>
      <c r="EO201" s="89"/>
      <c r="EP201" s="89"/>
      <c r="EQ201" s="89"/>
      <c r="ER201" s="89"/>
      <c r="ES201" s="89"/>
      <c r="ET201" s="89"/>
      <c r="EU201" s="89"/>
      <c r="EV201" s="89"/>
      <c r="EW201" s="89"/>
      <c r="EX201" s="89"/>
      <c r="EY201" s="89"/>
      <c r="EZ201" s="89"/>
      <c r="FA201" s="89"/>
      <c r="FB201" s="89"/>
      <c r="FC201" s="89"/>
      <c r="FD201" s="89"/>
      <c r="FE201" s="89"/>
      <c r="FF201" s="89"/>
      <c r="FG201" s="89"/>
      <c r="FH201" s="89"/>
      <c r="FI201" s="89"/>
      <c r="FJ201" s="89"/>
      <c r="FK201" s="89"/>
      <c r="FL201" s="89"/>
      <c r="FM201" s="89"/>
      <c r="FN201" s="89"/>
      <c r="FO201" s="89"/>
      <c r="FP201" s="89"/>
      <c r="FQ201" s="89"/>
      <c r="FR201" s="89"/>
      <c r="FS201" s="89"/>
    </row>
    <row r="202" spans="1:253" s="23" customFormat="1" ht="5.25" customHeight="1">
      <c r="A202" s="1808"/>
      <c r="B202" s="416"/>
      <c r="C202" s="16"/>
      <c r="D202" s="16"/>
      <c r="E202" s="16"/>
      <c r="F202" s="16"/>
      <c r="G202" s="21"/>
      <c r="H202" s="21"/>
      <c r="I202" s="16"/>
      <c r="J202" s="16"/>
      <c r="K202" s="16"/>
      <c r="L202" s="16"/>
      <c r="M202" s="16"/>
      <c r="N202" s="21"/>
      <c r="O202" s="196"/>
      <c r="P202" s="921"/>
      <c r="Q202" s="989">
        <v>1</v>
      </c>
      <c r="R202" s="131"/>
      <c r="S202" s="131"/>
      <c r="T202" s="131"/>
      <c r="U202" s="131"/>
      <c r="V202" s="131"/>
      <c r="W202" s="132"/>
      <c r="X202" s="126"/>
      <c r="Y202" s="126"/>
      <c r="Z202" s="126"/>
      <c r="AA202" s="126"/>
      <c r="AB202" s="126"/>
      <c r="AC202" s="126"/>
      <c r="AD202" s="126"/>
      <c r="AE202" s="126"/>
      <c r="AF202" s="127"/>
      <c r="AG202" s="127"/>
      <c r="AH202" s="127"/>
      <c r="AI202" s="127"/>
      <c r="AJ202" s="127"/>
      <c r="AK202" s="127"/>
      <c r="AL202" s="127"/>
      <c r="AM202" s="127"/>
      <c r="AN202" s="127"/>
      <c r="AO202" s="127"/>
      <c r="AP202" s="127"/>
      <c r="AQ202" s="127"/>
      <c r="AR202" s="127"/>
      <c r="AS202" s="128"/>
      <c r="AT202" s="128"/>
      <c r="AU202" s="128"/>
      <c r="AV202" s="128"/>
      <c r="AW202" s="90"/>
      <c r="AX202" s="90"/>
      <c r="AY202" s="90"/>
      <c r="AZ202" s="90"/>
      <c r="BA202" s="90"/>
      <c r="BB202" s="90"/>
      <c r="BC202" s="90"/>
      <c r="BD202" s="90"/>
      <c r="BE202" s="90"/>
      <c r="BF202" s="90"/>
      <c r="BG202" s="90"/>
      <c r="BH202" s="90"/>
      <c r="BI202" s="90"/>
      <c r="BJ202" s="90"/>
      <c r="BK202" s="90"/>
      <c r="BL202" s="90"/>
      <c r="BM202" s="90"/>
      <c r="BN202" s="90"/>
      <c r="BO202" s="90"/>
      <c r="BP202" s="90"/>
      <c r="BQ202" s="90"/>
      <c r="BR202" s="90"/>
      <c r="BS202" s="90"/>
      <c r="BT202" s="90"/>
      <c r="BU202" s="90"/>
      <c r="BV202" s="90"/>
      <c r="BW202" s="90"/>
      <c r="BX202" s="90"/>
      <c r="BY202" s="90"/>
      <c r="BZ202" s="90"/>
      <c r="CA202" s="90"/>
      <c r="CB202" s="90"/>
      <c r="CC202" s="90"/>
      <c r="CD202" s="90"/>
      <c r="CE202" s="90"/>
      <c r="CF202" s="90"/>
      <c r="CG202" s="90"/>
      <c r="CH202" s="90"/>
      <c r="CI202" s="90"/>
      <c r="CJ202" s="90"/>
      <c r="CK202" s="90"/>
      <c r="CL202" s="90"/>
      <c r="CM202" s="90"/>
      <c r="CN202" s="90"/>
      <c r="CO202" s="90"/>
      <c r="CP202" s="90"/>
      <c r="CQ202" s="90"/>
      <c r="CR202" s="90"/>
      <c r="CS202" s="90"/>
      <c r="CT202" s="90"/>
      <c r="CU202" s="90"/>
      <c r="CV202" s="90"/>
      <c r="CW202" s="90"/>
      <c r="CX202" s="90"/>
      <c r="CY202" s="90"/>
      <c r="CZ202" s="90"/>
      <c r="DA202" s="117"/>
      <c r="DB202" s="117"/>
      <c r="DC202" s="117"/>
      <c r="DD202" s="117"/>
      <c r="DE202" s="117"/>
      <c r="DF202" s="117"/>
      <c r="DG202" s="117"/>
      <c r="DH202" s="117"/>
      <c r="DI202" s="117"/>
      <c r="DJ202" s="117"/>
      <c r="DK202" s="117"/>
      <c r="DL202" s="117"/>
      <c r="DM202" s="117"/>
      <c r="DN202" s="117"/>
      <c r="DO202" s="117"/>
      <c r="DP202" s="117"/>
      <c r="DQ202" s="117"/>
      <c r="DR202" s="117"/>
      <c r="DS202" s="117"/>
      <c r="DT202" s="117"/>
      <c r="DU202" s="117"/>
      <c r="DV202" s="117"/>
      <c r="DW202" s="117"/>
      <c r="DX202" s="117"/>
      <c r="DY202" s="117"/>
      <c r="DZ202" s="117"/>
      <c r="EA202" s="117"/>
      <c r="EB202" s="117"/>
      <c r="EC202" s="117"/>
      <c r="ED202" s="117"/>
      <c r="EE202" s="117"/>
      <c r="EF202" s="117"/>
      <c r="EG202" s="117"/>
      <c r="EH202" s="117"/>
      <c r="EI202" s="117"/>
      <c r="EJ202" s="89"/>
      <c r="EK202" s="89"/>
      <c r="EL202" s="89"/>
      <c r="EM202" s="89"/>
      <c r="EN202" s="89"/>
      <c r="EO202" s="89"/>
      <c r="EP202" s="89"/>
      <c r="EQ202" s="89"/>
      <c r="ER202" s="89"/>
      <c r="ES202" s="89"/>
      <c r="ET202" s="89"/>
      <c r="EU202" s="89"/>
      <c r="EV202" s="89"/>
      <c r="EW202" s="89"/>
      <c r="EX202" s="89"/>
      <c r="EY202" s="89"/>
      <c r="EZ202" s="89"/>
      <c r="FA202" s="89"/>
      <c r="FB202" s="89"/>
      <c r="FC202" s="89"/>
      <c r="FD202" s="89"/>
      <c r="FE202" s="89"/>
      <c r="FF202" s="89"/>
      <c r="FG202" s="89"/>
      <c r="FH202" s="89"/>
      <c r="FI202" s="89"/>
      <c r="FJ202" s="89"/>
      <c r="FK202" s="89"/>
      <c r="FL202" s="89"/>
      <c r="FM202" s="89"/>
      <c r="FN202" s="89"/>
      <c r="FO202" s="89"/>
      <c r="FP202" s="89"/>
      <c r="FQ202" s="89"/>
      <c r="FR202" s="89"/>
      <c r="FS202" s="89"/>
    </row>
    <row r="203" spans="1:253" s="23" customFormat="1" ht="15.9" customHeight="1">
      <c r="A203" s="1808"/>
      <c r="B203" s="416" t="s">
        <v>182</v>
      </c>
      <c r="C203" s="16" t="str">
        <f>IF(INDEX(Eingabedaten!$FV$10:$GE$54,nutzid,MATCH($B203,Eingabedaten!$FV$7:$GZ$7,0))=0,"",INDEX(Eingabedaten!$FV$10:$GE$54,nutzid,MATCH($B203,Eingabedaten!$FV$7:$GZ$7,0)))</f>
        <v/>
      </c>
      <c r="D203" s="16"/>
      <c r="E203" s="16"/>
      <c r="F203" s="16"/>
      <c r="G203" s="21"/>
      <c r="H203" s="21"/>
      <c r="I203" s="16"/>
      <c r="J203" s="16"/>
      <c r="K203" s="16"/>
      <c r="L203" s="16"/>
      <c r="M203" s="16"/>
      <c r="N203" s="21"/>
      <c r="O203" s="196"/>
      <c r="P203" s="921"/>
      <c r="Q203" s="989">
        <v>1</v>
      </c>
      <c r="R203" s="131"/>
      <c r="S203" s="131"/>
      <c r="T203" s="131"/>
      <c r="U203" s="131"/>
      <c r="V203" s="131"/>
      <c r="W203" s="132"/>
      <c r="X203" s="126"/>
      <c r="Y203" s="126"/>
      <c r="Z203" s="126"/>
      <c r="AA203" s="126"/>
      <c r="AB203" s="126"/>
      <c r="AC203" s="126"/>
      <c r="AD203" s="126"/>
      <c r="AE203" s="126"/>
      <c r="AF203" s="127"/>
      <c r="AG203" s="127"/>
      <c r="AH203" s="127"/>
      <c r="AI203" s="127"/>
      <c r="AJ203" s="127"/>
      <c r="AK203" s="127"/>
      <c r="AL203" s="127"/>
      <c r="AM203" s="127"/>
      <c r="AN203" s="127"/>
      <c r="AO203" s="127"/>
      <c r="AP203" s="127"/>
      <c r="AQ203" s="127"/>
      <c r="AR203" s="127"/>
      <c r="AS203" s="128"/>
      <c r="AT203" s="128"/>
      <c r="AU203" s="128"/>
      <c r="AV203" s="128"/>
      <c r="AW203" s="90"/>
      <c r="AX203" s="90"/>
      <c r="AY203" s="90"/>
      <c r="AZ203" s="90"/>
      <c r="BA203" s="90"/>
      <c r="BB203" s="90"/>
      <c r="BC203" s="90"/>
      <c r="BD203" s="90"/>
      <c r="BE203" s="90"/>
      <c r="BF203" s="90"/>
      <c r="BG203" s="90"/>
      <c r="BH203" s="90"/>
      <c r="BI203" s="90"/>
      <c r="BJ203" s="90"/>
      <c r="BK203" s="90"/>
      <c r="BL203" s="90"/>
      <c r="BM203" s="90"/>
      <c r="BN203" s="90"/>
      <c r="BO203" s="90"/>
      <c r="BP203" s="90"/>
      <c r="BQ203" s="90"/>
      <c r="BR203" s="90"/>
      <c r="BS203" s="90"/>
      <c r="BT203" s="90"/>
      <c r="BU203" s="90"/>
      <c r="BV203" s="90"/>
      <c r="BW203" s="90"/>
      <c r="BX203" s="90"/>
      <c r="BY203" s="90"/>
      <c r="BZ203" s="90"/>
      <c r="CA203" s="90"/>
      <c r="CB203" s="90"/>
      <c r="CC203" s="90"/>
      <c r="CD203" s="90"/>
      <c r="CE203" s="90"/>
      <c r="CF203" s="90"/>
      <c r="CG203" s="90"/>
      <c r="CH203" s="90"/>
      <c r="CI203" s="90"/>
      <c r="CJ203" s="90"/>
      <c r="CK203" s="90"/>
      <c r="CL203" s="90"/>
      <c r="CM203" s="90"/>
      <c r="CN203" s="90"/>
      <c r="CO203" s="90"/>
      <c r="CP203" s="90"/>
      <c r="CQ203" s="90"/>
      <c r="CR203" s="90"/>
      <c r="CS203" s="90"/>
      <c r="CT203" s="90"/>
      <c r="CU203" s="90"/>
      <c r="CV203" s="90"/>
      <c r="CW203" s="90"/>
      <c r="CX203" s="90"/>
      <c r="CY203" s="90"/>
      <c r="CZ203" s="90"/>
      <c r="DA203" s="117"/>
      <c r="DB203" s="117"/>
      <c r="DC203" s="117"/>
      <c r="DD203" s="117"/>
      <c r="DE203" s="117"/>
      <c r="DF203" s="117"/>
      <c r="DG203" s="117"/>
      <c r="DH203" s="117"/>
      <c r="DI203" s="117"/>
      <c r="DJ203" s="117"/>
      <c r="DK203" s="117"/>
      <c r="DL203" s="117"/>
      <c r="DM203" s="117"/>
      <c r="DN203" s="117"/>
      <c r="DO203" s="117"/>
      <c r="DP203" s="117"/>
      <c r="DQ203" s="117"/>
      <c r="DR203" s="117"/>
      <c r="DS203" s="117"/>
      <c r="DT203" s="117"/>
      <c r="DU203" s="117"/>
      <c r="DV203" s="117"/>
      <c r="DW203" s="117"/>
      <c r="DX203" s="117"/>
      <c r="DY203" s="117"/>
      <c r="DZ203" s="117"/>
      <c r="EA203" s="117"/>
      <c r="EB203" s="117"/>
      <c r="EC203" s="117"/>
      <c r="ED203" s="117"/>
      <c r="EE203" s="117"/>
      <c r="EF203" s="117"/>
      <c r="EG203" s="117"/>
      <c r="EH203" s="117"/>
      <c r="EI203" s="117"/>
      <c r="EJ203" s="89"/>
      <c r="EK203" s="89"/>
      <c r="EL203" s="89"/>
      <c r="EM203" s="89"/>
      <c r="EN203" s="89"/>
      <c r="EO203" s="89"/>
      <c r="EP203" s="89"/>
      <c r="EQ203" s="89"/>
      <c r="ER203" s="89"/>
      <c r="ES203" s="89"/>
      <c r="ET203" s="89"/>
      <c r="EU203" s="89"/>
      <c r="EV203" s="89"/>
      <c r="EW203" s="89"/>
      <c r="EX203" s="89"/>
      <c r="EY203" s="89"/>
      <c r="EZ203" s="89"/>
      <c r="FA203" s="89"/>
      <c r="FB203" s="89"/>
      <c r="FC203" s="89"/>
      <c r="FD203" s="89"/>
      <c r="FE203" s="89"/>
      <c r="FF203" s="89"/>
      <c r="FG203" s="89"/>
      <c r="FH203" s="89"/>
      <c r="FI203" s="89"/>
      <c r="FJ203" s="89"/>
      <c r="FK203" s="89"/>
      <c r="FL203" s="89"/>
      <c r="FM203" s="89"/>
      <c r="FN203" s="89"/>
      <c r="FO203" s="89"/>
      <c r="FP203" s="89"/>
      <c r="FQ203" s="89"/>
      <c r="FR203" s="89"/>
      <c r="FS203" s="89"/>
    </row>
    <row r="204" spans="1:253" s="23" customFormat="1" ht="5.25" customHeight="1">
      <c r="A204" s="1808"/>
      <c r="B204" s="416"/>
      <c r="C204" s="16"/>
      <c r="D204" s="16"/>
      <c r="E204" s="16"/>
      <c r="F204" s="16"/>
      <c r="G204" s="21"/>
      <c r="H204" s="21"/>
      <c r="I204" s="16"/>
      <c r="J204" s="16"/>
      <c r="K204" s="16"/>
      <c r="L204" s="16"/>
      <c r="M204" s="16"/>
      <c r="N204" s="21"/>
      <c r="O204" s="196"/>
      <c r="P204" s="921"/>
      <c r="Q204" s="989">
        <v>1</v>
      </c>
      <c r="R204" s="131"/>
      <c r="S204" s="131"/>
      <c r="T204" s="131"/>
      <c r="U204" s="131"/>
      <c r="V204" s="131"/>
      <c r="W204" s="132"/>
      <c r="X204" s="126"/>
      <c r="Y204" s="126"/>
      <c r="Z204" s="126"/>
      <c r="AA204" s="126"/>
      <c r="AB204" s="126"/>
      <c r="AC204" s="126"/>
      <c r="AD204" s="126"/>
      <c r="AE204" s="126"/>
      <c r="AF204" s="127"/>
      <c r="AG204" s="127"/>
      <c r="AH204" s="127"/>
      <c r="AI204" s="127"/>
      <c r="AJ204" s="127"/>
      <c r="AK204" s="127"/>
      <c r="AL204" s="127"/>
      <c r="AM204" s="127"/>
      <c r="AN204" s="127"/>
      <c r="AO204" s="127"/>
      <c r="AP204" s="127"/>
      <c r="AQ204" s="127"/>
      <c r="AR204" s="127"/>
      <c r="AS204" s="128"/>
      <c r="AT204" s="128"/>
      <c r="AU204" s="128"/>
      <c r="AV204" s="128"/>
      <c r="AW204" s="90"/>
      <c r="AX204" s="90"/>
      <c r="AY204" s="90"/>
      <c r="AZ204" s="90"/>
      <c r="BA204" s="90"/>
      <c r="BB204" s="90"/>
      <c r="BC204" s="90"/>
      <c r="BD204" s="90"/>
      <c r="BE204" s="90"/>
      <c r="BF204" s="90"/>
      <c r="BG204" s="90"/>
      <c r="BH204" s="90"/>
      <c r="BI204" s="90"/>
      <c r="BJ204" s="90"/>
      <c r="BK204" s="90"/>
      <c r="BL204" s="90"/>
      <c r="BM204" s="90"/>
      <c r="BN204" s="90"/>
      <c r="BO204" s="90"/>
      <c r="BP204" s="90"/>
      <c r="BQ204" s="90"/>
      <c r="BR204" s="90"/>
      <c r="BS204" s="90"/>
      <c r="BT204" s="90"/>
      <c r="BU204" s="90"/>
      <c r="BV204" s="90"/>
      <c r="BW204" s="90"/>
      <c r="BX204" s="90"/>
      <c r="BY204" s="90"/>
      <c r="BZ204" s="90"/>
      <c r="CA204" s="90"/>
      <c r="CB204" s="90"/>
      <c r="CC204" s="90"/>
      <c r="CD204" s="90"/>
      <c r="CE204" s="90"/>
      <c r="CF204" s="90"/>
      <c r="CG204" s="90"/>
      <c r="CH204" s="90"/>
      <c r="CI204" s="90"/>
      <c r="CJ204" s="90"/>
      <c r="CK204" s="90"/>
      <c r="CL204" s="90"/>
      <c r="CM204" s="90"/>
      <c r="CN204" s="90"/>
      <c r="CO204" s="90"/>
      <c r="CP204" s="90"/>
      <c r="CQ204" s="90"/>
      <c r="CR204" s="90"/>
      <c r="CS204" s="90"/>
      <c r="CT204" s="90"/>
      <c r="CU204" s="90"/>
      <c r="CV204" s="90"/>
      <c r="CW204" s="90"/>
      <c r="CX204" s="90"/>
      <c r="CY204" s="90"/>
      <c r="CZ204" s="90"/>
      <c r="DA204" s="117"/>
      <c r="DB204" s="117"/>
      <c r="DC204" s="117"/>
      <c r="DD204" s="117"/>
      <c r="DE204" s="117"/>
      <c r="DF204" s="117"/>
      <c r="DG204" s="117"/>
      <c r="DH204" s="117"/>
      <c r="DI204" s="117"/>
      <c r="DJ204" s="117"/>
      <c r="DK204" s="117"/>
      <c r="DL204" s="117"/>
      <c r="DM204" s="117"/>
      <c r="DN204" s="117"/>
      <c r="DO204" s="117"/>
      <c r="DP204" s="117"/>
      <c r="DQ204" s="117"/>
      <c r="DR204" s="117"/>
      <c r="DS204" s="117"/>
      <c r="DT204" s="117"/>
      <c r="DU204" s="117"/>
      <c r="DV204" s="117"/>
      <c r="DW204" s="117"/>
      <c r="DX204" s="117"/>
      <c r="DY204" s="117"/>
      <c r="DZ204" s="117"/>
      <c r="EA204" s="117"/>
      <c r="EB204" s="117"/>
      <c r="EC204" s="117"/>
      <c r="ED204" s="117"/>
      <c r="EE204" s="117"/>
      <c r="EF204" s="117"/>
      <c r="EG204" s="117"/>
      <c r="EH204" s="117"/>
      <c r="EI204" s="117"/>
      <c r="EJ204" s="89"/>
      <c r="EK204" s="89"/>
      <c r="EL204" s="89"/>
      <c r="EM204" s="89"/>
      <c r="EN204" s="89"/>
      <c r="EO204" s="89"/>
      <c r="EP204" s="89"/>
      <c r="EQ204" s="89"/>
      <c r="ER204" s="89"/>
      <c r="ES204" s="89"/>
      <c r="ET204" s="89"/>
      <c r="EU204" s="89"/>
      <c r="EV204" s="89"/>
      <c r="EW204" s="89"/>
      <c r="EX204" s="89"/>
      <c r="EY204" s="89"/>
      <c r="EZ204" s="89"/>
      <c r="FA204" s="89"/>
      <c r="FB204" s="89"/>
      <c r="FC204" s="89"/>
      <c r="FD204" s="89"/>
      <c r="FE204" s="89"/>
      <c r="FF204" s="89"/>
      <c r="FG204" s="89"/>
      <c r="FH204" s="89"/>
      <c r="FI204" s="89"/>
      <c r="FJ204" s="89"/>
      <c r="FK204" s="89"/>
      <c r="FL204" s="89"/>
      <c r="FM204" s="89"/>
      <c r="FN204" s="89"/>
      <c r="FO204" s="89"/>
      <c r="FP204" s="89"/>
      <c r="FQ204" s="89"/>
      <c r="FR204" s="89"/>
      <c r="FS204" s="89"/>
    </row>
    <row r="205" spans="1:253" s="23" customFormat="1" ht="15.9" customHeight="1">
      <c r="A205" s="1808"/>
      <c r="B205" s="416" t="s">
        <v>183</v>
      </c>
      <c r="C205" s="16" t="str">
        <f>IF(INDEX(Eingabedaten!$FV$10:$GE$54,nutzid,MATCH($B205,Eingabedaten!$FV$7:$GZ$7,0))=0,"",INDEX(Eingabedaten!$FV$10:$GE$54,nutzid,MATCH($B205,Eingabedaten!$FV$7:$GZ$7,0)))</f>
        <v>- Wasser- und Warmwasserbedarf sind in der Raumnutzung 2.1 enthalten</v>
      </c>
      <c r="D205" s="16"/>
      <c r="E205" s="16"/>
      <c r="F205" s="16"/>
      <c r="G205" s="21"/>
      <c r="H205" s="21"/>
      <c r="I205" s="16"/>
      <c r="J205" s="16"/>
      <c r="K205" s="16"/>
      <c r="L205" s="16"/>
      <c r="M205" s="16"/>
      <c r="N205" s="21"/>
      <c r="O205" s="196"/>
      <c r="P205" s="921"/>
      <c r="Q205" s="989">
        <v>1</v>
      </c>
      <c r="R205" s="131"/>
      <c r="S205" s="131"/>
      <c r="T205" s="131"/>
      <c r="U205" s="131"/>
      <c r="V205" s="131"/>
      <c r="W205" s="132"/>
      <c r="X205" s="126"/>
      <c r="Y205" s="126"/>
      <c r="Z205" s="126"/>
      <c r="AA205" s="126"/>
      <c r="AB205" s="126"/>
      <c r="AC205" s="126"/>
      <c r="AD205" s="126"/>
      <c r="AE205" s="126"/>
      <c r="AF205" s="127"/>
      <c r="AG205" s="127"/>
      <c r="AH205" s="127"/>
      <c r="AI205" s="127"/>
      <c r="AJ205" s="127"/>
      <c r="AK205" s="127"/>
      <c r="AL205" s="127"/>
      <c r="AM205" s="127"/>
      <c r="AN205" s="127"/>
      <c r="AO205" s="127"/>
      <c r="AP205" s="127"/>
      <c r="AQ205" s="127"/>
      <c r="AR205" s="127"/>
      <c r="AS205" s="128"/>
      <c r="AT205" s="128"/>
      <c r="AU205" s="128"/>
      <c r="AV205" s="128"/>
      <c r="AW205" s="90"/>
      <c r="AX205" s="90"/>
      <c r="AY205" s="90"/>
      <c r="AZ205" s="90"/>
      <c r="BA205" s="90"/>
      <c r="BB205" s="90"/>
      <c r="BC205" s="90"/>
      <c r="BD205" s="90"/>
      <c r="BE205" s="90"/>
      <c r="BF205" s="90"/>
      <c r="BG205" s="90"/>
      <c r="BH205" s="90"/>
      <c r="BI205" s="90"/>
      <c r="BJ205" s="90"/>
      <c r="BK205" s="90"/>
      <c r="BL205" s="90"/>
      <c r="BM205" s="90"/>
      <c r="BN205" s="90"/>
      <c r="BO205" s="90"/>
      <c r="BP205" s="90"/>
      <c r="BQ205" s="90"/>
      <c r="BR205" s="90"/>
      <c r="BS205" s="90"/>
      <c r="BT205" s="90"/>
      <c r="BU205" s="90"/>
      <c r="BV205" s="90"/>
      <c r="BW205" s="90"/>
      <c r="BX205" s="90"/>
      <c r="BY205" s="90"/>
      <c r="BZ205" s="90"/>
      <c r="CA205" s="90"/>
      <c r="CB205" s="90"/>
      <c r="CC205" s="90"/>
      <c r="CD205" s="90"/>
      <c r="CE205" s="90"/>
      <c r="CF205" s="90"/>
      <c r="CG205" s="90"/>
      <c r="CH205" s="90"/>
      <c r="CI205" s="90"/>
      <c r="CJ205" s="90"/>
      <c r="CK205" s="90"/>
      <c r="CL205" s="90"/>
      <c r="CM205" s="90"/>
      <c r="CN205" s="90"/>
      <c r="CO205" s="90"/>
      <c r="CP205" s="90"/>
      <c r="CQ205" s="90"/>
      <c r="CR205" s="90"/>
      <c r="CS205" s="90"/>
      <c r="CT205" s="90"/>
      <c r="CU205" s="90"/>
      <c r="CV205" s="90"/>
      <c r="CW205" s="90"/>
      <c r="CX205" s="90"/>
      <c r="CY205" s="90"/>
      <c r="CZ205" s="90"/>
      <c r="DA205" s="117"/>
      <c r="DB205" s="117"/>
      <c r="DC205" s="117"/>
      <c r="DD205" s="117"/>
      <c r="DE205" s="117"/>
      <c r="DF205" s="117"/>
      <c r="DG205" s="117"/>
      <c r="DH205" s="117"/>
      <c r="DI205" s="117"/>
      <c r="DJ205" s="117"/>
      <c r="DK205" s="117"/>
      <c r="DL205" s="117"/>
      <c r="DM205" s="117"/>
      <c r="DN205" s="117"/>
      <c r="DO205" s="117"/>
      <c r="DP205" s="117"/>
      <c r="DQ205" s="117"/>
      <c r="DR205" s="117"/>
      <c r="DS205" s="117"/>
      <c r="DT205" s="117"/>
      <c r="DU205" s="117"/>
      <c r="DV205" s="117"/>
      <c r="DW205" s="117"/>
      <c r="DX205" s="117"/>
      <c r="DY205" s="117"/>
      <c r="DZ205" s="117"/>
      <c r="EA205" s="117"/>
      <c r="EB205" s="117"/>
      <c r="EC205" s="117"/>
      <c r="ED205" s="117"/>
      <c r="EE205" s="117"/>
      <c r="EF205" s="117"/>
      <c r="EG205" s="117"/>
      <c r="EH205" s="117"/>
      <c r="EI205" s="117"/>
      <c r="EJ205" s="89"/>
      <c r="EK205" s="89"/>
      <c r="EL205" s="89"/>
      <c r="EM205" s="89"/>
      <c r="EN205" s="89"/>
      <c r="EO205" s="89"/>
      <c r="EP205" s="89"/>
      <c r="EQ205" s="89"/>
      <c r="ER205" s="89"/>
      <c r="ES205" s="89"/>
      <c r="ET205" s="89"/>
      <c r="EU205" s="89"/>
      <c r="EV205" s="89"/>
      <c r="EW205" s="89"/>
      <c r="EX205" s="89"/>
      <c r="EY205" s="89"/>
      <c r="EZ205" s="89"/>
      <c r="FA205" s="89"/>
      <c r="FB205" s="89"/>
      <c r="FC205" s="89"/>
      <c r="FD205" s="89"/>
      <c r="FE205" s="89"/>
      <c r="FF205" s="89"/>
      <c r="FG205" s="89"/>
      <c r="FH205" s="89"/>
      <c r="FI205" s="89"/>
      <c r="FJ205" s="89"/>
      <c r="FK205" s="89"/>
      <c r="FL205" s="89"/>
      <c r="FM205" s="89"/>
      <c r="FN205" s="89"/>
      <c r="FO205" s="89"/>
      <c r="FP205" s="89"/>
      <c r="FQ205" s="89"/>
      <c r="FR205" s="89"/>
      <c r="FS205" s="89"/>
    </row>
    <row r="206" spans="1:253" s="23" customFormat="1" ht="5.25" customHeight="1">
      <c r="A206" s="1808"/>
      <c r="B206" s="416"/>
      <c r="C206" s="16"/>
      <c r="D206" s="16"/>
      <c r="E206" s="16"/>
      <c r="F206" s="16"/>
      <c r="G206" s="21"/>
      <c r="H206" s="21"/>
      <c r="I206" s="16"/>
      <c r="J206" s="16"/>
      <c r="K206" s="16"/>
      <c r="L206" s="16"/>
      <c r="M206" s="16"/>
      <c r="N206" s="21"/>
      <c r="O206" s="196"/>
      <c r="P206" s="921"/>
      <c r="Q206" s="989">
        <v>1</v>
      </c>
      <c r="R206" s="131"/>
      <c r="S206" s="131"/>
      <c r="T206" s="131"/>
      <c r="U206" s="131"/>
      <c r="V206" s="131"/>
      <c r="W206" s="132"/>
      <c r="X206" s="126"/>
      <c r="Y206" s="126"/>
      <c r="Z206" s="126"/>
      <c r="AA206" s="126"/>
      <c r="AB206" s="126"/>
      <c r="AC206" s="126"/>
      <c r="AD206" s="126"/>
      <c r="AE206" s="126"/>
      <c r="AF206" s="127"/>
      <c r="AG206" s="127"/>
      <c r="AH206" s="127"/>
      <c r="AI206" s="127"/>
      <c r="AJ206" s="127"/>
      <c r="AK206" s="127"/>
      <c r="AL206" s="127"/>
      <c r="AM206" s="127"/>
      <c r="AN206" s="127"/>
      <c r="AO206" s="127"/>
      <c r="AP206" s="127"/>
      <c r="AQ206" s="127"/>
      <c r="AR206" s="127"/>
      <c r="AS206" s="128"/>
      <c r="AT206" s="128"/>
      <c r="AU206" s="128"/>
      <c r="AV206" s="128"/>
      <c r="AW206" s="90"/>
      <c r="AX206" s="90"/>
      <c r="AY206" s="90"/>
      <c r="AZ206" s="90"/>
      <c r="BA206" s="90"/>
      <c r="BB206" s="90"/>
      <c r="BC206" s="90"/>
      <c r="BD206" s="90"/>
      <c r="BE206" s="90"/>
      <c r="BF206" s="90"/>
      <c r="BG206" s="90"/>
      <c r="BH206" s="90"/>
      <c r="BI206" s="90"/>
      <c r="BJ206" s="90"/>
      <c r="BK206" s="90"/>
      <c r="BL206" s="90"/>
      <c r="BM206" s="90"/>
      <c r="BN206" s="90"/>
      <c r="BO206" s="90"/>
      <c r="BP206" s="90"/>
      <c r="BQ206" s="90"/>
      <c r="BR206" s="90"/>
      <c r="BS206" s="90"/>
      <c r="BT206" s="90"/>
      <c r="BU206" s="90"/>
      <c r="BV206" s="90"/>
      <c r="BW206" s="90"/>
      <c r="BX206" s="90"/>
      <c r="BY206" s="90"/>
      <c r="BZ206" s="90"/>
      <c r="CA206" s="90"/>
      <c r="CB206" s="90"/>
      <c r="CC206" s="90"/>
      <c r="CD206" s="90"/>
      <c r="CE206" s="90"/>
      <c r="CF206" s="90"/>
      <c r="CG206" s="90"/>
      <c r="CH206" s="90"/>
      <c r="CI206" s="90"/>
      <c r="CJ206" s="90"/>
      <c r="CK206" s="90"/>
      <c r="CL206" s="90"/>
      <c r="CM206" s="90"/>
      <c r="CN206" s="90"/>
      <c r="CO206" s="90"/>
      <c r="CP206" s="90"/>
      <c r="CQ206" s="90"/>
      <c r="CR206" s="90"/>
      <c r="CS206" s="90"/>
      <c r="CT206" s="90"/>
      <c r="CU206" s="90"/>
      <c r="CV206" s="90"/>
      <c r="CW206" s="90"/>
      <c r="CX206" s="90"/>
      <c r="CY206" s="90"/>
      <c r="CZ206" s="90"/>
      <c r="DA206" s="117"/>
      <c r="DB206" s="117"/>
      <c r="DC206" s="117"/>
      <c r="DD206" s="117"/>
      <c r="DE206" s="117"/>
      <c r="DF206" s="117"/>
      <c r="DG206" s="117"/>
      <c r="DH206" s="117"/>
      <c r="DI206" s="117"/>
      <c r="DJ206" s="117"/>
      <c r="DK206" s="117"/>
      <c r="DL206" s="117"/>
      <c r="DM206" s="117"/>
      <c r="DN206" s="117"/>
      <c r="DO206" s="117"/>
      <c r="DP206" s="117"/>
      <c r="DQ206" s="117"/>
      <c r="DR206" s="117"/>
      <c r="DS206" s="117"/>
      <c r="DT206" s="117"/>
      <c r="DU206" s="117"/>
      <c r="DV206" s="117"/>
      <c r="DW206" s="117"/>
      <c r="DX206" s="117"/>
      <c r="DY206" s="117"/>
      <c r="DZ206" s="117"/>
      <c r="EA206" s="117"/>
      <c r="EB206" s="117"/>
      <c r="EC206" s="117"/>
      <c r="ED206" s="117"/>
      <c r="EE206" s="117"/>
      <c r="EF206" s="117"/>
      <c r="EG206" s="117"/>
      <c r="EH206" s="117"/>
      <c r="EI206" s="117"/>
      <c r="EJ206" s="89"/>
      <c r="EK206" s="89"/>
      <c r="EL206" s="89"/>
      <c r="EM206" s="89"/>
      <c r="EN206" s="89"/>
      <c r="EO206" s="89"/>
      <c r="EP206" s="89"/>
      <c r="EQ206" s="89"/>
      <c r="ER206" s="89"/>
      <c r="ES206" s="89"/>
      <c r="ET206" s="89"/>
      <c r="EU206" s="89"/>
      <c r="EV206" s="89"/>
      <c r="EW206" s="89"/>
      <c r="EX206" s="89"/>
      <c r="EY206" s="89"/>
      <c r="EZ206" s="89"/>
      <c r="FA206" s="89"/>
      <c r="FB206" s="89"/>
      <c r="FC206" s="89"/>
      <c r="FD206" s="89"/>
      <c r="FE206" s="89"/>
      <c r="FF206" s="89"/>
      <c r="FG206" s="89"/>
      <c r="FH206" s="89"/>
      <c r="FI206" s="89"/>
      <c r="FJ206" s="89"/>
      <c r="FK206" s="89"/>
      <c r="FL206" s="89"/>
      <c r="FM206" s="89"/>
      <c r="FN206" s="89"/>
      <c r="FO206" s="89"/>
      <c r="FP206" s="89"/>
      <c r="FQ206" s="89"/>
      <c r="FR206" s="89"/>
      <c r="FS206" s="89"/>
    </row>
    <row r="207" spans="1:253" s="23" customFormat="1" ht="15.9" customHeight="1">
      <c r="A207" s="1808"/>
      <c r="B207" s="416" t="s">
        <v>184</v>
      </c>
      <c r="C207" s="16" t="str">
        <f>IF(INDEX(Eingabedaten!$FV$10:$GE$54,nutzid,MATCH($B207,Eingabedaten!$FV$7:$GZ$7,0))=0,"",INDEX(Eingabedaten!$FV$10:$GE$54,nutzid,MATCH($B207,Eingabedaten!$FV$7:$GZ$7,0)))</f>
        <v/>
      </c>
      <c r="D207" s="16"/>
      <c r="E207" s="16"/>
      <c r="F207" s="16"/>
      <c r="G207" s="21"/>
      <c r="H207" s="21"/>
      <c r="I207" s="16"/>
      <c r="J207" s="16"/>
      <c r="K207" s="16"/>
      <c r="L207" s="16"/>
      <c r="M207" s="16"/>
      <c r="N207" s="21"/>
      <c r="O207" s="196"/>
      <c r="P207" s="921"/>
      <c r="Q207" s="989">
        <v>1</v>
      </c>
      <c r="R207" s="131"/>
      <c r="S207" s="131"/>
      <c r="T207" s="131"/>
      <c r="U207" s="131"/>
      <c r="V207" s="131"/>
      <c r="W207" s="132"/>
      <c r="X207" s="126"/>
      <c r="Y207" s="126"/>
      <c r="Z207" s="126"/>
      <c r="AA207" s="126"/>
      <c r="AB207" s="126"/>
      <c r="AC207" s="126"/>
      <c r="AD207" s="126"/>
      <c r="AE207" s="126"/>
      <c r="AF207" s="127"/>
      <c r="AG207" s="127"/>
      <c r="AH207" s="127"/>
      <c r="AI207" s="127"/>
      <c r="AJ207" s="127"/>
      <c r="AK207" s="127"/>
      <c r="AL207" s="127"/>
      <c r="AM207" s="127"/>
      <c r="AN207" s="127"/>
      <c r="AO207" s="127"/>
      <c r="AP207" s="127"/>
      <c r="AQ207" s="127"/>
      <c r="AR207" s="127"/>
      <c r="AS207" s="128"/>
      <c r="AT207" s="128"/>
      <c r="AU207" s="128"/>
      <c r="AV207" s="128"/>
      <c r="AW207" s="90"/>
      <c r="AX207" s="90"/>
      <c r="AY207" s="90"/>
      <c r="AZ207" s="90"/>
      <c r="BA207" s="90"/>
      <c r="BB207" s="90"/>
      <c r="BC207" s="90"/>
      <c r="BD207" s="90"/>
      <c r="BE207" s="90"/>
      <c r="BF207" s="90"/>
      <c r="BG207" s="90"/>
      <c r="BH207" s="90"/>
      <c r="BI207" s="90"/>
      <c r="BJ207" s="90"/>
      <c r="BK207" s="90"/>
      <c r="BL207" s="90"/>
      <c r="BM207" s="90"/>
      <c r="BN207" s="90"/>
      <c r="BO207" s="90"/>
      <c r="BP207" s="90"/>
      <c r="BQ207" s="90"/>
      <c r="BR207" s="90"/>
      <c r="BS207" s="90"/>
      <c r="BT207" s="90"/>
      <c r="BU207" s="90"/>
      <c r="BV207" s="90"/>
      <c r="BW207" s="90"/>
      <c r="BX207" s="90"/>
      <c r="BY207" s="90"/>
      <c r="BZ207" s="90"/>
      <c r="CA207" s="90"/>
      <c r="CB207" s="90"/>
      <c r="CC207" s="90"/>
      <c r="CD207" s="90"/>
      <c r="CE207" s="90"/>
      <c r="CF207" s="90"/>
      <c r="CG207" s="90"/>
      <c r="CH207" s="90"/>
      <c r="CI207" s="90"/>
      <c r="CJ207" s="90"/>
      <c r="CK207" s="90"/>
      <c r="CL207" s="90"/>
      <c r="CM207" s="90"/>
      <c r="CN207" s="90"/>
      <c r="CO207" s="90"/>
      <c r="CP207" s="90"/>
      <c r="CQ207" s="90"/>
      <c r="CR207" s="90"/>
      <c r="CS207" s="90"/>
      <c r="CT207" s="90"/>
      <c r="CU207" s="90"/>
      <c r="CV207" s="90"/>
      <c r="CW207" s="90"/>
      <c r="CX207" s="90"/>
      <c r="CY207" s="90"/>
      <c r="CZ207" s="90"/>
      <c r="DA207" s="117"/>
      <c r="DB207" s="117"/>
      <c r="DC207" s="117"/>
      <c r="DD207" s="117"/>
      <c r="DE207" s="117"/>
      <c r="DF207" s="117"/>
      <c r="DG207" s="117"/>
      <c r="DH207" s="117"/>
      <c r="DI207" s="117"/>
      <c r="DJ207" s="117"/>
      <c r="DK207" s="117"/>
      <c r="DL207" s="117"/>
      <c r="DM207" s="117"/>
      <c r="DN207" s="117"/>
      <c r="DO207" s="117"/>
      <c r="DP207" s="117"/>
      <c r="DQ207" s="117"/>
      <c r="DR207" s="117"/>
      <c r="DS207" s="117"/>
      <c r="DT207" s="117"/>
      <c r="DU207" s="117"/>
      <c r="DV207" s="117"/>
      <c r="DW207" s="117"/>
      <c r="DX207" s="117"/>
      <c r="DY207" s="117"/>
      <c r="DZ207" s="117"/>
      <c r="EA207" s="117"/>
      <c r="EB207" s="117"/>
      <c r="EC207" s="117"/>
      <c r="ED207" s="117"/>
      <c r="EE207" s="117"/>
      <c r="EF207" s="117"/>
      <c r="EG207" s="117"/>
      <c r="EH207" s="117"/>
      <c r="EI207" s="117"/>
      <c r="EJ207" s="89"/>
      <c r="EK207" s="89"/>
      <c r="EL207" s="89"/>
      <c r="EM207" s="89"/>
      <c r="EN207" s="89"/>
      <c r="EO207" s="89"/>
      <c r="EP207" s="89"/>
      <c r="EQ207" s="89"/>
      <c r="ER207" s="89"/>
      <c r="ES207" s="89"/>
      <c r="ET207" s="89"/>
      <c r="EU207" s="89"/>
      <c r="EV207" s="89"/>
      <c r="EW207" s="89"/>
      <c r="EX207" s="89"/>
      <c r="EY207" s="89"/>
      <c r="EZ207" s="89"/>
      <c r="FA207" s="89"/>
      <c r="FB207" s="89"/>
      <c r="FC207" s="89"/>
      <c r="FD207" s="89"/>
      <c r="FE207" s="89"/>
      <c r="FF207" s="89"/>
      <c r="FG207" s="89"/>
      <c r="FH207" s="89"/>
      <c r="FI207" s="89"/>
      <c r="FJ207" s="89"/>
      <c r="FK207" s="89"/>
      <c r="FL207" s="89"/>
      <c r="FM207" s="89"/>
      <c r="FN207" s="89"/>
      <c r="FO207" s="89"/>
      <c r="FP207" s="89"/>
      <c r="FQ207" s="89"/>
      <c r="FR207" s="89"/>
      <c r="FS207" s="89"/>
    </row>
    <row r="208" spans="1:253" s="23" customFormat="1" ht="5.25" customHeight="1">
      <c r="A208" s="1808"/>
      <c r="B208" s="416"/>
      <c r="C208" s="16"/>
      <c r="D208" s="16"/>
      <c r="E208" s="16"/>
      <c r="F208" s="16"/>
      <c r="G208" s="21"/>
      <c r="H208" s="21"/>
      <c r="I208" s="16"/>
      <c r="J208" s="16"/>
      <c r="K208" s="16"/>
      <c r="L208" s="16"/>
      <c r="M208" s="16"/>
      <c r="N208" s="21"/>
      <c r="O208" s="196"/>
      <c r="P208" s="921"/>
      <c r="Q208" s="989">
        <v>1</v>
      </c>
      <c r="R208" s="131"/>
      <c r="S208" s="131"/>
      <c r="T208" s="131"/>
      <c r="U208" s="131"/>
      <c r="V208" s="131"/>
      <c r="W208" s="132"/>
      <c r="X208" s="126"/>
      <c r="Y208" s="126"/>
      <c r="Z208" s="126"/>
      <c r="AA208" s="126"/>
      <c r="AB208" s="126"/>
      <c r="AC208" s="126"/>
      <c r="AD208" s="126"/>
      <c r="AE208" s="126"/>
      <c r="AF208" s="127"/>
      <c r="AG208" s="127"/>
      <c r="AH208" s="127"/>
      <c r="AI208" s="127"/>
      <c r="AJ208" s="127"/>
      <c r="AK208" s="127"/>
      <c r="AL208" s="127"/>
      <c r="AM208" s="127"/>
      <c r="AN208" s="127"/>
      <c r="AO208" s="127"/>
      <c r="AP208" s="127"/>
      <c r="AQ208" s="127"/>
      <c r="AR208" s="127"/>
      <c r="AS208" s="128"/>
      <c r="AT208" s="128"/>
      <c r="AU208" s="128"/>
      <c r="AV208" s="128"/>
      <c r="AW208" s="90"/>
      <c r="AX208" s="90"/>
      <c r="AY208" s="90"/>
      <c r="AZ208" s="90"/>
      <c r="BA208" s="90"/>
      <c r="BB208" s="90"/>
      <c r="BC208" s="90"/>
      <c r="BD208" s="90"/>
      <c r="BE208" s="90"/>
      <c r="BF208" s="90"/>
      <c r="BG208" s="90"/>
      <c r="BH208" s="90"/>
      <c r="BI208" s="90"/>
      <c r="BJ208" s="90"/>
      <c r="BK208" s="90"/>
      <c r="BL208" s="90"/>
      <c r="BM208" s="90"/>
      <c r="BN208" s="90"/>
      <c r="BO208" s="90"/>
      <c r="BP208" s="90"/>
      <c r="BQ208" s="90"/>
      <c r="BR208" s="90"/>
      <c r="BS208" s="90"/>
      <c r="BT208" s="90"/>
      <c r="BU208" s="90"/>
      <c r="BV208" s="90"/>
      <c r="BW208" s="90"/>
      <c r="BX208" s="90"/>
      <c r="BY208" s="90"/>
      <c r="BZ208" s="90"/>
      <c r="CA208" s="90"/>
      <c r="CB208" s="90"/>
      <c r="CC208" s="90"/>
      <c r="CD208" s="90"/>
      <c r="CE208" s="90"/>
      <c r="CF208" s="90"/>
      <c r="CG208" s="90"/>
      <c r="CH208" s="90"/>
      <c r="CI208" s="90"/>
      <c r="CJ208" s="90"/>
      <c r="CK208" s="90"/>
      <c r="CL208" s="90"/>
      <c r="CM208" s="90"/>
      <c r="CN208" s="90"/>
      <c r="CO208" s="90"/>
      <c r="CP208" s="90"/>
      <c r="CQ208" s="90"/>
      <c r="CR208" s="90"/>
      <c r="CS208" s="90"/>
      <c r="CT208" s="90"/>
      <c r="CU208" s="90"/>
      <c r="CV208" s="90"/>
      <c r="CW208" s="90"/>
      <c r="CX208" s="90"/>
      <c r="CY208" s="90"/>
      <c r="CZ208" s="90"/>
      <c r="DA208" s="117"/>
      <c r="DB208" s="117"/>
      <c r="DC208" s="117"/>
      <c r="DD208" s="117"/>
      <c r="DE208" s="117"/>
      <c r="DF208" s="117"/>
      <c r="DG208" s="117"/>
      <c r="DH208" s="117"/>
      <c r="DI208" s="117"/>
      <c r="DJ208" s="117"/>
      <c r="DK208" s="117"/>
      <c r="DL208" s="117"/>
      <c r="DM208" s="117"/>
      <c r="DN208" s="117"/>
      <c r="DO208" s="117"/>
      <c r="DP208" s="117"/>
      <c r="DQ208" s="117"/>
      <c r="DR208" s="117"/>
      <c r="DS208" s="117"/>
      <c r="DT208" s="117"/>
      <c r="DU208" s="117"/>
      <c r="DV208" s="117"/>
      <c r="DW208" s="117"/>
      <c r="DX208" s="117"/>
      <c r="DY208" s="117"/>
      <c r="DZ208" s="117"/>
      <c r="EA208" s="117"/>
      <c r="EB208" s="117"/>
      <c r="EC208" s="117"/>
      <c r="ED208" s="117"/>
      <c r="EE208" s="117"/>
      <c r="EF208" s="117"/>
      <c r="EG208" s="117"/>
      <c r="EH208" s="117"/>
      <c r="EI208" s="117"/>
      <c r="EJ208" s="89"/>
      <c r="EK208" s="89"/>
      <c r="EL208" s="89"/>
      <c r="EM208" s="89"/>
      <c r="EN208" s="89"/>
      <c r="EO208" s="89"/>
      <c r="EP208" s="89"/>
      <c r="EQ208" s="89"/>
      <c r="ER208" s="89"/>
      <c r="ES208" s="89"/>
      <c r="ET208" s="89"/>
      <c r="EU208" s="89"/>
      <c r="EV208" s="89"/>
      <c r="EW208" s="89"/>
      <c r="EX208" s="89"/>
      <c r="EY208" s="89"/>
      <c r="EZ208" s="89"/>
      <c r="FA208" s="89"/>
      <c r="FB208" s="89"/>
      <c r="FC208" s="89"/>
      <c r="FD208" s="89"/>
      <c r="FE208" s="89"/>
      <c r="FF208" s="89"/>
      <c r="FG208" s="89"/>
      <c r="FH208" s="89"/>
      <c r="FI208" s="89"/>
      <c r="FJ208" s="89"/>
      <c r="FK208" s="89"/>
      <c r="FL208" s="89"/>
      <c r="FM208" s="89"/>
      <c r="FN208" s="89"/>
      <c r="FO208" s="89"/>
      <c r="FP208" s="89"/>
      <c r="FQ208" s="89"/>
      <c r="FR208" s="89"/>
      <c r="FS208" s="89"/>
    </row>
    <row r="209" spans="1:175" s="23" customFormat="1" ht="15.9" customHeight="1">
      <c r="A209" s="1808"/>
      <c r="B209" s="416" t="s">
        <v>185</v>
      </c>
      <c r="C209" s="16" t="str">
        <f>IF(INDEX(Eingabedaten!$FV$10:$GE$54,nutzid,MATCH($B209,Eingabedaten!$FV$7:$GZ$7,0))=0,"",INDEX(Eingabedaten!$FV$10:$GE$54,nutzid,MATCH($B209,Eingabedaten!$FV$7:$GZ$7,0)))</f>
        <v/>
      </c>
      <c r="D209" s="16"/>
      <c r="E209" s="16"/>
      <c r="F209" s="16"/>
      <c r="G209" s="21"/>
      <c r="H209" s="21"/>
      <c r="I209" s="16"/>
      <c r="J209" s="16"/>
      <c r="K209" s="16"/>
      <c r="L209" s="16"/>
      <c r="M209" s="16"/>
      <c r="N209" s="21"/>
      <c r="O209" s="196"/>
      <c r="P209" s="921"/>
      <c r="Q209" s="989">
        <v>1</v>
      </c>
      <c r="R209" s="131"/>
      <c r="S209" s="131"/>
      <c r="T209" s="131"/>
      <c r="U209" s="131"/>
      <c r="V209" s="131"/>
      <c r="W209" s="132"/>
      <c r="X209" s="126"/>
      <c r="Y209" s="126"/>
      <c r="Z209" s="126"/>
      <c r="AA209" s="126"/>
      <c r="AB209" s="126"/>
      <c r="AC209" s="126"/>
      <c r="AD209" s="126"/>
      <c r="AE209" s="126"/>
      <c r="AF209" s="127"/>
      <c r="AG209" s="127"/>
      <c r="AH209" s="127"/>
      <c r="AI209" s="127"/>
      <c r="AJ209" s="127"/>
      <c r="AK209" s="127"/>
      <c r="AL209" s="127"/>
      <c r="AM209" s="127"/>
      <c r="AN209" s="127"/>
      <c r="AO209" s="127"/>
      <c r="AP209" s="127"/>
      <c r="AQ209" s="127"/>
      <c r="AR209" s="127"/>
      <c r="AS209" s="128"/>
      <c r="AT209" s="128"/>
      <c r="AU209" s="128"/>
      <c r="AV209" s="128"/>
      <c r="AW209" s="90"/>
      <c r="AX209" s="90"/>
      <c r="AY209" s="90"/>
      <c r="AZ209" s="90"/>
      <c r="BA209" s="90"/>
      <c r="BB209" s="90"/>
      <c r="BC209" s="90"/>
      <c r="BD209" s="90"/>
      <c r="BE209" s="90"/>
      <c r="BF209" s="90"/>
      <c r="BG209" s="90"/>
      <c r="BH209" s="90"/>
      <c r="BI209" s="90"/>
      <c r="BJ209" s="90"/>
      <c r="BK209" s="90"/>
      <c r="BL209" s="90"/>
      <c r="BM209" s="90"/>
      <c r="BN209" s="90"/>
      <c r="BO209" s="90"/>
      <c r="BP209" s="90"/>
      <c r="BQ209" s="90"/>
      <c r="BR209" s="90"/>
      <c r="BS209" s="90"/>
      <c r="BT209" s="90"/>
      <c r="BU209" s="90"/>
      <c r="BV209" s="90"/>
      <c r="BW209" s="90"/>
      <c r="BX209" s="90"/>
      <c r="BY209" s="90"/>
      <c r="BZ209" s="90"/>
      <c r="CA209" s="90"/>
      <c r="CB209" s="90"/>
      <c r="CC209" s="90"/>
      <c r="CD209" s="90"/>
      <c r="CE209" s="90"/>
      <c r="CF209" s="90"/>
      <c r="CG209" s="90"/>
      <c r="CH209" s="90"/>
      <c r="CI209" s="90"/>
      <c r="CJ209" s="90"/>
      <c r="CK209" s="90"/>
      <c r="CL209" s="90"/>
      <c r="CM209" s="90"/>
      <c r="CN209" s="90"/>
      <c r="CO209" s="90"/>
      <c r="CP209" s="90"/>
      <c r="CQ209" s="90"/>
      <c r="CR209" s="90"/>
      <c r="CS209" s="90"/>
      <c r="CT209" s="90"/>
      <c r="CU209" s="90"/>
      <c r="CV209" s="90"/>
      <c r="CW209" s="90"/>
      <c r="CX209" s="90"/>
      <c r="CY209" s="90"/>
      <c r="CZ209" s="90"/>
      <c r="DA209" s="117"/>
      <c r="DB209" s="117"/>
      <c r="DC209" s="117"/>
      <c r="DD209" s="117"/>
      <c r="DE209" s="117"/>
      <c r="DF209" s="117"/>
      <c r="DG209" s="117"/>
      <c r="DH209" s="117"/>
      <c r="DI209" s="117"/>
      <c r="DJ209" s="117"/>
      <c r="DK209" s="117"/>
      <c r="DL209" s="117"/>
      <c r="DM209" s="117"/>
      <c r="DN209" s="117"/>
      <c r="DO209" s="117"/>
      <c r="DP209" s="117"/>
      <c r="DQ209" s="117"/>
      <c r="DR209" s="117"/>
      <c r="DS209" s="117"/>
      <c r="DT209" s="117"/>
      <c r="DU209" s="117"/>
      <c r="DV209" s="117"/>
      <c r="DW209" s="117"/>
      <c r="DX209" s="117"/>
      <c r="DY209" s="117"/>
      <c r="DZ209" s="117"/>
      <c r="EA209" s="117"/>
      <c r="EB209" s="117"/>
      <c r="EC209" s="117"/>
      <c r="ED209" s="117"/>
      <c r="EE209" s="117"/>
      <c r="EF209" s="117"/>
      <c r="EG209" s="117"/>
      <c r="EH209" s="117"/>
      <c r="EI209" s="117"/>
      <c r="EJ209" s="89"/>
      <c r="EK209" s="89"/>
      <c r="EL209" s="89"/>
      <c r="EM209" s="89"/>
      <c r="EN209" s="89"/>
      <c r="EO209" s="89"/>
      <c r="EP209" s="89"/>
      <c r="EQ209" s="89"/>
      <c r="ER209" s="89"/>
      <c r="ES209" s="89"/>
      <c r="ET209" s="89"/>
      <c r="EU209" s="89"/>
      <c r="EV209" s="89"/>
      <c r="EW209" s="89"/>
      <c r="EX209" s="89"/>
      <c r="EY209" s="89"/>
      <c r="EZ209" s="89"/>
      <c r="FA209" s="89"/>
      <c r="FB209" s="89"/>
      <c r="FC209" s="89"/>
      <c r="FD209" s="89"/>
      <c r="FE209" s="89"/>
      <c r="FF209" s="89"/>
      <c r="FG209" s="89"/>
      <c r="FH209" s="89"/>
      <c r="FI209" s="89"/>
      <c r="FJ209" s="89"/>
      <c r="FK209" s="89"/>
      <c r="FL209" s="89"/>
      <c r="FM209" s="89"/>
      <c r="FN209" s="89"/>
      <c r="FO209" s="89"/>
      <c r="FP209" s="89"/>
      <c r="FQ209" s="89"/>
      <c r="FR209" s="89"/>
      <c r="FS209" s="89"/>
    </row>
    <row r="210" spans="1:175" s="23" customFormat="1" ht="5.25" customHeight="1">
      <c r="A210" s="172"/>
      <c r="B210" s="416"/>
      <c r="C210" s="16"/>
      <c r="D210" s="16"/>
      <c r="E210" s="16"/>
      <c r="F210" s="16"/>
      <c r="G210" s="21"/>
      <c r="H210" s="21"/>
      <c r="I210" s="16"/>
      <c r="J210" s="16"/>
      <c r="K210" s="16"/>
      <c r="L210" s="16"/>
      <c r="M210" s="16"/>
      <c r="N210" s="21"/>
      <c r="O210" s="220"/>
      <c r="P210" s="921"/>
      <c r="Q210" s="989">
        <v>1</v>
      </c>
      <c r="R210" s="131"/>
      <c r="S210" s="131"/>
      <c r="T210" s="131"/>
      <c r="U210" s="131"/>
      <c r="V210" s="131"/>
      <c r="W210" s="132"/>
      <c r="X210" s="126"/>
      <c r="Y210" s="126"/>
      <c r="Z210" s="126"/>
      <c r="AA210" s="126"/>
      <c r="AB210" s="126"/>
      <c r="AC210" s="126"/>
      <c r="AD210" s="126"/>
      <c r="AE210" s="126"/>
      <c r="AF210" s="127"/>
      <c r="AG210" s="127"/>
      <c r="AH210" s="127"/>
      <c r="AI210" s="127"/>
      <c r="AJ210" s="127"/>
      <c r="AK210" s="127"/>
      <c r="AL210" s="127"/>
      <c r="AM210" s="127"/>
      <c r="AN210" s="127"/>
      <c r="AO210" s="127"/>
      <c r="AP210" s="127"/>
      <c r="AQ210" s="127"/>
      <c r="AR210" s="127"/>
      <c r="AS210" s="128"/>
      <c r="AT210" s="128"/>
      <c r="AU210" s="128"/>
      <c r="AV210" s="128"/>
      <c r="AW210" s="90"/>
      <c r="AX210" s="90"/>
      <c r="AY210" s="90"/>
      <c r="AZ210" s="90"/>
      <c r="BA210" s="90"/>
      <c r="BB210" s="90"/>
      <c r="BC210" s="90"/>
      <c r="BD210" s="90"/>
      <c r="BE210" s="90"/>
      <c r="BF210" s="90"/>
      <c r="BG210" s="90"/>
      <c r="BH210" s="90"/>
      <c r="BI210" s="90"/>
      <c r="BJ210" s="90"/>
      <c r="BK210" s="90"/>
      <c r="BL210" s="90"/>
      <c r="BM210" s="90"/>
      <c r="BN210" s="90"/>
      <c r="BO210" s="90"/>
      <c r="BP210" s="90"/>
      <c r="BQ210" s="90"/>
      <c r="BR210" s="90"/>
      <c r="BS210" s="90"/>
      <c r="BT210" s="90"/>
      <c r="BU210" s="90"/>
      <c r="BV210" s="90"/>
      <c r="BW210" s="90"/>
      <c r="BX210" s="90"/>
      <c r="BY210" s="90"/>
      <c r="BZ210" s="90"/>
      <c r="CA210" s="90"/>
      <c r="CB210" s="90"/>
      <c r="CC210" s="90"/>
      <c r="CD210" s="90"/>
      <c r="CE210" s="90"/>
      <c r="CF210" s="90"/>
      <c r="CG210" s="90"/>
      <c r="CH210" s="90"/>
      <c r="CI210" s="90"/>
      <c r="CJ210" s="90"/>
      <c r="CK210" s="90"/>
      <c r="CL210" s="90"/>
      <c r="CM210" s="90"/>
      <c r="CN210" s="90"/>
      <c r="CO210" s="90"/>
      <c r="CP210" s="90"/>
      <c r="CQ210" s="90"/>
      <c r="CR210" s="90"/>
      <c r="CS210" s="90"/>
      <c r="CT210" s="90"/>
      <c r="CU210" s="90"/>
      <c r="CV210" s="90"/>
      <c r="CW210" s="90"/>
      <c r="CX210" s="90"/>
      <c r="CY210" s="90"/>
      <c r="CZ210" s="90"/>
      <c r="DA210" s="117"/>
      <c r="DB210" s="117"/>
      <c r="DC210" s="117"/>
      <c r="DD210" s="117"/>
      <c r="DE210" s="117"/>
      <c r="DF210" s="117"/>
      <c r="DG210" s="117"/>
      <c r="DH210" s="117"/>
      <c r="DI210" s="117"/>
      <c r="DJ210" s="117"/>
      <c r="DK210" s="117"/>
      <c r="DL210" s="117"/>
      <c r="DM210" s="117"/>
      <c r="DN210" s="117"/>
      <c r="DO210" s="117"/>
      <c r="DP210" s="117"/>
      <c r="DQ210" s="117"/>
      <c r="DR210" s="117"/>
      <c r="DS210" s="117"/>
      <c r="DT210" s="117"/>
      <c r="DU210" s="117"/>
      <c r="DV210" s="117"/>
      <c r="DW210" s="117"/>
      <c r="DX210" s="117"/>
      <c r="DY210" s="117"/>
      <c r="DZ210" s="117"/>
      <c r="EA210" s="117"/>
      <c r="EB210" s="117"/>
      <c r="EC210" s="117"/>
      <c r="ED210" s="117"/>
      <c r="EE210" s="117"/>
      <c r="EF210" s="117"/>
      <c r="EG210" s="117"/>
      <c r="EH210" s="117"/>
      <c r="EI210" s="117"/>
      <c r="EJ210" s="89"/>
      <c r="EK210" s="89"/>
      <c r="EL210" s="89"/>
      <c r="EM210" s="89"/>
      <c r="EN210" s="89"/>
      <c r="EO210" s="89"/>
      <c r="EP210" s="89"/>
      <c r="EQ210" s="89"/>
      <c r="ER210" s="89"/>
      <c r="ES210" s="89"/>
      <c r="ET210" s="89"/>
      <c r="EU210" s="89"/>
      <c r="EV210" s="89"/>
      <c r="EW210" s="89"/>
      <c r="EX210" s="89"/>
      <c r="EY210" s="89"/>
      <c r="EZ210" s="89"/>
      <c r="FA210" s="89"/>
      <c r="FB210" s="89"/>
      <c r="FC210" s="89"/>
      <c r="FD210" s="89"/>
      <c r="FE210" s="89"/>
      <c r="FF210" s="89"/>
      <c r="FG210" s="89"/>
      <c r="FH210" s="89"/>
      <c r="FI210" s="89"/>
      <c r="FJ210" s="89"/>
      <c r="FK210" s="89"/>
      <c r="FL210" s="89"/>
      <c r="FM210" s="89"/>
      <c r="FN210" s="89"/>
      <c r="FO210" s="89"/>
      <c r="FP210" s="89"/>
      <c r="FQ210" s="89"/>
      <c r="FR210" s="89"/>
      <c r="FS210" s="89"/>
    </row>
    <row r="211" spans="1:175" s="23" customFormat="1" ht="2.1" customHeight="1">
      <c r="A211" s="198"/>
      <c r="B211" s="1142" t="s">
        <v>26</v>
      </c>
      <c r="C211" s="230" t="s">
        <v>26</v>
      </c>
      <c r="D211" s="200"/>
      <c r="E211" s="200"/>
      <c r="F211" s="200"/>
      <c r="G211" s="200"/>
      <c r="H211" s="200"/>
      <c r="I211" s="201"/>
      <c r="J211" s="200"/>
      <c r="K211" s="200"/>
      <c r="L211" s="202"/>
      <c r="M211" s="202"/>
      <c r="N211" s="997"/>
      <c r="O211" s="998"/>
      <c r="P211" s="493"/>
      <c r="Q211" s="494"/>
      <c r="R211" s="131"/>
      <c r="S211" s="131"/>
      <c r="T211" s="131"/>
      <c r="U211" s="131"/>
      <c r="V211" s="131"/>
      <c r="W211" s="132"/>
      <c r="X211" s="126"/>
      <c r="Y211" s="126"/>
      <c r="Z211" s="126"/>
      <c r="AA211" s="126"/>
      <c r="AB211" s="126"/>
      <c r="AC211" s="126"/>
      <c r="AD211" s="126"/>
      <c r="AE211" s="126"/>
      <c r="AF211" s="127"/>
      <c r="AG211" s="127"/>
      <c r="AH211" s="127"/>
      <c r="AI211" s="127"/>
      <c r="AJ211" s="127"/>
      <c r="AK211" s="127"/>
      <c r="AL211" s="127"/>
      <c r="AM211" s="127"/>
      <c r="AN211" s="127"/>
      <c r="AO211" s="127"/>
      <c r="AP211" s="127"/>
      <c r="AQ211" s="127"/>
      <c r="AR211" s="127"/>
      <c r="AS211" s="128"/>
      <c r="AT211" s="128"/>
      <c r="AU211" s="128"/>
      <c r="AV211" s="128"/>
      <c r="AW211" s="90"/>
      <c r="AX211" s="90"/>
      <c r="AY211" s="90"/>
      <c r="AZ211" s="90"/>
      <c r="BA211" s="90"/>
      <c r="BB211" s="90"/>
      <c r="BC211" s="90"/>
      <c r="BD211" s="90"/>
      <c r="BE211" s="90"/>
      <c r="BF211" s="90"/>
      <c r="BG211" s="90"/>
      <c r="BH211" s="90"/>
      <c r="BI211" s="90"/>
      <c r="BJ211" s="90"/>
      <c r="BK211" s="90"/>
      <c r="BL211" s="90"/>
      <c r="BM211" s="90"/>
      <c r="BN211" s="90"/>
      <c r="BO211" s="90"/>
      <c r="BP211" s="90"/>
      <c r="BQ211" s="90"/>
      <c r="BR211" s="90"/>
      <c r="BS211" s="90"/>
      <c r="BT211" s="90"/>
      <c r="BU211" s="90"/>
      <c r="BV211" s="90"/>
      <c r="BW211" s="90"/>
      <c r="BX211" s="90"/>
      <c r="BY211" s="90"/>
      <c r="BZ211" s="90"/>
      <c r="CA211" s="90"/>
      <c r="CB211" s="90"/>
      <c r="CC211" s="90"/>
      <c r="CD211" s="90"/>
      <c r="CE211" s="90"/>
      <c r="CF211" s="90"/>
      <c r="CG211" s="90"/>
      <c r="CH211" s="90"/>
      <c r="CI211" s="90"/>
      <c r="CJ211" s="90"/>
      <c r="CK211" s="90"/>
      <c r="CL211" s="90"/>
      <c r="CM211" s="90"/>
      <c r="CN211" s="90"/>
      <c r="CO211" s="90"/>
      <c r="CP211" s="90"/>
      <c r="CQ211" s="90"/>
      <c r="CR211" s="90"/>
      <c r="CS211" s="90"/>
      <c r="CT211" s="90"/>
      <c r="CU211" s="90"/>
      <c r="CV211" s="90"/>
      <c r="CW211" s="90"/>
      <c r="CX211" s="90"/>
      <c r="CY211" s="90"/>
      <c r="CZ211" s="90"/>
      <c r="DA211" s="117"/>
      <c r="DB211" s="117"/>
      <c r="DC211" s="117"/>
      <c r="DD211" s="117"/>
      <c r="DE211" s="117"/>
      <c r="DF211" s="117"/>
      <c r="DG211" s="117"/>
      <c r="DH211" s="117"/>
      <c r="DI211" s="117"/>
      <c r="DJ211" s="117"/>
      <c r="DK211" s="117"/>
      <c r="DL211" s="117"/>
      <c r="DM211" s="117"/>
      <c r="DN211" s="117"/>
      <c r="DO211" s="117"/>
      <c r="DP211" s="117"/>
      <c r="DQ211" s="117"/>
      <c r="DR211" s="117"/>
      <c r="DS211" s="117"/>
      <c r="DT211" s="117"/>
      <c r="DU211" s="117"/>
      <c r="DV211" s="117"/>
      <c r="DW211" s="117"/>
      <c r="DX211" s="117"/>
      <c r="DY211" s="117"/>
      <c r="DZ211" s="117"/>
      <c r="EA211" s="117"/>
      <c r="EB211" s="117"/>
      <c r="EC211" s="117"/>
      <c r="ED211" s="117"/>
      <c r="EE211" s="117"/>
      <c r="EF211" s="117"/>
      <c r="EG211" s="117"/>
      <c r="EH211" s="117"/>
      <c r="EI211" s="117"/>
      <c r="EJ211" s="89"/>
      <c r="EK211" s="89"/>
      <c r="EL211" s="89"/>
      <c r="EM211" s="89"/>
      <c r="EN211" s="89"/>
      <c r="EO211" s="89"/>
      <c r="EP211" s="89"/>
      <c r="EQ211" s="89"/>
      <c r="ER211" s="89"/>
      <c r="ES211" s="89"/>
      <c r="ET211" s="89"/>
      <c r="EU211" s="89"/>
      <c r="EV211" s="89"/>
      <c r="EW211" s="89"/>
      <c r="EX211" s="89"/>
      <c r="EY211" s="89"/>
      <c r="EZ211" s="89"/>
      <c r="FA211" s="89"/>
      <c r="FB211" s="89"/>
      <c r="FC211" s="89"/>
      <c r="FD211" s="89"/>
      <c r="FE211" s="89"/>
      <c r="FF211" s="89"/>
      <c r="FG211" s="89"/>
      <c r="FH211" s="89"/>
      <c r="FI211" s="89"/>
      <c r="FJ211" s="89"/>
      <c r="FK211" s="89"/>
      <c r="FL211" s="89"/>
      <c r="FM211" s="89"/>
      <c r="FN211" s="89"/>
      <c r="FO211" s="89"/>
      <c r="FP211" s="89"/>
      <c r="FQ211" s="89"/>
      <c r="FR211" s="89"/>
      <c r="FS211" s="89"/>
    </row>
    <row r="212" spans="1:175" s="23" customFormat="1" ht="9.75" customHeight="1">
      <c r="A212" s="242"/>
      <c r="B212" s="1145"/>
      <c r="C212" s="234" t="s">
        <v>26</v>
      </c>
      <c r="D212" s="234" t="s">
        <v>26</v>
      </c>
      <c r="E212" s="234" t="s">
        <v>26</v>
      </c>
      <c r="F212" s="234" t="s">
        <v>26</v>
      </c>
      <c r="G212" s="234" t="s">
        <v>26</v>
      </c>
      <c r="H212" s="234" t="s">
        <v>26</v>
      </c>
      <c r="I212" s="236" t="s">
        <v>26</v>
      </c>
      <c r="J212" s="234" t="s">
        <v>26</v>
      </c>
      <c r="K212" s="234"/>
      <c r="L212" s="237" t="s">
        <v>26</v>
      </c>
      <c r="M212" s="237" t="s">
        <v>26</v>
      </c>
      <c r="N212" s="238" t="s">
        <v>26</v>
      </c>
      <c r="O212" s="238" t="s">
        <v>26</v>
      </c>
      <c r="P212" s="493"/>
      <c r="Q212" s="494"/>
      <c r="R212" s="131"/>
      <c r="S212" s="131"/>
      <c r="T212" s="131"/>
      <c r="U212" s="131"/>
      <c r="V212" s="131"/>
      <c r="W212" s="132"/>
      <c r="X212" s="126"/>
      <c r="Y212" s="126"/>
      <c r="Z212" s="126"/>
      <c r="AA212" s="126"/>
      <c r="AB212" s="126"/>
      <c r="AC212" s="126"/>
      <c r="AD212" s="126"/>
      <c r="AE212" s="126"/>
      <c r="AF212" s="127"/>
      <c r="AG212" s="127"/>
      <c r="AH212" s="127"/>
      <c r="AI212" s="127"/>
      <c r="AJ212" s="127"/>
      <c r="AK212" s="127"/>
      <c r="AL212" s="127"/>
      <c r="AM212" s="127"/>
      <c r="AN212" s="127"/>
      <c r="AO212" s="127"/>
      <c r="AP212" s="127"/>
      <c r="AQ212" s="127"/>
      <c r="AR212" s="127"/>
      <c r="AS212" s="128"/>
      <c r="AT212" s="128"/>
      <c r="AU212" s="128"/>
      <c r="AV212" s="128"/>
      <c r="AW212" s="90"/>
      <c r="AX212" s="90"/>
      <c r="AY212" s="90"/>
      <c r="AZ212" s="90"/>
      <c r="BA212" s="90"/>
      <c r="BB212" s="90"/>
      <c r="BC212" s="90"/>
      <c r="BD212" s="90"/>
      <c r="BE212" s="90"/>
      <c r="BF212" s="90"/>
      <c r="BG212" s="90"/>
      <c r="BH212" s="90"/>
      <c r="BI212" s="90"/>
      <c r="BJ212" s="90"/>
      <c r="BK212" s="90"/>
      <c r="BL212" s="90"/>
      <c r="BM212" s="90"/>
      <c r="BN212" s="90"/>
      <c r="BO212" s="90"/>
      <c r="BP212" s="90"/>
      <c r="BQ212" s="90"/>
      <c r="BR212" s="90"/>
      <c r="BS212" s="90"/>
      <c r="BT212" s="90"/>
      <c r="BU212" s="90"/>
      <c r="BV212" s="90"/>
      <c r="BW212" s="90"/>
      <c r="BX212" s="90"/>
      <c r="BY212" s="90"/>
      <c r="BZ212" s="90"/>
      <c r="CA212" s="90"/>
      <c r="CB212" s="90"/>
      <c r="CC212" s="90"/>
      <c r="CD212" s="90"/>
      <c r="CE212" s="90"/>
      <c r="CF212" s="90"/>
      <c r="CG212" s="90"/>
      <c r="CH212" s="90"/>
      <c r="CI212" s="90"/>
      <c r="CJ212" s="90"/>
      <c r="CK212" s="90"/>
      <c r="CL212" s="90"/>
      <c r="CM212" s="90"/>
      <c r="CN212" s="90"/>
      <c r="CO212" s="90"/>
      <c r="CP212" s="90"/>
      <c r="CQ212" s="90"/>
      <c r="CR212" s="90"/>
      <c r="CS212" s="90"/>
      <c r="CT212" s="90"/>
      <c r="CU212" s="90"/>
      <c r="CV212" s="90"/>
      <c r="CW212" s="90"/>
      <c r="CX212" s="90"/>
      <c r="CY212" s="90"/>
      <c r="CZ212" s="90"/>
      <c r="DA212" s="117"/>
      <c r="DB212" s="117"/>
      <c r="DC212" s="117"/>
      <c r="DD212" s="117"/>
      <c r="DE212" s="117"/>
      <c r="DF212" s="117"/>
      <c r="DG212" s="117"/>
      <c r="DH212" s="117"/>
      <c r="DI212" s="117"/>
      <c r="DJ212" s="117"/>
      <c r="DK212" s="117"/>
      <c r="DL212" s="117"/>
      <c r="DM212" s="117"/>
      <c r="DN212" s="117"/>
      <c r="DO212" s="117"/>
      <c r="DP212" s="117"/>
      <c r="DQ212" s="117"/>
      <c r="DR212" s="117"/>
      <c r="DS212" s="117"/>
      <c r="DT212" s="117"/>
      <c r="DU212" s="117"/>
      <c r="DV212" s="117"/>
      <c r="DW212" s="117"/>
      <c r="DX212" s="117"/>
      <c r="DY212" s="117"/>
      <c r="DZ212" s="117"/>
      <c r="EA212" s="117"/>
      <c r="EB212" s="117"/>
      <c r="EC212" s="117"/>
      <c r="ED212" s="117"/>
      <c r="EE212" s="117"/>
      <c r="EF212" s="117"/>
      <c r="EG212" s="117"/>
      <c r="EH212" s="117"/>
      <c r="EI212" s="117"/>
      <c r="EJ212" s="89"/>
      <c r="EK212" s="89"/>
      <c r="EL212" s="89"/>
      <c r="EM212" s="89"/>
      <c r="EN212" s="89"/>
      <c r="EO212" s="89"/>
      <c r="EP212" s="89"/>
      <c r="EQ212" s="89"/>
      <c r="ER212" s="89"/>
      <c r="ES212" s="89"/>
      <c r="ET212" s="89"/>
      <c r="EU212" s="89"/>
      <c r="EV212" s="89"/>
      <c r="EW212" s="89"/>
      <c r="EX212" s="89"/>
      <c r="EY212" s="89"/>
      <c r="EZ212" s="89"/>
      <c r="FA212" s="89"/>
      <c r="FB212" s="89"/>
      <c r="FC212" s="89"/>
      <c r="FD212" s="89"/>
      <c r="FE212" s="89"/>
      <c r="FF212" s="89"/>
      <c r="FG212" s="89"/>
      <c r="FH212" s="89"/>
      <c r="FI212" s="89"/>
      <c r="FJ212" s="89"/>
      <c r="FK212" s="89"/>
      <c r="FL212" s="89"/>
      <c r="FM212" s="89"/>
      <c r="FN212" s="89"/>
      <c r="FO212" s="89"/>
      <c r="FP212" s="89"/>
      <c r="FQ212" s="89"/>
      <c r="FR212" s="89"/>
      <c r="FS212" s="89"/>
    </row>
    <row r="213" spans="1:175" s="23" customFormat="1" ht="9.75" customHeight="1">
      <c r="A213" s="233"/>
      <c r="B213" s="1145"/>
      <c r="C213" s="234"/>
      <c r="D213" s="235"/>
      <c r="E213" s="235"/>
      <c r="F213" s="235"/>
      <c r="G213" s="235"/>
      <c r="H213" s="235"/>
      <c r="I213" s="236"/>
      <c r="J213" s="235"/>
      <c r="K213" s="235"/>
      <c r="L213" s="237"/>
      <c r="M213" s="237"/>
      <c r="N213" s="238"/>
      <c r="O213" s="238"/>
      <c r="P213" s="493"/>
      <c r="Q213" s="494"/>
      <c r="R213" s="131"/>
      <c r="S213" s="131"/>
      <c r="T213" s="131"/>
      <c r="U213" s="131"/>
      <c r="V213" s="131"/>
      <c r="W213" s="132"/>
      <c r="X213" s="126"/>
      <c r="Y213" s="126"/>
      <c r="Z213" s="126"/>
      <c r="AA213" s="126"/>
      <c r="AB213" s="126"/>
      <c r="AC213" s="126"/>
      <c r="AD213" s="126"/>
      <c r="AE213" s="126"/>
      <c r="AF213" s="127"/>
      <c r="AG213" s="127"/>
      <c r="AH213" s="127"/>
      <c r="AI213" s="127"/>
      <c r="AJ213" s="127"/>
      <c r="AK213" s="127"/>
      <c r="AL213" s="127"/>
      <c r="AM213" s="127"/>
      <c r="AN213" s="127"/>
      <c r="AO213" s="127"/>
      <c r="AP213" s="127"/>
      <c r="AQ213" s="127"/>
      <c r="AR213" s="127"/>
      <c r="AS213" s="128"/>
      <c r="AT213" s="128"/>
      <c r="AU213" s="128"/>
      <c r="AV213" s="128"/>
      <c r="AW213" s="90"/>
      <c r="AX213" s="90"/>
      <c r="AY213" s="90"/>
      <c r="AZ213" s="90"/>
      <c r="BA213" s="90"/>
      <c r="BB213" s="90"/>
      <c r="BC213" s="90"/>
      <c r="BD213" s="90"/>
      <c r="BE213" s="90"/>
      <c r="BF213" s="90"/>
      <c r="BG213" s="90"/>
      <c r="BH213" s="90"/>
      <c r="BI213" s="90"/>
      <c r="BJ213" s="90"/>
      <c r="BK213" s="90"/>
      <c r="BL213" s="90"/>
      <c r="BM213" s="90"/>
      <c r="BN213" s="90"/>
      <c r="BO213" s="90"/>
      <c r="BP213" s="90"/>
      <c r="BQ213" s="90"/>
      <c r="BR213" s="90"/>
      <c r="BS213" s="90"/>
      <c r="BT213" s="90"/>
      <c r="BU213" s="90"/>
      <c r="BV213" s="90"/>
      <c r="BW213" s="90"/>
      <c r="BX213" s="90"/>
      <c r="BY213" s="90"/>
      <c r="BZ213" s="90"/>
      <c r="CA213" s="90"/>
      <c r="CB213" s="90"/>
      <c r="CC213" s="90"/>
      <c r="CD213" s="90"/>
      <c r="CE213" s="90"/>
      <c r="CF213" s="90"/>
      <c r="CG213" s="90"/>
      <c r="CH213" s="90"/>
      <c r="CI213" s="90"/>
      <c r="CJ213" s="90"/>
      <c r="CK213" s="90"/>
      <c r="CL213" s="90"/>
      <c r="CM213" s="90"/>
      <c r="CN213" s="90"/>
      <c r="CO213" s="90"/>
      <c r="CP213" s="90"/>
      <c r="CQ213" s="90"/>
      <c r="CR213" s="90"/>
      <c r="CS213" s="90"/>
      <c r="CT213" s="90"/>
      <c r="CU213" s="90"/>
      <c r="CV213" s="90"/>
      <c r="CW213" s="90"/>
      <c r="CX213" s="90"/>
      <c r="CY213" s="90"/>
      <c r="CZ213" s="90"/>
      <c r="DA213" s="117"/>
      <c r="DB213" s="117"/>
      <c r="DC213" s="117"/>
      <c r="DD213" s="117"/>
      <c r="DE213" s="117"/>
      <c r="DF213" s="117"/>
      <c r="DG213" s="117"/>
      <c r="DH213" s="117"/>
      <c r="DI213" s="117"/>
      <c r="DJ213" s="117"/>
      <c r="DK213" s="117"/>
      <c r="DL213" s="117"/>
      <c r="DM213" s="117"/>
      <c r="DN213" s="117"/>
      <c r="DO213" s="117"/>
      <c r="DP213" s="117"/>
      <c r="DQ213" s="117"/>
      <c r="DR213" s="117"/>
      <c r="DS213" s="117"/>
      <c r="DT213" s="117"/>
      <c r="DU213" s="117"/>
      <c r="DV213" s="117"/>
      <c r="DW213" s="117"/>
      <c r="DX213" s="117"/>
      <c r="DY213" s="117"/>
      <c r="DZ213" s="117"/>
      <c r="EA213" s="117"/>
      <c r="EB213" s="117"/>
      <c r="EC213" s="117"/>
      <c r="ED213" s="117"/>
      <c r="EE213" s="117"/>
      <c r="EF213" s="117"/>
      <c r="EG213" s="117"/>
      <c r="EH213" s="117"/>
      <c r="EI213" s="117"/>
      <c r="EJ213" s="89"/>
      <c r="EK213" s="89"/>
      <c r="EL213" s="89"/>
      <c r="EM213" s="89"/>
      <c r="EN213" s="89"/>
      <c r="EO213" s="89"/>
      <c r="EP213" s="89"/>
      <c r="EQ213" s="89"/>
      <c r="ER213" s="89"/>
      <c r="ES213" s="89"/>
      <c r="ET213" s="89"/>
      <c r="EU213" s="89"/>
      <c r="EV213" s="89"/>
      <c r="EW213" s="89"/>
      <c r="EX213" s="89"/>
      <c r="EY213" s="89"/>
      <c r="EZ213" s="89"/>
      <c r="FA213" s="89"/>
      <c r="FB213" s="89"/>
      <c r="FC213" s="89"/>
      <c r="FD213" s="89"/>
      <c r="FE213" s="89"/>
      <c r="FF213" s="89"/>
      <c r="FG213" s="89"/>
      <c r="FH213" s="89"/>
      <c r="FI213" s="89"/>
      <c r="FJ213" s="89"/>
      <c r="FK213" s="89"/>
      <c r="FL213" s="89"/>
      <c r="FM213" s="89"/>
      <c r="FN213" s="89"/>
      <c r="FO213" s="89"/>
      <c r="FP213" s="89"/>
      <c r="FQ213" s="89"/>
      <c r="FR213" s="89"/>
      <c r="FS213" s="89"/>
    </row>
    <row r="214" spans="1:175" s="23" customFormat="1" ht="9.75" customHeight="1">
      <c r="A214" s="233"/>
      <c r="B214" s="1145"/>
      <c r="C214" s="234"/>
      <c r="D214" s="235"/>
      <c r="E214" s="235"/>
      <c r="F214" s="235"/>
      <c r="G214" s="235"/>
      <c r="H214" s="235"/>
      <c r="I214" s="236"/>
      <c r="J214" s="235"/>
      <c r="K214" s="235"/>
      <c r="L214" s="237"/>
      <c r="M214" s="237"/>
      <c r="N214" s="238"/>
      <c r="O214" s="238"/>
      <c r="P214" s="493"/>
      <c r="Q214" s="494"/>
      <c r="R214" s="131"/>
      <c r="S214" s="131"/>
      <c r="T214" s="131"/>
      <c r="U214" s="131"/>
      <c r="V214" s="131"/>
      <c r="W214" s="132"/>
      <c r="X214" s="126"/>
      <c r="Y214" s="126"/>
      <c r="Z214" s="126"/>
      <c r="AA214" s="126"/>
      <c r="AB214" s="126"/>
      <c r="AC214" s="126"/>
      <c r="AD214" s="126"/>
      <c r="AE214" s="126"/>
      <c r="AF214" s="127"/>
      <c r="AG214" s="127"/>
      <c r="AH214" s="127"/>
      <c r="AI214" s="127"/>
      <c r="AJ214" s="127"/>
      <c r="AK214" s="127"/>
      <c r="AL214" s="127"/>
      <c r="AM214" s="127"/>
      <c r="AN214" s="127"/>
      <c r="AO214" s="127"/>
      <c r="AP214" s="127"/>
      <c r="AQ214" s="127"/>
      <c r="AR214" s="127"/>
      <c r="AS214" s="128"/>
      <c r="AT214" s="128"/>
      <c r="AU214" s="128"/>
      <c r="AV214" s="128"/>
      <c r="AW214" s="90"/>
      <c r="AX214" s="90"/>
      <c r="AY214" s="90"/>
      <c r="AZ214" s="90"/>
      <c r="BA214" s="90"/>
      <c r="BB214" s="90"/>
      <c r="BC214" s="90"/>
      <c r="BD214" s="90"/>
      <c r="BE214" s="90"/>
      <c r="BF214" s="90"/>
      <c r="BG214" s="90"/>
      <c r="BH214" s="90"/>
      <c r="BI214" s="90"/>
      <c r="BJ214" s="90"/>
      <c r="BK214" s="90"/>
      <c r="BL214" s="90"/>
      <c r="BM214" s="90"/>
      <c r="BN214" s="90"/>
      <c r="BO214" s="90"/>
      <c r="BP214" s="90"/>
      <c r="BQ214" s="90"/>
      <c r="BR214" s="90"/>
      <c r="BS214" s="90"/>
      <c r="BT214" s="90"/>
      <c r="BU214" s="90"/>
      <c r="BV214" s="90"/>
      <c r="BW214" s="90"/>
      <c r="BX214" s="90"/>
      <c r="BY214" s="90"/>
      <c r="BZ214" s="90"/>
      <c r="CA214" s="90"/>
      <c r="CB214" s="90"/>
      <c r="CC214" s="90"/>
      <c r="CD214" s="90"/>
      <c r="CE214" s="90"/>
      <c r="CF214" s="90"/>
      <c r="CG214" s="90"/>
      <c r="CH214" s="90"/>
      <c r="CI214" s="90"/>
      <c r="CJ214" s="90"/>
      <c r="CK214" s="90"/>
      <c r="CL214" s="90"/>
      <c r="CM214" s="90"/>
      <c r="CN214" s="90"/>
      <c r="CO214" s="90"/>
      <c r="CP214" s="90"/>
      <c r="CQ214" s="90"/>
      <c r="CR214" s="90"/>
      <c r="CS214" s="90"/>
      <c r="CT214" s="90"/>
      <c r="CU214" s="90"/>
      <c r="CV214" s="90"/>
      <c r="CW214" s="90"/>
      <c r="CX214" s="90"/>
      <c r="CY214" s="90"/>
      <c r="CZ214" s="90"/>
      <c r="DA214" s="117"/>
      <c r="DB214" s="117"/>
      <c r="DC214" s="117"/>
      <c r="DD214" s="117"/>
      <c r="DE214" s="117"/>
      <c r="DF214" s="117"/>
      <c r="DG214" s="117"/>
      <c r="DH214" s="117"/>
      <c r="DI214" s="117"/>
      <c r="DJ214" s="117"/>
      <c r="DK214" s="117"/>
      <c r="DL214" s="117"/>
      <c r="DM214" s="117"/>
      <c r="DN214" s="117"/>
      <c r="DO214" s="117"/>
      <c r="DP214" s="117"/>
      <c r="DQ214" s="117"/>
      <c r="DR214" s="117"/>
      <c r="DS214" s="117"/>
      <c r="DT214" s="117"/>
      <c r="DU214" s="117"/>
      <c r="DV214" s="117"/>
      <c r="DW214" s="117"/>
      <c r="DX214" s="117"/>
      <c r="DY214" s="117"/>
      <c r="DZ214" s="117"/>
      <c r="EA214" s="117"/>
      <c r="EB214" s="117"/>
      <c r="EC214" s="117"/>
      <c r="ED214" s="117"/>
      <c r="EE214" s="117"/>
      <c r="EF214" s="117"/>
      <c r="EG214" s="117"/>
      <c r="EH214" s="117"/>
      <c r="EI214" s="117"/>
      <c r="EJ214" s="89"/>
      <c r="EK214" s="89"/>
      <c r="EL214" s="89"/>
      <c r="EM214" s="89"/>
      <c r="EN214" s="89"/>
      <c r="EO214" s="89"/>
      <c r="EP214" s="89"/>
      <c r="EQ214" s="89"/>
      <c r="ER214" s="89"/>
      <c r="ES214" s="89"/>
      <c r="ET214" s="89"/>
      <c r="EU214" s="89"/>
      <c r="EV214" s="89"/>
      <c r="EW214" s="89"/>
      <c r="EX214" s="89"/>
      <c r="EY214" s="89"/>
      <c r="EZ214" s="89"/>
      <c r="FA214" s="89"/>
      <c r="FB214" s="89"/>
      <c r="FC214" s="89"/>
      <c r="FD214" s="89"/>
      <c r="FE214" s="89"/>
      <c r="FF214" s="89"/>
      <c r="FG214" s="89"/>
      <c r="FH214" s="89"/>
      <c r="FI214" s="89"/>
      <c r="FJ214" s="89"/>
      <c r="FK214" s="89"/>
      <c r="FL214" s="89"/>
      <c r="FM214" s="89"/>
      <c r="FN214" s="89"/>
      <c r="FO214" s="89"/>
      <c r="FP214" s="89"/>
      <c r="FQ214" s="89"/>
      <c r="FR214" s="89"/>
      <c r="FS214" s="89"/>
    </row>
    <row r="215" spans="1:175" s="23" customFormat="1" ht="9.75" customHeight="1">
      <c r="A215" s="233"/>
      <c r="B215" s="1145"/>
      <c r="C215" s="234"/>
      <c r="D215" s="235"/>
      <c r="E215" s="235"/>
      <c r="F215" s="235"/>
      <c r="G215" s="235"/>
      <c r="H215" s="235"/>
      <c r="I215" s="236"/>
      <c r="J215" s="235"/>
      <c r="K215" s="235"/>
      <c r="L215" s="237"/>
      <c r="M215" s="237"/>
      <c r="N215" s="238"/>
      <c r="O215" s="238"/>
      <c r="P215" s="493"/>
      <c r="Q215" s="494"/>
      <c r="R215" s="131"/>
      <c r="S215" s="131"/>
      <c r="T215" s="131"/>
      <c r="U215" s="131"/>
      <c r="V215" s="131"/>
      <c r="W215" s="132"/>
      <c r="X215" s="126"/>
      <c r="Y215" s="126"/>
      <c r="Z215" s="126"/>
      <c r="AA215" s="126"/>
      <c r="AB215" s="126"/>
      <c r="AC215" s="126"/>
      <c r="AD215" s="126"/>
      <c r="AE215" s="126"/>
      <c r="AF215" s="127"/>
      <c r="AG215" s="127"/>
      <c r="AH215" s="127"/>
      <c r="AI215" s="127"/>
      <c r="AJ215" s="127"/>
      <c r="AK215" s="127"/>
      <c r="AL215" s="127"/>
      <c r="AM215" s="127"/>
      <c r="AN215" s="127"/>
      <c r="AO215" s="127"/>
      <c r="AP215" s="127"/>
      <c r="AQ215" s="127"/>
      <c r="AR215" s="127"/>
      <c r="AS215" s="128"/>
      <c r="AT215" s="128"/>
      <c r="AU215" s="128"/>
      <c r="AV215" s="128"/>
      <c r="AW215" s="90"/>
      <c r="AX215" s="90"/>
      <c r="AY215" s="90"/>
      <c r="AZ215" s="90"/>
      <c r="BA215" s="90"/>
      <c r="BB215" s="90"/>
      <c r="BC215" s="90"/>
      <c r="BD215" s="90"/>
      <c r="BE215" s="90"/>
      <c r="BF215" s="90"/>
      <c r="BG215" s="90"/>
      <c r="BH215" s="90"/>
      <c r="BI215" s="90"/>
      <c r="BJ215" s="90"/>
      <c r="BK215" s="90"/>
      <c r="BL215" s="90"/>
      <c r="BM215" s="90"/>
      <c r="BN215" s="90"/>
      <c r="BO215" s="90"/>
      <c r="BP215" s="90"/>
      <c r="BQ215" s="90"/>
      <c r="BR215" s="90"/>
      <c r="BS215" s="90"/>
      <c r="BT215" s="90"/>
      <c r="BU215" s="90"/>
      <c r="BV215" s="90"/>
      <c r="BW215" s="90"/>
      <c r="BX215" s="90"/>
      <c r="BY215" s="90"/>
      <c r="BZ215" s="90"/>
      <c r="CA215" s="90"/>
      <c r="CB215" s="90"/>
      <c r="CC215" s="90"/>
      <c r="CD215" s="90"/>
      <c r="CE215" s="90"/>
      <c r="CF215" s="90"/>
      <c r="CG215" s="90"/>
      <c r="CH215" s="90"/>
      <c r="CI215" s="90"/>
      <c r="CJ215" s="90"/>
      <c r="CK215" s="90"/>
      <c r="CL215" s="90"/>
      <c r="CM215" s="90"/>
      <c r="CN215" s="90"/>
      <c r="CO215" s="90"/>
      <c r="CP215" s="90"/>
      <c r="CQ215" s="90"/>
      <c r="CR215" s="90"/>
      <c r="CS215" s="90"/>
      <c r="CT215" s="90"/>
      <c r="CU215" s="90"/>
      <c r="CV215" s="90"/>
      <c r="CW215" s="90"/>
      <c r="CX215" s="90"/>
      <c r="CY215" s="90"/>
      <c r="CZ215" s="90"/>
      <c r="DA215" s="117"/>
      <c r="DB215" s="117"/>
      <c r="DC215" s="117"/>
      <c r="DD215" s="117"/>
      <c r="DE215" s="117"/>
      <c r="DF215" s="117"/>
      <c r="DG215" s="117"/>
      <c r="DH215" s="117"/>
      <c r="DI215" s="117"/>
      <c r="DJ215" s="117"/>
      <c r="DK215" s="117"/>
      <c r="DL215" s="117"/>
      <c r="DM215" s="117"/>
      <c r="DN215" s="117"/>
      <c r="DO215" s="117"/>
      <c r="DP215" s="117"/>
      <c r="DQ215" s="117"/>
      <c r="DR215" s="117"/>
      <c r="DS215" s="117"/>
      <c r="DT215" s="117"/>
      <c r="DU215" s="117"/>
      <c r="DV215" s="117"/>
      <c r="DW215" s="117"/>
      <c r="DX215" s="117"/>
      <c r="DY215" s="117"/>
      <c r="DZ215" s="117"/>
      <c r="EA215" s="117"/>
      <c r="EB215" s="117"/>
      <c r="EC215" s="117"/>
      <c r="ED215" s="117"/>
      <c r="EE215" s="117"/>
      <c r="EF215" s="117"/>
      <c r="EG215" s="117"/>
      <c r="EH215" s="117"/>
      <c r="EI215" s="117"/>
      <c r="EJ215" s="89"/>
      <c r="EK215" s="89"/>
      <c r="EL215" s="89"/>
      <c r="EM215" s="89"/>
      <c r="EN215" s="89"/>
      <c r="EO215" s="89"/>
      <c r="EP215" s="89"/>
      <c r="EQ215" s="89"/>
      <c r="ER215" s="89"/>
      <c r="ES215" s="89"/>
      <c r="ET215" s="89"/>
      <c r="EU215" s="89"/>
      <c r="EV215" s="89"/>
      <c r="EW215" s="89"/>
      <c r="EX215" s="89"/>
      <c r="EY215" s="89"/>
      <c r="EZ215" s="89"/>
      <c r="FA215" s="89"/>
      <c r="FB215" s="89"/>
      <c r="FC215" s="89"/>
      <c r="FD215" s="89"/>
      <c r="FE215" s="89"/>
      <c r="FF215" s="89"/>
      <c r="FG215" s="89"/>
      <c r="FH215" s="89"/>
      <c r="FI215" s="89"/>
      <c r="FJ215" s="89"/>
      <c r="FK215" s="89"/>
      <c r="FL215" s="89"/>
      <c r="FM215" s="89"/>
      <c r="FN215" s="89"/>
      <c r="FO215" s="89"/>
      <c r="FP215" s="89"/>
      <c r="FQ215" s="89"/>
      <c r="FR215" s="89"/>
      <c r="FS215" s="89"/>
    </row>
    <row r="216" spans="1:175" s="23" customFormat="1" ht="9.75" customHeight="1">
      <c r="A216" s="233"/>
      <c r="B216" s="1145"/>
      <c r="C216" s="234"/>
      <c r="D216" s="235"/>
      <c r="E216" s="235"/>
      <c r="F216" s="235"/>
      <c r="G216" s="235"/>
      <c r="H216" s="235"/>
      <c r="I216" s="236"/>
      <c r="J216" s="235"/>
      <c r="K216" s="235"/>
      <c r="L216" s="237"/>
      <c r="M216" s="237"/>
      <c r="N216" s="238"/>
      <c r="O216" s="238"/>
      <c r="P216" s="493"/>
      <c r="Q216" s="494"/>
      <c r="R216" s="131"/>
      <c r="S216" s="131"/>
      <c r="T216" s="131"/>
      <c r="U216" s="131"/>
      <c r="V216" s="131"/>
      <c r="W216" s="132"/>
      <c r="X216" s="126"/>
      <c r="Y216" s="126"/>
      <c r="Z216" s="126"/>
      <c r="AA216" s="126"/>
      <c r="AB216" s="126"/>
      <c r="AC216" s="126"/>
      <c r="AD216" s="126"/>
      <c r="AE216" s="126"/>
      <c r="AF216" s="127"/>
      <c r="AG216" s="127"/>
      <c r="AH216" s="127"/>
      <c r="AI216" s="127"/>
      <c r="AJ216" s="127"/>
      <c r="AK216" s="127"/>
      <c r="AL216" s="127"/>
      <c r="AM216" s="127"/>
      <c r="AN216" s="127"/>
      <c r="AO216" s="127"/>
      <c r="AP216" s="127"/>
      <c r="AQ216" s="127"/>
      <c r="AR216" s="127"/>
      <c r="AS216" s="128"/>
      <c r="AT216" s="128"/>
      <c r="AU216" s="128"/>
      <c r="AV216" s="128"/>
      <c r="AW216" s="90"/>
      <c r="AX216" s="90"/>
      <c r="AY216" s="90"/>
      <c r="AZ216" s="90"/>
      <c r="BA216" s="90"/>
      <c r="BB216" s="90"/>
      <c r="BC216" s="90"/>
      <c r="BD216" s="90"/>
      <c r="BE216" s="90"/>
      <c r="BF216" s="90"/>
      <c r="BG216" s="90"/>
      <c r="BH216" s="90"/>
      <c r="BI216" s="90"/>
      <c r="BJ216" s="90"/>
      <c r="BK216" s="90"/>
      <c r="BL216" s="90"/>
      <c r="BM216" s="90"/>
      <c r="BN216" s="90"/>
      <c r="BO216" s="90"/>
      <c r="BP216" s="90"/>
      <c r="BQ216" s="90"/>
      <c r="BR216" s="90"/>
      <c r="BS216" s="90"/>
      <c r="BT216" s="90"/>
      <c r="BU216" s="90"/>
      <c r="BV216" s="90"/>
      <c r="BW216" s="90"/>
      <c r="BX216" s="90"/>
      <c r="BY216" s="90"/>
      <c r="BZ216" s="90"/>
      <c r="CA216" s="90"/>
      <c r="CB216" s="90"/>
      <c r="CC216" s="90"/>
      <c r="CD216" s="90"/>
      <c r="CE216" s="90"/>
      <c r="CF216" s="90"/>
      <c r="CG216" s="90"/>
      <c r="CH216" s="90"/>
      <c r="CI216" s="90"/>
      <c r="CJ216" s="90"/>
      <c r="CK216" s="90"/>
      <c r="CL216" s="90"/>
      <c r="CM216" s="90"/>
      <c r="CN216" s="90"/>
      <c r="CO216" s="90"/>
      <c r="CP216" s="90"/>
      <c r="CQ216" s="90"/>
      <c r="CR216" s="90"/>
      <c r="CS216" s="90"/>
      <c r="CT216" s="90"/>
      <c r="CU216" s="90"/>
      <c r="CV216" s="90"/>
      <c r="CW216" s="90"/>
      <c r="CX216" s="90"/>
      <c r="CY216" s="90"/>
      <c r="CZ216" s="90"/>
      <c r="DA216" s="117"/>
      <c r="DB216" s="117"/>
      <c r="DC216" s="117"/>
      <c r="DD216" s="117"/>
      <c r="DE216" s="117"/>
      <c r="DF216" s="117"/>
      <c r="DG216" s="117"/>
      <c r="DH216" s="117"/>
      <c r="DI216" s="117"/>
      <c r="DJ216" s="117"/>
      <c r="DK216" s="117"/>
      <c r="DL216" s="117"/>
      <c r="DM216" s="117"/>
      <c r="DN216" s="117"/>
      <c r="DO216" s="117"/>
      <c r="DP216" s="117"/>
      <c r="DQ216" s="117"/>
      <c r="DR216" s="117"/>
      <c r="DS216" s="117"/>
      <c r="DT216" s="117"/>
      <c r="DU216" s="117"/>
      <c r="DV216" s="117"/>
      <c r="DW216" s="117"/>
      <c r="DX216" s="117"/>
      <c r="DY216" s="117"/>
      <c r="DZ216" s="117"/>
      <c r="EA216" s="117"/>
      <c r="EB216" s="117"/>
      <c r="EC216" s="117"/>
      <c r="ED216" s="117"/>
      <c r="EE216" s="117"/>
      <c r="EF216" s="117"/>
      <c r="EG216" s="117"/>
      <c r="EH216" s="117"/>
      <c r="EI216" s="117"/>
      <c r="EJ216" s="89"/>
      <c r="EK216" s="89"/>
      <c r="EL216" s="89"/>
      <c r="EM216" s="89"/>
      <c r="EN216" s="89"/>
      <c r="EO216" s="89"/>
      <c r="EP216" s="89"/>
      <c r="EQ216" s="89"/>
      <c r="ER216" s="89"/>
      <c r="ES216" s="89"/>
      <c r="ET216" s="89"/>
      <c r="EU216" s="89"/>
      <c r="EV216" s="89"/>
      <c r="EW216" s="89"/>
      <c r="EX216" s="89"/>
      <c r="EY216" s="89"/>
      <c r="EZ216" s="89"/>
      <c r="FA216" s="89"/>
      <c r="FB216" s="89"/>
      <c r="FC216" s="89"/>
      <c r="FD216" s="89"/>
      <c r="FE216" s="89"/>
      <c r="FF216" s="89"/>
      <c r="FG216" s="89"/>
      <c r="FH216" s="89"/>
      <c r="FI216" s="89"/>
      <c r="FJ216" s="89"/>
      <c r="FK216" s="89"/>
      <c r="FL216" s="89"/>
      <c r="FM216" s="89"/>
      <c r="FN216" s="89"/>
      <c r="FO216" s="89"/>
      <c r="FP216" s="89"/>
      <c r="FQ216" s="89"/>
      <c r="FR216" s="89"/>
      <c r="FS216" s="89"/>
    </row>
    <row r="217" spans="1:175" s="23" customFormat="1" ht="9.75" customHeight="1">
      <c r="A217" s="233"/>
      <c r="B217" s="1145"/>
      <c r="C217" s="234"/>
      <c r="D217" s="235"/>
      <c r="E217" s="235"/>
      <c r="F217" s="235"/>
      <c r="G217" s="235"/>
      <c r="H217" s="235"/>
      <c r="I217" s="236"/>
      <c r="J217" s="235"/>
      <c r="K217" s="235"/>
      <c r="L217" s="237"/>
      <c r="M217" s="237"/>
      <c r="N217" s="238"/>
      <c r="O217" s="238"/>
      <c r="P217" s="493"/>
      <c r="Q217" s="494"/>
      <c r="R217" s="131"/>
      <c r="S217" s="131"/>
      <c r="T217" s="131"/>
      <c r="U217" s="131"/>
      <c r="V217" s="131"/>
      <c r="W217" s="132"/>
      <c r="X217" s="126"/>
      <c r="Y217" s="126"/>
      <c r="Z217" s="126"/>
      <c r="AA217" s="126"/>
      <c r="AB217" s="126"/>
      <c r="AC217" s="126"/>
      <c r="AD217" s="126"/>
      <c r="AE217" s="126"/>
      <c r="AF217" s="127"/>
      <c r="AG217" s="127"/>
      <c r="AH217" s="127"/>
      <c r="AI217" s="127"/>
      <c r="AJ217" s="127"/>
      <c r="AK217" s="127"/>
      <c r="AL217" s="127"/>
      <c r="AM217" s="127"/>
      <c r="AN217" s="127"/>
      <c r="AO217" s="127"/>
      <c r="AP217" s="127"/>
      <c r="AQ217" s="127"/>
      <c r="AR217" s="127"/>
      <c r="AS217" s="128"/>
      <c r="AT217" s="128"/>
      <c r="AU217" s="128"/>
      <c r="AV217" s="128"/>
      <c r="AW217" s="90"/>
      <c r="AX217" s="90"/>
      <c r="AY217" s="90"/>
      <c r="AZ217" s="90"/>
      <c r="BA217" s="90"/>
      <c r="BB217" s="90"/>
      <c r="BC217" s="90"/>
      <c r="BD217" s="90"/>
      <c r="BE217" s="90"/>
      <c r="BF217" s="90"/>
      <c r="BG217" s="90"/>
      <c r="BH217" s="90"/>
      <c r="BI217" s="90"/>
      <c r="BJ217" s="90"/>
      <c r="BK217" s="90"/>
      <c r="BL217" s="90"/>
      <c r="BM217" s="90"/>
      <c r="BN217" s="90"/>
      <c r="BO217" s="90"/>
      <c r="BP217" s="90"/>
      <c r="BQ217" s="90"/>
      <c r="BR217" s="90"/>
      <c r="BS217" s="90"/>
      <c r="BT217" s="90"/>
      <c r="BU217" s="90"/>
      <c r="BV217" s="90"/>
      <c r="BW217" s="90"/>
      <c r="BX217" s="90"/>
      <c r="BY217" s="90"/>
      <c r="BZ217" s="90"/>
      <c r="CA217" s="90"/>
      <c r="CB217" s="90"/>
      <c r="CC217" s="90"/>
      <c r="CD217" s="90"/>
      <c r="CE217" s="90"/>
      <c r="CF217" s="90"/>
      <c r="CG217" s="90"/>
      <c r="CH217" s="90"/>
      <c r="CI217" s="90"/>
      <c r="CJ217" s="90"/>
      <c r="CK217" s="90"/>
      <c r="CL217" s="90"/>
      <c r="CM217" s="90"/>
      <c r="CN217" s="90"/>
      <c r="CO217" s="90"/>
      <c r="CP217" s="90"/>
      <c r="CQ217" s="90"/>
      <c r="CR217" s="90"/>
      <c r="CS217" s="90"/>
      <c r="CT217" s="90"/>
      <c r="CU217" s="90"/>
      <c r="CV217" s="90"/>
      <c r="CW217" s="90"/>
      <c r="CX217" s="90"/>
      <c r="CY217" s="90"/>
      <c r="CZ217" s="90"/>
      <c r="DA217" s="117"/>
      <c r="DB217" s="117"/>
      <c r="DC217" s="117"/>
      <c r="DD217" s="117"/>
      <c r="DE217" s="117"/>
      <c r="DF217" s="117"/>
      <c r="DG217" s="117"/>
      <c r="DH217" s="117"/>
      <c r="DI217" s="117"/>
      <c r="DJ217" s="117"/>
      <c r="DK217" s="117"/>
      <c r="DL217" s="117"/>
      <c r="DM217" s="117"/>
      <c r="DN217" s="117"/>
      <c r="DO217" s="117"/>
      <c r="DP217" s="117"/>
      <c r="DQ217" s="117"/>
      <c r="DR217" s="117"/>
      <c r="DS217" s="117"/>
      <c r="DT217" s="117"/>
      <c r="DU217" s="117"/>
      <c r="DV217" s="117"/>
      <c r="DW217" s="117"/>
      <c r="DX217" s="117"/>
      <c r="DY217" s="117"/>
      <c r="DZ217" s="117"/>
      <c r="EA217" s="117"/>
      <c r="EB217" s="117"/>
      <c r="EC217" s="117"/>
      <c r="ED217" s="117"/>
      <c r="EE217" s="117"/>
      <c r="EF217" s="117"/>
      <c r="EG217" s="117"/>
      <c r="EH217" s="117"/>
      <c r="EI217" s="117"/>
      <c r="EJ217" s="89"/>
      <c r="EK217" s="89"/>
      <c r="EL217" s="89"/>
      <c r="EM217" s="89"/>
      <c r="EN217" s="89"/>
      <c r="EO217" s="89"/>
      <c r="EP217" s="89"/>
      <c r="EQ217" s="89"/>
      <c r="ER217" s="89"/>
      <c r="ES217" s="89"/>
      <c r="ET217" s="89"/>
      <c r="EU217" s="89"/>
      <c r="EV217" s="89"/>
      <c r="EW217" s="89"/>
      <c r="EX217" s="89"/>
      <c r="EY217" s="89"/>
      <c r="EZ217" s="89"/>
      <c r="FA217" s="89"/>
      <c r="FB217" s="89"/>
      <c r="FC217" s="89"/>
      <c r="FD217" s="89"/>
      <c r="FE217" s="89"/>
      <c r="FF217" s="89"/>
      <c r="FG217" s="89"/>
      <c r="FH217" s="89"/>
      <c r="FI217" s="89"/>
      <c r="FJ217" s="89"/>
      <c r="FK217" s="89"/>
      <c r="FL217" s="89"/>
      <c r="FM217" s="89"/>
      <c r="FN217" s="89"/>
      <c r="FO217" s="89"/>
      <c r="FP217" s="89"/>
      <c r="FQ217" s="89"/>
      <c r="FR217" s="89"/>
      <c r="FS217" s="89"/>
    </row>
    <row r="218" spans="1:175" s="23" customFormat="1" ht="9.75" customHeight="1">
      <c r="A218" s="233"/>
      <c r="B218" s="1145"/>
      <c r="C218" s="234"/>
      <c r="D218" s="235"/>
      <c r="E218" s="235"/>
      <c r="F218" s="235"/>
      <c r="G218" s="235"/>
      <c r="H218" s="235"/>
      <c r="I218" s="236"/>
      <c r="J218" s="235"/>
      <c r="K218" s="235"/>
      <c r="L218" s="237"/>
      <c r="M218" s="237"/>
      <c r="N218" s="238"/>
      <c r="O218" s="238"/>
      <c r="P218" s="493"/>
      <c r="Q218" s="494"/>
      <c r="R218" s="131"/>
      <c r="S218" s="131"/>
      <c r="T218" s="131"/>
      <c r="U218" s="131"/>
      <c r="V218" s="131"/>
      <c r="W218" s="132"/>
      <c r="X218" s="126"/>
      <c r="Y218" s="126"/>
      <c r="Z218" s="126"/>
      <c r="AA218" s="126"/>
      <c r="AB218" s="126"/>
      <c r="AC218" s="126"/>
      <c r="AD218" s="126"/>
      <c r="AE218" s="126"/>
      <c r="AF218" s="127"/>
      <c r="AG218" s="127"/>
      <c r="AH218" s="127"/>
      <c r="AI218" s="127"/>
      <c r="AJ218" s="127"/>
      <c r="AK218" s="127"/>
      <c r="AL218" s="127"/>
      <c r="AM218" s="127"/>
      <c r="AN218" s="127"/>
      <c r="AO218" s="127"/>
      <c r="AP218" s="127"/>
      <c r="AQ218" s="127"/>
      <c r="AR218" s="127"/>
      <c r="AS218" s="128"/>
      <c r="AT218" s="128"/>
      <c r="AU218" s="128"/>
      <c r="AV218" s="128"/>
      <c r="AW218" s="90"/>
      <c r="AX218" s="90"/>
      <c r="AY218" s="90"/>
      <c r="AZ218" s="90"/>
      <c r="BA218" s="90"/>
      <c r="BB218" s="90"/>
      <c r="BC218" s="90"/>
      <c r="BD218" s="90"/>
      <c r="BE218" s="90"/>
      <c r="BF218" s="90"/>
      <c r="BG218" s="90"/>
      <c r="BH218" s="90"/>
      <c r="BI218" s="90"/>
      <c r="BJ218" s="90"/>
      <c r="BK218" s="90"/>
      <c r="BL218" s="90"/>
      <c r="BM218" s="90"/>
      <c r="BN218" s="90"/>
      <c r="BO218" s="90"/>
      <c r="BP218" s="90"/>
      <c r="BQ218" s="90"/>
      <c r="BR218" s="90"/>
      <c r="BS218" s="90"/>
      <c r="BT218" s="90"/>
      <c r="BU218" s="90"/>
      <c r="BV218" s="90"/>
      <c r="BW218" s="90"/>
      <c r="BX218" s="90"/>
      <c r="BY218" s="90"/>
      <c r="BZ218" s="90"/>
      <c r="CA218" s="90"/>
      <c r="CB218" s="90"/>
      <c r="CC218" s="90"/>
      <c r="CD218" s="90"/>
      <c r="CE218" s="90"/>
      <c r="CF218" s="90"/>
      <c r="CG218" s="90"/>
      <c r="CH218" s="90"/>
      <c r="CI218" s="90"/>
      <c r="CJ218" s="90"/>
      <c r="CK218" s="90"/>
      <c r="CL218" s="90"/>
      <c r="CM218" s="90"/>
      <c r="CN218" s="90"/>
      <c r="CO218" s="90"/>
      <c r="CP218" s="90"/>
      <c r="CQ218" s="90"/>
      <c r="CR218" s="90"/>
      <c r="CS218" s="90"/>
      <c r="CT218" s="90"/>
      <c r="CU218" s="90"/>
      <c r="CV218" s="90"/>
      <c r="CW218" s="90"/>
      <c r="CX218" s="90"/>
      <c r="CY218" s="90"/>
      <c r="CZ218" s="90"/>
      <c r="DA218" s="117"/>
      <c r="DB218" s="117"/>
      <c r="DC218" s="117"/>
      <c r="DD218" s="117"/>
      <c r="DE218" s="117"/>
      <c r="DF218" s="117"/>
      <c r="DG218" s="117"/>
      <c r="DH218" s="117"/>
      <c r="DI218" s="117"/>
      <c r="DJ218" s="117"/>
      <c r="DK218" s="117"/>
      <c r="DL218" s="117"/>
      <c r="DM218" s="117"/>
      <c r="DN218" s="117"/>
      <c r="DO218" s="117"/>
      <c r="DP218" s="117"/>
      <c r="DQ218" s="117"/>
      <c r="DR218" s="117"/>
      <c r="DS218" s="117"/>
      <c r="DT218" s="117"/>
      <c r="DU218" s="117"/>
      <c r="DV218" s="117"/>
      <c r="DW218" s="117"/>
      <c r="DX218" s="117"/>
      <c r="DY218" s="117"/>
      <c r="DZ218" s="117"/>
      <c r="EA218" s="117"/>
      <c r="EB218" s="117"/>
      <c r="EC218" s="117"/>
      <c r="ED218" s="117"/>
      <c r="EE218" s="117"/>
      <c r="EF218" s="117"/>
      <c r="EG218" s="117"/>
      <c r="EH218" s="117"/>
      <c r="EI218" s="117"/>
      <c r="EJ218" s="89"/>
      <c r="EK218" s="89"/>
      <c r="EL218" s="89"/>
      <c r="EM218" s="89"/>
      <c r="EN218" s="89"/>
      <c r="EO218" s="89"/>
      <c r="EP218" s="89"/>
      <c r="EQ218" s="89"/>
      <c r="ER218" s="89"/>
      <c r="ES218" s="89"/>
      <c r="ET218" s="89"/>
      <c r="EU218" s="89"/>
      <c r="EV218" s="89"/>
      <c r="EW218" s="89"/>
      <c r="EX218" s="89"/>
      <c r="EY218" s="89"/>
      <c r="EZ218" s="89"/>
      <c r="FA218" s="89"/>
      <c r="FB218" s="89"/>
      <c r="FC218" s="89"/>
      <c r="FD218" s="89"/>
      <c r="FE218" s="89"/>
      <c r="FF218" s="89"/>
      <c r="FG218" s="89"/>
      <c r="FH218" s="89"/>
      <c r="FI218" s="89"/>
      <c r="FJ218" s="89"/>
      <c r="FK218" s="89"/>
      <c r="FL218" s="89"/>
      <c r="FM218" s="89"/>
      <c r="FN218" s="89"/>
      <c r="FO218" s="89"/>
      <c r="FP218" s="89"/>
      <c r="FQ218" s="89"/>
      <c r="FR218" s="89"/>
      <c r="FS218" s="89"/>
    </row>
    <row r="219" spans="1:175" s="23" customFormat="1" ht="9.75" customHeight="1">
      <c r="A219" s="233"/>
      <c r="B219" s="1145"/>
      <c r="C219" s="234"/>
      <c r="D219" s="235"/>
      <c r="E219" s="235"/>
      <c r="F219" s="235"/>
      <c r="G219" s="235"/>
      <c r="H219" s="235"/>
      <c r="I219" s="236"/>
      <c r="J219" s="235"/>
      <c r="K219" s="235"/>
      <c r="L219" s="237"/>
      <c r="M219" s="237"/>
      <c r="N219" s="238"/>
      <c r="O219" s="238"/>
      <c r="P219" s="493"/>
      <c r="Q219" s="494"/>
      <c r="R219" s="131"/>
      <c r="S219" s="131"/>
      <c r="T219" s="131"/>
      <c r="U219" s="131"/>
      <c r="V219" s="131"/>
      <c r="W219" s="132"/>
      <c r="X219" s="126"/>
      <c r="Y219" s="126"/>
      <c r="Z219" s="126"/>
      <c r="AA219" s="126"/>
      <c r="AB219" s="126"/>
      <c r="AC219" s="126"/>
      <c r="AD219" s="126"/>
      <c r="AE219" s="126"/>
      <c r="AF219" s="127"/>
      <c r="AG219" s="127"/>
      <c r="AH219" s="127"/>
      <c r="AI219" s="127"/>
      <c r="AJ219" s="127"/>
      <c r="AK219" s="127"/>
      <c r="AL219" s="127"/>
      <c r="AM219" s="127"/>
      <c r="AN219" s="127"/>
      <c r="AO219" s="127"/>
      <c r="AP219" s="127"/>
      <c r="AQ219" s="127"/>
      <c r="AR219" s="127"/>
      <c r="AS219" s="128"/>
      <c r="AT219" s="128"/>
      <c r="AU219" s="128"/>
      <c r="AV219" s="128"/>
      <c r="AW219" s="90"/>
      <c r="AX219" s="90"/>
      <c r="AY219" s="90"/>
      <c r="AZ219" s="90"/>
      <c r="BA219" s="90"/>
      <c r="BB219" s="90"/>
      <c r="BC219" s="90"/>
      <c r="BD219" s="90"/>
      <c r="BE219" s="90"/>
      <c r="BF219" s="90"/>
      <c r="BG219" s="90"/>
      <c r="BH219" s="90"/>
      <c r="BI219" s="90"/>
      <c r="BJ219" s="90"/>
      <c r="BK219" s="90"/>
      <c r="BL219" s="90"/>
      <c r="BM219" s="90"/>
      <c r="BN219" s="90"/>
      <c r="BO219" s="90"/>
      <c r="BP219" s="90"/>
      <c r="BQ219" s="90"/>
      <c r="BR219" s="90"/>
      <c r="BS219" s="90"/>
      <c r="BT219" s="90"/>
      <c r="BU219" s="90"/>
      <c r="BV219" s="90"/>
      <c r="BW219" s="90"/>
      <c r="BX219" s="90"/>
      <c r="BY219" s="90"/>
      <c r="BZ219" s="90"/>
      <c r="CA219" s="90"/>
      <c r="CB219" s="90"/>
      <c r="CC219" s="90"/>
      <c r="CD219" s="90"/>
      <c r="CE219" s="90"/>
      <c r="CF219" s="90"/>
      <c r="CG219" s="90"/>
      <c r="CH219" s="90"/>
      <c r="CI219" s="90"/>
      <c r="CJ219" s="90"/>
      <c r="CK219" s="90"/>
      <c r="CL219" s="90"/>
      <c r="CM219" s="90"/>
      <c r="CN219" s="90"/>
      <c r="CO219" s="90"/>
      <c r="CP219" s="90"/>
      <c r="CQ219" s="90"/>
      <c r="CR219" s="90"/>
      <c r="CS219" s="90"/>
      <c r="CT219" s="90"/>
      <c r="CU219" s="90"/>
      <c r="CV219" s="90"/>
      <c r="CW219" s="90"/>
      <c r="CX219" s="90"/>
      <c r="CY219" s="90"/>
      <c r="CZ219" s="90"/>
      <c r="DA219" s="117"/>
      <c r="DB219" s="117"/>
      <c r="DC219" s="117"/>
      <c r="DD219" s="117"/>
      <c r="DE219" s="117"/>
      <c r="DF219" s="117"/>
      <c r="DG219" s="117"/>
      <c r="DH219" s="117"/>
      <c r="DI219" s="117"/>
      <c r="DJ219" s="117"/>
      <c r="DK219" s="117"/>
      <c r="DL219" s="117"/>
      <c r="DM219" s="117"/>
      <c r="DN219" s="117"/>
      <c r="DO219" s="117"/>
      <c r="DP219" s="117"/>
      <c r="DQ219" s="117"/>
      <c r="DR219" s="117"/>
      <c r="DS219" s="117"/>
      <c r="DT219" s="117"/>
      <c r="DU219" s="117"/>
      <c r="DV219" s="117"/>
      <c r="DW219" s="117"/>
      <c r="DX219" s="117"/>
      <c r="DY219" s="117"/>
      <c r="DZ219" s="117"/>
      <c r="EA219" s="117"/>
      <c r="EB219" s="117"/>
      <c r="EC219" s="117"/>
      <c r="ED219" s="117"/>
      <c r="EE219" s="117"/>
      <c r="EF219" s="117"/>
      <c r="EG219" s="117"/>
      <c r="EH219" s="117"/>
      <c r="EI219" s="117"/>
      <c r="EJ219" s="89"/>
      <c r="EK219" s="89"/>
      <c r="EL219" s="89"/>
      <c r="EM219" s="89"/>
      <c r="EN219" s="89"/>
      <c r="EO219" s="89"/>
      <c r="EP219" s="89"/>
      <c r="EQ219" s="89"/>
      <c r="ER219" s="89"/>
      <c r="ES219" s="89"/>
      <c r="ET219" s="89"/>
      <c r="EU219" s="89"/>
      <c r="EV219" s="89"/>
      <c r="EW219" s="89"/>
      <c r="EX219" s="89"/>
      <c r="EY219" s="89"/>
      <c r="EZ219" s="89"/>
      <c r="FA219" s="89"/>
      <c r="FB219" s="89"/>
      <c r="FC219" s="89"/>
      <c r="FD219" s="89"/>
      <c r="FE219" s="89"/>
      <c r="FF219" s="89"/>
      <c r="FG219" s="89"/>
      <c r="FH219" s="89"/>
      <c r="FI219" s="89"/>
      <c r="FJ219" s="89"/>
      <c r="FK219" s="89"/>
      <c r="FL219" s="89"/>
      <c r="FM219" s="89"/>
      <c r="FN219" s="89"/>
      <c r="FO219" s="89"/>
      <c r="FP219" s="89"/>
      <c r="FQ219" s="89"/>
      <c r="FR219" s="89"/>
      <c r="FS219" s="89"/>
    </row>
    <row r="220" spans="1:175" s="23" customFormat="1" ht="9.75" customHeight="1">
      <c r="A220" s="233"/>
      <c r="B220" s="1145"/>
      <c r="C220" s="234"/>
      <c r="D220" s="235"/>
      <c r="E220" s="235"/>
      <c r="F220" s="235"/>
      <c r="G220" s="235"/>
      <c r="H220" s="235"/>
      <c r="I220" s="236"/>
      <c r="J220" s="235"/>
      <c r="K220" s="235"/>
      <c r="L220" s="237"/>
      <c r="M220" s="237"/>
      <c r="N220" s="238"/>
      <c r="O220" s="238"/>
      <c r="P220" s="493"/>
      <c r="Q220" s="494"/>
      <c r="R220" s="131"/>
      <c r="S220" s="131"/>
      <c r="T220" s="131"/>
      <c r="U220" s="131"/>
      <c r="V220" s="131"/>
      <c r="W220" s="132"/>
      <c r="X220" s="126"/>
      <c r="Y220" s="126"/>
      <c r="Z220" s="126"/>
      <c r="AA220" s="126"/>
      <c r="AB220" s="126"/>
      <c r="AC220" s="126"/>
      <c r="AD220" s="126"/>
      <c r="AE220" s="126"/>
      <c r="AF220" s="127"/>
      <c r="AG220" s="127"/>
      <c r="AH220" s="127"/>
      <c r="AI220" s="127"/>
      <c r="AJ220" s="127"/>
      <c r="AK220" s="127"/>
      <c r="AL220" s="127"/>
      <c r="AM220" s="127"/>
      <c r="AN220" s="127"/>
      <c r="AO220" s="127"/>
      <c r="AP220" s="127"/>
      <c r="AQ220" s="127"/>
      <c r="AR220" s="127"/>
      <c r="AS220" s="128"/>
      <c r="AT220" s="128"/>
      <c r="AU220" s="128"/>
      <c r="AV220" s="128"/>
      <c r="AW220" s="90"/>
      <c r="AX220" s="90"/>
      <c r="AY220" s="90"/>
      <c r="AZ220" s="90"/>
      <c r="BA220" s="90"/>
      <c r="BB220" s="90"/>
      <c r="BC220" s="90"/>
      <c r="BD220" s="90"/>
      <c r="BE220" s="90"/>
      <c r="BF220" s="90"/>
      <c r="BG220" s="90"/>
      <c r="BH220" s="90"/>
      <c r="BI220" s="90"/>
      <c r="BJ220" s="90"/>
      <c r="BK220" s="90"/>
      <c r="BL220" s="90"/>
      <c r="BM220" s="90"/>
      <c r="BN220" s="90"/>
      <c r="BO220" s="90"/>
      <c r="BP220" s="90"/>
      <c r="BQ220" s="90"/>
      <c r="BR220" s="90"/>
      <c r="BS220" s="90"/>
      <c r="BT220" s="90"/>
      <c r="BU220" s="90"/>
      <c r="BV220" s="90"/>
      <c r="BW220" s="90"/>
      <c r="BX220" s="90"/>
      <c r="BY220" s="90"/>
      <c r="BZ220" s="90"/>
      <c r="CA220" s="90"/>
      <c r="CB220" s="90"/>
      <c r="CC220" s="90"/>
      <c r="CD220" s="90"/>
      <c r="CE220" s="90"/>
      <c r="CF220" s="90"/>
      <c r="CG220" s="90"/>
      <c r="CH220" s="90"/>
      <c r="CI220" s="90"/>
      <c r="CJ220" s="90"/>
      <c r="CK220" s="90"/>
      <c r="CL220" s="90"/>
      <c r="CM220" s="90"/>
      <c r="CN220" s="90"/>
      <c r="CO220" s="90"/>
      <c r="CP220" s="90"/>
      <c r="CQ220" s="90"/>
      <c r="CR220" s="90"/>
      <c r="CS220" s="90"/>
      <c r="CT220" s="90"/>
      <c r="CU220" s="90"/>
      <c r="CV220" s="90"/>
      <c r="CW220" s="90"/>
      <c r="CX220" s="90"/>
      <c r="CY220" s="90"/>
      <c r="CZ220" s="90"/>
      <c r="DA220" s="117"/>
      <c r="DB220" s="117"/>
      <c r="DC220" s="117"/>
      <c r="DD220" s="117"/>
      <c r="DE220" s="117"/>
      <c r="DF220" s="117"/>
      <c r="DG220" s="117"/>
      <c r="DH220" s="117"/>
      <c r="DI220" s="117"/>
      <c r="DJ220" s="117"/>
      <c r="DK220" s="117"/>
      <c r="DL220" s="117"/>
      <c r="DM220" s="117"/>
      <c r="DN220" s="117"/>
      <c r="DO220" s="117"/>
      <c r="DP220" s="117"/>
      <c r="DQ220" s="117"/>
      <c r="DR220" s="117"/>
      <c r="DS220" s="117"/>
      <c r="DT220" s="117"/>
      <c r="DU220" s="117"/>
      <c r="DV220" s="117"/>
      <c r="DW220" s="117"/>
      <c r="DX220" s="117"/>
      <c r="DY220" s="117"/>
      <c r="DZ220" s="117"/>
      <c r="EA220" s="117"/>
      <c r="EB220" s="117"/>
      <c r="EC220" s="117"/>
      <c r="ED220" s="117"/>
      <c r="EE220" s="117"/>
      <c r="EF220" s="117"/>
      <c r="EG220" s="117"/>
      <c r="EH220" s="117"/>
      <c r="EI220" s="117"/>
      <c r="EJ220" s="89"/>
      <c r="EK220" s="89"/>
      <c r="EL220" s="89"/>
      <c r="EM220" s="89"/>
      <c r="EN220" s="89"/>
      <c r="EO220" s="89"/>
      <c r="EP220" s="89"/>
      <c r="EQ220" s="89"/>
      <c r="ER220" s="89"/>
      <c r="ES220" s="89"/>
      <c r="ET220" s="89"/>
      <c r="EU220" s="89"/>
      <c r="EV220" s="89"/>
      <c r="EW220" s="89"/>
      <c r="EX220" s="89"/>
      <c r="EY220" s="89"/>
      <c r="EZ220" s="89"/>
      <c r="FA220" s="89"/>
      <c r="FB220" s="89"/>
      <c r="FC220" s="89"/>
      <c r="FD220" s="89"/>
      <c r="FE220" s="89"/>
      <c r="FF220" s="89"/>
      <c r="FG220" s="89"/>
      <c r="FH220" s="89"/>
      <c r="FI220" s="89"/>
      <c r="FJ220" s="89"/>
      <c r="FK220" s="89"/>
      <c r="FL220" s="89"/>
      <c r="FM220" s="89"/>
      <c r="FN220" s="89"/>
      <c r="FO220" s="89"/>
      <c r="FP220" s="89"/>
      <c r="FQ220" s="89"/>
      <c r="FR220" s="89"/>
      <c r="FS220" s="89"/>
    </row>
    <row r="221" spans="1:175" s="23" customFormat="1" ht="9.75" customHeight="1">
      <c r="A221" s="233"/>
      <c r="B221" s="1145"/>
      <c r="C221" s="234"/>
      <c r="D221" s="235"/>
      <c r="E221" s="235"/>
      <c r="F221" s="235"/>
      <c r="G221" s="235"/>
      <c r="H221" s="235"/>
      <c r="I221" s="236"/>
      <c r="J221" s="235"/>
      <c r="K221" s="235"/>
      <c r="L221" s="237"/>
      <c r="M221" s="237"/>
      <c r="N221" s="238"/>
      <c r="O221" s="238"/>
      <c r="P221" s="493"/>
      <c r="Q221" s="494"/>
      <c r="R221" s="131"/>
      <c r="S221" s="131"/>
      <c r="T221" s="131"/>
      <c r="U221" s="131"/>
      <c r="V221" s="131"/>
      <c r="W221" s="132"/>
      <c r="X221" s="126"/>
      <c r="Y221" s="126"/>
      <c r="Z221" s="126"/>
      <c r="AA221" s="126"/>
      <c r="AB221" s="126"/>
      <c r="AC221" s="126"/>
      <c r="AD221" s="126"/>
      <c r="AE221" s="126"/>
      <c r="AF221" s="127"/>
      <c r="AG221" s="127"/>
      <c r="AH221" s="127"/>
      <c r="AI221" s="127"/>
      <c r="AJ221" s="127"/>
      <c r="AK221" s="127"/>
      <c r="AL221" s="127"/>
      <c r="AM221" s="127"/>
      <c r="AN221" s="127"/>
      <c r="AO221" s="127"/>
      <c r="AP221" s="127"/>
      <c r="AQ221" s="127"/>
      <c r="AR221" s="127"/>
      <c r="AS221" s="128"/>
      <c r="AT221" s="128"/>
      <c r="AU221" s="128"/>
      <c r="AV221" s="128"/>
      <c r="AW221" s="90"/>
      <c r="AX221" s="90"/>
      <c r="AY221" s="90"/>
      <c r="AZ221" s="90"/>
      <c r="BA221" s="90"/>
      <c r="BB221" s="90"/>
      <c r="BC221" s="90"/>
      <c r="BD221" s="90"/>
      <c r="BE221" s="90"/>
      <c r="BF221" s="90"/>
      <c r="BG221" s="90"/>
      <c r="BH221" s="90"/>
      <c r="BI221" s="90"/>
      <c r="BJ221" s="90"/>
      <c r="BK221" s="90"/>
      <c r="BL221" s="90"/>
      <c r="BM221" s="90"/>
      <c r="BN221" s="90"/>
      <c r="BO221" s="90"/>
      <c r="BP221" s="90"/>
      <c r="BQ221" s="90"/>
      <c r="BR221" s="90"/>
      <c r="BS221" s="90"/>
      <c r="BT221" s="90"/>
      <c r="BU221" s="90"/>
      <c r="BV221" s="90"/>
      <c r="BW221" s="90"/>
      <c r="BX221" s="90"/>
      <c r="BY221" s="90"/>
      <c r="BZ221" s="90"/>
      <c r="CA221" s="90"/>
      <c r="CB221" s="90"/>
      <c r="CC221" s="90"/>
      <c r="CD221" s="90"/>
      <c r="CE221" s="90"/>
      <c r="CF221" s="90"/>
      <c r="CG221" s="90"/>
      <c r="CH221" s="90"/>
      <c r="CI221" s="90"/>
      <c r="CJ221" s="90"/>
      <c r="CK221" s="90"/>
      <c r="CL221" s="90"/>
      <c r="CM221" s="90"/>
      <c r="CN221" s="90"/>
      <c r="CO221" s="90"/>
      <c r="CP221" s="90"/>
      <c r="CQ221" s="90"/>
      <c r="CR221" s="90"/>
      <c r="CS221" s="90"/>
      <c r="CT221" s="90"/>
      <c r="CU221" s="90"/>
      <c r="CV221" s="90"/>
      <c r="CW221" s="90"/>
      <c r="CX221" s="90"/>
      <c r="CY221" s="90"/>
      <c r="CZ221" s="90"/>
      <c r="DA221" s="117"/>
      <c r="DB221" s="117"/>
      <c r="DC221" s="117"/>
      <c r="DD221" s="117"/>
      <c r="DE221" s="117"/>
      <c r="DF221" s="117"/>
      <c r="DG221" s="117"/>
      <c r="DH221" s="117"/>
      <c r="DI221" s="117"/>
      <c r="DJ221" s="117"/>
      <c r="DK221" s="117"/>
      <c r="DL221" s="117"/>
      <c r="DM221" s="117"/>
      <c r="DN221" s="117"/>
      <c r="DO221" s="117"/>
      <c r="DP221" s="117"/>
      <c r="DQ221" s="117"/>
      <c r="DR221" s="117"/>
      <c r="DS221" s="117"/>
      <c r="DT221" s="117"/>
      <c r="DU221" s="117"/>
      <c r="DV221" s="117"/>
      <c r="DW221" s="117"/>
      <c r="DX221" s="117"/>
      <c r="DY221" s="117"/>
      <c r="DZ221" s="117"/>
      <c r="EA221" s="117"/>
      <c r="EB221" s="117"/>
      <c r="EC221" s="117"/>
      <c r="ED221" s="117"/>
      <c r="EE221" s="117"/>
      <c r="EF221" s="117"/>
      <c r="EG221" s="117"/>
      <c r="EH221" s="117"/>
      <c r="EI221" s="117"/>
      <c r="EJ221" s="89"/>
      <c r="EK221" s="89"/>
      <c r="EL221" s="89"/>
      <c r="EM221" s="89"/>
      <c r="EN221" s="89"/>
      <c r="EO221" s="89"/>
      <c r="EP221" s="89"/>
      <c r="EQ221" s="89"/>
      <c r="ER221" s="89"/>
      <c r="ES221" s="89"/>
      <c r="ET221" s="89"/>
      <c r="EU221" s="89"/>
      <c r="EV221" s="89"/>
      <c r="EW221" s="89"/>
      <c r="EX221" s="89"/>
      <c r="EY221" s="89"/>
      <c r="EZ221" s="89"/>
      <c r="FA221" s="89"/>
      <c r="FB221" s="89"/>
      <c r="FC221" s="89"/>
      <c r="FD221" s="89"/>
      <c r="FE221" s="89"/>
      <c r="FF221" s="89"/>
      <c r="FG221" s="89"/>
      <c r="FH221" s="89"/>
      <c r="FI221" s="89"/>
      <c r="FJ221" s="89"/>
      <c r="FK221" s="89"/>
      <c r="FL221" s="89"/>
      <c r="FM221" s="89"/>
      <c r="FN221" s="89"/>
      <c r="FO221" s="89"/>
      <c r="FP221" s="89"/>
      <c r="FQ221" s="89"/>
      <c r="FR221" s="89"/>
      <c r="FS221" s="89"/>
    </row>
    <row r="222" spans="1:175" s="23" customFormat="1" ht="9.75" customHeight="1">
      <c r="A222" s="233"/>
      <c r="B222" s="1145"/>
      <c r="C222" s="234"/>
      <c r="D222" s="235"/>
      <c r="E222" s="235"/>
      <c r="F222" s="235"/>
      <c r="G222" s="235"/>
      <c r="H222" s="235"/>
      <c r="I222" s="236"/>
      <c r="J222" s="235"/>
      <c r="K222" s="235"/>
      <c r="L222" s="237"/>
      <c r="M222" s="237"/>
      <c r="N222" s="238"/>
      <c r="O222" s="238"/>
      <c r="P222" s="493"/>
      <c r="Q222" s="494"/>
      <c r="R222" s="131"/>
      <c r="S222" s="131"/>
      <c r="T222" s="131"/>
      <c r="U222" s="131"/>
      <c r="V222" s="131"/>
      <c r="W222" s="132"/>
      <c r="X222" s="126"/>
      <c r="Y222" s="126"/>
      <c r="Z222" s="126"/>
      <c r="AA222" s="126"/>
      <c r="AB222" s="126"/>
      <c r="AC222" s="126"/>
      <c r="AD222" s="126"/>
      <c r="AE222" s="126"/>
      <c r="AF222" s="127"/>
      <c r="AG222" s="127"/>
      <c r="AH222" s="127"/>
      <c r="AI222" s="127"/>
      <c r="AJ222" s="127"/>
      <c r="AK222" s="127"/>
      <c r="AL222" s="127"/>
      <c r="AM222" s="127"/>
      <c r="AN222" s="127"/>
      <c r="AO222" s="127"/>
      <c r="AP222" s="127"/>
      <c r="AQ222" s="127"/>
      <c r="AR222" s="127"/>
      <c r="AS222" s="128"/>
      <c r="AT222" s="128"/>
      <c r="AU222" s="128"/>
      <c r="AV222" s="128"/>
      <c r="AW222" s="90"/>
      <c r="AX222" s="90"/>
      <c r="AY222" s="90"/>
      <c r="AZ222" s="90"/>
      <c r="BA222" s="90"/>
      <c r="BB222" s="90"/>
      <c r="BC222" s="90"/>
      <c r="BD222" s="90"/>
      <c r="BE222" s="90"/>
      <c r="BF222" s="90"/>
      <c r="BG222" s="90"/>
      <c r="BH222" s="90"/>
      <c r="BI222" s="90"/>
      <c r="BJ222" s="90"/>
      <c r="BK222" s="90"/>
      <c r="BL222" s="90"/>
      <c r="BM222" s="90"/>
      <c r="BN222" s="90"/>
      <c r="BO222" s="90"/>
      <c r="BP222" s="90"/>
      <c r="BQ222" s="90"/>
      <c r="BR222" s="90"/>
      <c r="BS222" s="90"/>
      <c r="BT222" s="90"/>
      <c r="BU222" s="90"/>
      <c r="BV222" s="90"/>
      <c r="BW222" s="90"/>
      <c r="BX222" s="90"/>
      <c r="BY222" s="90"/>
      <c r="BZ222" s="90"/>
      <c r="CA222" s="90"/>
      <c r="CB222" s="90"/>
      <c r="CC222" s="90"/>
      <c r="CD222" s="90"/>
      <c r="CE222" s="90"/>
      <c r="CF222" s="90"/>
      <c r="CG222" s="90"/>
      <c r="CH222" s="90"/>
      <c r="CI222" s="90"/>
      <c r="CJ222" s="90"/>
      <c r="CK222" s="90"/>
      <c r="CL222" s="90"/>
      <c r="CM222" s="90"/>
      <c r="CN222" s="90"/>
      <c r="CO222" s="90"/>
      <c r="CP222" s="90"/>
      <c r="CQ222" s="90"/>
      <c r="CR222" s="90"/>
      <c r="CS222" s="90"/>
      <c r="CT222" s="90"/>
      <c r="CU222" s="90"/>
      <c r="CV222" s="90"/>
      <c r="CW222" s="90"/>
      <c r="CX222" s="90"/>
      <c r="CY222" s="90"/>
      <c r="CZ222" s="90"/>
      <c r="DA222" s="117"/>
      <c r="DB222" s="117"/>
      <c r="DC222" s="117"/>
      <c r="DD222" s="117"/>
      <c r="DE222" s="117"/>
      <c r="DF222" s="117"/>
      <c r="DG222" s="117"/>
      <c r="DH222" s="117"/>
      <c r="DI222" s="117"/>
      <c r="DJ222" s="117"/>
      <c r="DK222" s="117"/>
      <c r="DL222" s="117"/>
      <c r="DM222" s="117"/>
      <c r="DN222" s="117"/>
      <c r="DO222" s="117"/>
      <c r="DP222" s="117"/>
      <c r="DQ222" s="117"/>
      <c r="DR222" s="117"/>
      <c r="DS222" s="117"/>
      <c r="DT222" s="117"/>
      <c r="DU222" s="117"/>
      <c r="DV222" s="117"/>
      <c r="DW222" s="117"/>
      <c r="DX222" s="117"/>
      <c r="DY222" s="117"/>
      <c r="DZ222" s="117"/>
      <c r="EA222" s="117"/>
      <c r="EB222" s="117"/>
      <c r="EC222" s="117"/>
      <c r="ED222" s="117"/>
      <c r="EE222" s="117"/>
      <c r="EF222" s="117"/>
      <c r="EG222" s="117"/>
      <c r="EH222" s="117"/>
      <c r="EI222" s="117"/>
      <c r="EJ222" s="89"/>
      <c r="EK222" s="89"/>
      <c r="EL222" s="89"/>
      <c r="EM222" s="89"/>
      <c r="EN222" s="89"/>
      <c r="EO222" s="89"/>
      <c r="EP222" s="89"/>
      <c r="EQ222" s="89"/>
      <c r="ER222" s="89"/>
      <c r="ES222" s="89"/>
      <c r="ET222" s="89"/>
      <c r="EU222" s="89"/>
      <c r="EV222" s="89"/>
      <c r="EW222" s="89"/>
      <c r="EX222" s="89"/>
      <c r="EY222" s="89"/>
      <c r="EZ222" s="89"/>
      <c r="FA222" s="89"/>
      <c r="FB222" s="89"/>
      <c r="FC222" s="89"/>
      <c r="FD222" s="89"/>
      <c r="FE222" s="89"/>
      <c r="FF222" s="89"/>
      <c r="FG222" s="89"/>
      <c r="FH222" s="89"/>
      <c r="FI222" s="89"/>
      <c r="FJ222" s="89"/>
      <c r="FK222" s="89"/>
      <c r="FL222" s="89"/>
      <c r="FM222" s="89"/>
      <c r="FN222" s="89"/>
      <c r="FO222" s="89"/>
      <c r="FP222" s="89"/>
      <c r="FQ222" s="89"/>
      <c r="FR222" s="89"/>
      <c r="FS222" s="89"/>
    </row>
    <row r="223" spans="1:175" s="23" customFormat="1" ht="9.75" customHeight="1">
      <c r="A223" s="233"/>
      <c r="B223" s="1145"/>
      <c r="C223" s="234"/>
      <c r="D223" s="235"/>
      <c r="E223" s="235"/>
      <c r="F223" s="235"/>
      <c r="G223" s="235"/>
      <c r="H223" s="235"/>
      <c r="I223" s="236"/>
      <c r="J223" s="235"/>
      <c r="K223" s="235"/>
      <c r="L223" s="237"/>
      <c r="M223" s="237"/>
      <c r="N223" s="238"/>
      <c r="O223" s="238"/>
      <c r="P223" s="493"/>
      <c r="Q223" s="494"/>
      <c r="R223" s="131"/>
      <c r="S223" s="131"/>
      <c r="T223" s="131"/>
      <c r="U223" s="131"/>
      <c r="V223" s="131"/>
      <c r="W223" s="132"/>
      <c r="X223" s="126"/>
      <c r="Y223" s="126"/>
      <c r="Z223" s="126"/>
      <c r="AA223" s="126"/>
      <c r="AB223" s="126"/>
      <c r="AC223" s="126"/>
      <c r="AD223" s="126"/>
      <c r="AE223" s="126"/>
      <c r="AF223" s="127"/>
      <c r="AG223" s="127"/>
      <c r="AH223" s="127"/>
      <c r="AI223" s="127"/>
      <c r="AJ223" s="127"/>
      <c r="AK223" s="127"/>
      <c r="AL223" s="127"/>
      <c r="AM223" s="127"/>
      <c r="AN223" s="127"/>
      <c r="AO223" s="127"/>
      <c r="AP223" s="127"/>
      <c r="AQ223" s="127"/>
      <c r="AR223" s="127"/>
      <c r="AS223" s="128"/>
      <c r="AT223" s="128"/>
      <c r="AU223" s="128"/>
      <c r="AV223" s="128"/>
      <c r="AW223" s="90"/>
      <c r="AX223" s="90"/>
      <c r="AY223" s="90"/>
      <c r="AZ223" s="90"/>
      <c r="BA223" s="90"/>
      <c r="BB223" s="90"/>
      <c r="BC223" s="90"/>
      <c r="BD223" s="90"/>
      <c r="BE223" s="90"/>
      <c r="BF223" s="90"/>
      <c r="BG223" s="90"/>
      <c r="BH223" s="90"/>
      <c r="BI223" s="90"/>
      <c r="BJ223" s="90"/>
      <c r="BK223" s="90"/>
      <c r="BL223" s="90"/>
      <c r="BM223" s="90"/>
      <c r="BN223" s="90"/>
      <c r="BO223" s="90"/>
      <c r="BP223" s="90"/>
      <c r="BQ223" s="90"/>
      <c r="BR223" s="90"/>
      <c r="BS223" s="90"/>
      <c r="BT223" s="90"/>
      <c r="BU223" s="90"/>
      <c r="BV223" s="90"/>
      <c r="BW223" s="90"/>
      <c r="BX223" s="90"/>
      <c r="BY223" s="90"/>
      <c r="BZ223" s="90"/>
      <c r="CA223" s="90"/>
      <c r="CB223" s="90"/>
      <c r="CC223" s="90"/>
      <c r="CD223" s="90"/>
      <c r="CE223" s="90"/>
      <c r="CF223" s="90"/>
      <c r="CG223" s="90"/>
      <c r="CH223" s="90"/>
      <c r="CI223" s="90"/>
      <c r="CJ223" s="90"/>
      <c r="CK223" s="90"/>
      <c r="CL223" s="90"/>
      <c r="CM223" s="90"/>
      <c r="CN223" s="90"/>
      <c r="CO223" s="90"/>
      <c r="CP223" s="90"/>
      <c r="CQ223" s="90"/>
      <c r="CR223" s="90"/>
      <c r="CS223" s="90"/>
      <c r="CT223" s="90"/>
      <c r="CU223" s="90"/>
      <c r="CV223" s="90"/>
      <c r="CW223" s="90"/>
      <c r="CX223" s="90"/>
      <c r="CY223" s="90"/>
      <c r="CZ223" s="90"/>
      <c r="DA223" s="117"/>
      <c r="DB223" s="117"/>
      <c r="DC223" s="117"/>
      <c r="DD223" s="117"/>
      <c r="DE223" s="117"/>
      <c r="DF223" s="117"/>
      <c r="DG223" s="117"/>
      <c r="DH223" s="117"/>
      <c r="DI223" s="117"/>
      <c r="DJ223" s="117"/>
      <c r="DK223" s="117"/>
      <c r="DL223" s="117"/>
      <c r="DM223" s="117"/>
      <c r="DN223" s="117"/>
      <c r="DO223" s="117"/>
      <c r="DP223" s="117"/>
      <c r="DQ223" s="117"/>
      <c r="DR223" s="117"/>
      <c r="DS223" s="117"/>
      <c r="DT223" s="117"/>
      <c r="DU223" s="117"/>
      <c r="DV223" s="117"/>
      <c r="DW223" s="117"/>
      <c r="DX223" s="117"/>
      <c r="DY223" s="117"/>
      <c r="DZ223" s="117"/>
      <c r="EA223" s="117"/>
      <c r="EB223" s="117"/>
      <c r="EC223" s="117"/>
      <c r="ED223" s="117"/>
      <c r="EE223" s="117"/>
      <c r="EF223" s="117"/>
      <c r="EG223" s="117"/>
      <c r="EH223" s="117"/>
      <c r="EI223" s="117"/>
      <c r="EJ223" s="89"/>
      <c r="EK223" s="89"/>
      <c r="EL223" s="89"/>
      <c r="EM223" s="89"/>
      <c r="EN223" s="89"/>
      <c r="EO223" s="89"/>
      <c r="EP223" s="89"/>
      <c r="EQ223" s="89"/>
      <c r="ER223" s="89"/>
      <c r="ES223" s="89"/>
      <c r="ET223" s="89"/>
      <c r="EU223" s="89"/>
      <c r="EV223" s="89"/>
      <c r="EW223" s="89"/>
      <c r="EX223" s="89"/>
      <c r="EY223" s="89"/>
      <c r="EZ223" s="89"/>
      <c r="FA223" s="89"/>
      <c r="FB223" s="89"/>
      <c r="FC223" s="89"/>
      <c r="FD223" s="89"/>
      <c r="FE223" s="89"/>
      <c r="FF223" s="89"/>
      <c r="FG223" s="89"/>
      <c r="FH223" s="89"/>
      <c r="FI223" s="89"/>
      <c r="FJ223" s="89"/>
      <c r="FK223" s="89"/>
      <c r="FL223" s="89"/>
      <c r="FM223" s="89"/>
      <c r="FN223" s="89"/>
      <c r="FO223" s="89"/>
      <c r="FP223" s="89"/>
      <c r="FQ223" s="89"/>
      <c r="FR223" s="89"/>
      <c r="FS223" s="89"/>
    </row>
    <row r="224" spans="1:175" s="23" customFormat="1" ht="9.75" customHeight="1">
      <c r="A224" s="233"/>
      <c r="B224" s="1145"/>
      <c r="C224" s="234"/>
      <c r="D224" s="235"/>
      <c r="E224" s="235"/>
      <c r="F224" s="235"/>
      <c r="G224" s="235"/>
      <c r="H224" s="235"/>
      <c r="I224" s="236"/>
      <c r="J224" s="235"/>
      <c r="K224" s="235"/>
      <c r="L224" s="237"/>
      <c r="M224" s="237"/>
      <c r="N224" s="238"/>
      <c r="O224" s="238"/>
      <c r="P224" s="493"/>
      <c r="Q224" s="494"/>
      <c r="R224" s="131"/>
      <c r="S224" s="131"/>
      <c r="T224" s="131"/>
      <c r="U224" s="131"/>
      <c r="V224" s="131"/>
      <c r="W224" s="132"/>
      <c r="X224" s="126"/>
      <c r="Y224" s="126"/>
      <c r="Z224" s="126"/>
      <c r="AA224" s="126"/>
      <c r="AB224" s="126"/>
      <c r="AC224" s="126"/>
      <c r="AD224" s="126"/>
      <c r="AE224" s="126"/>
      <c r="AF224" s="127"/>
      <c r="AG224" s="127"/>
      <c r="AH224" s="127"/>
      <c r="AI224" s="127"/>
      <c r="AJ224" s="127"/>
      <c r="AK224" s="127"/>
      <c r="AL224" s="127"/>
      <c r="AM224" s="127"/>
      <c r="AN224" s="127"/>
      <c r="AO224" s="127"/>
      <c r="AP224" s="127"/>
      <c r="AQ224" s="127"/>
      <c r="AR224" s="127"/>
      <c r="AS224" s="128"/>
      <c r="AT224" s="128"/>
      <c r="AU224" s="128"/>
      <c r="AV224" s="128"/>
      <c r="AW224" s="90"/>
      <c r="AX224" s="90"/>
      <c r="AY224" s="90"/>
      <c r="AZ224" s="90"/>
      <c r="BA224" s="90"/>
      <c r="BB224" s="90"/>
      <c r="BC224" s="90"/>
      <c r="BD224" s="90"/>
      <c r="BE224" s="90"/>
      <c r="BF224" s="90"/>
      <c r="BG224" s="90"/>
      <c r="BH224" s="90"/>
      <c r="BI224" s="90"/>
      <c r="BJ224" s="90"/>
      <c r="BK224" s="90"/>
      <c r="BL224" s="90"/>
      <c r="BM224" s="90"/>
      <c r="BN224" s="90"/>
      <c r="BO224" s="90"/>
      <c r="BP224" s="90"/>
      <c r="BQ224" s="90"/>
      <c r="BR224" s="90"/>
      <c r="BS224" s="90"/>
      <c r="BT224" s="90"/>
      <c r="BU224" s="90"/>
      <c r="BV224" s="90"/>
      <c r="BW224" s="90"/>
      <c r="BX224" s="90"/>
      <c r="BY224" s="90"/>
      <c r="BZ224" s="90"/>
      <c r="CA224" s="90"/>
      <c r="CB224" s="90"/>
      <c r="CC224" s="90"/>
      <c r="CD224" s="90"/>
      <c r="CE224" s="90"/>
      <c r="CF224" s="90"/>
      <c r="CG224" s="90"/>
      <c r="CH224" s="90"/>
      <c r="CI224" s="90"/>
      <c r="CJ224" s="90"/>
      <c r="CK224" s="90"/>
      <c r="CL224" s="90"/>
      <c r="CM224" s="90"/>
      <c r="CN224" s="90"/>
      <c r="CO224" s="90"/>
      <c r="CP224" s="90"/>
      <c r="CQ224" s="90"/>
      <c r="CR224" s="90"/>
      <c r="CS224" s="90"/>
      <c r="CT224" s="90"/>
      <c r="CU224" s="90"/>
      <c r="CV224" s="90"/>
      <c r="CW224" s="90"/>
      <c r="CX224" s="90"/>
      <c r="CY224" s="90"/>
      <c r="CZ224" s="90"/>
      <c r="DA224" s="117"/>
      <c r="DB224" s="117"/>
      <c r="DC224" s="117"/>
      <c r="DD224" s="117"/>
      <c r="DE224" s="117"/>
      <c r="DF224" s="117"/>
      <c r="DG224" s="117"/>
      <c r="DH224" s="117"/>
      <c r="DI224" s="117"/>
      <c r="DJ224" s="117"/>
      <c r="DK224" s="117"/>
      <c r="DL224" s="117"/>
      <c r="DM224" s="117"/>
      <c r="DN224" s="117"/>
      <c r="DO224" s="117"/>
      <c r="DP224" s="117"/>
      <c r="DQ224" s="117"/>
      <c r="DR224" s="117"/>
      <c r="DS224" s="117"/>
      <c r="DT224" s="117"/>
      <c r="DU224" s="117"/>
      <c r="DV224" s="117"/>
      <c r="DW224" s="117"/>
      <c r="DX224" s="117"/>
      <c r="DY224" s="117"/>
      <c r="DZ224" s="117"/>
      <c r="EA224" s="117"/>
      <c r="EB224" s="117"/>
      <c r="EC224" s="117"/>
      <c r="ED224" s="117"/>
      <c r="EE224" s="117"/>
      <c r="EF224" s="117"/>
      <c r="EG224" s="117"/>
      <c r="EH224" s="117"/>
      <c r="EI224" s="117"/>
      <c r="EJ224" s="89"/>
      <c r="EK224" s="89"/>
      <c r="EL224" s="89"/>
      <c r="EM224" s="89"/>
      <c r="EN224" s="89"/>
      <c r="EO224" s="89"/>
      <c r="EP224" s="89"/>
      <c r="EQ224" s="89"/>
      <c r="ER224" s="89"/>
      <c r="ES224" s="89"/>
      <c r="ET224" s="89"/>
      <c r="EU224" s="89"/>
      <c r="EV224" s="89"/>
      <c r="EW224" s="89"/>
      <c r="EX224" s="89"/>
      <c r="EY224" s="89"/>
      <c r="EZ224" s="89"/>
      <c r="FA224" s="89"/>
      <c r="FB224" s="89"/>
      <c r="FC224" s="89"/>
      <c r="FD224" s="89"/>
      <c r="FE224" s="89"/>
      <c r="FF224" s="89"/>
      <c r="FG224" s="89"/>
      <c r="FH224" s="89"/>
      <c r="FI224" s="89"/>
      <c r="FJ224" s="89"/>
      <c r="FK224" s="89"/>
      <c r="FL224" s="89"/>
      <c r="FM224" s="89"/>
      <c r="FN224" s="89"/>
      <c r="FO224" s="89"/>
      <c r="FP224" s="89"/>
      <c r="FQ224" s="89"/>
      <c r="FR224" s="89"/>
      <c r="FS224" s="89"/>
    </row>
    <row r="225" spans="1:175" s="23" customFormat="1" ht="9.75" customHeight="1">
      <c r="A225" s="233"/>
      <c r="B225" s="1145"/>
      <c r="C225" s="234"/>
      <c r="D225" s="235"/>
      <c r="E225" s="235"/>
      <c r="F225" s="235"/>
      <c r="G225" s="235"/>
      <c r="H225" s="235"/>
      <c r="I225" s="236"/>
      <c r="J225" s="235"/>
      <c r="K225" s="235"/>
      <c r="L225" s="237"/>
      <c r="M225" s="237"/>
      <c r="N225" s="238"/>
      <c r="O225" s="238"/>
      <c r="P225" s="493"/>
      <c r="Q225" s="494"/>
      <c r="R225" s="131"/>
      <c r="S225" s="131"/>
      <c r="T225" s="131"/>
      <c r="U225" s="131"/>
      <c r="V225" s="131"/>
      <c r="W225" s="132"/>
      <c r="X225" s="126"/>
      <c r="Y225" s="126"/>
      <c r="Z225" s="126"/>
      <c r="AA225" s="126"/>
      <c r="AB225" s="126"/>
      <c r="AC225" s="126"/>
      <c r="AD225" s="126"/>
      <c r="AE225" s="126"/>
      <c r="AF225" s="127"/>
      <c r="AG225" s="127"/>
      <c r="AH225" s="127"/>
      <c r="AI225" s="127"/>
      <c r="AJ225" s="127"/>
      <c r="AK225" s="127"/>
      <c r="AL225" s="127"/>
      <c r="AM225" s="127"/>
      <c r="AN225" s="127"/>
      <c r="AO225" s="127"/>
      <c r="AP225" s="127"/>
      <c r="AQ225" s="127"/>
      <c r="AR225" s="127"/>
      <c r="AS225" s="128"/>
      <c r="AT225" s="128"/>
      <c r="AU225" s="128"/>
      <c r="AV225" s="128"/>
      <c r="AW225" s="90"/>
      <c r="AX225" s="90"/>
      <c r="AY225" s="90"/>
      <c r="AZ225" s="90"/>
      <c r="BA225" s="90"/>
      <c r="BB225" s="90"/>
      <c r="BC225" s="90"/>
      <c r="BD225" s="90"/>
      <c r="BE225" s="90"/>
      <c r="BF225" s="90"/>
      <c r="BG225" s="90"/>
      <c r="BH225" s="90"/>
      <c r="BI225" s="90"/>
      <c r="BJ225" s="90"/>
      <c r="BK225" s="90"/>
      <c r="BL225" s="90"/>
      <c r="BM225" s="90"/>
      <c r="BN225" s="90"/>
      <c r="BO225" s="90"/>
      <c r="BP225" s="90"/>
      <c r="BQ225" s="90"/>
      <c r="BR225" s="90"/>
      <c r="BS225" s="90"/>
      <c r="BT225" s="90"/>
      <c r="BU225" s="90"/>
      <c r="BV225" s="90"/>
      <c r="BW225" s="90"/>
      <c r="BX225" s="90"/>
      <c r="BY225" s="90"/>
      <c r="BZ225" s="90"/>
      <c r="CA225" s="90"/>
      <c r="CB225" s="90"/>
      <c r="CC225" s="90"/>
      <c r="CD225" s="90"/>
      <c r="CE225" s="90"/>
      <c r="CF225" s="90"/>
      <c r="CG225" s="90"/>
      <c r="CH225" s="90"/>
      <c r="CI225" s="90"/>
      <c r="CJ225" s="90"/>
      <c r="CK225" s="90"/>
      <c r="CL225" s="90"/>
      <c r="CM225" s="90"/>
      <c r="CN225" s="90"/>
      <c r="CO225" s="90"/>
      <c r="CP225" s="90"/>
      <c r="CQ225" s="90"/>
      <c r="CR225" s="90"/>
      <c r="CS225" s="90"/>
      <c r="CT225" s="90"/>
      <c r="CU225" s="90"/>
      <c r="CV225" s="90"/>
      <c r="CW225" s="90"/>
      <c r="CX225" s="90"/>
      <c r="CY225" s="90"/>
      <c r="CZ225" s="90"/>
      <c r="DA225" s="117"/>
      <c r="DB225" s="117"/>
      <c r="DC225" s="117"/>
      <c r="DD225" s="117"/>
      <c r="DE225" s="117"/>
      <c r="DF225" s="117"/>
      <c r="DG225" s="117"/>
      <c r="DH225" s="117"/>
      <c r="DI225" s="117"/>
      <c r="DJ225" s="117"/>
      <c r="DK225" s="117"/>
      <c r="DL225" s="117"/>
      <c r="DM225" s="117"/>
      <c r="DN225" s="117"/>
      <c r="DO225" s="117"/>
      <c r="DP225" s="117"/>
      <c r="DQ225" s="117"/>
      <c r="DR225" s="117"/>
      <c r="DS225" s="117"/>
      <c r="DT225" s="117"/>
      <c r="DU225" s="117"/>
      <c r="DV225" s="117"/>
      <c r="DW225" s="117"/>
      <c r="DX225" s="117"/>
      <c r="DY225" s="117"/>
      <c r="DZ225" s="117"/>
      <c r="EA225" s="117"/>
      <c r="EB225" s="117"/>
      <c r="EC225" s="117"/>
      <c r="ED225" s="117"/>
      <c r="EE225" s="117"/>
      <c r="EF225" s="117"/>
      <c r="EG225" s="117"/>
      <c r="EH225" s="117"/>
      <c r="EI225" s="117"/>
      <c r="EJ225" s="89"/>
      <c r="EK225" s="89"/>
      <c r="EL225" s="89"/>
      <c r="EM225" s="89"/>
      <c r="EN225" s="89"/>
      <c r="EO225" s="89"/>
      <c r="EP225" s="89"/>
      <c r="EQ225" s="89"/>
      <c r="ER225" s="89"/>
      <c r="ES225" s="89"/>
      <c r="ET225" s="89"/>
      <c r="EU225" s="89"/>
      <c r="EV225" s="89"/>
      <c r="EW225" s="89"/>
      <c r="EX225" s="89"/>
      <c r="EY225" s="89"/>
      <c r="EZ225" s="89"/>
      <c r="FA225" s="89"/>
      <c r="FB225" s="89"/>
      <c r="FC225" s="89"/>
      <c r="FD225" s="89"/>
      <c r="FE225" s="89"/>
      <c r="FF225" s="89"/>
      <c r="FG225" s="89"/>
      <c r="FH225" s="89"/>
      <c r="FI225" s="89"/>
      <c r="FJ225" s="89"/>
      <c r="FK225" s="89"/>
      <c r="FL225" s="89"/>
      <c r="FM225" s="89"/>
      <c r="FN225" s="89"/>
      <c r="FO225" s="89"/>
      <c r="FP225" s="89"/>
      <c r="FQ225" s="89"/>
      <c r="FR225" s="89"/>
      <c r="FS225" s="89"/>
    </row>
    <row r="226" spans="1:175" s="23" customFormat="1" ht="9.75" customHeight="1">
      <c r="A226" s="233"/>
      <c r="B226" s="1145"/>
      <c r="C226" s="234"/>
      <c r="D226" s="235"/>
      <c r="E226" s="235"/>
      <c r="F226" s="235"/>
      <c r="G226" s="235"/>
      <c r="H226" s="235"/>
      <c r="I226" s="236"/>
      <c r="J226" s="235"/>
      <c r="K226" s="235"/>
      <c r="L226" s="237"/>
      <c r="M226" s="237"/>
      <c r="N226" s="238"/>
      <c r="O226" s="238"/>
      <c r="P226" s="493"/>
      <c r="Q226" s="494"/>
      <c r="R226" s="131"/>
      <c r="S226" s="131"/>
      <c r="T226" s="131"/>
      <c r="U226" s="131"/>
      <c r="V226" s="131"/>
      <c r="W226" s="132"/>
      <c r="X226" s="126"/>
      <c r="Y226" s="126"/>
      <c r="Z226" s="126"/>
      <c r="AA226" s="126"/>
      <c r="AB226" s="126"/>
      <c r="AC226" s="126"/>
      <c r="AD226" s="126"/>
      <c r="AE226" s="126"/>
      <c r="AF226" s="127"/>
      <c r="AG226" s="127"/>
      <c r="AH226" s="127"/>
      <c r="AI226" s="127"/>
      <c r="AJ226" s="127"/>
      <c r="AK226" s="127"/>
      <c r="AL226" s="127"/>
      <c r="AM226" s="127"/>
      <c r="AN226" s="127"/>
      <c r="AO226" s="127"/>
      <c r="AP226" s="127"/>
      <c r="AQ226" s="127"/>
      <c r="AR226" s="127"/>
      <c r="AS226" s="128"/>
      <c r="AT226" s="128"/>
      <c r="AU226" s="128"/>
      <c r="AV226" s="128"/>
      <c r="AW226" s="90"/>
      <c r="AX226" s="90"/>
      <c r="AY226" s="90"/>
      <c r="AZ226" s="90"/>
      <c r="BA226" s="90"/>
      <c r="BB226" s="90"/>
      <c r="BC226" s="90"/>
      <c r="BD226" s="90"/>
      <c r="BE226" s="90"/>
      <c r="BF226" s="90"/>
      <c r="BG226" s="90"/>
      <c r="BH226" s="90"/>
      <c r="BI226" s="90"/>
      <c r="BJ226" s="90"/>
      <c r="BK226" s="90"/>
      <c r="BL226" s="90"/>
      <c r="BM226" s="90"/>
      <c r="BN226" s="90"/>
      <c r="BO226" s="90"/>
      <c r="BP226" s="90"/>
      <c r="BQ226" s="90"/>
      <c r="BR226" s="90"/>
      <c r="BS226" s="90"/>
      <c r="BT226" s="90"/>
      <c r="BU226" s="90"/>
      <c r="BV226" s="90"/>
      <c r="BW226" s="90"/>
      <c r="BX226" s="90"/>
      <c r="BY226" s="90"/>
      <c r="BZ226" s="90"/>
      <c r="CA226" s="90"/>
      <c r="CB226" s="90"/>
      <c r="CC226" s="90"/>
      <c r="CD226" s="90"/>
      <c r="CE226" s="90"/>
      <c r="CF226" s="90"/>
      <c r="CG226" s="90"/>
      <c r="CH226" s="90"/>
      <c r="CI226" s="90"/>
      <c r="CJ226" s="90"/>
      <c r="CK226" s="90"/>
      <c r="CL226" s="90"/>
      <c r="CM226" s="90"/>
      <c r="CN226" s="90"/>
      <c r="CO226" s="90"/>
      <c r="CP226" s="90"/>
      <c r="CQ226" s="90"/>
      <c r="CR226" s="90"/>
      <c r="CS226" s="90"/>
      <c r="CT226" s="90"/>
      <c r="CU226" s="90"/>
      <c r="CV226" s="90"/>
      <c r="CW226" s="90"/>
      <c r="CX226" s="90"/>
      <c r="CY226" s="90"/>
      <c r="CZ226" s="90"/>
      <c r="DA226" s="117"/>
      <c r="DB226" s="117"/>
      <c r="DC226" s="117"/>
      <c r="DD226" s="117"/>
      <c r="DE226" s="117"/>
      <c r="DF226" s="117"/>
      <c r="DG226" s="117"/>
      <c r="DH226" s="117"/>
      <c r="DI226" s="117"/>
      <c r="DJ226" s="117"/>
      <c r="DK226" s="117"/>
      <c r="DL226" s="117"/>
      <c r="DM226" s="117"/>
      <c r="DN226" s="117"/>
      <c r="DO226" s="117"/>
      <c r="DP226" s="117"/>
      <c r="DQ226" s="117"/>
      <c r="DR226" s="117"/>
      <c r="DS226" s="117"/>
      <c r="DT226" s="117"/>
      <c r="DU226" s="117"/>
      <c r="DV226" s="117"/>
      <c r="DW226" s="117"/>
      <c r="DX226" s="117"/>
      <c r="DY226" s="117"/>
      <c r="DZ226" s="117"/>
      <c r="EA226" s="117"/>
      <c r="EB226" s="117"/>
      <c r="EC226" s="117"/>
      <c r="ED226" s="117"/>
      <c r="EE226" s="117"/>
      <c r="EF226" s="117"/>
      <c r="EG226" s="117"/>
      <c r="EH226" s="117"/>
      <c r="EI226" s="117"/>
      <c r="EJ226" s="89"/>
      <c r="EK226" s="89"/>
      <c r="EL226" s="89"/>
      <c r="EM226" s="89"/>
      <c r="EN226" s="89"/>
      <c r="EO226" s="89"/>
      <c r="EP226" s="89"/>
      <c r="EQ226" s="89"/>
      <c r="ER226" s="89"/>
      <c r="ES226" s="89"/>
      <c r="ET226" s="89"/>
      <c r="EU226" s="89"/>
      <c r="EV226" s="89"/>
      <c r="EW226" s="89"/>
      <c r="EX226" s="89"/>
      <c r="EY226" s="89"/>
      <c r="EZ226" s="89"/>
      <c r="FA226" s="89"/>
      <c r="FB226" s="89"/>
      <c r="FC226" s="89"/>
      <c r="FD226" s="89"/>
      <c r="FE226" s="89"/>
      <c r="FF226" s="89"/>
      <c r="FG226" s="89"/>
      <c r="FH226" s="89"/>
      <c r="FI226" s="89"/>
      <c r="FJ226" s="89"/>
      <c r="FK226" s="89"/>
      <c r="FL226" s="89"/>
      <c r="FM226" s="89"/>
      <c r="FN226" s="89"/>
      <c r="FO226" s="89"/>
      <c r="FP226" s="89"/>
      <c r="FQ226" s="89"/>
      <c r="FR226" s="89"/>
      <c r="FS226" s="89"/>
    </row>
    <row r="227" spans="1:175" s="23" customFormat="1" ht="9.75" customHeight="1">
      <c r="A227" s="233"/>
      <c r="B227" s="1145"/>
      <c r="C227" s="234"/>
      <c r="D227" s="235"/>
      <c r="E227" s="235"/>
      <c r="F227" s="235"/>
      <c r="G227" s="235"/>
      <c r="H227" s="235"/>
      <c r="I227" s="236"/>
      <c r="J227" s="235"/>
      <c r="K227" s="235"/>
      <c r="L227" s="237"/>
      <c r="M227" s="237"/>
      <c r="N227" s="238"/>
      <c r="O227" s="238"/>
      <c r="P227" s="493"/>
      <c r="Q227" s="494"/>
      <c r="R227" s="131"/>
      <c r="S227" s="131"/>
      <c r="T227" s="131"/>
      <c r="U227" s="131"/>
      <c r="V227" s="131"/>
      <c r="W227" s="132"/>
      <c r="X227" s="126"/>
      <c r="Y227" s="126"/>
      <c r="Z227" s="126"/>
      <c r="AA227" s="126"/>
      <c r="AB227" s="126"/>
      <c r="AC227" s="126"/>
      <c r="AD227" s="126"/>
      <c r="AE227" s="126"/>
      <c r="AF227" s="127"/>
      <c r="AG227" s="127"/>
      <c r="AH227" s="127"/>
      <c r="AI227" s="127"/>
      <c r="AJ227" s="127"/>
      <c r="AK227" s="127"/>
      <c r="AL227" s="127"/>
      <c r="AM227" s="127"/>
      <c r="AN227" s="127"/>
      <c r="AO227" s="127"/>
      <c r="AP227" s="127"/>
      <c r="AQ227" s="127"/>
      <c r="AR227" s="127"/>
      <c r="AS227" s="128"/>
      <c r="AT227" s="128"/>
      <c r="AU227" s="128"/>
      <c r="AV227" s="128"/>
      <c r="AW227" s="90"/>
      <c r="AX227" s="90"/>
      <c r="AY227" s="90"/>
      <c r="AZ227" s="90"/>
      <c r="BA227" s="90"/>
      <c r="BB227" s="90"/>
      <c r="BC227" s="90"/>
      <c r="BD227" s="90"/>
      <c r="BE227" s="90"/>
      <c r="BF227" s="90"/>
      <c r="BG227" s="90"/>
      <c r="BH227" s="90"/>
      <c r="BI227" s="90"/>
      <c r="BJ227" s="90"/>
      <c r="BK227" s="90"/>
      <c r="BL227" s="90"/>
      <c r="BM227" s="90"/>
      <c r="BN227" s="90"/>
      <c r="BO227" s="90"/>
      <c r="BP227" s="90"/>
      <c r="BQ227" s="90"/>
      <c r="BR227" s="90"/>
      <c r="BS227" s="90"/>
      <c r="BT227" s="90"/>
      <c r="BU227" s="90"/>
      <c r="BV227" s="90"/>
      <c r="BW227" s="90"/>
      <c r="BX227" s="90"/>
      <c r="BY227" s="90"/>
      <c r="BZ227" s="90"/>
      <c r="CA227" s="90"/>
      <c r="CB227" s="90"/>
      <c r="CC227" s="90"/>
      <c r="CD227" s="90"/>
      <c r="CE227" s="90"/>
      <c r="CF227" s="90"/>
      <c r="CG227" s="90"/>
      <c r="CH227" s="90"/>
      <c r="CI227" s="90"/>
      <c r="CJ227" s="90"/>
      <c r="CK227" s="90"/>
      <c r="CL227" s="90"/>
      <c r="CM227" s="90"/>
      <c r="CN227" s="90"/>
      <c r="CO227" s="90"/>
      <c r="CP227" s="90"/>
      <c r="CQ227" s="90"/>
      <c r="CR227" s="90"/>
      <c r="CS227" s="90"/>
      <c r="CT227" s="90"/>
      <c r="CU227" s="90"/>
      <c r="CV227" s="90"/>
      <c r="CW227" s="90"/>
      <c r="CX227" s="90"/>
      <c r="CY227" s="90"/>
      <c r="CZ227" s="90"/>
      <c r="DA227" s="117"/>
      <c r="DB227" s="117"/>
      <c r="DC227" s="117"/>
      <c r="DD227" s="117"/>
      <c r="DE227" s="117"/>
      <c r="DF227" s="117"/>
      <c r="DG227" s="117"/>
      <c r="DH227" s="117"/>
      <c r="DI227" s="117"/>
      <c r="DJ227" s="117"/>
      <c r="DK227" s="117"/>
      <c r="DL227" s="117"/>
      <c r="DM227" s="117"/>
      <c r="DN227" s="117"/>
      <c r="DO227" s="117"/>
      <c r="DP227" s="117"/>
      <c r="DQ227" s="117"/>
      <c r="DR227" s="117"/>
      <c r="DS227" s="117"/>
      <c r="DT227" s="117"/>
      <c r="DU227" s="117"/>
      <c r="DV227" s="117"/>
      <c r="DW227" s="117"/>
      <c r="DX227" s="117"/>
      <c r="DY227" s="117"/>
      <c r="DZ227" s="117"/>
      <c r="EA227" s="117"/>
      <c r="EB227" s="117"/>
      <c r="EC227" s="117"/>
      <c r="ED227" s="117"/>
      <c r="EE227" s="117"/>
      <c r="EF227" s="117"/>
      <c r="EG227" s="117"/>
      <c r="EH227" s="117"/>
      <c r="EI227" s="117"/>
      <c r="EJ227" s="89"/>
      <c r="EK227" s="89"/>
      <c r="EL227" s="89"/>
      <c r="EM227" s="89"/>
      <c r="EN227" s="89"/>
      <c r="EO227" s="89"/>
      <c r="EP227" s="89"/>
      <c r="EQ227" s="89"/>
      <c r="ER227" s="89"/>
      <c r="ES227" s="89"/>
      <c r="ET227" s="89"/>
      <c r="EU227" s="89"/>
      <c r="EV227" s="89"/>
      <c r="EW227" s="89"/>
      <c r="EX227" s="89"/>
      <c r="EY227" s="89"/>
      <c r="EZ227" s="89"/>
      <c r="FA227" s="89"/>
      <c r="FB227" s="89"/>
      <c r="FC227" s="89"/>
      <c r="FD227" s="89"/>
      <c r="FE227" s="89"/>
      <c r="FF227" s="89"/>
      <c r="FG227" s="89"/>
      <c r="FH227" s="89"/>
      <c r="FI227" s="89"/>
      <c r="FJ227" s="89"/>
      <c r="FK227" s="89"/>
      <c r="FL227" s="89"/>
      <c r="FM227" s="89"/>
      <c r="FN227" s="89"/>
      <c r="FO227" s="89"/>
      <c r="FP227" s="89"/>
      <c r="FQ227" s="89"/>
      <c r="FR227" s="89"/>
      <c r="FS227" s="89"/>
    </row>
    <row r="228" spans="1:175" s="23" customFormat="1" ht="9.75" customHeight="1">
      <c r="A228" s="233"/>
      <c r="B228" s="1145"/>
      <c r="C228" s="234"/>
      <c r="D228" s="235"/>
      <c r="E228" s="235"/>
      <c r="F228" s="235"/>
      <c r="G228" s="235"/>
      <c r="H228" s="235"/>
      <c r="I228" s="236"/>
      <c r="J228" s="235"/>
      <c r="K228" s="235"/>
      <c r="L228" s="237"/>
      <c r="M228" s="237"/>
      <c r="N228" s="238"/>
      <c r="O228" s="238"/>
      <c r="P228" s="493"/>
      <c r="Q228" s="494"/>
      <c r="R228" s="131"/>
      <c r="S228" s="131"/>
      <c r="T228" s="131"/>
      <c r="U228" s="131"/>
      <c r="V228" s="131"/>
      <c r="W228" s="132"/>
      <c r="X228" s="126"/>
      <c r="Y228" s="126"/>
      <c r="Z228" s="126"/>
      <c r="AA228" s="126"/>
      <c r="AB228" s="126"/>
      <c r="AC228" s="126"/>
      <c r="AD228" s="126"/>
      <c r="AE228" s="126"/>
      <c r="AF228" s="127"/>
      <c r="AG228" s="127"/>
      <c r="AH228" s="127"/>
      <c r="AI228" s="127"/>
      <c r="AJ228" s="127"/>
      <c r="AK228" s="127"/>
      <c r="AL228" s="127"/>
      <c r="AM228" s="127"/>
      <c r="AN228" s="127"/>
      <c r="AO228" s="127"/>
      <c r="AP228" s="127"/>
      <c r="AQ228" s="127"/>
      <c r="AR228" s="127"/>
      <c r="AS228" s="128"/>
      <c r="AT228" s="128"/>
      <c r="AU228" s="128"/>
      <c r="AV228" s="128"/>
      <c r="AW228" s="90"/>
      <c r="AX228" s="90"/>
      <c r="AY228" s="90"/>
      <c r="AZ228" s="90"/>
      <c r="BA228" s="90"/>
      <c r="BB228" s="90"/>
      <c r="BC228" s="90"/>
      <c r="BD228" s="90"/>
      <c r="BE228" s="90"/>
      <c r="BF228" s="90"/>
      <c r="BG228" s="90"/>
      <c r="BH228" s="90"/>
      <c r="BI228" s="90"/>
      <c r="BJ228" s="90"/>
      <c r="BK228" s="90"/>
      <c r="BL228" s="90"/>
      <c r="BM228" s="90"/>
      <c r="BN228" s="90"/>
      <c r="BO228" s="90"/>
      <c r="BP228" s="90"/>
      <c r="BQ228" s="90"/>
      <c r="BR228" s="90"/>
      <c r="BS228" s="90"/>
      <c r="BT228" s="90"/>
      <c r="BU228" s="90"/>
      <c r="BV228" s="90"/>
      <c r="BW228" s="90"/>
      <c r="BX228" s="90"/>
      <c r="BY228" s="90"/>
      <c r="BZ228" s="90"/>
      <c r="CA228" s="90"/>
      <c r="CB228" s="90"/>
      <c r="CC228" s="90"/>
      <c r="CD228" s="90"/>
      <c r="CE228" s="90"/>
      <c r="CF228" s="90"/>
      <c r="CG228" s="90"/>
      <c r="CH228" s="90"/>
      <c r="CI228" s="90"/>
      <c r="CJ228" s="90"/>
      <c r="CK228" s="90"/>
      <c r="CL228" s="90"/>
      <c r="CM228" s="90"/>
      <c r="CN228" s="90"/>
      <c r="CO228" s="90"/>
      <c r="CP228" s="90"/>
      <c r="CQ228" s="90"/>
      <c r="CR228" s="90"/>
      <c r="CS228" s="90"/>
      <c r="CT228" s="90"/>
      <c r="CU228" s="90"/>
      <c r="CV228" s="90"/>
      <c r="CW228" s="90"/>
      <c r="CX228" s="90"/>
      <c r="CY228" s="90"/>
      <c r="CZ228" s="90"/>
      <c r="DA228" s="117"/>
      <c r="DB228" s="117"/>
      <c r="DC228" s="117"/>
      <c r="DD228" s="117"/>
      <c r="DE228" s="117"/>
      <c r="DF228" s="117"/>
      <c r="DG228" s="117"/>
      <c r="DH228" s="117"/>
      <c r="DI228" s="117"/>
      <c r="DJ228" s="117"/>
      <c r="DK228" s="117"/>
      <c r="DL228" s="117"/>
      <c r="DM228" s="117"/>
      <c r="DN228" s="117"/>
      <c r="DO228" s="117"/>
      <c r="DP228" s="117"/>
      <c r="DQ228" s="117"/>
      <c r="DR228" s="117"/>
      <c r="DS228" s="117"/>
      <c r="DT228" s="117"/>
      <c r="DU228" s="117"/>
      <c r="DV228" s="117"/>
      <c r="DW228" s="117"/>
      <c r="DX228" s="117"/>
      <c r="DY228" s="117"/>
      <c r="DZ228" s="117"/>
      <c r="EA228" s="117"/>
      <c r="EB228" s="117"/>
      <c r="EC228" s="117"/>
      <c r="ED228" s="117"/>
      <c r="EE228" s="117"/>
      <c r="EF228" s="117"/>
      <c r="EG228" s="117"/>
      <c r="EH228" s="117"/>
      <c r="EI228" s="117"/>
      <c r="EJ228" s="89"/>
      <c r="EK228" s="89"/>
      <c r="EL228" s="89"/>
      <c r="EM228" s="89"/>
      <c r="EN228" s="89"/>
      <c r="EO228" s="89"/>
      <c r="EP228" s="89"/>
      <c r="EQ228" s="89"/>
      <c r="ER228" s="89"/>
      <c r="ES228" s="89"/>
      <c r="ET228" s="89"/>
      <c r="EU228" s="89"/>
      <c r="EV228" s="89"/>
      <c r="EW228" s="89"/>
      <c r="EX228" s="89"/>
      <c r="EY228" s="89"/>
      <c r="EZ228" s="89"/>
      <c r="FA228" s="89"/>
      <c r="FB228" s="89"/>
      <c r="FC228" s="89"/>
      <c r="FD228" s="89"/>
      <c r="FE228" s="89"/>
      <c r="FF228" s="89"/>
      <c r="FG228" s="89"/>
      <c r="FH228" s="89"/>
      <c r="FI228" s="89"/>
      <c r="FJ228" s="89"/>
      <c r="FK228" s="89"/>
      <c r="FL228" s="89"/>
      <c r="FM228" s="89"/>
      <c r="FN228" s="89"/>
      <c r="FO228" s="89"/>
      <c r="FP228" s="89"/>
      <c r="FQ228" s="89"/>
      <c r="FR228" s="89"/>
      <c r="FS228" s="89"/>
    </row>
    <row r="229" spans="1:175" s="23" customFormat="1" ht="26.25" customHeight="1">
      <c r="A229" s="123"/>
      <c r="B229" s="493"/>
      <c r="P229" s="493"/>
      <c r="Q229" s="494"/>
      <c r="R229" s="131"/>
      <c r="S229" s="131"/>
      <c r="T229" s="131"/>
      <c r="U229" s="131"/>
      <c r="V229" s="131"/>
      <c r="W229" s="132"/>
      <c r="X229" s="126"/>
      <c r="Y229" s="126"/>
      <c r="Z229" s="126"/>
      <c r="AA229" s="126"/>
      <c r="AB229" s="126"/>
      <c r="AC229" s="126"/>
      <c r="AD229" s="126"/>
      <c r="AE229" s="126"/>
      <c r="AF229" s="127"/>
      <c r="AG229" s="127"/>
      <c r="AH229" s="127"/>
      <c r="AI229" s="127"/>
      <c r="AJ229" s="127"/>
      <c r="AK229" s="127"/>
      <c r="AL229" s="127"/>
      <c r="AM229" s="127"/>
      <c r="AN229" s="127"/>
      <c r="AO229" s="127"/>
      <c r="AP229" s="127"/>
      <c r="AQ229" s="127"/>
      <c r="AR229" s="127"/>
      <c r="AS229" s="128"/>
      <c r="AT229" s="128"/>
      <c r="AU229" s="128"/>
      <c r="AV229" s="128"/>
      <c r="AW229" s="90"/>
      <c r="AX229" s="90"/>
      <c r="AY229" s="90"/>
      <c r="AZ229" s="90"/>
      <c r="BA229" s="90"/>
      <c r="BB229" s="90"/>
      <c r="BC229" s="90"/>
      <c r="BD229" s="90"/>
      <c r="BE229" s="90"/>
      <c r="BF229" s="90"/>
      <c r="BG229" s="90"/>
      <c r="BH229" s="90"/>
      <c r="BI229" s="90"/>
      <c r="BJ229" s="90"/>
      <c r="BK229" s="90"/>
      <c r="BL229" s="90"/>
      <c r="BM229" s="90"/>
      <c r="BN229" s="90"/>
      <c r="BO229" s="90"/>
      <c r="BP229" s="90"/>
      <c r="BQ229" s="90"/>
      <c r="BR229" s="90"/>
      <c r="BS229" s="90"/>
      <c r="BT229" s="90"/>
      <c r="BU229" s="90"/>
      <c r="BV229" s="90"/>
      <c r="BW229" s="90"/>
      <c r="BX229" s="90"/>
      <c r="BY229" s="90"/>
      <c r="BZ229" s="90"/>
      <c r="CA229" s="90"/>
      <c r="CB229" s="90"/>
      <c r="CC229" s="90"/>
      <c r="CD229" s="90"/>
      <c r="CE229" s="90"/>
      <c r="CF229" s="90"/>
      <c r="CG229" s="90"/>
      <c r="CH229" s="90"/>
      <c r="CI229" s="90"/>
      <c r="CJ229" s="90"/>
      <c r="CK229" s="90"/>
      <c r="CL229" s="90"/>
      <c r="CM229" s="90"/>
      <c r="CN229" s="90"/>
      <c r="CO229" s="90"/>
      <c r="CP229" s="90"/>
      <c r="CQ229" s="90"/>
      <c r="CR229" s="90"/>
      <c r="CS229" s="90"/>
      <c r="CT229" s="90"/>
      <c r="CU229" s="90"/>
      <c r="CV229" s="90"/>
      <c r="CW229" s="90"/>
      <c r="CX229" s="90"/>
      <c r="CY229" s="90"/>
      <c r="CZ229" s="90"/>
      <c r="DA229" s="117"/>
      <c r="DB229" s="117"/>
      <c r="DC229" s="117"/>
      <c r="DD229" s="117"/>
      <c r="DE229" s="117"/>
      <c r="DF229" s="117"/>
      <c r="DG229" s="117"/>
      <c r="DH229" s="117"/>
      <c r="DI229" s="117"/>
      <c r="DJ229" s="117"/>
      <c r="DK229" s="117"/>
      <c r="DL229" s="117"/>
      <c r="DM229" s="117"/>
      <c r="DN229" s="117"/>
      <c r="DO229" s="117"/>
      <c r="DP229" s="117"/>
      <c r="DQ229" s="117"/>
      <c r="DR229" s="117"/>
      <c r="DS229" s="117"/>
      <c r="DT229" s="117"/>
      <c r="DU229" s="117"/>
      <c r="DV229" s="117"/>
      <c r="DW229" s="117"/>
      <c r="DX229" s="117"/>
      <c r="DY229" s="117"/>
      <c r="DZ229" s="117"/>
      <c r="EA229" s="117"/>
      <c r="EB229" s="117"/>
      <c r="EC229" s="117"/>
      <c r="ED229" s="117"/>
      <c r="EE229" s="117"/>
      <c r="EF229" s="117"/>
      <c r="EG229" s="117"/>
      <c r="EH229" s="117"/>
      <c r="EI229" s="117"/>
      <c r="EJ229" s="89"/>
      <c r="EK229" s="89"/>
      <c r="EL229" s="89"/>
      <c r="EM229" s="89"/>
      <c r="EN229" s="89"/>
      <c r="EO229" s="89"/>
      <c r="EP229" s="89"/>
      <c r="EQ229" s="89"/>
      <c r="ER229" s="89"/>
      <c r="ES229" s="89"/>
      <c r="ET229" s="89"/>
      <c r="EU229" s="89"/>
      <c r="EV229" s="89"/>
      <c r="EW229" s="89"/>
      <c r="EX229" s="89"/>
      <c r="EY229" s="89"/>
      <c r="EZ229" s="89"/>
      <c r="FA229" s="89"/>
      <c r="FB229" s="89"/>
      <c r="FC229" s="89"/>
      <c r="FD229" s="89"/>
      <c r="FE229" s="89"/>
      <c r="FF229" s="89"/>
      <c r="FG229" s="89"/>
      <c r="FH229" s="89"/>
      <c r="FI229" s="89"/>
      <c r="FJ229" s="89"/>
      <c r="FK229" s="89"/>
      <c r="FL229" s="89"/>
      <c r="FM229" s="89"/>
      <c r="FN229" s="89"/>
      <c r="FO229" s="89"/>
      <c r="FP229" s="89"/>
      <c r="FQ229" s="89"/>
      <c r="FR229" s="89"/>
      <c r="FS229" s="89"/>
    </row>
    <row r="230" spans="1:175" s="23" customFormat="1" ht="15.9" customHeight="1">
      <c r="A230" s="123"/>
      <c r="B230" s="493"/>
      <c r="P230" s="493"/>
      <c r="Q230" s="494"/>
      <c r="R230" s="131"/>
      <c r="S230" s="131"/>
      <c r="T230" s="131"/>
      <c r="U230" s="131"/>
      <c r="V230" s="131"/>
      <c r="W230" s="132"/>
      <c r="X230" s="126"/>
      <c r="Y230" s="126"/>
      <c r="Z230" s="126"/>
      <c r="AA230" s="126"/>
      <c r="AB230" s="126"/>
      <c r="AC230" s="126"/>
      <c r="AD230" s="126"/>
      <c r="AE230" s="126"/>
      <c r="AF230" s="127"/>
      <c r="AG230" s="127"/>
      <c r="AH230" s="127"/>
      <c r="AI230" s="127"/>
      <c r="AJ230" s="127"/>
      <c r="AK230" s="127"/>
      <c r="AL230" s="127"/>
      <c r="AM230" s="127"/>
      <c r="AN230" s="127"/>
      <c r="AO230" s="127"/>
      <c r="AP230" s="127"/>
      <c r="AQ230" s="127"/>
      <c r="AR230" s="127"/>
      <c r="AS230" s="128"/>
      <c r="AT230" s="128"/>
      <c r="AU230" s="128"/>
      <c r="AV230" s="128"/>
      <c r="AW230" s="90"/>
      <c r="AX230" s="90"/>
      <c r="AY230" s="90"/>
      <c r="AZ230" s="90"/>
      <c r="BA230" s="90"/>
      <c r="BB230" s="90"/>
      <c r="BC230" s="90"/>
      <c r="BD230" s="90"/>
      <c r="BE230" s="90"/>
      <c r="BF230" s="90"/>
      <c r="BG230" s="90"/>
      <c r="BH230" s="90"/>
      <c r="BI230" s="90"/>
      <c r="BJ230" s="90"/>
      <c r="BK230" s="90"/>
      <c r="BL230" s="90"/>
      <c r="BM230" s="90"/>
      <c r="BN230" s="90"/>
      <c r="BO230" s="90"/>
      <c r="BP230" s="90"/>
      <c r="BQ230" s="90"/>
      <c r="BR230" s="90"/>
      <c r="BS230" s="90"/>
      <c r="BT230" s="90"/>
      <c r="BU230" s="90"/>
      <c r="BV230" s="90"/>
      <c r="BW230" s="90"/>
      <c r="BX230" s="90"/>
      <c r="BY230" s="90"/>
      <c r="BZ230" s="90"/>
      <c r="CA230" s="90"/>
      <c r="CB230" s="90"/>
      <c r="CC230" s="90"/>
      <c r="CD230" s="90"/>
      <c r="CE230" s="90"/>
      <c r="CF230" s="90"/>
      <c r="CG230" s="90"/>
      <c r="CH230" s="90"/>
      <c r="CI230" s="90"/>
      <c r="CJ230" s="90"/>
      <c r="CK230" s="90"/>
      <c r="CL230" s="90"/>
      <c r="CM230" s="90"/>
      <c r="CN230" s="90"/>
      <c r="CO230" s="90"/>
      <c r="CP230" s="90"/>
      <c r="CQ230" s="90"/>
      <c r="CR230" s="90"/>
      <c r="CS230" s="90"/>
      <c r="CT230" s="90"/>
      <c r="CU230" s="90"/>
      <c r="CV230" s="90"/>
      <c r="CW230" s="90"/>
      <c r="CX230" s="90"/>
      <c r="CY230" s="90"/>
      <c r="CZ230" s="90"/>
      <c r="DA230" s="117"/>
      <c r="DB230" s="117"/>
      <c r="DC230" s="117"/>
      <c r="DD230" s="117"/>
      <c r="DE230" s="117"/>
      <c r="DF230" s="117"/>
      <c r="DG230" s="117"/>
      <c r="DH230" s="117"/>
      <c r="DI230" s="117"/>
      <c r="DJ230" s="117"/>
      <c r="DK230" s="117"/>
      <c r="DL230" s="117"/>
      <c r="DM230" s="117"/>
      <c r="DN230" s="117"/>
      <c r="DO230" s="117"/>
      <c r="DP230" s="117"/>
      <c r="DQ230" s="117"/>
      <c r="DR230" s="117"/>
      <c r="DS230" s="117"/>
      <c r="DT230" s="117"/>
      <c r="DU230" s="117"/>
      <c r="DV230" s="117"/>
      <c r="DW230" s="117"/>
      <c r="DX230" s="117"/>
      <c r="DY230" s="117"/>
      <c r="DZ230" s="117"/>
      <c r="EA230" s="117"/>
      <c r="EB230" s="117"/>
      <c r="EC230" s="117"/>
      <c r="ED230" s="117"/>
      <c r="EE230" s="117"/>
      <c r="EF230" s="117"/>
      <c r="EG230" s="117"/>
      <c r="EH230" s="117"/>
      <c r="EI230" s="117"/>
      <c r="EJ230" s="89"/>
      <c r="EK230" s="89"/>
      <c r="EL230" s="89"/>
      <c r="EM230" s="89"/>
      <c r="EN230" s="89"/>
      <c r="EO230" s="89"/>
      <c r="EP230" s="89"/>
      <c r="EQ230" s="89"/>
      <c r="ER230" s="89"/>
      <c r="ES230" s="89"/>
      <c r="ET230" s="89"/>
      <c r="EU230" s="89"/>
      <c r="EV230" s="89"/>
      <c r="EW230" s="89"/>
      <c r="EX230" s="89"/>
      <c r="EY230" s="89"/>
      <c r="EZ230" s="89"/>
      <c r="FA230" s="89"/>
      <c r="FB230" s="89"/>
      <c r="FC230" s="89"/>
      <c r="FD230" s="89"/>
      <c r="FE230" s="89"/>
      <c r="FF230" s="89"/>
      <c r="FG230" s="89"/>
      <c r="FH230" s="89"/>
      <c r="FI230" s="89"/>
      <c r="FJ230" s="89"/>
      <c r="FK230" s="89"/>
      <c r="FL230" s="89"/>
      <c r="FM230" s="89"/>
      <c r="FN230" s="89"/>
      <c r="FO230" s="89"/>
      <c r="FP230" s="89"/>
      <c r="FQ230" s="89"/>
      <c r="FR230" s="89"/>
      <c r="FS230" s="89"/>
    </row>
    <row r="231" spans="1:175" s="23" customFormat="1" ht="15.9" customHeight="1">
      <c r="A231" s="123"/>
      <c r="B231" s="493"/>
      <c r="P231" s="493"/>
      <c r="Q231" s="494"/>
      <c r="R231" s="131"/>
      <c r="S231" s="131"/>
      <c r="T231" s="131"/>
      <c r="U231" s="131"/>
      <c r="V231" s="131"/>
      <c r="W231" s="132"/>
      <c r="X231" s="126"/>
      <c r="Y231" s="126"/>
      <c r="Z231" s="126"/>
      <c r="AA231" s="126"/>
      <c r="AB231" s="126"/>
      <c r="AC231" s="126"/>
      <c r="AD231" s="126"/>
      <c r="AE231" s="126"/>
      <c r="AF231" s="127"/>
      <c r="AG231" s="127"/>
      <c r="AH231" s="127"/>
      <c r="AI231" s="127"/>
      <c r="AJ231" s="127"/>
      <c r="AK231" s="127"/>
      <c r="AL231" s="127"/>
      <c r="AM231" s="127"/>
      <c r="AN231" s="127"/>
      <c r="AO231" s="127"/>
      <c r="AP231" s="127"/>
      <c r="AQ231" s="127"/>
      <c r="AR231" s="127"/>
      <c r="AS231" s="128"/>
      <c r="AT231" s="128"/>
      <c r="AU231" s="128"/>
      <c r="AV231" s="128"/>
      <c r="AW231" s="90"/>
      <c r="AX231" s="90"/>
      <c r="AY231" s="90"/>
      <c r="AZ231" s="90"/>
      <c r="BA231" s="90"/>
      <c r="BB231" s="90"/>
      <c r="BC231" s="90"/>
      <c r="BD231" s="90"/>
      <c r="BE231" s="90"/>
      <c r="BF231" s="90"/>
      <c r="BG231" s="90"/>
      <c r="BH231" s="90"/>
      <c r="BI231" s="90"/>
      <c r="BJ231" s="90"/>
      <c r="BK231" s="90"/>
      <c r="BL231" s="90"/>
      <c r="BM231" s="90"/>
      <c r="BN231" s="90"/>
      <c r="BO231" s="90"/>
      <c r="BP231" s="90"/>
      <c r="BQ231" s="90"/>
      <c r="BR231" s="90"/>
      <c r="BS231" s="90"/>
      <c r="BT231" s="90"/>
      <c r="BU231" s="90"/>
      <c r="BV231" s="90"/>
      <c r="BW231" s="90"/>
      <c r="BX231" s="90"/>
      <c r="BY231" s="90"/>
      <c r="BZ231" s="90"/>
      <c r="CA231" s="90"/>
      <c r="CB231" s="90"/>
      <c r="CC231" s="90"/>
      <c r="CD231" s="90"/>
      <c r="CE231" s="90"/>
      <c r="CF231" s="90"/>
      <c r="CG231" s="90"/>
      <c r="CH231" s="90"/>
      <c r="CI231" s="90"/>
      <c r="CJ231" s="90"/>
      <c r="CK231" s="90"/>
      <c r="CL231" s="90"/>
      <c r="CM231" s="90"/>
      <c r="CN231" s="90"/>
      <c r="CO231" s="90"/>
      <c r="CP231" s="90"/>
      <c r="CQ231" s="90"/>
      <c r="CR231" s="90"/>
      <c r="CS231" s="90"/>
      <c r="CT231" s="90"/>
      <c r="CU231" s="90"/>
      <c r="CV231" s="90"/>
      <c r="CW231" s="90"/>
      <c r="CX231" s="90"/>
      <c r="CY231" s="90"/>
      <c r="CZ231" s="90"/>
      <c r="DA231" s="117"/>
      <c r="DB231" s="117"/>
      <c r="DC231" s="117"/>
      <c r="DD231" s="117"/>
      <c r="DE231" s="117"/>
      <c r="DF231" s="117"/>
      <c r="DG231" s="117"/>
      <c r="DH231" s="117"/>
      <c r="DI231" s="117"/>
      <c r="DJ231" s="117"/>
      <c r="DK231" s="117"/>
      <c r="DL231" s="117"/>
      <c r="DM231" s="117"/>
      <c r="DN231" s="117"/>
      <c r="DO231" s="117"/>
      <c r="DP231" s="117"/>
      <c r="DQ231" s="117"/>
      <c r="DR231" s="117"/>
      <c r="DS231" s="117"/>
      <c r="DT231" s="117"/>
      <c r="DU231" s="117"/>
      <c r="DV231" s="117"/>
      <c r="DW231" s="117"/>
      <c r="DX231" s="117"/>
      <c r="DY231" s="117"/>
      <c r="DZ231" s="117"/>
      <c r="EA231" s="117"/>
      <c r="EB231" s="117"/>
      <c r="EC231" s="117"/>
      <c r="ED231" s="117"/>
      <c r="EE231" s="117"/>
      <c r="EF231" s="117"/>
      <c r="EG231" s="117"/>
      <c r="EH231" s="117"/>
      <c r="EI231" s="117"/>
      <c r="EJ231" s="89"/>
      <c r="EK231" s="89"/>
      <c r="EL231" s="89"/>
      <c r="EM231" s="89"/>
      <c r="EN231" s="89"/>
      <c r="EO231" s="89"/>
      <c r="EP231" s="89"/>
      <c r="EQ231" s="89"/>
      <c r="ER231" s="89"/>
      <c r="ES231" s="89"/>
      <c r="ET231" s="89"/>
      <c r="EU231" s="89"/>
      <c r="EV231" s="89"/>
      <c r="EW231" s="89"/>
      <c r="EX231" s="89"/>
      <c r="EY231" s="89"/>
      <c r="EZ231" s="89"/>
      <c r="FA231" s="89"/>
      <c r="FB231" s="89"/>
      <c r="FC231" s="89"/>
      <c r="FD231" s="89"/>
      <c r="FE231" s="89"/>
      <c r="FF231" s="89"/>
      <c r="FG231" s="89"/>
      <c r="FH231" s="89"/>
      <c r="FI231" s="89"/>
      <c r="FJ231" s="89"/>
      <c r="FK231" s="89"/>
      <c r="FL231" s="89"/>
      <c r="FM231" s="89"/>
      <c r="FN231" s="89"/>
      <c r="FO231" s="89"/>
      <c r="FP231" s="89"/>
      <c r="FQ231" s="89"/>
      <c r="FR231" s="89"/>
      <c r="FS231" s="89"/>
    </row>
    <row r="232" spans="1:175" s="23" customFormat="1" ht="15.9" customHeight="1">
      <c r="A232" s="123"/>
      <c r="B232" s="493"/>
      <c r="C232" s="16"/>
      <c r="D232" s="16"/>
      <c r="E232" s="16"/>
      <c r="F232" s="16"/>
      <c r="G232" s="21"/>
      <c r="H232" s="21"/>
      <c r="I232" s="16"/>
      <c r="J232" s="16"/>
      <c r="K232" s="16"/>
      <c r="L232" s="16"/>
      <c r="M232" s="16"/>
      <c r="N232" s="21"/>
      <c r="O232" s="21"/>
      <c r="P232" s="493"/>
      <c r="Q232" s="494"/>
      <c r="R232" s="131"/>
      <c r="S232" s="131"/>
      <c r="T232" s="131"/>
      <c r="U232" s="131"/>
      <c r="V232" s="131"/>
      <c r="W232" s="132"/>
      <c r="X232" s="126"/>
      <c r="Y232" s="126"/>
      <c r="Z232" s="126"/>
      <c r="AA232" s="126"/>
      <c r="AB232" s="126"/>
      <c r="AC232" s="126"/>
      <c r="AD232" s="126"/>
      <c r="AE232" s="126"/>
      <c r="AF232" s="127"/>
      <c r="AG232" s="127"/>
      <c r="AH232" s="127"/>
      <c r="AI232" s="127"/>
      <c r="AJ232" s="127"/>
      <c r="AK232" s="127"/>
      <c r="AL232" s="127"/>
      <c r="AM232" s="127"/>
      <c r="AN232" s="127"/>
      <c r="AO232" s="127"/>
      <c r="AP232" s="127"/>
      <c r="AQ232" s="127"/>
      <c r="AR232" s="127"/>
      <c r="AS232" s="128"/>
      <c r="AT232" s="128"/>
      <c r="AU232" s="128"/>
      <c r="AV232" s="128"/>
      <c r="AW232" s="90"/>
      <c r="AX232" s="90"/>
      <c r="AY232" s="90"/>
      <c r="AZ232" s="90"/>
      <c r="BA232" s="90"/>
      <c r="BB232" s="90"/>
      <c r="BC232" s="90"/>
      <c r="BD232" s="90"/>
      <c r="BE232" s="90"/>
      <c r="BF232" s="90"/>
      <c r="BG232" s="90"/>
      <c r="BH232" s="90"/>
      <c r="BI232" s="90"/>
      <c r="BJ232" s="90"/>
      <c r="BK232" s="90"/>
      <c r="BL232" s="90"/>
      <c r="BM232" s="90"/>
      <c r="BN232" s="90"/>
      <c r="BO232" s="90"/>
      <c r="BP232" s="90"/>
      <c r="BQ232" s="90"/>
      <c r="BR232" s="90"/>
      <c r="BS232" s="90"/>
      <c r="BT232" s="90"/>
      <c r="BU232" s="90"/>
      <c r="BV232" s="90"/>
      <c r="BW232" s="90"/>
      <c r="BX232" s="90"/>
      <c r="BY232" s="90"/>
      <c r="BZ232" s="90"/>
      <c r="CA232" s="90"/>
      <c r="CB232" s="90"/>
      <c r="CC232" s="90"/>
      <c r="CD232" s="90"/>
      <c r="CE232" s="90"/>
      <c r="CF232" s="90"/>
      <c r="CG232" s="90"/>
      <c r="CH232" s="90"/>
      <c r="CI232" s="90"/>
      <c r="CJ232" s="90"/>
      <c r="CK232" s="90"/>
      <c r="CL232" s="90"/>
      <c r="CM232" s="90"/>
      <c r="CN232" s="90"/>
      <c r="CO232" s="90"/>
      <c r="CP232" s="90"/>
      <c r="CQ232" s="90"/>
      <c r="CR232" s="90"/>
      <c r="CS232" s="90"/>
      <c r="CT232" s="90"/>
      <c r="CU232" s="90"/>
      <c r="CV232" s="90"/>
      <c r="CW232" s="90"/>
      <c r="CX232" s="90"/>
      <c r="CY232" s="90"/>
      <c r="CZ232" s="90"/>
      <c r="DA232" s="117"/>
      <c r="DB232" s="117"/>
      <c r="DC232" s="117"/>
      <c r="DD232" s="117"/>
      <c r="DE232" s="117"/>
      <c r="DF232" s="117"/>
      <c r="DG232" s="117"/>
      <c r="DH232" s="117"/>
      <c r="DI232" s="117"/>
      <c r="DJ232" s="117"/>
      <c r="DK232" s="117"/>
      <c r="DL232" s="117"/>
      <c r="DM232" s="117"/>
      <c r="DN232" s="117"/>
      <c r="DO232" s="117"/>
      <c r="DP232" s="117"/>
      <c r="DQ232" s="117"/>
      <c r="DR232" s="117"/>
      <c r="DS232" s="117"/>
      <c r="DT232" s="117"/>
      <c r="DU232" s="117"/>
      <c r="DV232" s="117"/>
      <c r="DW232" s="117"/>
      <c r="DX232" s="117"/>
      <c r="DY232" s="117"/>
      <c r="DZ232" s="117"/>
      <c r="EA232" s="117"/>
      <c r="EB232" s="117"/>
      <c r="EC232" s="117"/>
      <c r="ED232" s="117"/>
      <c r="EE232" s="117"/>
      <c r="EF232" s="117"/>
      <c r="EG232" s="117"/>
      <c r="EH232" s="117"/>
      <c r="EI232" s="117"/>
      <c r="EJ232" s="89"/>
      <c r="EK232" s="89"/>
      <c r="EL232" s="89"/>
      <c r="EM232" s="89"/>
      <c r="EN232" s="89"/>
      <c r="EO232" s="89"/>
      <c r="EP232" s="89"/>
      <c r="EQ232" s="89"/>
      <c r="ER232" s="89"/>
      <c r="ES232" s="89"/>
      <c r="ET232" s="89"/>
      <c r="EU232" s="89"/>
      <c r="EV232" s="89"/>
      <c r="EW232" s="89"/>
      <c r="EX232" s="89"/>
      <c r="EY232" s="89"/>
      <c r="EZ232" s="89"/>
      <c r="FA232" s="89"/>
      <c r="FB232" s="89"/>
      <c r="FC232" s="89"/>
      <c r="FD232" s="89"/>
      <c r="FE232" s="89"/>
      <c r="FF232" s="89"/>
      <c r="FG232" s="89"/>
      <c r="FH232" s="89"/>
      <c r="FI232" s="89"/>
      <c r="FJ232" s="89"/>
      <c r="FK232" s="89"/>
      <c r="FL232" s="89"/>
      <c r="FM232" s="89"/>
      <c r="FN232" s="89"/>
      <c r="FO232" s="89"/>
      <c r="FP232" s="89"/>
      <c r="FQ232" s="89"/>
      <c r="FR232" s="89"/>
      <c r="FS232" s="89"/>
    </row>
    <row r="233" spans="1:175" s="23" customFormat="1" ht="15.9" customHeight="1">
      <c r="A233" s="123"/>
      <c r="B233" s="493"/>
      <c r="C233" s="16"/>
      <c r="D233" s="16"/>
      <c r="E233" s="16"/>
      <c r="F233" s="21"/>
      <c r="G233" s="21"/>
      <c r="H233" s="16"/>
      <c r="I233" s="16"/>
      <c r="J233" s="16"/>
      <c r="K233" s="16"/>
      <c r="L233" s="16"/>
      <c r="M233" s="21"/>
      <c r="N233" s="21"/>
      <c r="O233" s="125"/>
      <c r="P233" s="494"/>
      <c r="Q233" s="494"/>
      <c r="R233" s="131"/>
      <c r="S233" s="131"/>
      <c r="T233" s="131"/>
      <c r="U233" s="131"/>
      <c r="V233" s="132"/>
      <c r="W233" s="126"/>
      <c r="X233" s="126"/>
      <c r="Y233" s="126"/>
      <c r="Z233" s="126"/>
      <c r="AA233" s="126"/>
      <c r="AB233" s="126"/>
      <c r="AC233" s="126"/>
      <c r="AD233" s="126"/>
      <c r="AE233" s="127"/>
      <c r="AF233" s="127"/>
      <c r="AG233" s="127"/>
      <c r="AH233" s="127"/>
      <c r="AI233" s="127"/>
      <c r="AJ233" s="127"/>
      <c r="AK233" s="127"/>
      <c r="AL233" s="127"/>
      <c r="AM233" s="127"/>
      <c r="AN233" s="127"/>
      <c r="AO233" s="127"/>
      <c r="AP233" s="127"/>
      <c r="AQ233" s="127"/>
      <c r="AR233" s="128"/>
      <c r="AS233" s="128"/>
      <c r="AT233" s="128"/>
      <c r="AU233" s="128"/>
      <c r="AV233" s="90"/>
      <c r="AW233" s="90"/>
      <c r="AX233" s="90"/>
      <c r="AY233" s="90"/>
      <c r="AZ233" s="90"/>
      <c r="BA233" s="90"/>
      <c r="BB233" s="90"/>
      <c r="BC233" s="90"/>
      <c r="BD233" s="90"/>
      <c r="BE233" s="90"/>
      <c r="BF233" s="90"/>
      <c r="BG233" s="90"/>
      <c r="BH233" s="90"/>
      <c r="BI233" s="90"/>
      <c r="BJ233" s="90"/>
      <c r="BK233" s="90"/>
      <c r="BL233" s="90"/>
      <c r="BM233" s="90"/>
      <c r="BN233" s="90"/>
      <c r="BO233" s="90"/>
      <c r="BP233" s="90"/>
      <c r="BQ233" s="90"/>
      <c r="BR233" s="90"/>
      <c r="BS233" s="90"/>
      <c r="BT233" s="90"/>
      <c r="BU233" s="90"/>
      <c r="BV233" s="90"/>
      <c r="BW233" s="90"/>
      <c r="BX233" s="90"/>
      <c r="BY233" s="90"/>
      <c r="BZ233" s="90"/>
      <c r="CA233" s="90"/>
      <c r="CB233" s="90"/>
      <c r="CC233" s="90"/>
      <c r="CD233" s="90"/>
      <c r="CE233" s="90"/>
      <c r="CF233" s="90"/>
      <c r="CG233" s="90"/>
      <c r="CH233" s="90"/>
      <c r="CI233" s="90"/>
      <c r="CJ233" s="90"/>
      <c r="CK233" s="90"/>
      <c r="CL233" s="90"/>
      <c r="CM233" s="90"/>
      <c r="CN233" s="90"/>
      <c r="CO233" s="90"/>
      <c r="CP233" s="90"/>
      <c r="CQ233" s="90"/>
      <c r="CR233" s="90"/>
      <c r="CS233" s="90"/>
      <c r="CT233" s="90"/>
      <c r="CU233" s="90"/>
      <c r="CV233" s="90"/>
      <c r="CW233" s="90"/>
      <c r="CX233" s="90"/>
      <c r="CY233" s="90"/>
      <c r="CZ233" s="117"/>
      <c r="DA233" s="117"/>
      <c r="DB233" s="117"/>
      <c r="DC233" s="117"/>
      <c r="DD233" s="117"/>
      <c r="DE233" s="117"/>
      <c r="DF233" s="117"/>
      <c r="DG233" s="117"/>
      <c r="DH233" s="117"/>
      <c r="DI233" s="117"/>
      <c r="DJ233" s="117"/>
      <c r="DK233" s="117"/>
      <c r="DL233" s="117"/>
      <c r="DM233" s="117"/>
      <c r="DN233" s="117"/>
      <c r="DO233" s="117"/>
      <c r="DP233" s="117"/>
      <c r="DQ233" s="117"/>
      <c r="DR233" s="117"/>
      <c r="DS233" s="117"/>
      <c r="DT233" s="117"/>
      <c r="DU233" s="117"/>
      <c r="DV233" s="117"/>
      <c r="DW233" s="117"/>
      <c r="DX233" s="117"/>
      <c r="DY233" s="117"/>
      <c r="DZ233" s="117"/>
      <c r="EA233" s="117"/>
      <c r="EB233" s="117"/>
      <c r="EC233" s="117"/>
      <c r="ED233" s="117"/>
      <c r="EE233" s="117"/>
      <c r="EF233" s="117"/>
      <c r="EG233" s="117"/>
      <c r="EH233" s="117"/>
      <c r="EI233" s="89"/>
      <c r="EJ233" s="89"/>
      <c r="EK233" s="89"/>
      <c r="EL233" s="89"/>
      <c r="EM233" s="89"/>
      <c r="EN233" s="89"/>
      <c r="EO233" s="89"/>
      <c r="EP233" s="89"/>
      <c r="EQ233" s="89"/>
      <c r="ER233" s="89"/>
      <c r="ES233" s="89"/>
      <c r="ET233" s="89"/>
      <c r="EU233" s="89"/>
      <c r="EV233" s="89"/>
      <c r="EW233" s="89"/>
      <c r="EX233" s="89"/>
      <c r="EY233" s="89"/>
      <c r="EZ233" s="89"/>
      <c r="FA233" s="89"/>
      <c r="FB233" s="89"/>
      <c r="FC233" s="89"/>
      <c r="FD233" s="89"/>
      <c r="FE233" s="89"/>
      <c r="FF233" s="89"/>
      <c r="FG233" s="89"/>
      <c r="FH233" s="89"/>
      <c r="FI233" s="89"/>
      <c r="FJ233" s="89"/>
      <c r="FK233" s="89"/>
      <c r="FL233" s="89"/>
      <c r="FM233" s="89"/>
      <c r="FN233" s="89"/>
      <c r="FO233" s="89"/>
      <c r="FP233" s="89"/>
      <c r="FQ233" s="89"/>
      <c r="FR233" s="89"/>
    </row>
    <row r="234" spans="1:175" s="23" customFormat="1" ht="15.9" customHeight="1">
      <c r="B234" s="22"/>
      <c r="C234" s="13"/>
      <c r="D234" s="16"/>
      <c r="E234" s="16"/>
      <c r="F234" s="16"/>
      <c r="G234" s="16"/>
      <c r="H234" s="21"/>
      <c r="I234" s="21"/>
      <c r="J234" s="16"/>
      <c r="K234" s="16"/>
      <c r="L234" s="16"/>
      <c r="M234" s="16"/>
      <c r="N234" s="16"/>
      <c r="O234" s="13"/>
      <c r="P234" s="493"/>
      <c r="Q234" s="993"/>
      <c r="R234" s="125"/>
      <c r="S234" s="131"/>
      <c r="T234" s="131"/>
      <c r="U234" s="131"/>
      <c r="V234" s="131"/>
      <c r="W234" s="131"/>
      <c r="X234" s="132"/>
      <c r="Y234" s="126"/>
      <c r="Z234" s="126"/>
      <c r="AA234" s="126"/>
      <c r="AB234" s="126"/>
      <c r="AC234" s="126"/>
      <c r="AD234" s="126"/>
      <c r="AE234" s="127"/>
      <c r="AF234" s="127"/>
      <c r="AG234" s="127"/>
      <c r="AH234" s="127"/>
      <c r="AI234" s="127"/>
      <c r="AJ234" s="127"/>
      <c r="AK234" s="127"/>
      <c r="AL234" s="127"/>
      <c r="AM234" s="127"/>
      <c r="AN234" s="127"/>
      <c r="AO234" s="127"/>
      <c r="AP234" s="127"/>
      <c r="AQ234" s="127"/>
      <c r="AR234" s="128"/>
      <c r="AS234" s="128"/>
      <c r="AT234" s="128"/>
      <c r="AU234" s="128"/>
      <c r="AV234" s="90"/>
      <c r="AW234" s="90"/>
      <c r="AX234" s="90"/>
      <c r="AY234" s="90"/>
      <c r="AZ234" s="90"/>
      <c r="BA234" s="90"/>
      <c r="BB234" s="90"/>
      <c r="BC234" s="90"/>
      <c r="BD234" s="90"/>
      <c r="BE234" s="90"/>
      <c r="BF234" s="90"/>
      <c r="BG234" s="90"/>
      <c r="BH234" s="90"/>
      <c r="BI234" s="90"/>
      <c r="BJ234" s="90"/>
      <c r="BK234" s="90"/>
      <c r="BL234" s="90"/>
      <c r="BM234" s="90"/>
      <c r="BN234" s="90"/>
      <c r="BO234" s="90"/>
      <c r="BP234" s="90"/>
      <c r="BQ234" s="90"/>
      <c r="BR234" s="90"/>
      <c r="BS234" s="90"/>
      <c r="BT234" s="90"/>
      <c r="BU234" s="90"/>
      <c r="BV234" s="90"/>
      <c r="BW234" s="90"/>
      <c r="BX234" s="90"/>
      <c r="BY234" s="90"/>
      <c r="BZ234" s="90"/>
      <c r="CA234" s="90"/>
      <c r="CB234" s="90"/>
      <c r="CC234" s="90"/>
      <c r="CD234" s="90"/>
      <c r="CE234" s="90"/>
      <c r="CF234" s="90"/>
      <c r="CG234" s="90"/>
      <c r="CH234" s="90"/>
      <c r="CI234" s="90"/>
      <c r="CJ234" s="90"/>
      <c r="CK234" s="90"/>
      <c r="CL234" s="90"/>
      <c r="CM234" s="90"/>
      <c r="CN234" s="90"/>
      <c r="CO234" s="90"/>
      <c r="CP234" s="90"/>
      <c r="CQ234" s="90"/>
      <c r="CR234" s="90"/>
      <c r="CS234" s="90"/>
      <c r="CT234" s="90"/>
      <c r="CU234" s="90"/>
      <c r="CV234" s="90"/>
      <c r="CW234" s="90"/>
      <c r="CX234" s="90"/>
      <c r="CY234" s="90"/>
      <c r="CZ234" s="117"/>
      <c r="DA234" s="117"/>
      <c r="DB234" s="117"/>
      <c r="DC234" s="117"/>
      <c r="DD234" s="117"/>
      <c r="DE234" s="117"/>
      <c r="DF234" s="117"/>
      <c r="DG234" s="117"/>
      <c r="DH234" s="117"/>
      <c r="DI234" s="117"/>
      <c r="DJ234" s="117"/>
      <c r="DK234" s="117"/>
      <c r="DL234" s="117"/>
      <c r="DM234" s="117"/>
      <c r="DN234" s="117"/>
      <c r="DO234" s="117"/>
      <c r="DP234" s="117"/>
      <c r="DQ234" s="117"/>
      <c r="DR234" s="117"/>
      <c r="DS234" s="117"/>
      <c r="DT234" s="117"/>
      <c r="DU234" s="117"/>
      <c r="DV234" s="117"/>
      <c r="DW234" s="117"/>
      <c r="DX234" s="117"/>
      <c r="DY234" s="117"/>
      <c r="DZ234" s="117"/>
      <c r="EA234" s="117"/>
      <c r="EB234" s="117"/>
      <c r="EC234" s="117"/>
      <c r="ED234" s="117"/>
      <c r="EE234" s="117"/>
      <c r="EF234" s="117"/>
      <c r="EG234" s="117"/>
      <c r="EH234" s="117"/>
      <c r="EI234" s="89"/>
      <c r="EJ234" s="89"/>
      <c r="EK234" s="89"/>
      <c r="EL234" s="89"/>
      <c r="EM234" s="89"/>
      <c r="EN234" s="89"/>
      <c r="EO234" s="89"/>
      <c r="EP234" s="89"/>
      <c r="EQ234" s="89"/>
      <c r="ER234" s="89"/>
      <c r="ES234" s="89"/>
      <c r="ET234" s="89"/>
      <c r="EU234" s="89"/>
      <c r="EV234" s="89"/>
      <c r="EW234" s="89"/>
      <c r="EX234" s="89"/>
      <c r="EY234" s="89"/>
      <c r="EZ234" s="89"/>
      <c r="FA234" s="89"/>
      <c r="FB234" s="89"/>
      <c r="FC234" s="89"/>
      <c r="FD234" s="89"/>
      <c r="FE234" s="89"/>
      <c r="FF234" s="89"/>
      <c r="FG234" s="89"/>
      <c r="FH234" s="89"/>
      <c r="FI234" s="89"/>
      <c r="FJ234" s="89"/>
      <c r="FK234" s="89"/>
      <c r="FL234" s="89"/>
      <c r="FM234" s="89"/>
      <c r="FN234" s="89"/>
      <c r="FO234" s="89"/>
      <c r="FP234" s="89"/>
      <c r="FQ234" s="89"/>
      <c r="FR234" s="89"/>
    </row>
    <row r="235" spans="1:175" s="23" customFormat="1" ht="15.9" customHeight="1">
      <c r="A235" s="144"/>
      <c r="B235" s="133"/>
      <c r="C235" s="35" t="str">
        <f>Begriffe!D308</f>
        <v>Demande en énergie et puissance</v>
      </c>
      <c r="D235" s="136"/>
      <c r="E235" s="136"/>
      <c r="F235" s="136"/>
      <c r="G235" s="136"/>
      <c r="H235" s="137"/>
      <c r="I235" s="137"/>
      <c r="J235" s="138"/>
      <c r="K235" s="138"/>
      <c r="L235" s="139"/>
      <c r="M235" s="231"/>
      <c r="N235" s="267"/>
      <c r="P235" s="493"/>
      <c r="Q235" s="493"/>
      <c r="R235" s="125"/>
      <c r="S235" s="125"/>
      <c r="T235" s="131"/>
      <c r="U235" s="131"/>
      <c r="V235" s="131"/>
      <c r="W235" s="131"/>
      <c r="X235" s="131"/>
      <c r="Y235" s="132"/>
      <c r="Z235" s="126"/>
      <c r="AA235" s="126"/>
      <c r="AB235" s="126"/>
      <c r="AC235" s="126"/>
      <c r="AD235" s="126"/>
      <c r="AE235" s="126"/>
      <c r="AF235" s="127"/>
      <c r="AG235" s="127"/>
      <c r="AH235" s="127"/>
      <c r="AI235" s="127"/>
      <c r="AJ235" s="127"/>
      <c r="AK235" s="127"/>
      <c r="AL235" s="127"/>
      <c r="AM235" s="127"/>
      <c r="AN235" s="127"/>
      <c r="AO235" s="127"/>
      <c r="AP235" s="127"/>
      <c r="AQ235" s="127"/>
      <c r="AR235" s="127"/>
      <c r="AS235" s="128"/>
      <c r="AT235" s="128"/>
      <c r="AU235" s="128"/>
      <c r="AV235" s="128"/>
      <c r="AW235" s="90"/>
      <c r="AX235" s="90"/>
      <c r="AY235" s="90"/>
      <c r="AZ235" s="90"/>
      <c r="BA235" s="90"/>
      <c r="BB235" s="90"/>
      <c r="BC235" s="90"/>
      <c r="BD235" s="90"/>
      <c r="BE235" s="90"/>
      <c r="BF235" s="90"/>
      <c r="BG235" s="90"/>
      <c r="BH235" s="90"/>
      <c r="BI235" s="90"/>
      <c r="BJ235" s="90"/>
      <c r="BK235" s="90"/>
      <c r="BL235" s="90"/>
      <c r="BM235" s="90"/>
      <c r="BN235" s="90"/>
      <c r="BO235" s="90"/>
      <c r="BP235" s="90"/>
      <c r="BQ235" s="90"/>
      <c r="BR235" s="90"/>
      <c r="BS235" s="90"/>
      <c r="BT235" s="90"/>
      <c r="BU235" s="90"/>
      <c r="BV235" s="90"/>
      <c r="BW235" s="90"/>
      <c r="BX235" s="90"/>
      <c r="BY235" s="90"/>
      <c r="BZ235" s="90"/>
      <c r="CA235" s="90"/>
      <c r="CB235" s="90"/>
      <c r="CC235" s="90"/>
      <c r="CD235" s="90"/>
      <c r="CE235" s="90"/>
      <c r="CF235" s="90"/>
      <c r="CG235" s="90"/>
      <c r="CH235" s="90"/>
      <c r="CI235" s="90"/>
      <c r="CJ235" s="90"/>
      <c r="CK235" s="90"/>
      <c r="CL235" s="90"/>
      <c r="CM235" s="90"/>
      <c r="CN235" s="90"/>
      <c r="CO235" s="90"/>
      <c r="CP235" s="90"/>
      <c r="CQ235" s="90"/>
      <c r="CR235" s="90"/>
      <c r="CS235" s="90"/>
      <c r="CT235" s="90"/>
      <c r="CU235" s="90"/>
      <c r="CV235" s="90"/>
      <c r="CW235" s="90"/>
      <c r="CX235" s="90"/>
      <c r="CY235" s="90"/>
      <c r="CZ235" s="90"/>
      <c r="DA235" s="117"/>
      <c r="DB235" s="117"/>
      <c r="DC235" s="117"/>
      <c r="DD235" s="117"/>
      <c r="DE235" s="117"/>
      <c r="DF235" s="117"/>
      <c r="DG235" s="117"/>
      <c r="DH235" s="117"/>
      <c r="DI235" s="117"/>
      <c r="DJ235" s="117"/>
      <c r="DK235" s="117"/>
      <c r="DL235" s="117"/>
      <c r="DM235" s="117"/>
      <c r="DN235" s="117"/>
      <c r="DO235" s="117"/>
      <c r="DP235" s="117"/>
      <c r="DQ235" s="117"/>
      <c r="DR235" s="117"/>
      <c r="DS235" s="117"/>
      <c r="DT235" s="117"/>
      <c r="DU235" s="117"/>
      <c r="DV235" s="117"/>
      <c r="DW235" s="117"/>
      <c r="DX235" s="117"/>
      <c r="DY235" s="117"/>
      <c r="DZ235" s="117"/>
      <c r="EA235" s="117"/>
      <c r="EB235" s="117"/>
      <c r="EC235" s="117"/>
      <c r="ED235" s="117"/>
      <c r="EE235" s="117"/>
      <c r="EF235" s="117"/>
      <c r="EG235" s="117"/>
      <c r="EH235" s="117"/>
      <c r="EI235" s="117"/>
      <c r="EJ235" s="89"/>
      <c r="EK235" s="89"/>
      <c r="EL235" s="89"/>
      <c r="EM235" s="89"/>
      <c r="EN235" s="89"/>
      <c r="EO235" s="89"/>
      <c r="EP235" s="89"/>
      <c r="EQ235" s="89"/>
      <c r="ER235" s="89"/>
      <c r="ES235" s="89"/>
      <c r="ET235" s="89"/>
      <c r="EU235" s="89"/>
      <c r="EV235" s="89"/>
      <c r="EW235" s="89"/>
      <c r="EX235" s="89"/>
      <c r="EY235" s="89"/>
      <c r="EZ235" s="89"/>
      <c r="FA235" s="89"/>
      <c r="FB235" s="89"/>
      <c r="FC235" s="89"/>
      <c r="FD235" s="89"/>
      <c r="FE235" s="89"/>
      <c r="FF235" s="89"/>
      <c r="FG235" s="89"/>
      <c r="FH235" s="89"/>
      <c r="FI235" s="89"/>
      <c r="FJ235" s="89"/>
      <c r="FK235" s="89"/>
      <c r="FL235" s="89"/>
      <c r="FM235" s="89"/>
      <c r="FN235" s="89"/>
      <c r="FO235" s="89"/>
      <c r="FP235" s="89"/>
      <c r="FQ235" s="89"/>
      <c r="FR235" s="89"/>
      <c r="FS235" s="89"/>
    </row>
    <row r="236" spans="1:175" s="23" customFormat="1" ht="13.2">
      <c r="A236" s="7"/>
      <c r="B236" s="578"/>
      <c r="C236" s="141" t="str">
        <f>Begriffe!F339</f>
        <v>Leistungsbedarf, W/m2</v>
      </c>
      <c r="D236" s="140"/>
      <c r="E236" s="577" t="str">
        <f>Begriffe!F202</f>
        <v>Geräte</v>
      </c>
      <c r="F236" s="140" t="str">
        <f>Begriffe!F203</f>
        <v>Beleuchtung</v>
      </c>
      <c r="G236" s="140" t="str">
        <f>Begriffe!F205</f>
        <v>Lüftung</v>
      </c>
      <c r="H236" s="577" t="str">
        <f>Begriffe!F206</f>
        <v>Raumkühlung</v>
      </c>
      <c r="I236" s="578" t="str">
        <f>Begriffe!F208</f>
        <v>Raumheizung</v>
      </c>
      <c r="J236" s="576" t="str">
        <f>Begriffe!F210</f>
        <v>Warmwasser</v>
      </c>
      <c r="P236" s="493"/>
      <c r="Q236" s="493"/>
      <c r="R236" s="125"/>
      <c r="S236" s="125"/>
      <c r="T236" s="131"/>
      <c r="U236" s="131"/>
      <c r="V236" s="131"/>
      <c r="W236" s="131"/>
      <c r="X236" s="131"/>
      <c r="Y236" s="132"/>
      <c r="Z236" s="126"/>
      <c r="AA236" s="126"/>
      <c r="AB236" s="126"/>
      <c r="AC236" s="126"/>
      <c r="AD236" s="126"/>
      <c r="AE236" s="126"/>
      <c r="AF236" s="127"/>
      <c r="AG236" s="127"/>
      <c r="AH236" s="127"/>
      <c r="AI236" s="127"/>
      <c r="AJ236" s="127"/>
      <c r="AK236" s="127"/>
      <c r="AL236" s="127"/>
      <c r="AM236" s="127"/>
      <c r="AN236" s="127"/>
      <c r="AO236" s="127"/>
      <c r="AP236" s="127"/>
      <c r="AQ236" s="127"/>
      <c r="AR236" s="127"/>
      <c r="AS236" s="128"/>
      <c r="AT236" s="128"/>
      <c r="AU236" s="128"/>
      <c r="AV236" s="128"/>
      <c r="AW236" s="90"/>
      <c r="AX236" s="90"/>
      <c r="AY236" s="90"/>
      <c r="AZ236" s="90"/>
      <c r="BA236" s="90"/>
      <c r="BB236" s="90"/>
      <c r="BC236" s="90"/>
      <c r="BD236" s="90"/>
      <c r="BE236" s="90"/>
      <c r="BF236" s="90"/>
      <c r="BG236" s="90"/>
      <c r="BH236" s="90"/>
      <c r="BI236" s="90"/>
      <c r="BJ236" s="90"/>
      <c r="BK236" s="90"/>
      <c r="BL236" s="90"/>
      <c r="BM236" s="90"/>
      <c r="BN236" s="90"/>
      <c r="BO236" s="90"/>
      <c r="BP236" s="90"/>
      <c r="BQ236" s="90"/>
      <c r="BR236" s="90"/>
      <c r="BS236" s="90"/>
      <c r="BT236" s="90"/>
      <c r="BU236" s="90"/>
      <c r="BV236" s="90"/>
      <c r="BW236" s="90"/>
      <c r="BX236" s="90"/>
      <c r="BY236" s="90"/>
      <c r="BZ236" s="90"/>
      <c r="CA236" s="90"/>
      <c r="CB236" s="90"/>
      <c r="CC236" s="90"/>
      <c r="CD236" s="90"/>
      <c r="CE236" s="90"/>
      <c r="CF236" s="90"/>
      <c r="CG236" s="90"/>
      <c r="CH236" s="90"/>
      <c r="CI236" s="90"/>
      <c r="CJ236" s="90"/>
      <c r="CK236" s="90"/>
      <c r="CL236" s="90"/>
      <c r="CM236" s="90"/>
      <c r="CN236" s="90"/>
      <c r="CO236" s="90"/>
      <c r="CP236" s="90"/>
      <c r="CQ236" s="90"/>
      <c r="CR236" s="90"/>
      <c r="CS236" s="90"/>
      <c r="CT236" s="90"/>
      <c r="CU236" s="90"/>
      <c r="CV236" s="90"/>
      <c r="CW236" s="90"/>
      <c r="CX236" s="90"/>
      <c r="CY236" s="90"/>
      <c r="CZ236" s="90"/>
      <c r="DA236" s="117"/>
      <c r="DB236" s="117"/>
      <c r="DC236" s="117"/>
      <c r="DD236" s="117"/>
      <c r="DE236" s="117"/>
      <c r="DF236" s="117"/>
      <c r="DG236" s="117"/>
      <c r="DH236" s="117"/>
      <c r="DI236" s="117"/>
      <c r="DJ236" s="117"/>
      <c r="DK236" s="117"/>
      <c r="DL236" s="117"/>
      <c r="DM236" s="117"/>
      <c r="DN236" s="117"/>
      <c r="DO236" s="117"/>
      <c r="DP236" s="117"/>
      <c r="DQ236" s="117"/>
      <c r="DR236" s="117"/>
      <c r="DS236" s="117"/>
      <c r="DT236" s="117"/>
      <c r="DU236" s="117"/>
      <c r="DV236" s="117"/>
      <c r="DW236" s="117"/>
      <c r="DX236" s="117"/>
      <c r="DY236" s="117"/>
      <c r="DZ236" s="117"/>
      <c r="EA236" s="117"/>
      <c r="EB236" s="117"/>
      <c r="EC236" s="117"/>
      <c r="ED236" s="117"/>
      <c r="EE236" s="117"/>
      <c r="EF236" s="117"/>
      <c r="EG236" s="117"/>
      <c r="EH236" s="117"/>
      <c r="EI236" s="117"/>
      <c r="EJ236" s="89"/>
      <c r="EK236" s="89"/>
      <c r="EL236" s="89"/>
      <c r="EM236" s="89"/>
      <c r="EN236" s="89"/>
      <c r="EO236" s="89"/>
      <c r="EP236" s="89"/>
      <c r="EQ236" s="89"/>
      <c r="ER236" s="89"/>
      <c r="ES236" s="89"/>
      <c r="ET236" s="89"/>
      <c r="EU236" s="89"/>
      <c r="EV236" s="89"/>
      <c r="EW236" s="89"/>
      <c r="EX236" s="89"/>
      <c r="EY236" s="89"/>
      <c r="EZ236" s="89"/>
      <c r="FA236" s="89"/>
      <c r="FB236" s="89"/>
      <c r="FC236" s="89"/>
      <c r="FD236" s="89"/>
      <c r="FE236" s="89"/>
      <c r="FF236" s="89"/>
      <c r="FG236" s="89"/>
      <c r="FH236" s="89"/>
      <c r="FI236" s="89"/>
      <c r="FJ236" s="89"/>
      <c r="FK236" s="89"/>
      <c r="FL236" s="89"/>
      <c r="FM236" s="89"/>
      <c r="FN236" s="89"/>
      <c r="FO236" s="89"/>
      <c r="FP236" s="89"/>
      <c r="FQ236" s="89"/>
      <c r="FR236" s="89"/>
      <c r="FS236" s="89"/>
    </row>
    <row r="237" spans="1:175" s="23" customFormat="1" ht="15.9" customHeight="1">
      <c r="A237" s="7"/>
      <c r="B237" s="1143"/>
      <c r="C237" s="533" t="str">
        <f>Begriffe!F222</f>
        <v>Bestand</v>
      </c>
      <c r="D237" s="142" t="s">
        <v>65</v>
      </c>
      <c r="E237" s="134">
        <f>O70</f>
        <v>15</v>
      </c>
      <c r="F237" s="134">
        <f>O113+O109</f>
        <v>10.254988913525498</v>
      </c>
      <c r="G237" s="142">
        <f>O135</f>
        <v>6.5520000000000005</v>
      </c>
      <c r="H237" s="134">
        <f>O148</f>
        <v>48</v>
      </c>
      <c r="I237" s="142">
        <f>O168</f>
        <v>68.46410457516339</v>
      </c>
      <c r="J237" s="134" t="e">
        <f>#REF!</f>
        <v>#REF!</v>
      </c>
      <c r="P237" s="493"/>
      <c r="Q237" s="493"/>
      <c r="R237" s="125"/>
      <c r="S237" s="125"/>
      <c r="T237" s="131"/>
      <c r="U237" s="131"/>
      <c r="V237" s="131"/>
      <c r="W237" s="131"/>
      <c r="X237" s="131"/>
      <c r="Y237" s="132"/>
      <c r="Z237" s="126"/>
      <c r="AA237" s="126"/>
      <c r="AB237" s="126"/>
      <c r="AC237" s="126"/>
      <c r="AD237" s="126"/>
      <c r="AE237" s="126"/>
      <c r="AF237" s="127"/>
      <c r="AG237" s="127"/>
      <c r="AH237" s="127"/>
      <c r="AI237" s="127"/>
      <c r="AJ237" s="127"/>
      <c r="AK237" s="127"/>
      <c r="AL237" s="127"/>
      <c r="AM237" s="127"/>
      <c r="AN237" s="127"/>
      <c r="AO237" s="127"/>
      <c r="AP237" s="127"/>
      <c r="AQ237" s="127"/>
      <c r="AR237" s="127"/>
      <c r="AS237" s="128"/>
      <c r="AT237" s="128"/>
      <c r="AU237" s="128"/>
      <c r="AV237" s="128"/>
      <c r="AW237" s="90"/>
      <c r="AX237" s="90"/>
      <c r="AY237" s="90"/>
      <c r="AZ237" s="90"/>
      <c r="BA237" s="90"/>
      <c r="BB237" s="90"/>
      <c r="BC237" s="90"/>
      <c r="BD237" s="90"/>
      <c r="BE237" s="90"/>
      <c r="BF237" s="90"/>
      <c r="BG237" s="90"/>
      <c r="BH237" s="90"/>
      <c r="BI237" s="90"/>
      <c r="BJ237" s="90"/>
      <c r="BK237" s="90"/>
      <c r="BL237" s="90"/>
      <c r="BM237" s="90"/>
      <c r="BN237" s="90"/>
      <c r="BO237" s="90"/>
      <c r="BP237" s="90"/>
      <c r="BQ237" s="90"/>
      <c r="BR237" s="90"/>
      <c r="BS237" s="90"/>
      <c r="BT237" s="90"/>
      <c r="BU237" s="90"/>
      <c r="BV237" s="90"/>
      <c r="BW237" s="90"/>
      <c r="BX237" s="90"/>
      <c r="BY237" s="90"/>
      <c r="BZ237" s="90"/>
      <c r="CA237" s="90"/>
      <c r="CB237" s="90"/>
      <c r="CC237" s="90"/>
      <c r="CD237" s="90"/>
      <c r="CE237" s="90"/>
      <c r="CF237" s="90"/>
      <c r="CG237" s="90"/>
      <c r="CH237" s="90"/>
      <c r="CI237" s="90"/>
      <c r="CJ237" s="90"/>
      <c r="CK237" s="90"/>
      <c r="CL237" s="90"/>
      <c r="CM237" s="90"/>
      <c r="CN237" s="90"/>
      <c r="CO237" s="90"/>
      <c r="CP237" s="90"/>
      <c r="CQ237" s="90"/>
      <c r="CR237" s="90"/>
      <c r="CS237" s="90"/>
      <c r="CT237" s="90"/>
      <c r="CU237" s="90"/>
      <c r="CV237" s="90"/>
      <c r="CW237" s="90"/>
      <c r="CX237" s="90"/>
      <c r="CY237" s="90"/>
      <c r="CZ237" s="90"/>
      <c r="DA237" s="117"/>
      <c r="DB237" s="117"/>
      <c r="DC237" s="117"/>
      <c r="DD237" s="117"/>
      <c r="DE237" s="117"/>
      <c r="DF237" s="117"/>
      <c r="DG237" s="117"/>
      <c r="DH237" s="117"/>
      <c r="DI237" s="117"/>
      <c r="DJ237" s="117"/>
      <c r="DK237" s="117"/>
      <c r="DL237" s="117"/>
      <c r="DM237" s="117"/>
      <c r="DN237" s="117"/>
      <c r="DO237" s="117"/>
      <c r="DP237" s="117"/>
      <c r="DQ237" s="117"/>
      <c r="DR237" s="117"/>
      <c r="DS237" s="117"/>
      <c r="DT237" s="117"/>
      <c r="DU237" s="117"/>
      <c r="DV237" s="117"/>
      <c r="DW237" s="117"/>
      <c r="DX237" s="117"/>
      <c r="DY237" s="117"/>
      <c r="DZ237" s="117"/>
      <c r="EA237" s="117"/>
      <c r="EB237" s="117"/>
      <c r="EC237" s="117"/>
      <c r="ED237" s="117"/>
      <c r="EE237" s="117"/>
      <c r="EF237" s="117"/>
      <c r="EG237" s="117"/>
      <c r="EH237" s="117"/>
      <c r="EI237" s="117"/>
      <c r="EJ237" s="89"/>
      <c r="EK237" s="89"/>
      <c r="EL237" s="89"/>
      <c r="EM237" s="89"/>
      <c r="EN237" s="89"/>
      <c r="EO237" s="89"/>
      <c r="EP237" s="89"/>
      <c r="EQ237" s="89"/>
      <c r="ER237" s="89"/>
      <c r="ES237" s="89"/>
      <c r="ET237" s="89"/>
      <c r="EU237" s="89"/>
      <c r="EV237" s="89"/>
      <c r="EW237" s="89"/>
      <c r="EX237" s="89"/>
      <c r="EY237" s="89"/>
      <c r="EZ237" s="89"/>
      <c r="FA237" s="89"/>
      <c r="FB237" s="89"/>
      <c r="FC237" s="89"/>
      <c r="FD237" s="89"/>
      <c r="FE237" s="89"/>
      <c r="FF237" s="89"/>
      <c r="FG237" s="89"/>
      <c r="FH237" s="89"/>
      <c r="FI237" s="89"/>
      <c r="FJ237" s="89"/>
      <c r="FK237" s="89"/>
      <c r="FL237" s="89"/>
      <c r="FM237" s="89"/>
      <c r="FN237" s="89"/>
      <c r="FO237" s="89"/>
      <c r="FP237" s="89"/>
      <c r="FQ237" s="89"/>
      <c r="FR237" s="89"/>
      <c r="FS237" s="89"/>
    </row>
    <row r="238" spans="1:175" s="23" customFormat="1" ht="15.9" customHeight="1">
      <c r="A238" s="7"/>
      <c r="B238" s="1143"/>
      <c r="C238" s="533" t="str">
        <f>Begriffe!F221</f>
        <v>Zielwert</v>
      </c>
      <c r="D238" s="142" t="s">
        <v>65</v>
      </c>
      <c r="E238" s="134">
        <f>N70</f>
        <v>3</v>
      </c>
      <c r="F238" s="134">
        <f>N113+N109</f>
        <v>7.1612164003468344</v>
      </c>
      <c r="G238" s="134">
        <f>N135</f>
        <v>2.4480000000000004</v>
      </c>
      <c r="H238" s="142">
        <f>N148</f>
        <v>27</v>
      </c>
      <c r="I238" s="142">
        <f>N168</f>
        <v>24.754196078431374</v>
      </c>
      <c r="J238" s="134" t="e">
        <f>#REF!</f>
        <v>#REF!</v>
      </c>
      <c r="P238" s="493"/>
      <c r="Q238" s="493"/>
      <c r="R238" s="125"/>
      <c r="S238" s="125"/>
      <c r="T238" s="131"/>
      <c r="U238" s="131"/>
      <c r="V238" s="131"/>
      <c r="W238" s="131"/>
      <c r="X238" s="131"/>
      <c r="Y238" s="132"/>
      <c r="Z238" s="126"/>
      <c r="AA238" s="126"/>
      <c r="AB238" s="126"/>
      <c r="AC238" s="126"/>
      <c r="AD238" s="126"/>
      <c r="AE238" s="126"/>
      <c r="AF238" s="127"/>
      <c r="AG238" s="127"/>
      <c r="AH238" s="127"/>
      <c r="AI238" s="127"/>
      <c r="AJ238" s="127"/>
      <c r="AK238" s="127"/>
      <c r="AL238" s="127"/>
      <c r="AM238" s="127"/>
      <c r="AN238" s="127"/>
      <c r="AO238" s="127"/>
      <c r="AP238" s="127"/>
      <c r="AQ238" s="127"/>
      <c r="AR238" s="127"/>
      <c r="AS238" s="128"/>
      <c r="AT238" s="128"/>
      <c r="AU238" s="128"/>
      <c r="AV238" s="128"/>
      <c r="AW238" s="90"/>
      <c r="AX238" s="90"/>
      <c r="AY238" s="90"/>
      <c r="AZ238" s="90"/>
      <c r="BA238" s="90"/>
      <c r="BB238" s="90"/>
      <c r="BC238" s="90"/>
      <c r="BD238" s="90"/>
      <c r="BE238" s="90"/>
      <c r="BF238" s="90"/>
      <c r="BG238" s="90"/>
      <c r="BH238" s="90"/>
      <c r="BI238" s="90"/>
      <c r="BJ238" s="90"/>
      <c r="BK238" s="90"/>
      <c r="BL238" s="90"/>
      <c r="BM238" s="90"/>
      <c r="BN238" s="90"/>
      <c r="BO238" s="90"/>
      <c r="BP238" s="90"/>
      <c r="BQ238" s="90"/>
      <c r="BR238" s="90"/>
      <c r="BS238" s="90"/>
      <c r="BT238" s="90"/>
      <c r="BU238" s="90"/>
      <c r="BV238" s="90"/>
      <c r="BW238" s="90"/>
      <c r="BX238" s="90"/>
      <c r="BY238" s="90"/>
      <c r="BZ238" s="90"/>
      <c r="CA238" s="90"/>
      <c r="CB238" s="90"/>
      <c r="CC238" s="90"/>
      <c r="CD238" s="90"/>
      <c r="CE238" s="90"/>
      <c r="CF238" s="90"/>
      <c r="CG238" s="90"/>
      <c r="CH238" s="90"/>
      <c r="CI238" s="90"/>
      <c r="CJ238" s="90"/>
      <c r="CK238" s="90"/>
      <c r="CL238" s="90"/>
      <c r="CM238" s="90"/>
      <c r="CN238" s="90"/>
      <c r="CO238" s="90"/>
      <c r="CP238" s="90"/>
      <c r="CQ238" s="90"/>
      <c r="CR238" s="90"/>
      <c r="CS238" s="90"/>
      <c r="CT238" s="90"/>
      <c r="CU238" s="90"/>
      <c r="CV238" s="90"/>
      <c r="CW238" s="90"/>
      <c r="CX238" s="90"/>
      <c r="CY238" s="90"/>
      <c r="CZ238" s="90"/>
      <c r="DA238" s="117"/>
      <c r="DB238" s="117"/>
      <c r="DC238" s="117"/>
      <c r="DD238" s="117"/>
      <c r="DE238" s="117"/>
      <c r="DF238" s="117"/>
      <c r="DG238" s="117"/>
      <c r="DH238" s="117"/>
      <c r="DI238" s="117"/>
      <c r="DJ238" s="117"/>
      <c r="DK238" s="117"/>
      <c r="DL238" s="117"/>
      <c r="DM238" s="117"/>
      <c r="DN238" s="117"/>
      <c r="DO238" s="117"/>
      <c r="DP238" s="117"/>
      <c r="DQ238" s="117"/>
      <c r="DR238" s="117"/>
      <c r="DS238" s="117"/>
      <c r="DT238" s="117"/>
      <c r="DU238" s="117"/>
      <c r="DV238" s="117"/>
      <c r="DW238" s="117"/>
      <c r="DX238" s="117"/>
      <c r="DY238" s="117"/>
      <c r="DZ238" s="117"/>
      <c r="EA238" s="117"/>
      <c r="EB238" s="117"/>
      <c r="EC238" s="117"/>
      <c r="ED238" s="117"/>
      <c r="EE238" s="117"/>
      <c r="EF238" s="117"/>
      <c r="EG238" s="117"/>
      <c r="EH238" s="117"/>
      <c r="EI238" s="117"/>
      <c r="EJ238" s="89"/>
      <c r="EK238" s="89"/>
      <c r="EL238" s="89"/>
      <c r="EM238" s="89"/>
      <c r="EN238" s="89"/>
      <c r="EO238" s="89"/>
      <c r="EP238" s="89"/>
      <c r="EQ238" s="89"/>
      <c r="ER238" s="89"/>
      <c r="ES238" s="89"/>
      <c r="ET238" s="89"/>
      <c r="EU238" s="89"/>
      <c r="EV238" s="89"/>
      <c r="EW238" s="89"/>
      <c r="EX238" s="89"/>
      <c r="EY238" s="89"/>
      <c r="EZ238" s="89"/>
      <c r="FA238" s="89"/>
      <c r="FB238" s="89"/>
      <c r="FC238" s="89"/>
      <c r="FD238" s="89"/>
      <c r="FE238" s="89"/>
      <c r="FF238" s="89"/>
      <c r="FG238" s="89"/>
      <c r="FH238" s="89"/>
      <c r="FI238" s="89"/>
      <c r="FJ238" s="89"/>
      <c r="FK238" s="89"/>
      <c r="FL238" s="89"/>
      <c r="FM238" s="89"/>
      <c r="FN238" s="89"/>
      <c r="FO238" s="89"/>
      <c r="FP238" s="89"/>
      <c r="FQ238" s="89"/>
      <c r="FR238" s="89"/>
      <c r="FS238" s="89"/>
    </row>
    <row r="239" spans="1:175" s="23" customFormat="1" ht="15.9" customHeight="1">
      <c r="A239" s="7"/>
      <c r="B239" s="1143"/>
      <c r="C239" s="533" t="str">
        <f>Begriffe!F220</f>
        <v>Standard</v>
      </c>
      <c r="D239" s="142" t="s">
        <v>65</v>
      </c>
      <c r="E239" s="134">
        <f>M70</f>
        <v>7</v>
      </c>
      <c r="F239" s="142">
        <f>M113+M109</f>
        <v>10.254988913525498</v>
      </c>
      <c r="G239" s="142">
        <f>M135</f>
        <v>3.9600000000000004</v>
      </c>
      <c r="H239" s="142">
        <f>M148</f>
        <v>36</v>
      </c>
      <c r="I239" s="142">
        <f>M168</f>
        <v>36.644350326797387</v>
      </c>
      <c r="J239" s="134" t="e">
        <f>#REF!</f>
        <v>#REF!</v>
      </c>
      <c r="P239" s="493"/>
      <c r="Q239" s="493"/>
      <c r="R239" s="125"/>
      <c r="S239" s="125"/>
      <c r="T239" s="131"/>
      <c r="U239" s="131"/>
      <c r="V239" s="131"/>
      <c r="W239" s="131"/>
      <c r="X239" s="131"/>
      <c r="Y239" s="132"/>
      <c r="Z239" s="126"/>
      <c r="AA239" s="126"/>
      <c r="AB239" s="126"/>
      <c r="AC239" s="126"/>
      <c r="AD239" s="126"/>
      <c r="AE239" s="126"/>
      <c r="AF239" s="127"/>
      <c r="AG239" s="127"/>
      <c r="AH239" s="127"/>
      <c r="AI239" s="127"/>
      <c r="AJ239" s="127"/>
      <c r="AK239" s="127"/>
      <c r="AL239" s="127"/>
      <c r="AM239" s="127"/>
      <c r="AN239" s="127"/>
      <c r="AO239" s="127"/>
      <c r="AP239" s="127"/>
      <c r="AQ239" s="127"/>
      <c r="AR239" s="127"/>
      <c r="AS239" s="128"/>
      <c r="AT239" s="128"/>
      <c r="AU239" s="128"/>
      <c r="AV239" s="128"/>
      <c r="AW239" s="90"/>
      <c r="AX239" s="90"/>
      <c r="AY239" s="90"/>
      <c r="AZ239" s="90"/>
      <c r="BA239" s="90"/>
      <c r="BB239" s="90"/>
      <c r="BC239" s="90"/>
      <c r="BD239" s="90"/>
      <c r="BE239" s="90"/>
      <c r="BF239" s="90"/>
      <c r="BG239" s="90"/>
      <c r="BH239" s="90"/>
      <c r="BI239" s="90"/>
      <c r="BJ239" s="90"/>
      <c r="BK239" s="90"/>
      <c r="BL239" s="90"/>
      <c r="BM239" s="90"/>
      <c r="BN239" s="90"/>
      <c r="BO239" s="90"/>
      <c r="BP239" s="90"/>
      <c r="BQ239" s="90"/>
      <c r="BR239" s="90"/>
      <c r="BS239" s="90"/>
      <c r="BT239" s="90"/>
      <c r="BU239" s="90"/>
      <c r="BV239" s="90"/>
      <c r="BW239" s="90"/>
      <c r="BX239" s="90"/>
      <c r="BY239" s="90"/>
      <c r="BZ239" s="90"/>
      <c r="CA239" s="90"/>
      <c r="CB239" s="90"/>
      <c r="CC239" s="90"/>
      <c r="CD239" s="90"/>
      <c r="CE239" s="90"/>
      <c r="CF239" s="90"/>
      <c r="CG239" s="90"/>
      <c r="CH239" s="90"/>
      <c r="CI239" s="90"/>
      <c r="CJ239" s="90"/>
      <c r="CK239" s="90"/>
      <c r="CL239" s="90"/>
      <c r="CM239" s="90"/>
      <c r="CN239" s="90"/>
      <c r="CO239" s="90"/>
      <c r="CP239" s="90"/>
      <c r="CQ239" s="90"/>
      <c r="CR239" s="90"/>
      <c r="CS239" s="90"/>
      <c r="CT239" s="90"/>
      <c r="CU239" s="90"/>
      <c r="CV239" s="90"/>
      <c r="CW239" s="90"/>
      <c r="CX239" s="90"/>
      <c r="CY239" s="90"/>
      <c r="CZ239" s="90"/>
      <c r="DA239" s="117"/>
      <c r="DB239" s="117"/>
      <c r="DC239" s="117"/>
      <c r="DD239" s="117"/>
      <c r="DE239" s="117"/>
      <c r="DF239" s="117"/>
      <c r="DG239" s="117"/>
      <c r="DH239" s="117"/>
      <c r="DI239" s="117"/>
      <c r="DJ239" s="117"/>
      <c r="DK239" s="117"/>
      <c r="DL239" s="117"/>
      <c r="DM239" s="117"/>
      <c r="DN239" s="117"/>
      <c r="DO239" s="117"/>
      <c r="DP239" s="117"/>
      <c r="DQ239" s="117"/>
      <c r="DR239" s="117"/>
      <c r="DS239" s="117"/>
      <c r="DT239" s="117"/>
      <c r="DU239" s="117"/>
      <c r="DV239" s="117"/>
      <c r="DW239" s="117"/>
      <c r="DX239" s="117"/>
      <c r="DY239" s="117"/>
      <c r="DZ239" s="117"/>
      <c r="EA239" s="117"/>
      <c r="EB239" s="117"/>
      <c r="EC239" s="117"/>
      <c r="ED239" s="117"/>
      <c r="EE239" s="117"/>
      <c r="EF239" s="117"/>
      <c r="EG239" s="117"/>
      <c r="EH239" s="117"/>
      <c r="EI239" s="117"/>
      <c r="EJ239" s="89"/>
      <c r="EK239" s="89"/>
      <c r="EL239" s="89"/>
      <c r="EM239" s="89"/>
      <c r="EN239" s="89"/>
      <c r="EO239" s="89"/>
      <c r="EP239" s="89"/>
      <c r="EQ239" s="89"/>
      <c r="ER239" s="89"/>
      <c r="ES239" s="89"/>
      <c r="ET239" s="89"/>
      <c r="EU239" s="89"/>
      <c r="EV239" s="89"/>
      <c r="EW239" s="89"/>
      <c r="EX239" s="89"/>
      <c r="EY239" s="89"/>
      <c r="EZ239" s="89"/>
      <c r="FA239" s="89"/>
      <c r="FB239" s="89"/>
      <c r="FC239" s="89"/>
      <c r="FD239" s="89"/>
      <c r="FE239" s="89"/>
      <c r="FF239" s="89"/>
      <c r="FG239" s="89"/>
      <c r="FH239" s="89"/>
      <c r="FI239" s="89"/>
      <c r="FJ239" s="89"/>
      <c r="FK239" s="89"/>
      <c r="FL239" s="89"/>
      <c r="FM239" s="89"/>
      <c r="FN239" s="89"/>
      <c r="FO239" s="89"/>
      <c r="FP239" s="89"/>
      <c r="FQ239" s="89"/>
      <c r="FR239" s="89"/>
      <c r="FS239" s="89"/>
    </row>
    <row r="240" spans="1:175" s="23" customFormat="1" ht="15.9" customHeight="1">
      <c r="A240" s="7"/>
      <c r="B240" s="578"/>
      <c r="C240" s="141"/>
      <c r="D240" s="7"/>
      <c r="E240" s="141"/>
      <c r="F240" s="142"/>
      <c r="G240" s="142"/>
      <c r="H240" s="142"/>
      <c r="I240" s="142"/>
      <c r="J240" s="142"/>
      <c r="K240" s="142"/>
      <c r="L240" s="134"/>
      <c r="P240" s="493"/>
      <c r="Q240" s="493"/>
      <c r="R240" s="125"/>
      <c r="S240" s="125"/>
      <c r="T240" s="131"/>
      <c r="U240" s="131"/>
      <c r="V240" s="131"/>
      <c r="W240" s="131"/>
      <c r="X240" s="131"/>
      <c r="Y240" s="132"/>
      <c r="Z240" s="126"/>
      <c r="AA240" s="126"/>
      <c r="AB240" s="126"/>
      <c r="AC240" s="126"/>
      <c r="AD240" s="126"/>
      <c r="AE240" s="126"/>
      <c r="AF240" s="127"/>
      <c r="AG240" s="127"/>
      <c r="AH240" s="127"/>
      <c r="AI240" s="127"/>
      <c r="AJ240" s="127"/>
      <c r="AK240" s="127"/>
      <c r="AL240" s="127"/>
      <c r="AM240" s="127"/>
      <c r="AN240" s="127"/>
      <c r="AO240" s="127"/>
      <c r="AP240" s="127"/>
      <c r="AQ240" s="127"/>
      <c r="AR240" s="127"/>
      <c r="AS240" s="128"/>
      <c r="AT240" s="128"/>
      <c r="AU240" s="128"/>
      <c r="AV240" s="128"/>
      <c r="AW240" s="90"/>
      <c r="AX240" s="90"/>
      <c r="AY240" s="90"/>
      <c r="AZ240" s="90"/>
      <c r="BA240" s="90"/>
      <c r="BB240" s="90"/>
      <c r="BC240" s="90"/>
      <c r="BD240" s="90"/>
      <c r="BE240" s="90"/>
      <c r="BF240" s="90"/>
      <c r="BG240" s="90"/>
      <c r="BH240" s="90"/>
      <c r="BI240" s="90"/>
      <c r="BJ240" s="90"/>
      <c r="BK240" s="90"/>
      <c r="BL240" s="90"/>
      <c r="BM240" s="90"/>
      <c r="BN240" s="90"/>
      <c r="BO240" s="90"/>
      <c r="BP240" s="90"/>
      <c r="BQ240" s="90"/>
      <c r="BR240" s="90"/>
      <c r="BS240" s="90"/>
      <c r="BT240" s="90"/>
      <c r="BU240" s="90"/>
      <c r="BV240" s="90"/>
      <c r="BW240" s="90"/>
      <c r="BX240" s="90"/>
      <c r="BY240" s="90"/>
      <c r="BZ240" s="90"/>
      <c r="CA240" s="90"/>
      <c r="CB240" s="90"/>
      <c r="CC240" s="90"/>
      <c r="CD240" s="90"/>
      <c r="CE240" s="90"/>
      <c r="CF240" s="90"/>
      <c r="CG240" s="90"/>
      <c r="CH240" s="90"/>
      <c r="CI240" s="90"/>
      <c r="CJ240" s="90"/>
      <c r="CK240" s="90"/>
      <c r="CL240" s="90"/>
      <c r="CM240" s="90"/>
      <c r="CN240" s="90"/>
      <c r="CO240" s="90"/>
      <c r="CP240" s="90"/>
      <c r="CQ240" s="90"/>
      <c r="CR240" s="90"/>
      <c r="CS240" s="90"/>
      <c r="CT240" s="90"/>
      <c r="CU240" s="90"/>
      <c r="CV240" s="90"/>
      <c r="CW240" s="90"/>
      <c r="CX240" s="90"/>
      <c r="CY240" s="90"/>
      <c r="CZ240" s="90"/>
      <c r="DA240" s="117"/>
      <c r="DB240" s="117"/>
      <c r="DC240" s="117"/>
      <c r="DD240" s="117"/>
      <c r="DE240" s="117"/>
      <c r="DF240" s="117"/>
      <c r="DG240" s="117"/>
      <c r="DH240" s="117"/>
      <c r="DI240" s="117"/>
      <c r="DJ240" s="117"/>
      <c r="DK240" s="117"/>
      <c r="DL240" s="117"/>
      <c r="DM240" s="117"/>
      <c r="DN240" s="117"/>
      <c r="DO240" s="117"/>
      <c r="DP240" s="117"/>
      <c r="DQ240" s="117"/>
      <c r="DR240" s="117"/>
      <c r="DS240" s="117"/>
      <c r="DT240" s="117"/>
      <c r="DU240" s="117"/>
      <c r="DV240" s="117"/>
      <c r="DW240" s="117"/>
      <c r="DX240" s="117"/>
      <c r="DY240" s="117"/>
      <c r="DZ240" s="117"/>
      <c r="EA240" s="117"/>
      <c r="EB240" s="117"/>
      <c r="EC240" s="117"/>
      <c r="ED240" s="117"/>
      <c r="EE240" s="117"/>
      <c r="EF240" s="117"/>
      <c r="EG240" s="117"/>
      <c r="EH240" s="117"/>
      <c r="EI240" s="117"/>
      <c r="EJ240" s="89"/>
      <c r="EK240" s="89"/>
      <c r="EL240" s="89"/>
      <c r="EM240" s="89"/>
      <c r="EN240" s="89"/>
      <c r="EO240" s="89"/>
      <c r="EP240" s="89"/>
      <c r="EQ240" s="89"/>
      <c r="ER240" s="89"/>
      <c r="ES240" s="89"/>
      <c r="ET240" s="89"/>
      <c r="EU240" s="89"/>
      <c r="EV240" s="89"/>
      <c r="EW240" s="89"/>
      <c r="EX240" s="89"/>
      <c r="EY240" s="89"/>
      <c r="EZ240" s="89"/>
      <c r="FA240" s="89"/>
      <c r="FB240" s="89"/>
      <c r="FC240" s="89"/>
      <c r="FD240" s="89"/>
      <c r="FE240" s="89"/>
      <c r="FF240" s="89"/>
      <c r="FG240" s="89"/>
      <c r="FH240" s="89"/>
      <c r="FI240" s="89"/>
      <c r="FJ240" s="89"/>
      <c r="FK240" s="89"/>
      <c r="FL240" s="89"/>
      <c r="FM240" s="89"/>
      <c r="FN240" s="89"/>
      <c r="FO240" s="89"/>
      <c r="FP240" s="89"/>
      <c r="FQ240" s="89"/>
      <c r="FR240" s="89"/>
      <c r="FS240" s="89"/>
    </row>
    <row r="241" spans="1:175" s="23" customFormat="1" ht="15.9" customHeight="1">
      <c r="A241" s="7"/>
      <c r="B241" s="578"/>
      <c r="C241" s="141" t="str">
        <f>Begriffe!F340</f>
        <v>Energiebedarf, kWh/m2</v>
      </c>
      <c r="D241" s="7"/>
      <c r="E241" s="141"/>
      <c r="F241" s="142"/>
      <c r="G241" s="142"/>
      <c r="H241" s="142"/>
      <c r="I241" s="142"/>
      <c r="J241" s="142"/>
      <c r="K241" s="142"/>
      <c r="L241" s="134"/>
      <c r="P241" s="493"/>
      <c r="Q241" s="493"/>
      <c r="R241" s="125"/>
      <c r="S241" s="125"/>
      <c r="T241" s="131"/>
      <c r="U241" s="131"/>
      <c r="V241" s="131"/>
      <c r="W241" s="131"/>
      <c r="X241" s="131"/>
      <c r="Y241" s="132"/>
      <c r="Z241" s="126"/>
      <c r="AA241" s="126"/>
      <c r="AB241" s="126"/>
      <c r="AC241" s="126"/>
      <c r="AD241" s="126"/>
      <c r="AE241" s="126"/>
      <c r="AF241" s="127"/>
      <c r="AG241" s="127"/>
      <c r="AH241" s="127"/>
      <c r="AI241" s="127"/>
      <c r="AJ241" s="127"/>
      <c r="AK241" s="127"/>
      <c r="AL241" s="127"/>
      <c r="AM241" s="127"/>
      <c r="AN241" s="127"/>
      <c r="AO241" s="127"/>
      <c r="AP241" s="127"/>
      <c r="AQ241" s="127"/>
      <c r="AR241" s="127"/>
      <c r="AS241" s="128"/>
      <c r="AT241" s="128"/>
      <c r="AU241" s="128"/>
      <c r="AV241" s="128"/>
      <c r="AW241" s="90"/>
      <c r="AX241" s="90"/>
      <c r="AY241" s="90"/>
      <c r="AZ241" s="90"/>
      <c r="BA241" s="90"/>
      <c r="BB241" s="90"/>
      <c r="BC241" s="90"/>
      <c r="BD241" s="90"/>
      <c r="BE241" s="90"/>
      <c r="BF241" s="90"/>
      <c r="BG241" s="90"/>
      <c r="BH241" s="90"/>
      <c r="BI241" s="90"/>
      <c r="BJ241" s="90"/>
      <c r="BK241" s="90"/>
      <c r="BL241" s="90"/>
      <c r="BM241" s="90"/>
      <c r="BN241" s="90"/>
      <c r="BO241" s="90"/>
      <c r="BP241" s="90"/>
      <c r="BQ241" s="90"/>
      <c r="BR241" s="90"/>
      <c r="BS241" s="90"/>
      <c r="BT241" s="90"/>
      <c r="BU241" s="90"/>
      <c r="BV241" s="90"/>
      <c r="BW241" s="90"/>
      <c r="BX241" s="90"/>
      <c r="BY241" s="90"/>
      <c r="BZ241" s="90"/>
      <c r="CA241" s="90"/>
      <c r="CB241" s="90"/>
      <c r="CC241" s="90"/>
      <c r="CD241" s="90"/>
      <c r="CE241" s="90"/>
      <c r="CF241" s="90"/>
      <c r="CG241" s="90"/>
      <c r="CH241" s="90"/>
      <c r="CI241" s="90"/>
      <c r="CJ241" s="90"/>
      <c r="CK241" s="90"/>
      <c r="CL241" s="90"/>
      <c r="CM241" s="90"/>
      <c r="CN241" s="90"/>
      <c r="CO241" s="90"/>
      <c r="CP241" s="90"/>
      <c r="CQ241" s="90"/>
      <c r="CR241" s="90"/>
      <c r="CS241" s="90"/>
      <c r="CT241" s="90"/>
      <c r="CU241" s="90"/>
      <c r="CV241" s="90"/>
      <c r="CW241" s="90"/>
      <c r="CX241" s="90"/>
      <c r="CY241" s="90"/>
      <c r="CZ241" s="90"/>
      <c r="DA241" s="117"/>
      <c r="DB241" s="117"/>
      <c r="DC241" s="117"/>
      <c r="DD241" s="117"/>
      <c r="DE241" s="117"/>
      <c r="DF241" s="117"/>
      <c r="DG241" s="117"/>
      <c r="DH241" s="117"/>
      <c r="DI241" s="117"/>
      <c r="DJ241" s="117"/>
      <c r="DK241" s="117"/>
      <c r="DL241" s="117"/>
      <c r="DM241" s="117"/>
      <c r="DN241" s="117"/>
      <c r="DO241" s="117"/>
      <c r="DP241" s="117"/>
      <c r="DQ241" s="117"/>
      <c r="DR241" s="117"/>
      <c r="DS241" s="117"/>
      <c r="DT241" s="117"/>
      <c r="DU241" s="117"/>
      <c r="DV241" s="117"/>
      <c r="DW241" s="117"/>
      <c r="DX241" s="117"/>
      <c r="DY241" s="117"/>
      <c r="DZ241" s="117"/>
      <c r="EA241" s="117"/>
      <c r="EB241" s="117"/>
      <c r="EC241" s="117"/>
      <c r="ED241" s="117"/>
      <c r="EE241" s="117"/>
      <c r="EF241" s="117"/>
      <c r="EG241" s="117"/>
      <c r="EH241" s="117"/>
      <c r="EI241" s="117"/>
      <c r="EJ241" s="89"/>
      <c r="EK241" s="89"/>
      <c r="EL241" s="89"/>
      <c r="EM241" s="89"/>
      <c r="EN241" s="89"/>
      <c r="EO241" s="89"/>
      <c r="EP241" s="89"/>
      <c r="EQ241" s="89"/>
      <c r="ER241" s="89"/>
      <c r="ES241" s="89"/>
      <c r="ET241" s="89"/>
      <c r="EU241" s="89"/>
      <c r="EV241" s="89"/>
      <c r="EW241" s="89"/>
      <c r="EX241" s="89"/>
      <c r="EY241" s="89"/>
      <c r="EZ241" s="89"/>
      <c r="FA241" s="89"/>
      <c r="FB241" s="89"/>
      <c r="FC241" s="89"/>
      <c r="FD241" s="89"/>
      <c r="FE241" s="89"/>
      <c r="FF241" s="89"/>
      <c r="FG241" s="89"/>
      <c r="FH241" s="89"/>
      <c r="FI241" s="89"/>
      <c r="FJ241" s="89"/>
      <c r="FK241" s="89"/>
      <c r="FL241" s="89"/>
      <c r="FM241" s="89"/>
      <c r="FN241" s="89"/>
      <c r="FO241" s="89"/>
      <c r="FP241" s="89"/>
      <c r="FQ241" s="89"/>
      <c r="FR241" s="89"/>
      <c r="FS241" s="89"/>
    </row>
    <row r="242" spans="1:175" s="23" customFormat="1" ht="15.9" customHeight="1">
      <c r="A242" s="7"/>
      <c r="B242" s="143"/>
      <c r="C242" s="533" t="str">
        <f>Begriffe!F222</f>
        <v>Bestand</v>
      </c>
      <c r="D242" s="142" t="s">
        <v>66</v>
      </c>
      <c r="E242" s="134">
        <f>O75</f>
        <v>44.85</v>
      </c>
      <c r="F242" s="142">
        <f>O120</f>
        <v>39.994456762749444</v>
      </c>
      <c r="G242" s="142">
        <f>O137</f>
        <v>36.822240000000008</v>
      </c>
      <c r="H242" s="122">
        <f>O150</f>
        <v>14.724305555555556</v>
      </c>
      <c r="I242" s="134">
        <f>O174</f>
        <v>45.357615428647577</v>
      </c>
      <c r="J242" s="134">
        <f>O182</f>
        <v>0</v>
      </c>
      <c r="P242" s="493"/>
      <c r="Q242" s="493"/>
      <c r="R242" s="125"/>
      <c r="S242" s="125"/>
      <c r="T242" s="131"/>
      <c r="U242" s="131"/>
      <c r="V242" s="131"/>
      <c r="W242" s="131"/>
      <c r="X242" s="131"/>
      <c r="Y242" s="132"/>
      <c r="Z242" s="126"/>
      <c r="AA242" s="126"/>
      <c r="AB242" s="126"/>
      <c r="AC242" s="126"/>
      <c r="AD242" s="126"/>
      <c r="AE242" s="126"/>
      <c r="AF242" s="127"/>
      <c r="AG242" s="127"/>
      <c r="AH242" s="127"/>
      <c r="AI242" s="127"/>
      <c r="AJ242" s="127"/>
      <c r="AK242" s="127"/>
      <c r="AL242" s="127"/>
      <c r="AM242" s="127"/>
      <c r="AN242" s="127"/>
      <c r="AO242" s="127"/>
      <c r="AP242" s="127"/>
      <c r="AQ242" s="127"/>
      <c r="AR242" s="127"/>
      <c r="AS242" s="128"/>
      <c r="AT242" s="128"/>
      <c r="AU242" s="128"/>
      <c r="AV242" s="128"/>
      <c r="AW242" s="90"/>
      <c r="AX242" s="90"/>
      <c r="AY242" s="90"/>
      <c r="AZ242" s="90"/>
      <c r="BA242" s="90"/>
      <c r="BB242" s="90"/>
      <c r="BC242" s="90"/>
      <c r="BD242" s="90"/>
      <c r="BE242" s="90"/>
      <c r="BF242" s="90"/>
      <c r="BG242" s="90"/>
      <c r="BH242" s="90"/>
      <c r="BI242" s="90"/>
      <c r="BJ242" s="90"/>
      <c r="BK242" s="90"/>
      <c r="BL242" s="90"/>
      <c r="BM242" s="90"/>
      <c r="BN242" s="90"/>
      <c r="BO242" s="90"/>
      <c r="BP242" s="90"/>
      <c r="BQ242" s="90"/>
      <c r="BR242" s="90"/>
      <c r="BS242" s="90"/>
      <c r="BT242" s="90"/>
      <c r="BU242" s="90"/>
      <c r="BV242" s="90"/>
      <c r="BW242" s="90"/>
      <c r="BX242" s="90"/>
      <c r="BY242" s="90"/>
      <c r="BZ242" s="90"/>
      <c r="CA242" s="90"/>
      <c r="CB242" s="90"/>
      <c r="CC242" s="90"/>
      <c r="CD242" s="90"/>
      <c r="CE242" s="90"/>
      <c r="CF242" s="90"/>
      <c r="CG242" s="90"/>
      <c r="CH242" s="90"/>
      <c r="CI242" s="90"/>
      <c r="CJ242" s="90"/>
      <c r="CK242" s="90"/>
      <c r="CL242" s="90"/>
      <c r="CM242" s="90"/>
      <c r="CN242" s="90"/>
      <c r="CO242" s="90"/>
      <c r="CP242" s="90"/>
      <c r="CQ242" s="90"/>
      <c r="CR242" s="90"/>
      <c r="CS242" s="90"/>
      <c r="CT242" s="90"/>
      <c r="CU242" s="90"/>
      <c r="CV242" s="90"/>
      <c r="CW242" s="90"/>
      <c r="CX242" s="90"/>
      <c r="CY242" s="90"/>
      <c r="CZ242" s="90"/>
      <c r="DA242" s="117"/>
      <c r="DB242" s="117"/>
      <c r="DC242" s="117"/>
      <c r="DD242" s="117"/>
      <c r="DE242" s="117"/>
      <c r="DF242" s="117"/>
      <c r="DG242" s="117"/>
      <c r="DH242" s="117"/>
      <c r="DI242" s="117"/>
      <c r="DJ242" s="117"/>
      <c r="DK242" s="117"/>
      <c r="DL242" s="117"/>
      <c r="DM242" s="117"/>
      <c r="DN242" s="117"/>
      <c r="DO242" s="117"/>
      <c r="DP242" s="117"/>
      <c r="DQ242" s="117"/>
      <c r="DR242" s="117"/>
      <c r="DS242" s="117"/>
      <c r="DT242" s="117"/>
      <c r="DU242" s="117"/>
      <c r="DV242" s="117"/>
      <c r="DW242" s="117"/>
      <c r="DX242" s="117"/>
      <c r="DY242" s="117"/>
      <c r="DZ242" s="117"/>
      <c r="EA242" s="117"/>
      <c r="EB242" s="117"/>
      <c r="EC242" s="117"/>
      <c r="ED242" s="117"/>
      <c r="EE242" s="117"/>
      <c r="EF242" s="117"/>
      <c r="EG242" s="117"/>
      <c r="EH242" s="117"/>
      <c r="EI242" s="117"/>
      <c r="EJ242" s="89"/>
      <c r="EK242" s="89"/>
      <c r="EL242" s="89"/>
      <c r="EM242" s="89"/>
      <c r="EN242" s="89"/>
      <c r="EO242" s="89"/>
      <c r="EP242" s="89"/>
      <c r="EQ242" s="89"/>
      <c r="ER242" s="89"/>
      <c r="ES242" s="89"/>
      <c r="ET242" s="89"/>
      <c r="EU242" s="89"/>
      <c r="EV242" s="89"/>
      <c r="EW242" s="89"/>
      <c r="EX242" s="89"/>
      <c r="EY242" s="89"/>
      <c r="EZ242" s="89"/>
      <c r="FA242" s="89"/>
      <c r="FB242" s="89"/>
      <c r="FC242" s="89"/>
      <c r="FD242" s="89"/>
      <c r="FE242" s="89"/>
      <c r="FF242" s="89"/>
      <c r="FG242" s="89"/>
      <c r="FH242" s="89"/>
      <c r="FI242" s="89"/>
      <c r="FJ242" s="89"/>
      <c r="FK242" s="89"/>
      <c r="FL242" s="89"/>
      <c r="FM242" s="89"/>
      <c r="FN242" s="89"/>
      <c r="FO242" s="89"/>
      <c r="FP242" s="89"/>
      <c r="FQ242" s="89"/>
      <c r="FR242" s="89"/>
      <c r="FS242" s="89"/>
    </row>
    <row r="243" spans="1:175" s="23" customFormat="1" ht="15.9" customHeight="1">
      <c r="A243" s="144"/>
      <c r="B243" s="145"/>
      <c r="C243" s="533" t="str">
        <f>Begriffe!F221</f>
        <v>Zielwert</v>
      </c>
      <c r="D243" s="142" t="s">
        <v>66</v>
      </c>
      <c r="E243" s="142">
        <f>N75</f>
        <v>8.9700000000000006</v>
      </c>
      <c r="F243" s="142">
        <f>N120</f>
        <v>22.98750464511334</v>
      </c>
      <c r="G243" s="142">
        <f>N137</f>
        <v>6.5606400000000011</v>
      </c>
      <c r="H243" s="142">
        <f>$N150</f>
        <v>27.991944444444446</v>
      </c>
      <c r="I243" s="142">
        <f>N174</f>
        <v>0.38811752986723469</v>
      </c>
      <c r="J243" s="134">
        <f>$N182</f>
        <v>0</v>
      </c>
      <c r="P243" s="493"/>
      <c r="Q243" s="493"/>
      <c r="R243" s="125"/>
      <c r="S243" s="125"/>
      <c r="T243" s="131"/>
      <c r="U243" s="131"/>
      <c r="V243" s="131"/>
      <c r="W243" s="131"/>
      <c r="X243" s="131"/>
      <c r="Y243" s="132"/>
      <c r="Z243" s="126"/>
      <c r="AA243" s="126"/>
      <c r="AB243" s="126"/>
      <c r="AC243" s="126"/>
      <c r="AD243" s="126"/>
      <c r="AE243" s="126"/>
      <c r="AF243" s="127"/>
      <c r="AG243" s="127"/>
      <c r="AH243" s="127"/>
      <c r="AI243" s="127"/>
      <c r="AJ243" s="127"/>
      <c r="AK243" s="127"/>
      <c r="AL243" s="127"/>
      <c r="AM243" s="127"/>
      <c r="AN243" s="127"/>
      <c r="AO243" s="127"/>
      <c r="AP243" s="127"/>
      <c r="AQ243" s="127"/>
      <c r="AR243" s="127"/>
      <c r="AS243" s="128"/>
      <c r="AT243" s="128"/>
      <c r="AU243" s="128"/>
      <c r="AV243" s="128"/>
      <c r="AW243" s="90"/>
      <c r="AX243" s="90"/>
      <c r="AY243" s="90"/>
      <c r="AZ243" s="90"/>
      <c r="BA243" s="90"/>
      <c r="BB243" s="90"/>
      <c r="BC243" s="90"/>
      <c r="BD243" s="90"/>
      <c r="BE243" s="90"/>
      <c r="BF243" s="90"/>
      <c r="BG243" s="90"/>
      <c r="BH243" s="90"/>
      <c r="BI243" s="90"/>
      <c r="BJ243" s="90"/>
      <c r="BK243" s="90"/>
      <c r="BL243" s="90"/>
      <c r="BM243" s="90"/>
      <c r="BN243" s="90"/>
      <c r="BO243" s="90"/>
      <c r="BP243" s="90"/>
      <c r="BQ243" s="90"/>
      <c r="BR243" s="90"/>
      <c r="BS243" s="90"/>
      <c r="BT243" s="90"/>
      <c r="BU243" s="90"/>
      <c r="BV243" s="90"/>
      <c r="BW243" s="90"/>
      <c r="BX243" s="90"/>
      <c r="BY243" s="90"/>
      <c r="BZ243" s="90"/>
      <c r="CA243" s="90"/>
      <c r="CB243" s="90"/>
      <c r="CC243" s="90"/>
      <c r="CD243" s="90"/>
      <c r="CE243" s="90"/>
      <c r="CF243" s="90"/>
      <c r="CG243" s="90"/>
      <c r="CH243" s="90"/>
      <c r="CI243" s="90"/>
      <c r="CJ243" s="90"/>
      <c r="CK243" s="90"/>
      <c r="CL243" s="90"/>
      <c r="CM243" s="90"/>
      <c r="CN243" s="90"/>
      <c r="CO243" s="90"/>
      <c r="CP243" s="90"/>
      <c r="CQ243" s="90"/>
      <c r="CR243" s="90"/>
      <c r="CS243" s="90"/>
      <c r="CT243" s="90"/>
      <c r="CU243" s="90"/>
      <c r="CV243" s="90"/>
      <c r="CW243" s="90"/>
      <c r="CX243" s="90"/>
      <c r="CY243" s="90"/>
      <c r="CZ243" s="90"/>
      <c r="DA243" s="117"/>
      <c r="DB243" s="117"/>
      <c r="DC243" s="117"/>
      <c r="DD243" s="117"/>
      <c r="DE243" s="117"/>
      <c r="DF243" s="117"/>
      <c r="DG243" s="117"/>
      <c r="DH243" s="117"/>
      <c r="DI243" s="117"/>
      <c r="DJ243" s="117"/>
      <c r="DK243" s="117"/>
      <c r="DL243" s="117"/>
      <c r="DM243" s="117"/>
      <c r="DN243" s="117"/>
      <c r="DO243" s="117"/>
      <c r="DP243" s="117"/>
      <c r="DQ243" s="117"/>
      <c r="DR243" s="117"/>
      <c r="DS243" s="117"/>
      <c r="DT243" s="117"/>
      <c r="DU243" s="117"/>
      <c r="DV243" s="117"/>
      <c r="DW243" s="117"/>
      <c r="DX243" s="117"/>
      <c r="DY243" s="117"/>
      <c r="DZ243" s="117"/>
      <c r="EA243" s="117"/>
      <c r="EB243" s="117"/>
      <c r="EC243" s="117"/>
      <c r="ED243" s="117"/>
      <c r="EE243" s="117"/>
      <c r="EF243" s="117"/>
      <c r="EG243" s="117"/>
      <c r="EH243" s="117"/>
      <c r="EI243" s="117"/>
      <c r="EJ243" s="89"/>
      <c r="EK243" s="89"/>
      <c r="EL243" s="89"/>
      <c r="EM243" s="89"/>
      <c r="EN243" s="89"/>
      <c r="EO243" s="89"/>
      <c r="EP243" s="89"/>
      <c r="EQ243" s="89"/>
      <c r="ER243" s="89"/>
      <c r="ES243" s="89"/>
      <c r="ET243" s="89"/>
      <c r="EU243" s="89"/>
      <c r="EV243" s="89"/>
      <c r="EW243" s="89"/>
      <c r="EX243" s="89"/>
      <c r="EY243" s="89"/>
      <c r="EZ243" s="89"/>
      <c r="FA243" s="89"/>
      <c r="FB243" s="89"/>
      <c r="FC243" s="89"/>
      <c r="FD243" s="89"/>
      <c r="FE243" s="89"/>
      <c r="FF243" s="89"/>
      <c r="FG243" s="89"/>
      <c r="FH243" s="89"/>
      <c r="FI243" s="89"/>
      <c r="FJ243" s="89"/>
      <c r="FK243" s="89"/>
      <c r="FL243" s="89"/>
      <c r="FM243" s="89"/>
      <c r="FN243" s="89"/>
      <c r="FO243" s="89"/>
      <c r="FP243" s="89"/>
      <c r="FQ243" s="89"/>
      <c r="FR243" s="89"/>
      <c r="FS243" s="89"/>
    </row>
    <row r="244" spans="1:175" s="23" customFormat="1" ht="15.9" customHeight="1">
      <c r="A244" s="144"/>
      <c r="B244" s="145"/>
      <c r="C244" s="533" t="str">
        <f>Begriffe!F220</f>
        <v>Standard</v>
      </c>
      <c r="D244" s="142" t="s">
        <v>66</v>
      </c>
      <c r="E244" s="142">
        <f>M75</f>
        <v>20.93</v>
      </c>
      <c r="F244" s="142">
        <f>M120</f>
        <v>39.994456762749444</v>
      </c>
      <c r="G244" s="142">
        <f>$M137</f>
        <v>11.127600000000001</v>
      </c>
      <c r="H244" s="142">
        <f>$M150</f>
        <v>25.517569444444444</v>
      </c>
      <c r="I244" s="142">
        <f>$M174</f>
        <v>2.2677545523408651</v>
      </c>
      <c r="J244" s="134">
        <f>$M182</f>
        <v>0</v>
      </c>
      <c r="P244" s="493"/>
      <c r="Q244" s="493"/>
      <c r="R244" s="125"/>
      <c r="S244" s="125"/>
      <c r="T244" s="131"/>
      <c r="U244" s="132"/>
      <c r="V244" s="126"/>
      <c r="W244" s="126"/>
      <c r="X244" s="126"/>
      <c r="Y244" s="126"/>
      <c r="Z244" s="126"/>
      <c r="AA244" s="126"/>
      <c r="AB244" s="127"/>
      <c r="AC244" s="127"/>
      <c r="AD244" s="127"/>
      <c r="AE244" s="127"/>
      <c r="AF244" s="127"/>
      <c r="AG244" s="127"/>
      <c r="AH244" s="127"/>
      <c r="AI244" s="127"/>
      <c r="AJ244" s="127"/>
      <c r="AK244" s="127"/>
      <c r="AL244" s="127"/>
      <c r="AM244" s="127"/>
      <c r="AN244" s="127"/>
      <c r="AO244" s="128"/>
      <c r="AP244" s="128"/>
      <c r="AQ244" s="128"/>
      <c r="AR244" s="128"/>
      <c r="AS244" s="90"/>
      <c r="AT244" s="90"/>
      <c r="AU244" s="90"/>
      <c r="AV244" s="90"/>
      <c r="AW244" s="90"/>
      <c r="AX244" s="90"/>
      <c r="AY244" s="90"/>
      <c r="AZ244" s="90"/>
      <c r="BA244" s="90"/>
      <c r="BB244" s="90"/>
      <c r="BC244" s="90"/>
      <c r="BD244" s="90"/>
      <c r="BE244" s="90"/>
      <c r="BF244" s="90"/>
      <c r="BG244" s="90"/>
      <c r="BH244" s="90"/>
      <c r="BI244" s="90"/>
      <c r="BJ244" s="90"/>
      <c r="BK244" s="90"/>
      <c r="BL244" s="90"/>
      <c r="BM244" s="90"/>
      <c r="BN244" s="90"/>
      <c r="BO244" s="90"/>
      <c r="BP244" s="90"/>
      <c r="BQ244" s="90"/>
      <c r="BR244" s="90"/>
      <c r="BS244" s="90"/>
      <c r="BT244" s="90"/>
      <c r="BU244" s="90"/>
      <c r="BV244" s="90"/>
      <c r="BW244" s="90"/>
      <c r="BX244" s="90"/>
      <c r="BY244" s="90"/>
      <c r="BZ244" s="90"/>
      <c r="CA244" s="90"/>
      <c r="CB244" s="90"/>
      <c r="CC244" s="90"/>
      <c r="CD244" s="90"/>
      <c r="CE244" s="90"/>
      <c r="CF244" s="90"/>
      <c r="CG244" s="90"/>
      <c r="CH244" s="90"/>
      <c r="CI244" s="90"/>
      <c r="CJ244" s="90"/>
      <c r="CK244" s="90"/>
      <c r="CL244" s="90"/>
      <c r="CM244" s="90"/>
      <c r="CN244" s="90"/>
      <c r="CO244" s="90"/>
      <c r="CP244" s="90"/>
      <c r="CQ244" s="90"/>
      <c r="CR244" s="90"/>
      <c r="CS244" s="90"/>
      <c r="CT244" s="90"/>
      <c r="CU244" s="90"/>
      <c r="CV244" s="90"/>
      <c r="CW244" s="117"/>
      <c r="CX244" s="117"/>
      <c r="CY244" s="117"/>
      <c r="CZ244" s="117"/>
      <c r="DA244" s="117"/>
      <c r="DB244" s="117"/>
      <c r="DC244" s="117"/>
      <c r="DD244" s="117"/>
      <c r="DE244" s="117"/>
      <c r="DF244" s="117"/>
      <c r="DG244" s="117"/>
      <c r="DH244" s="117"/>
      <c r="DI244" s="117"/>
      <c r="DJ244" s="117"/>
      <c r="DK244" s="117"/>
      <c r="DL244" s="117"/>
      <c r="DM244" s="117"/>
      <c r="DN244" s="117"/>
      <c r="DO244" s="117"/>
      <c r="DP244" s="117"/>
      <c r="DQ244" s="117"/>
      <c r="DR244" s="117"/>
      <c r="DS244" s="117"/>
      <c r="DT244" s="117"/>
      <c r="DU244" s="117"/>
      <c r="DV244" s="117"/>
      <c r="DW244" s="117"/>
      <c r="DX244" s="117"/>
      <c r="DY244" s="117"/>
      <c r="DZ244" s="117"/>
      <c r="EA244" s="117"/>
      <c r="EB244" s="117"/>
      <c r="EC244" s="117"/>
      <c r="ED244" s="117"/>
      <c r="EE244" s="117"/>
      <c r="EF244" s="89"/>
      <c r="EG244" s="89"/>
      <c r="EH244" s="89"/>
      <c r="EI244" s="89"/>
      <c r="EJ244" s="89"/>
      <c r="EK244" s="89"/>
      <c r="EL244" s="89"/>
      <c r="EM244" s="89"/>
      <c r="EN244" s="89"/>
      <c r="EO244" s="89"/>
      <c r="EP244" s="89"/>
      <c r="EQ244" s="89"/>
      <c r="ER244" s="89"/>
      <c r="ES244" s="89"/>
      <c r="ET244" s="89"/>
      <c r="EU244" s="89"/>
      <c r="EV244" s="89"/>
      <c r="EW244" s="89"/>
      <c r="EX244" s="89"/>
      <c r="EY244" s="89"/>
      <c r="EZ244" s="89"/>
      <c r="FA244" s="89"/>
      <c r="FB244" s="89"/>
      <c r="FC244" s="89"/>
      <c r="FD244" s="89"/>
      <c r="FE244" s="89"/>
      <c r="FF244" s="89"/>
      <c r="FG244" s="89"/>
      <c r="FH244" s="89"/>
      <c r="FI244" s="89"/>
      <c r="FJ244" s="89"/>
      <c r="FK244" s="89"/>
      <c r="FL244" s="89"/>
      <c r="FM244" s="89"/>
      <c r="FN244" s="89"/>
      <c r="FO244" s="89"/>
    </row>
    <row r="245" spans="1:175" s="23" customFormat="1" ht="15.75" customHeight="1">
      <c r="A245" s="7"/>
      <c r="B245" s="146"/>
      <c r="C245" s="147"/>
      <c r="D245" s="147"/>
      <c r="E245" s="147"/>
      <c r="F245" s="147"/>
      <c r="G245" s="147"/>
      <c r="H245" s="148"/>
      <c r="I245" s="148"/>
      <c r="J245" s="147"/>
      <c r="K245" s="147"/>
      <c r="L245" s="147"/>
      <c r="M245" s="147"/>
      <c r="N245" s="21"/>
      <c r="O245" s="21"/>
      <c r="P245" s="493"/>
      <c r="Q245" s="494"/>
      <c r="R245" s="131"/>
      <c r="S245" s="131"/>
      <c r="T245" s="131"/>
      <c r="U245" s="126"/>
      <c r="V245" s="126"/>
      <c r="W245" s="126"/>
      <c r="X245" s="126"/>
      <c r="Y245" s="126"/>
      <c r="Z245" s="126"/>
      <c r="AA245" s="126"/>
      <c r="AB245" s="127"/>
      <c r="AC245" s="127"/>
      <c r="AD245" s="127"/>
      <c r="AE245" s="127"/>
      <c r="AF245" s="127"/>
      <c r="AG245" s="127"/>
      <c r="AH245" s="127"/>
      <c r="AI245" s="127"/>
      <c r="AJ245" s="127"/>
      <c r="AK245" s="127"/>
      <c r="AL245" s="127"/>
      <c r="AM245" s="127"/>
      <c r="AN245" s="127"/>
      <c r="AO245" s="128"/>
      <c r="AP245" s="128"/>
      <c r="AQ245" s="128"/>
      <c r="AR245" s="128"/>
      <c r="AS245" s="90"/>
      <c r="AT245" s="90"/>
      <c r="AU245" s="90"/>
      <c r="AV245" s="90"/>
      <c r="AW245" s="90"/>
      <c r="AX245" s="90"/>
      <c r="AY245" s="90"/>
      <c r="AZ245" s="90"/>
      <c r="BA245" s="90"/>
      <c r="BB245" s="90"/>
      <c r="BC245" s="90"/>
      <c r="BD245" s="90"/>
      <c r="BE245" s="90"/>
      <c r="BF245" s="90"/>
      <c r="BG245" s="90"/>
      <c r="BH245" s="90"/>
      <c r="BI245" s="90"/>
      <c r="BJ245" s="90"/>
      <c r="BK245" s="90"/>
      <c r="BL245" s="90"/>
      <c r="BM245" s="90"/>
      <c r="BN245" s="90"/>
      <c r="BO245" s="90"/>
      <c r="BP245" s="90"/>
      <c r="BQ245" s="90"/>
      <c r="BR245" s="90"/>
      <c r="BS245" s="90"/>
      <c r="BT245" s="90"/>
      <c r="BU245" s="90"/>
      <c r="BV245" s="90"/>
      <c r="BW245" s="90"/>
      <c r="BX245" s="90"/>
      <c r="BY245" s="90"/>
      <c r="BZ245" s="90"/>
      <c r="CA245" s="90"/>
      <c r="CB245" s="90"/>
      <c r="CC245" s="90"/>
      <c r="CD245" s="90"/>
      <c r="CE245" s="90"/>
      <c r="CF245" s="90"/>
      <c r="CG245" s="90"/>
      <c r="CH245" s="90"/>
      <c r="CI245" s="90"/>
      <c r="CJ245" s="90"/>
      <c r="CK245" s="90"/>
      <c r="CL245" s="90"/>
      <c r="CM245" s="90"/>
      <c r="CN245" s="90"/>
      <c r="CO245" s="90"/>
      <c r="CP245" s="90"/>
      <c r="CQ245" s="90"/>
      <c r="CR245" s="90"/>
      <c r="CS245" s="90"/>
      <c r="CT245" s="90"/>
      <c r="CU245" s="90"/>
      <c r="CV245" s="90"/>
      <c r="CW245" s="117"/>
      <c r="CX245" s="117"/>
      <c r="CY245" s="117"/>
      <c r="CZ245" s="117"/>
      <c r="DA245" s="117"/>
      <c r="DB245" s="117"/>
      <c r="DC245" s="117"/>
      <c r="DD245" s="117"/>
      <c r="DE245" s="117"/>
      <c r="DF245" s="117"/>
      <c r="DG245" s="117"/>
      <c r="DH245" s="117"/>
      <c r="DI245" s="117"/>
      <c r="DJ245" s="117"/>
      <c r="DK245" s="117"/>
      <c r="DL245" s="117"/>
      <c r="DM245" s="117"/>
      <c r="DN245" s="117"/>
      <c r="DO245" s="117"/>
      <c r="DP245" s="117"/>
      <c r="DQ245" s="117"/>
      <c r="DR245" s="117"/>
      <c r="DS245" s="117"/>
      <c r="DT245" s="117"/>
      <c r="DU245" s="117"/>
      <c r="DV245" s="117"/>
      <c r="DW245" s="117"/>
      <c r="DX245" s="117"/>
      <c r="DY245" s="117"/>
      <c r="DZ245" s="117"/>
      <c r="EA245" s="117"/>
      <c r="EB245" s="117"/>
      <c r="EC245" s="117"/>
      <c r="ED245" s="117"/>
      <c r="EE245" s="117"/>
      <c r="EF245" s="89"/>
      <c r="EG245" s="89"/>
      <c r="EH245" s="89"/>
      <c r="EI245" s="89"/>
      <c r="EJ245" s="89"/>
      <c r="EK245" s="89"/>
      <c r="EL245" s="89"/>
      <c r="EM245" s="89"/>
      <c r="EN245" s="89"/>
      <c r="EO245" s="89"/>
      <c r="EP245" s="89"/>
      <c r="EQ245" s="89"/>
      <c r="ER245" s="89"/>
      <c r="ES245" s="89"/>
      <c r="ET245" s="89"/>
      <c r="EU245" s="89"/>
      <c r="EV245" s="89"/>
      <c r="EW245" s="89"/>
      <c r="EX245" s="89"/>
      <c r="EY245" s="89"/>
      <c r="EZ245" s="89"/>
      <c r="FA245" s="89"/>
      <c r="FB245" s="89"/>
      <c r="FC245" s="89"/>
      <c r="FD245" s="89"/>
      <c r="FE245" s="89"/>
      <c r="FF245" s="89"/>
      <c r="FG245" s="89"/>
      <c r="FH245" s="89"/>
      <c r="FI245" s="89"/>
      <c r="FJ245" s="89"/>
      <c r="FK245" s="89"/>
      <c r="FL245" s="89"/>
      <c r="FM245" s="89"/>
      <c r="FN245" s="89"/>
      <c r="FO245" s="89"/>
    </row>
  </sheetData>
  <sheetProtection password="DFA6" sheet="1" objects="1" scenarios="1"/>
  <autoFilter ref="A4:Q196" xr:uid="{00000000-0009-0000-0000-000003000000}">
    <filterColumn colId="16">
      <customFilters>
        <customFilter operator="notEqual" val=" "/>
      </customFilters>
    </filterColumn>
  </autoFilter>
  <mergeCells count="25">
    <mergeCell ref="C187:C194"/>
    <mergeCell ref="I187:I194"/>
    <mergeCell ref="C42:C46"/>
    <mergeCell ref="A198:A209"/>
    <mergeCell ref="A41:A61"/>
    <mergeCell ref="A184:A196"/>
    <mergeCell ref="A152:A160"/>
    <mergeCell ref="A139:A150"/>
    <mergeCell ref="A162:A174"/>
    <mergeCell ref="A176:A182"/>
    <mergeCell ref="A77:A120"/>
    <mergeCell ref="A125:A137"/>
    <mergeCell ref="I42:I46"/>
    <mergeCell ref="C149:E149"/>
    <mergeCell ref="C150:E150"/>
    <mergeCell ref="C182:E182"/>
    <mergeCell ref="G26:H26"/>
    <mergeCell ref="A63:A75"/>
    <mergeCell ref="A5:A39"/>
    <mergeCell ref="X135:X137"/>
    <mergeCell ref="C63:C67"/>
    <mergeCell ref="G36:H36"/>
    <mergeCell ref="C56:E56"/>
    <mergeCell ref="C120:E120"/>
    <mergeCell ref="C37:F37"/>
  </mergeCells>
  <phoneticPr fontId="0" type="noConversion"/>
  <printOptions horizontalCentered="1"/>
  <pageMargins left="0.39370078740157483" right="0.39370078740157483" top="0.59055118110236227" bottom="0.39370078740157483" header="0" footer="0.39370078740157483"/>
  <pageSetup paperSize="9" scale="55" firstPageNumber="30" fitToHeight="2" orientation="portrait" useFirstPageNumber="1" horizontalDpi="4294967293" verticalDpi="2400" r:id="rId1"/>
  <headerFooter differentOddEven="1" alignWithMargins="0">
    <oddFooter>&amp;C&amp;"Arial,Kursiv"&amp;8 SIA 2024, Copyright © 2015 by SIA Zurich&amp;R&amp;12 &amp;P</oddFooter>
    <evenFooter>&amp;L&amp;9 &amp;P&amp;C &amp;"Arial,Kursiv"&amp;8SIA 2024, Copyright © 2015 by SIA Zurich</evenFooter>
  </headerFooter>
  <rowBreaks count="1" manualBreakCount="1">
    <brk id="121" max="13" man="1"/>
  </rowBreaks>
  <drawing r:id="rId2"/>
  <legacyDrawing r:id="rId3"/>
  <mc:AlternateContent xmlns:mc="http://schemas.openxmlformats.org/markup-compatibility/2006">
    <mc:Choice Requires="x14">
      <controls>
        <mc:AlternateContent xmlns:mc="http://schemas.openxmlformats.org/markup-compatibility/2006">
          <mc:Choice Requires="x14">
            <control shapeId="91304" r:id="rId4" name="Drop Down 168">
              <controlPr defaultSize="0" print="0" autoLine="0" autoPict="0">
                <anchor moveWithCells="1">
                  <from>
                    <xdr:col>1</xdr:col>
                    <xdr:colOff>0</xdr:colOff>
                    <xdr:row>0</xdr:row>
                    <xdr:rowOff>45720</xdr:rowOff>
                  </from>
                  <to>
                    <xdr:col>4</xdr:col>
                    <xdr:colOff>678180</xdr:colOff>
                    <xdr:row>0</xdr:row>
                    <xdr:rowOff>266700</xdr:rowOff>
                  </to>
                </anchor>
              </controlPr>
            </control>
          </mc:Choice>
        </mc:AlternateContent>
        <mc:AlternateContent xmlns:mc="http://schemas.openxmlformats.org/markup-compatibility/2006">
          <mc:Choice Requires="x14">
            <control shapeId="91330" r:id="rId5" name="Button 194">
              <controlPr defaultSize="0" print="0" autoFill="0" autoPict="0" macro="[0]!AllesDrucken_auf_D">
                <anchor moveWithCells="1" sizeWithCells="1">
                  <from>
                    <xdr:col>12</xdr:col>
                    <xdr:colOff>922020</xdr:colOff>
                    <xdr:row>0</xdr:row>
                    <xdr:rowOff>22860</xdr:rowOff>
                  </from>
                  <to>
                    <xdr:col>14</xdr:col>
                    <xdr:colOff>807720</xdr:colOff>
                    <xdr:row>0</xdr:row>
                    <xdr:rowOff>297180</xdr:rowOff>
                  </to>
                </anchor>
              </controlPr>
            </control>
          </mc:Choice>
        </mc:AlternateContent>
        <mc:AlternateContent xmlns:mc="http://schemas.openxmlformats.org/markup-compatibility/2006">
          <mc:Choice Requires="x14">
            <control shapeId="91437" r:id="rId6" name="Spinner 301">
              <controlPr defaultSize="0" autoPict="0">
                <anchor moveWithCells="1" sizeWithCells="1">
                  <from>
                    <xdr:col>4</xdr:col>
                    <xdr:colOff>716280</xdr:colOff>
                    <xdr:row>0</xdr:row>
                    <xdr:rowOff>45720</xdr:rowOff>
                  </from>
                  <to>
                    <xdr:col>5</xdr:col>
                    <xdr:colOff>76200</xdr:colOff>
                    <xdr:row>0</xdr:row>
                    <xdr:rowOff>259080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300-000000000000}">
          <x14:formula1>
            <xm:f>Begriffe!$F$227:$F$229</xm:f>
          </x14:formula1>
          <xm:sqref>L36</xm:sqref>
        </x14:dataValidation>
        <x14:dataValidation type="list" allowBlank="1" showInputMessage="1" showErrorMessage="1" xr:uid="{00000000-0002-0000-0300-000001000000}">
          <x14:formula1>
            <xm:f>Begriffe!$F$230:$F$232</xm:f>
          </x14:formula1>
          <xm:sqref>L130</xm:sqref>
        </x14:dataValidation>
        <x14:dataValidation type="list" allowBlank="1" showInputMessage="1" showErrorMessage="1" xr:uid="{00000000-0002-0000-0300-000002000000}">
          <x14:formula1>
            <xm:f>Begriffe!$F$242:$F$245</xm:f>
          </x14:formula1>
          <xm:sqref>L176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3" filterMode="1">
    <tabColor theme="6"/>
  </sheetPr>
  <dimension ref="A1:IS245"/>
  <sheetViews>
    <sheetView showGridLines="0" showZeros="0" view="pageBreakPreview" zoomScale="150" zoomScaleNormal="85" zoomScaleSheetLayoutView="150" workbookViewId="0">
      <selection activeCell="G1" sqref="G1"/>
    </sheetView>
  </sheetViews>
  <sheetFormatPr baseColWidth="10" defaultColWidth="11.44140625" defaultRowHeight="13.8"/>
  <cols>
    <col min="1" max="1" width="4.109375" style="10" customWidth="1"/>
    <col min="2" max="2" width="14" style="991" hidden="1" customWidth="1"/>
    <col min="3" max="3" width="12.88671875" style="6" customWidth="1"/>
    <col min="4" max="4" width="12.5546875" style="6" customWidth="1"/>
    <col min="5" max="5" width="14.109375" style="6" customWidth="1"/>
    <col min="6" max="6" width="13.44140625" style="6" customWidth="1"/>
    <col min="7" max="7" width="13" style="6" customWidth="1"/>
    <col min="8" max="8" width="31.5546875" style="6" customWidth="1"/>
    <col min="9" max="9" width="11.5546875" style="11" customWidth="1"/>
    <col min="10" max="10" width="9.44140625" style="11" customWidth="1"/>
    <col min="11" max="11" width="8.6640625" style="11" hidden="1" customWidth="1"/>
    <col min="12" max="12" width="14.109375" style="87" customWidth="1"/>
    <col min="13" max="13" width="16.33203125" style="87" bestFit="1" customWidth="1"/>
    <col min="14" max="14" width="10.44140625" style="86" hidden="1" customWidth="1"/>
    <col min="15" max="15" width="12.6640625" style="86" hidden="1" customWidth="1"/>
    <col min="16" max="16" width="4.44140625" style="991" hidden="1" customWidth="1"/>
    <col min="17" max="17" width="6.109375" style="873" hidden="1" customWidth="1"/>
    <col min="18" max="18" width="5.44140625" style="4" hidden="1" customWidth="1"/>
    <col min="19" max="19" width="10.88671875" style="4" hidden="1" customWidth="1"/>
    <col min="20" max="20" width="9.33203125" style="4" hidden="1" customWidth="1"/>
    <col min="21" max="21" width="9.33203125" style="4" customWidth="1"/>
    <col min="22" max="22" width="7.44140625" style="415" customWidth="1"/>
    <col min="23" max="23" width="8.6640625" style="415" customWidth="1"/>
    <col min="24" max="31" width="7.44140625" style="36" customWidth="1"/>
    <col min="32" max="35" width="7.44140625" style="82" customWidth="1"/>
    <col min="36" max="36" width="6.5546875" style="82" customWidth="1"/>
    <col min="37" max="44" width="7.44140625" style="82" customWidth="1"/>
    <col min="45" max="46" width="7.44140625" style="156" customWidth="1"/>
    <col min="47" max="47" width="7.44140625" style="170" customWidth="1"/>
    <col min="48" max="48" width="6.109375" style="170" customWidth="1"/>
    <col min="49" max="81" width="6.109375" style="118" customWidth="1"/>
    <col min="82" max="104" width="4.5546875" style="118" customWidth="1"/>
    <col min="105" max="106" width="4.5546875" style="119" customWidth="1"/>
    <col min="107" max="139" width="11.44140625" style="119"/>
    <col min="140" max="175" width="11.44140625" style="120"/>
    <col min="176" max="16384" width="11.44140625" style="10"/>
  </cols>
  <sheetData>
    <row r="1" spans="1:175" s="24" customFormat="1" ht="24" customHeight="1">
      <c r="A1" s="222"/>
      <c r="B1" s="1140"/>
      <c r="C1" s="223">
        <v>5</v>
      </c>
      <c r="D1" s="224"/>
      <c r="E1" s="224"/>
      <c r="F1" s="224"/>
      <c r="G1" s="224"/>
      <c r="H1" s="1135"/>
      <c r="I1" s="225"/>
      <c r="J1" s="226"/>
      <c r="K1" s="226"/>
      <c r="L1" s="227"/>
      <c r="M1" s="227"/>
      <c r="N1" s="228"/>
      <c r="O1" s="229"/>
      <c r="P1" s="493" t="s">
        <v>799</v>
      </c>
      <c r="Q1" s="22" t="s">
        <v>800</v>
      </c>
      <c r="R1" s="22" t="s">
        <v>801</v>
      </c>
      <c r="S1" s="129"/>
      <c r="T1" s="129"/>
      <c r="U1" s="129"/>
      <c r="V1" s="132"/>
      <c r="W1" s="132"/>
      <c r="X1" s="126"/>
      <c r="Y1" s="126"/>
      <c r="Z1" s="126"/>
      <c r="AA1" s="126"/>
      <c r="AB1" s="126"/>
      <c r="AC1" s="126"/>
      <c r="AD1" s="126"/>
      <c r="AE1" s="126"/>
      <c r="AF1" s="127"/>
      <c r="AG1" s="127"/>
      <c r="AH1" s="127"/>
      <c r="AI1" s="127"/>
      <c r="AJ1" s="127"/>
      <c r="AK1" s="127"/>
      <c r="AL1" s="127"/>
      <c r="AM1" s="127"/>
      <c r="AN1" s="127"/>
      <c r="AO1" s="127"/>
      <c r="AP1" s="127"/>
      <c r="AQ1" s="127"/>
      <c r="AR1" s="127"/>
      <c r="AS1" s="128"/>
      <c r="AT1" s="128"/>
      <c r="AU1" s="151"/>
      <c r="AV1" s="15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2"/>
      <c r="DB1" s="92"/>
      <c r="DC1" s="92"/>
      <c r="DD1" s="92"/>
      <c r="DE1" s="92"/>
      <c r="DF1" s="92"/>
      <c r="DG1" s="92"/>
      <c r="DH1" s="92"/>
      <c r="DI1" s="92"/>
      <c r="DJ1" s="92"/>
      <c r="DK1" s="92"/>
      <c r="DL1" s="92"/>
      <c r="DM1" s="92"/>
      <c r="DN1" s="92"/>
      <c r="DO1" s="92"/>
      <c r="DP1" s="92"/>
      <c r="DQ1" s="92"/>
      <c r="DR1" s="92"/>
      <c r="DS1" s="92"/>
      <c r="DT1" s="92"/>
      <c r="DU1" s="92"/>
      <c r="DV1" s="92"/>
      <c r="DW1" s="92"/>
      <c r="DX1" s="92"/>
      <c r="DY1" s="92"/>
      <c r="DZ1" s="92"/>
      <c r="EA1" s="92"/>
      <c r="EB1" s="92"/>
      <c r="EC1" s="92"/>
      <c r="ED1" s="92"/>
      <c r="EE1" s="92"/>
      <c r="EF1" s="92"/>
      <c r="EG1" s="92"/>
      <c r="EH1" s="92"/>
      <c r="EI1" s="92"/>
      <c r="EJ1" s="93"/>
      <c r="EK1" s="93"/>
      <c r="EL1" s="93"/>
      <c r="EM1" s="93"/>
      <c r="EN1" s="93"/>
      <c r="EO1" s="93"/>
      <c r="EP1" s="93"/>
      <c r="EQ1" s="93"/>
      <c r="ER1" s="93"/>
      <c r="ES1" s="93"/>
      <c r="ET1" s="93"/>
      <c r="EU1" s="93"/>
      <c r="EV1" s="93"/>
      <c r="EW1" s="93"/>
      <c r="EX1" s="93"/>
      <c r="EY1" s="93"/>
      <c r="EZ1" s="93"/>
      <c r="FA1" s="93"/>
      <c r="FB1" s="93"/>
      <c r="FC1" s="93"/>
      <c r="FD1" s="93"/>
      <c r="FE1" s="93"/>
      <c r="FF1" s="93"/>
      <c r="FG1" s="93"/>
      <c r="FH1" s="93"/>
      <c r="FI1" s="93"/>
      <c r="FJ1" s="93"/>
      <c r="FK1" s="93"/>
      <c r="FL1" s="93"/>
      <c r="FM1" s="93"/>
      <c r="FN1" s="93"/>
      <c r="FO1" s="93"/>
      <c r="FP1" s="93"/>
      <c r="FQ1" s="93"/>
      <c r="FR1" s="93"/>
      <c r="FS1" s="93"/>
    </row>
    <row r="2" spans="1:175" s="24" customFormat="1" ht="17.399999999999999">
      <c r="A2" s="189"/>
      <c r="B2" s="1141"/>
      <c r="C2" s="189" t="str">
        <f>Begriffe!F341</f>
        <v>Bezeichnung</v>
      </c>
      <c r="D2" s="189"/>
      <c r="E2" s="1790"/>
      <c r="F2" s="1790"/>
      <c r="G2" s="1790"/>
      <c r="H2" s="1790"/>
      <c r="I2" s="1791" t="str">
        <f>Begriffe!F342</f>
        <v>Basis:</v>
      </c>
      <c r="J2" s="1789" t="str">
        <f>INDEX(Eingabedaten!C10:C54,nutzid)</f>
        <v>Einzel-, Gruppenbüro</v>
      </c>
      <c r="K2" s="191"/>
      <c r="L2" s="192"/>
      <c r="M2" s="192"/>
      <c r="N2" s="193"/>
      <c r="O2" s="1191">
        <f>INDEX(Eingabedaten!A10:A54,nutzid)</f>
        <v>3.1</v>
      </c>
      <c r="P2" s="493">
        <v>0</v>
      </c>
      <c r="Q2" s="920">
        <v>1</v>
      </c>
      <c r="R2" s="493">
        <v>0</v>
      </c>
      <c r="S2" s="129"/>
      <c r="T2" s="129"/>
      <c r="U2" s="129"/>
      <c r="V2" s="132"/>
      <c r="W2" s="132"/>
      <c r="X2" s="126"/>
      <c r="Y2" s="126"/>
      <c r="Z2" s="126"/>
      <c r="AA2" s="126"/>
      <c r="AB2" s="126"/>
      <c r="AC2" s="126"/>
      <c r="AD2" s="126"/>
      <c r="AE2" s="126"/>
      <c r="AF2" s="127"/>
      <c r="AG2" s="127"/>
      <c r="AH2" s="127"/>
      <c r="AI2" s="127"/>
      <c r="AJ2" s="127"/>
      <c r="AK2" s="127"/>
      <c r="AL2" s="127"/>
      <c r="AM2" s="127"/>
      <c r="AN2" s="127"/>
      <c r="AO2" s="127"/>
      <c r="AP2" s="127"/>
      <c r="AQ2" s="127"/>
      <c r="AR2" s="127"/>
      <c r="AS2" s="128"/>
      <c r="AT2" s="128"/>
      <c r="AU2" s="151"/>
      <c r="AV2" s="151"/>
      <c r="AW2" s="91"/>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2"/>
      <c r="DB2" s="92"/>
      <c r="DC2" s="92"/>
      <c r="DD2" s="92"/>
      <c r="DE2" s="92"/>
      <c r="DF2" s="92"/>
      <c r="DG2" s="92"/>
      <c r="DH2" s="92"/>
      <c r="DI2" s="92"/>
      <c r="DJ2" s="92"/>
      <c r="DK2" s="92"/>
      <c r="DL2" s="92"/>
      <c r="DM2" s="92"/>
      <c r="DN2" s="92"/>
      <c r="DO2" s="92"/>
      <c r="DP2" s="92"/>
      <c r="DQ2" s="92"/>
      <c r="DR2" s="92"/>
      <c r="DS2" s="92"/>
      <c r="DT2" s="92"/>
      <c r="DU2" s="92"/>
      <c r="DV2" s="92"/>
      <c r="DW2" s="92"/>
      <c r="DX2" s="92"/>
      <c r="DY2" s="92"/>
      <c r="DZ2" s="92"/>
      <c r="EA2" s="92"/>
      <c r="EB2" s="92"/>
      <c r="EC2" s="92"/>
      <c r="ED2" s="92"/>
      <c r="EE2" s="92"/>
      <c r="EF2" s="92"/>
      <c r="EG2" s="92"/>
      <c r="EH2" s="92"/>
      <c r="EI2" s="92"/>
      <c r="EJ2" s="93"/>
      <c r="EK2" s="93"/>
      <c r="EL2" s="93"/>
      <c r="EM2" s="93"/>
      <c r="EN2" s="93"/>
      <c r="EO2" s="93"/>
      <c r="EP2" s="93"/>
      <c r="EQ2" s="93"/>
      <c r="ER2" s="93"/>
      <c r="ES2" s="93"/>
      <c r="ET2" s="93"/>
      <c r="EU2" s="93"/>
      <c r="EV2" s="93"/>
      <c r="EW2" s="93"/>
      <c r="EX2" s="93"/>
      <c r="EY2" s="93"/>
      <c r="EZ2" s="93"/>
      <c r="FA2" s="93"/>
      <c r="FB2" s="93"/>
      <c r="FC2" s="93"/>
      <c r="FD2" s="93"/>
      <c r="FE2" s="93"/>
      <c r="FF2" s="93"/>
      <c r="FG2" s="93"/>
      <c r="FH2" s="93"/>
      <c r="FI2" s="93"/>
      <c r="FJ2" s="93"/>
      <c r="FK2" s="93"/>
      <c r="FL2" s="93"/>
      <c r="FM2" s="93"/>
      <c r="FN2" s="93"/>
      <c r="FO2" s="93"/>
      <c r="FP2" s="93"/>
      <c r="FQ2" s="93"/>
      <c r="FR2" s="93"/>
      <c r="FS2" s="93"/>
    </row>
    <row r="3" spans="1:175" s="41" customFormat="1" ht="1.5" customHeight="1">
      <c r="A3" s="189"/>
      <c r="B3" s="1141"/>
      <c r="C3" s="195"/>
      <c r="D3" s="195"/>
      <c r="E3" s="195"/>
      <c r="F3" s="189"/>
      <c r="G3" s="189"/>
      <c r="H3" s="189"/>
      <c r="I3" s="197"/>
      <c r="J3" s="191"/>
      <c r="K3" s="191"/>
      <c r="L3" s="192"/>
      <c r="M3" s="192"/>
      <c r="N3" s="193"/>
      <c r="O3" s="194"/>
      <c r="P3" s="493">
        <v>0</v>
      </c>
      <c r="Q3" s="989">
        <v>1</v>
      </c>
      <c r="R3" s="493">
        <v>0</v>
      </c>
      <c r="S3" s="13"/>
      <c r="T3" s="13"/>
      <c r="U3" s="13"/>
      <c r="V3" s="125"/>
      <c r="W3" s="125"/>
      <c r="X3" s="150"/>
      <c r="Y3" s="150"/>
      <c r="Z3" s="150"/>
      <c r="AA3" s="150"/>
      <c r="AB3" s="150"/>
      <c r="AC3" s="150"/>
      <c r="AD3" s="150"/>
      <c r="AE3" s="150"/>
      <c r="AF3" s="131"/>
      <c r="AG3" s="131"/>
      <c r="AH3" s="131"/>
      <c r="AI3" s="131"/>
      <c r="AJ3" s="131"/>
      <c r="AK3" s="131"/>
      <c r="AL3" s="131"/>
      <c r="AM3" s="131"/>
      <c r="AN3" s="131"/>
      <c r="AO3" s="131"/>
      <c r="AP3" s="131"/>
      <c r="AQ3" s="131"/>
      <c r="AR3" s="131"/>
      <c r="AS3" s="152"/>
      <c r="AT3" s="152"/>
      <c r="AU3" s="153"/>
      <c r="AV3" s="153"/>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95"/>
      <c r="CG3" s="95"/>
      <c r="CH3" s="95"/>
      <c r="CI3" s="95"/>
      <c r="CJ3" s="95"/>
      <c r="CK3" s="95"/>
      <c r="CL3" s="95"/>
      <c r="CM3" s="95"/>
      <c r="CN3" s="95"/>
      <c r="CO3" s="95"/>
      <c r="CP3" s="95"/>
      <c r="CQ3" s="95"/>
      <c r="CR3" s="95"/>
      <c r="CS3" s="95"/>
      <c r="CT3" s="95"/>
      <c r="CU3" s="95"/>
      <c r="CV3" s="95"/>
      <c r="CW3" s="95"/>
      <c r="CX3" s="95"/>
      <c r="CY3" s="95"/>
      <c r="CZ3" s="95"/>
      <c r="DA3" s="96"/>
      <c r="DB3" s="96"/>
      <c r="DC3" s="96"/>
      <c r="DD3" s="96"/>
      <c r="DE3" s="96"/>
      <c r="DF3" s="96"/>
      <c r="DG3" s="96"/>
      <c r="DH3" s="96"/>
      <c r="DI3" s="96"/>
      <c r="DJ3" s="96"/>
      <c r="DK3" s="96"/>
      <c r="DL3" s="96"/>
      <c r="DM3" s="96"/>
      <c r="DN3" s="96"/>
      <c r="DO3" s="96"/>
      <c r="DP3" s="96"/>
      <c r="DQ3" s="96"/>
      <c r="DR3" s="96"/>
      <c r="DS3" s="96"/>
      <c r="DT3" s="96"/>
      <c r="DU3" s="96"/>
      <c r="DV3" s="96"/>
      <c r="DW3" s="96"/>
      <c r="DX3" s="96"/>
      <c r="DY3" s="96"/>
      <c r="DZ3" s="96"/>
      <c r="EA3" s="96"/>
      <c r="EB3" s="96"/>
      <c r="EC3" s="96"/>
      <c r="ED3" s="96"/>
      <c r="EE3" s="96"/>
      <c r="EF3" s="96"/>
      <c r="EG3" s="96"/>
      <c r="EH3" s="96"/>
      <c r="EI3" s="96"/>
      <c r="EJ3" s="97"/>
      <c r="EK3" s="97"/>
      <c r="EL3" s="97"/>
      <c r="EM3" s="97"/>
      <c r="EN3" s="97"/>
      <c r="EO3" s="97"/>
      <c r="EP3" s="97"/>
      <c r="EQ3" s="97"/>
      <c r="ER3" s="97"/>
      <c r="ES3" s="97"/>
      <c r="ET3" s="97"/>
      <c r="EU3" s="97"/>
      <c r="EV3" s="97"/>
      <c r="EW3" s="97"/>
      <c r="EX3" s="97"/>
      <c r="EY3" s="97"/>
      <c r="EZ3" s="97"/>
      <c r="FA3" s="97"/>
      <c r="FB3" s="97"/>
      <c r="FC3" s="97"/>
      <c r="FD3" s="97"/>
      <c r="FE3" s="97"/>
      <c r="FF3" s="97"/>
      <c r="FG3" s="97"/>
      <c r="FH3" s="97"/>
      <c r="FI3" s="97"/>
      <c r="FJ3" s="97"/>
      <c r="FK3" s="97"/>
      <c r="FL3" s="97"/>
      <c r="FM3" s="97"/>
      <c r="FN3" s="97"/>
      <c r="FO3" s="97"/>
      <c r="FP3" s="97"/>
      <c r="FQ3" s="97"/>
      <c r="FR3" s="97"/>
      <c r="FS3" s="97"/>
    </row>
    <row r="4" spans="1:175" s="15" customFormat="1" ht="15.75" customHeight="1">
      <c r="A4" s="203"/>
      <c r="B4" s="1144"/>
      <c r="C4" s="204"/>
      <c r="D4" s="204"/>
      <c r="E4" s="204"/>
      <c r="F4" s="204"/>
      <c r="G4" s="204"/>
      <c r="H4" s="204"/>
      <c r="I4" s="351" t="str">
        <f>Begriffe!F303</f>
        <v>Symbol</v>
      </c>
      <c r="J4" s="1250" t="str">
        <f>Begriffe!F304</f>
        <v>Einheit</v>
      </c>
      <c r="K4" s="205"/>
      <c r="L4" s="574" t="str">
        <f>Begriffe!F305</f>
        <v>Projektwert</v>
      </c>
      <c r="M4" s="1250" t="str">
        <f>Begriffe!F305</f>
        <v>Projektwert</v>
      </c>
      <c r="N4" s="1251" t="str">
        <f>Begriffe!F221</f>
        <v>Zielwert</v>
      </c>
      <c r="O4" s="1251" t="str">
        <f>Begriffe!F222</f>
        <v>Bestand</v>
      </c>
      <c r="P4" s="493">
        <v>0</v>
      </c>
      <c r="Q4" s="989">
        <v>1</v>
      </c>
      <c r="R4" s="493">
        <v>0</v>
      </c>
      <c r="S4" s="13"/>
      <c r="T4" s="13"/>
      <c r="U4" s="13"/>
      <c r="V4" s="125"/>
      <c r="W4" s="125"/>
      <c r="X4" s="150"/>
      <c r="Y4" s="150"/>
      <c r="Z4" s="150"/>
      <c r="AA4" s="150"/>
      <c r="AB4" s="150"/>
      <c r="AC4" s="150"/>
      <c r="AD4" s="150"/>
      <c r="AE4" s="150"/>
      <c r="AF4" s="131"/>
      <c r="AG4" s="131"/>
      <c r="AH4" s="131"/>
      <c r="AI4" s="131"/>
      <c r="AJ4" s="131"/>
      <c r="AK4" s="131"/>
      <c r="AL4" s="131"/>
      <c r="AM4" s="131"/>
      <c r="AN4" s="131"/>
      <c r="AO4" s="131"/>
      <c r="AP4" s="131"/>
      <c r="AQ4" s="131"/>
      <c r="AR4" s="131"/>
      <c r="AS4" s="152"/>
      <c r="AT4" s="152"/>
      <c r="AU4" s="153"/>
      <c r="AV4" s="153"/>
      <c r="AW4" s="95"/>
      <c r="AX4" s="95"/>
      <c r="AY4" s="95"/>
      <c r="AZ4" s="95"/>
      <c r="BA4" s="95"/>
      <c r="BB4" s="95"/>
      <c r="BC4" s="95"/>
      <c r="BD4" s="95"/>
      <c r="BE4" s="95"/>
      <c r="BF4" s="95"/>
      <c r="BG4" s="95"/>
      <c r="BH4" s="95"/>
      <c r="BI4" s="95"/>
      <c r="BJ4" s="95"/>
      <c r="BK4" s="95"/>
      <c r="BL4" s="95"/>
      <c r="BM4" s="95"/>
      <c r="BN4" s="95"/>
      <c r="BO4" s="95"/>
      <c r="BP4" s="95"/>
      <c r="BQ4" s="95"/>
      <c r="BR4" s="95"/>
      <c r="BS4" s="95"/>
      <c r="BT4" s="95"/>
      <c r="BU4" s="95"/>
      <c r="BV4" s="95"/>
      <c r="BW4" s="95"/>
      <c r="BX4" s="95"/>
      <c r="BY4" s="95"/>
      <c r="BZ4" s="95"/>
      <c r="CA4" s="95"/>
      <c r="CB4" s="95"/>
      <c r="CC4" s="95"/>
      <c r="CD4" s="95"/>
      <c r="CE4" s="95"/>
      <c r="CF4" s="95"/>
      <c r="CG4" s="95"/>
      <c r="CH4" s="95"/>
      <c r="CI4" s="95"/>
      <c r="CJ4" s="95"/>
      <c r="CK4" s="95"/>
      <c r="CL4" s="95"/>
      <c r="CM4" s="95"/>
      <c r="CN4" s="95"/>
      <c r="CO4" s="95"/>
      <c r="CP4" s="95"/>
      <c r="CQ4" s="95"/>
      <c r="CR4" s="95"/>
      <c r="CS4" s="95"/>
      <c r="CT4" s="95"/>
      <c r="CU4" s="95"/>
      <c r="CV4" s="95"/>
      <c r="CW4" s="95"/>
      <c r="CX4" s="95"/>
      <c r="CY4" s="95"/>
      <c r="CZ4" s="95"/>
      <c r="DA4" s="96"/>
      <c r="DB4" s="96"/>
      <c r="DC4" s="96"/>
      <c r="DD4" s="96"/>
      <c r="DE4" s="96"/>
      <c r="DF4" s="96"/>
      <c r="DG4" s="96"/>
      <c r="DH4" s="96"/>
      <c r="DI4" s="96"/>
      <c r="DJ4" s="96"/>
      <c r="DK4" s="96"/>
      <c r="DL4" s="96"/>
      <c r="DM4" s="96"/>
      <c r="DN4" s="96"/>
      <c r="DO4" s="96"/>
      <c r="DP4" s="96"/>
      <c r="DQ4" s="96"/>
      <c r="DR4" s="96"/>
      <c r="DS4" s="96"/>
      <c r="DT4" s="96"/>
      <c r="DU4" s="96"/>
      <c r="DV4" s="96"/>
      <c r="DW4" s="96"/>
      <c r="DX4" s="96"/>
      <c r="DY4" s="96"/>
      <c r="DZ4" s="96"/>
      <c r="EA4" s="96"/>
      <c r="EB4" s="96"/>
      <c r="EC4" s="96"/>
      <c r="ED4" s="96"/>
      <c r="EE4" s="96"/>
      <c r="EF4" s="96"/>
      <c r="EG4" s="96"/>
      <c r="EH4" s="96"/>
      <c r="EI4" s="96"/>
      <c r="EJ4" s="98"/>
      <c r="EK4" s="98"/>
      <c r="EL4" s="98"/>
      <c r="EM4" s="98"/>
      <c r="EN4" s="98"/>
      <c r="EO4" s="98"/>
      <c r="EP4" s="98"/>
      <c r="EQ4" s="98"/>
      <c r="ER4" s="98"/>
      <c r="ES4" s="98"/>
      <c r="ET4" s="98"/>
      <c r="EU4" s="98"/>
      <c r="EV4" s="98"/>
      <c r="EW4" s="98"/>
      <c r="EX4" s="98"/>
      <c r="EY4" s="98"/>
      <c r="EZ4" s="98"/>
      <c r="FA4" s="98"/>
      <c r="FB4" s="98"/>
      <c r="FC4" s="98"/>
      <c r="FD4" s="98"/>
      <c r="FE4" s="98"/>
      <c r="FF4" s="98"/>
      <c r="FG4" s="98"/>
      <c r="FH4" s="98"/>
      <c r="FI4" s="98"/>
      <c r="FJ4" s="98"/>
      <c r="FK4" s="98"/>
      <c r="FL4" s="98"/>
      <c r="FM4" s="98"/>
      <c r="FN4" s="98"/>
      <c r="FO4" s="98"/>
      <c r="FP4" s="98"/>
      <c r="FQ4" s="98"/>
      <c r="FR4" s="98"/>
      <c r="FS4" s="98"/>
    </row>
    <row r="5" spans="1:175" s="18" customFormat="1" ht="18" hidden="1" customHeight="1">
      <c r="A5" s="1810" t="str">
        <f>Begriffe!F196</f>
        <v>Raum</v>
      </c>
      <c r="B5" s="80"/>
      <c r="C5" s="26" t="s">
        <v>215</v>
      </c>
      <c r="D5" s="32"/>
      <c r="E5" s="309"/>
      <c r="F5" s="309"/>
      <c r="G5" s="297" t="s">
        <v>4</v>
      </c>
      <c r="H5" s="297"/>
      <c r="I5" s="27" t="s">
        <v>67</v>
      </c>
      <c r="J5" s="33" t="s">
        <v>3</v>
      </c>
      <c r="K5" s="33"/>
      <c r="L5" s="28"/>
      <c r="M5" s="29">
        <v>-8</v>
      </c>
      <c r="N5" s="28"/>
      <c r="O5" s="28"/>
      <c r="P5" s="989">
        <v>0</v>
      </c>
      <c r="Q5" s="989">
        <v>0</v>
      </c>
      <c r="R5" s="989">
        <v>0</v>
      </c>
      <c r="S5" s="131"/>
      <c r="T5" s="298"/>
      <c r="U5" s="298"/>
      <c r="V5" s="150"/>
      <c r="W5" s="299"/>
      <c r="X5" s="299"/>
      <c r="Y5" s="150"/>
      <c r="Z5" s="299"/>
      <c r="AA5" s="299"/>
      <c r="AB5" s="150"/>
      <c r="AC5" s="299"/>
      <c r="AD5" s="299"/>
      <c r="AE5" s="150"/>
      <c r="AF5" s="150"/>
      <c r="AG5" s="131"/>
      <c r="AH5" s="131"/>
      <c r="AI5" s="131"/>
      <c r="AJ5" s="131"/>
      <c r="AK5" s="131"/>
      <c r="AL5" s="131"/>
      <c r="AM5" s="131"/>
      <c r="AN5" s="152"/>
      <c r="AO5" s="152"/>
      <c r="AP5" s="153"/>
      <c r="AQ5" s="153"/>
      <c r="AR5" s="95"/>
      <c r="AS5" s="95"/>
      <c r="AT5" s="95"/>
      <c r="AU5" s="95"/>
      <c r="AV5" s="95"/>
      <c r="AW5" s="95"/>
      <c r="AX5" s="95"/>
      <c r="AY5" s="95"/>
      <c r="AZ5" s="95"/>
      <c r="BA5" s="95"/>
      <c r="BB5" s="95"/>
      <c r="BC5" s="95"/>
      <c r="BD5" s="95"/>
      <c r="BE5" s="95"/>
      <c r="BF5" s="95"/>
      <c r="BG5" s="95"/>
      <c r="BH5" s="95"/>
      <c r="BI5" s="95"/>
      <c r="BJ5" s="95"/>
      <c r="BK5" s="95"/>
      <c r="BL5" s="95"/>
      <c r="BM5" s="95"/>
      <c r="BN5" s="95"/>
      <c r="BO5" s="95"/>
      <c r="BP5" s="95"/>
      <c r="BQ5" s="95"/>
      <c r="BR5" s="95"/>
      <c r="BS5" s="95"/>
      <c r="BT5" s="95"/>
      <c r="BU5" s="95"/>
      <c r="BV5" s="95"/>
      <c r="BW5" s="95"/>
      <c r="BX5" s="95"/>
      <c r="BY5" s="95"/>
      <c r="BZ5" s="95"/>
      <c r="CA5" s="95"/>
      <c r="CB5" s="95"/>
      <c r="CC5" s="95"/>
      <c r="CD5" s="95"/>
      <c r="CE5" s="95"/>
      <c r="CF5" s="95"/>
      <c r="CG5" s="95"/>
      <c r="CH5" s="95"/>
      <c r="CI5" s="95"/>
      <c r="CJ5" s="95"/>
      <c r="CK5" s="95"/>
      <c r="CL5" s="95"/>
      <c r="CM5" s="95"/>
      <c r="CN5" s="95"/>
      <c r="CO5" s="95"/>
      <c r="CP5" s="95"/>
      <c r="CQ5" s="95"/>
      <c r="CR5" s="95"/>
      <c r="CS5" s="95"/>
      <c r="CT5" s="95"/>
      <c r="CU5" s="95"/>
      <c r="CV5" s="96"/>
      <c r="CW5" s="96"/>
      <c r="CX5" s="96"/>
      <c r="CY5" s="96"/>
      <c r="CZ5" s="96"/>
      <c r="DA5" s="96"/>
      <c r="DB5" s="96"/>
      <c r="DC5" s="96"/>
      <c r="DD5" s="96"/>
      <c r="DE5" s="96"/>
      <c r="DF5" s="96"/>
      <c r="DG5" s="96"/>
      <c r="DH5" s="96"/>
      <c r="DI5" s="96"/>
      <c r="DJ5" s="96"/>
      <c r="DK5" s="96"/>
      <c r="DL5" s="96"/>
      <c r="DM5" s="96"/>
      <c r="DN5" s="96"/>
      <c r="DO5" s="96"/>
      <c r="DP5" s="96"/>
      <c r="DQ5" s="96"/>
      <c r="DR5" s="96"/>
      <c r="DS5" s="96"/>
      <c r="DT5" s="96"/>
      <c r="DU5" s="96"/>
      <c r="DV5" s="96"/>
      <c r="DW5" s="96"/>
      <c r="DX5" s="96"/>
      <c r="DY5" s="96"/>
      <c r="DZ5" s="96"/>
      <c r="EA5" s="96"/>
      <c r="EB5" s="96"/>
      <c r="EC5" s="96"/>
      <c r="ED5" s="96"/>
      <c r="EE5" s="99"/>
      <c r="EF5" s="99"/>
      <c r="EG5" s="99"/>
      <c r="EH5" s="99"/>
      <c r="EI5" s="99"/>
      <c r="EJ5" s="99"/>
      <c r="EK5" s="99"/>
      <c r="EL5" s="99"/>
      <c r="EM5" s="99"/>
      <c r="EN5" s="99"/>
      <c r="EO5" s="99"/>
      <c r="EP5" s="99"/>
      <c r="EQ5" s="99"/>
      <c r="ER5" s="99"/>
      <c r="ES5" s="99"/>
      <c r="ET5" s="99"/>
      <c r="EU5" s="99"/>
      <c r="EV5" s="99"/>
      <c r="EW5" s="99"/>
      <c r="EX5" s="99"/>
      <c r="EY5" s="99"/>
      <c r="EZ5" s="99"/>
      <c r="FA5" s="99"/>
      <c r="FB5" s="99"/>
      <c r="FC5" s="99"/>
      <c r="FD5" s="99"/>
      <c r="FE5" s="99"/>
      <c r="FF5" s="99"/>
      <c r="FG5" s="99"/>
      <c r="FH5" s="99"/>
      <c r="FI5" s="99"/>
      <c r="FJ5" s="99"/>
      <c r="FK5" s="99"/>
      <c r="FL5" s="99"/>
      <c r="FM5" s="99"/>
      <c r="FN5" s="99"/>
    </row>
    <row r="6" spans="1:175" s="18" customFormat="1" ht="18" hidden="1" customHeight="1">
      <c r="A6" s="1808"/>
      <c r="B6" s="80"/>
      <c r="C6" s="26" t="s">
        <v>626</v>
      </c>
      <c r="D6" s="32"/>
      <c r="E6" s="309"/>
      <c r="F6" s="309"/>
      <c r="G6" s="297"/>
      <c r="H6" s="297"/>
      <c r="I6" s="27"/>
      <c r="J6" s="33"/>
      <c r="K6" s="33"/>
      <c r="L6" s="28"/>
      <c r="M6" s="29">
        <f>INDEX(Eingabedaten!$D$10:$HL$54,nutzid,MATCH($C6,Eingabedaten!$D$7:$HL$7,0))</f>
        <v>3</v>
      </c>
      <c r="N6" s="28"/>
      <c r="O6" s="28"/>
      <c r="P6" s="989">
        <v>0</v>
      </c>
      <c r="Q6" s="989">
        <v>0</v>
      </c>
      <c r="R6" s="989">
        <v>0</v>
      </c>
      <c r="S6" s="131"/>
      <c r="T6" s="298"/>
      <c r="U6" s="298"/>
      <c r="V6" s="150"/>
      <c r="W6" s="299"/>
      <c r="X6" s="299"/>
      <c r="Y6" s="150"/>
      <c r="Z6" s="299"/>
      <c r="AA6" s="299"/>
      <c r="AB6" s="150"/>
      <c r="AC6" s="299"/>
      <c r="AD6" s="299"/>
      <c r="AE6" s="150"/>
      <c r="AF6" s="150"/>
      <c r="AG6" s="131"/>
      <c r="AH6" s="131"/>
      <c r="AI6" s="131"/>
      <c r="AJ6" s="131"/>
      <c r="AK6" s="131"/>
      <c r="AL6" s="131"/>
      <c r="AM6" s="131"/>
      <c r="AN6" s="152"/>
      <c r="AO6" s="152"/>
      <c r="AP6" s="153"/>
      <c r="AQ6" s="153"/>
      <c r="AR6" s="95"/>
      <c r="AS6" s="95"/>
      <c r="AT6" s="95"/>
      <c r="AU6" s="95"/>
      <c r="AV6" s="95"/>
      <c r="AW6" s="95"/>
      <c r="AX6" s="95"/>
      <c r="AY6" s="95"/>
      <c r="AZ6" s="95"/>
      <c r="BA6" s="95"/>
      <c r="BB6" s="95"/>
      <c r="BC6" s="95"/>
      <c r="BD6" s="95"/>
      <c r="BE6" s="95"/>
      <c r="BF6" s="95"/>
      <c r="BG6" s="95"/>
      <c r="BH6" s="95"/>
      <c r="BI6" s="95"/>
      <c r="BJ6" s="95"/>
      <c r="BK6" s="95"/>
      <c r="BL6" s="95"/>
      <c r="BM6" s="95"/>
      <c r="BN6" s="95"/>
      <c r="BO6" s="95"/>
      <c r="BP6" s="95"/>
      <c r="BQ6" s="95"/>
      <c r="BR6" s="95"/>
      <c r="BS6" s="95"/>
      <c r="BT6" s="95"/>
      <c r="BU6" s="95"/>
      <c r="BV6" s="95"/>
      <c r="BW6" s="95"/>
      <c r="BX6" s="95"/>
      <c r="BY6" s="95"/>
      <c r="BZ6" s="95"/>
      <c r="CA6" s="95"/>
      <c r="CB6" s="95"/>
      <c r="CC6" s="95"/>
      <c r="CD6" s="95"/>
      <c r="CE6" s="95"/>
      <c r="CF6" s="95"/>
      <c r="CG6" s="95"/>
      <c r="CH6" s="95"/>
      <c r="CI6" s="95"/>
      <c r="CJ6" s="95"/>
      <c r="CK6" s="95"/>
      <c r="CL6" s="95"/>
      <c r="CM6" s="95"/>
      <c r="CN6" s="95"/>
      <c r="CO6" s="95"/>
      <c r="CP6" s="95"/>
      <c r="CQ6" s="95"/>
      <c r="CR6" s="95"/>
      <c r="CS6" s="95"/>
      <c r="CT6" s="95"/>
      <c r="CU6" s="95"/>
      <c r="CV6" s="96"/>
      <c r="CW6" s="96"/>
      <c r="CX6" s="96"/>
      <c r="CY6" s="96"/>
      <c r="CZ6" s="96"/>
      <c r="DA6" s="96"/>
      <c r="DB6" s="96"/>
      <c r="DC6" s="96"/>
      <c r="DD6" s="96"/>
      <c r="DE6" s="96"/>
      <c r="DF6" s="96"/>
      <c r="DG6" s="96"/>
      <c r="DH6" s="96"/>
      <c r="DI6" s="96"/>
      <c r="DJ6" s="96"/>
      <c r="DK6" s="96"/>
      <c r="DL6" s="96"/>
      <c r="DM6" s="96"/>
      <c r="DN6" s="96"/>
      <c r="DO6" s="96"/>
      <c r="DP6" s="96"/>
      <c r="DQ6" s="96"/>
      <c r="DR6" s="96"/>
      <c r="DS6" s="96"/>
      <c r="DT6" s="96"/>
      <c r="DU6" s="96"/>
      <c r="DV6" s="96"/>
      <c r="DW6" s="96"/>
      <c r="DX6" s="96"/>
      <c r="DY6" s="96"/>
      <c r="DZ6" s="96"/>
      <c r="EA6" s="96"/>
      <c r="EB6" s="96"/>
      <c r="EC6" s="96"/>
      <c r="ED6" s="96"/>
      <c r="EE6" s="99"/>
      <c r="EF6" s="99"/>
      <c r="EG6" s="99"/>
      <c r="EH6" s="99"/>
      <c r="EI6" s="99"/>
      <c r="EJ6" s="99"/>
      <c r="EK6" s="99"/>
      <c r="EL6" s="99"/>
      <c r="EM6" s="99"/>
      <c r="EN6" s="99"/>
      <c r="EO6" s="99"/>
      <c r="EP6" s="99"/>
      <c r="EQ6" s="99"/>
      <c r="ER6" s="99"/>
      <c r="ES6" s="99"/>
      <c r="ET6" s="99"/>
      <c r="EU6" s="99"/>
      <c r="EV6" s="99"/>
      <c r="EW6" s="99"/>
      <c r="EX6" s="99"/>
      <c r="EY6" s="99"/>
      <c r="EZ6" s="99"/>
      <c r="FA6" s="99"/>
      <c r="FB6" s="99"/>
      <c r="FC6" s="99"/>
      <c r="FD6" s="99"/>
      <c r="FE6" s="99"/>
      <c r="FF6" s="99"/>
      <c r="FG6" s="99"/>
      <c r="FH6" s="99"/>
      <c r="FI6" s="99"/>
      <c r="FJ6" s="99"/>
      <c r="FK6" s="99"/>
      <c r="FL6" s="99"/>
      <c r="FM6" s="99"/>
      <c r="FN6" s="99"/>
    </row>
    <row r="7" spans="1:175" s="18" customFormat="1" ht="18" customHeight="1">
      <c r="A7" s="1808"/>
      <c r="B7" s="416"/>
      <c r="C7" s="176" t="str">
        <f>Begriffe!F197</f>
        <v>Raumabmessungen</v>
      </c>
      <c r="D7" s="13"/>
      <c r="E7" s="161"/>
      <c r="F7" s="13"/>
      <c r="G7" s="13"/>
      <c r="H7" s="13"/>
      <c r="I7" s="173"/>
      <c r="J7" s="173"/>
      <c r="K7" s="173"/>
      <c r="L7" s="173"/>
      <c r="M7" s="173"/>
      <c r="N7" s="319"/>
      <c r="O7" s="319"/>
      <c r="P7" s="989">
        <v>0</v>
      </c>
      <c r="Q7" s="989">
        <v>1</v>
      </c>
      <c r="R7" s="989">
        <v>0</v>
      </c>
      <c r="S7" s="131"/>
      <c r="T7" s="298"/>
      <c r="U7" s="298"/>
      <c r="V7" s="150"/>
      <c r="W7" s="299"/>
      <c r="X7" s="299"/>
      <c r="Y7" s="150"/>
      <c r="Z7" s="299"/>
      <c r="AA7" s="299"/>
      <c r="AB7" s="150"/>
      <c r="AC7" s="299"/>
      <c r="AD7" s="299"/>
      <c r="AE7" s="150"/>
      <c r="AF7" s="150"/>
      <c r="AG7" s="131"/>
      <c r="AH7" s="131"/>
      <c r="AI7" s="131"/>
      <c r="AJ7" s="131"/>
      <c r="AK7" s="131"/>
      <c r="AL7" s="131"/>
      <c r="AM7" s="131"/>
      <c r="AN7" s="152"/>
      <c r="AO7" s="152"/>
      <c r="AP7" s="153"/>
      <c r="AQ7" s="153"/>
      <c r="AR7" s="95"/>
      <c r="AS7" s="95"/>
      <c r="AT7" s="95"/>
      <c r="AU7" s="95"/>
      <c r="AV7" s="95"/>
      <c r="AW7" s="95"/>
      <c r="AX7" s="95"/>
      <c r="AY7" s="95"/>
      <c r="AZ7" s="95"/>
      <c r="BA7" s="95"/>
      <c r="BB7" s="95"/>
      <c r="BC7" s="95"/>
      <c r="BD7" s="95"/>
      <c r="BE7" s="95"/>
      <c r="BF7" s="95"/>
      <c r="BG7" s="95"/>
      <c r="BH7" s="95"/>
      <c r="BI7" s="95"/>
      <c r="BJ7" s="95"/>
      <c r="BK7" s="95"/>
      <c r="BL7" s="95"/>
      <c r="BM7" s="95"/>
      <c r="BN7" s="95"/>
      <c r="BO7" s="95"/>
      <c r="BP7" s="95"/>
      <c r="BQ7" s="95"/>
      <c r="BR7" s="95"/>
      <c r="BS7" s="95"/>
      <c r="BT7" s="95"/>
      <c r="BU7" s="95"/>
      <c r="BV7" s="95"/>
      <c r="BW7" s="95"/>
      <c r="BX7" s="95"/>
      <c r="BY7" s="95"/>
      <c r="BZ7" s="95"/>
      <c r="CA7" s="95"/>
      <c r="CB7" s="95"/>
      <c r="CC7" s="95"/>
      <c r="CD7" s="95"/>
      <c r="CE7" s="95"/>
      <c r="CF7" s="95"/>
      <c r="CG7" s="95"/>
      <c r="CH7" s="95"/>
      <c r="CI7" s="95"/>
      <c r="CJ7" s="95"/>
      <c r="CK7" s="95"/>
      <c r="CL7" s="95"/>
      <c r="CM7" s="95"/>
      <c r="CN7" s="95"/>
      <c r="CO7" s="95"/>
      <c r="CP7" s="95"/>
      <c r="CQ7" s="95"/>
      <c r="CR7" s="95"/>
      <c r="CS7" s="95"/>
      <c r="CT7" s="95"/>
      <c r="CU7" s="95"/>
      <c r="CV7" s="96"/>
      <c r="CW7" s="96"/>
      <c r="CX7" s="96"/>
      <c r="CY7" s="96"/>
      <c r="CZ7" s="96"/>
      <c r="DA7" s="96"/>
      <c r="DB7" s="96"/>
      <c r="DC7" s="96"/>
      <c r="DD7" s="96"/>
      <c r="DE7" s="96"/>
      <c r="DF7" s="96"/>
      <c r="DG7" s="96"/>
      <c r="DH7" s="96"/>
      <c r="DI7" s="96"/>
      <c r="DJ7" s="96"/>
      <c r="DK7" s="96"/>
      <c r="DL7" s="96"/>
      <c r="DM7" s="96"/>
      <c r="DN7" s="96"/>
      <c r="DO7" s="96"/>
      <c r="DP7" s="96"/>
      <c r="DQ7" s="96"/>
      <c r="DR7" s="96"/>
      <c r="DS7" s="96"/>
      <c r="DT7" s="96"/>
      <c r="DU7" s="96"/>
      <c r="DV7" s="96"/>
      <c r="DW7" s="96"/>
      <c r="DX7" s="96"/>
      <c r="DY7" s="96"/>
      <c r="DZ7" s="96"/>
      <c r="EA7" s="96"/>
      <c r="EB7" s="96"/>
      <c r="EC7" s="96"/>
      <c r="ED7" s="96"/>
      <c r="EE7" s="99"/>
      <c r="EF7" s="99"/>
      <c r="EG7" s="99"/>
      <c r="EH7" s="99"/>
      <c r="EI7" s="99"/>
      <c r="EJ7" s="99"/>
      <c r="EK7" s="99"/>
      <c r="EL7" s="99"/>
      <c r="EM7" s="99"/>
      <c r="EN7" s="99"/>
      <c r="EO7" s="99"/>
      <c r="EP7" s="99"/>
      <c r="EQ7" s="99"/>
      <c r="ER7" s="99"/>
      <c r="ES7" s="99"/>
      <c r="ET7" s="99"/>
      <c r="EU7" s="99"/>
      <c r="EV7" s="99"/>
      <c r="EW7" s="99"/>
      <c r="EX7" s="99"/>
      <c r="EY7" s="99"/>
      <c r="EZ7" s="99"/>
      <c r="FA7" s="99"/>
      <c r="FB7" s="99"/>
      <c r="FC7" s="99"/>
      <c r="FD7" s="99"/>
      <c r="FE7" s="99"/>
      <c r="FF7" s="99"/>
      <c r="FG7" s="99"/>
      <c r="FH7" s="99"/>
      <c r="FI7" s="99"/>
      <c r="FJ7" s="99"/>
      <c r="FK7" s="99"/>
      <c r="FL7" s="99"/>
      <c r="FM7" s="99"/>
      <c r="FN7" s="99"/>
    </row>
    <row r="8" spans="1:175" s="18" customFormat="1" ht="18" customHeight="1">
      <c r="A8" s="1808"/>
      <c r="B8" s="416">
        <v>300</v>
      </c>
      <c r="C8" s="493" t="str">
        <f>VLOOKUP(B8,Begriffe!$A$6:$E$442,Begriffe!$D$1+2)</f>
        <v>Raumlänge</v>
      </c>
      <c r="D8" s="21"/>
      <c r="E8" s="21"/>
      <c r="F8" s="316"/>
      <c r="G8" s="317"/>
      <c r="H8" s="318"/>
      <c r="I8" s="209" t="s">
        <v>701</v>
      </c>
      <c r="J8" s="871" t="s">
        <v>35</v>
      </c>
      <c r="K8" s="871"/>
      <c r="L8" s="1162">
        <v>5</v>
      </c>
      <c r="M8" s="872">
        <f>IF(L8&lt;&gt;"",L8,INDEX(Eingabedaten!$D$10:$CY$54,nutzid,MATCH($C8,Eingabedaten!$D$7:$CY$7,0)))</f>
        <v>5</v>
      </c>
      <c r="N8" s="325"/>
      <c r="O8" s="326"/>
      <c r="P8" s="989">
        <v>0</v>
      </c>
      <c r="Q8" s="989">
        <v>1</v>
      </c>
      <c r="R8" s="989">
        <v>0</v>
      </c>
      <c r="S8" s="131"/>
      <c r="T8" s="298"/>
      <c r="U8" s="298"/>
      <c r="V8" s="150"/>
      <c r="W8" s="299"/>
      <c r="X8" s="299"/>
      <c r="Y8" s="150"/>
      <c r="Z8" s="299"/>
      <c r="AA8" s="299"/>
      <c r="AB8" s="150"/>
      <c r="AC8" s="299"/>
      <c r="AD8" s="299"/>
      <c r="AE8" s="150"/>
      <c r="AF8" s="150"/>
      <c r="AG8" s="131"/>
      <c r="AH8" s="131"/>
      <c r="AI8" s="131"/>
      <c r="AJ8" s="131"/>
      <c r="AK8" s="131"/>
      <c r="AL8" s="131"/>
      <c r="AM8" s="131"/>
      <c r="AN8" s="152"/>
      <c r="AO8" s="152"/>
      <c r="AP8" s="153"/>
      <c r="AQ8" s="153"/>
      <c r="AR8" s="95"/>
      <c r="AS8" s="95"/>
      <c r="AT8" s="95"/>
      <c r="AU8" s="95"/>
      <c r="AV8" s="95"/>
      <c r="AW8" s="95"/>
      <c r="AX8" s="95"/>
      <c r="AY8" s="95"/>
      <c r="AZ8" s="95"/>
      <c r="BA8" s="95"/>
      <c r="BB8" s="95"/>
      <c r="BC8" s="95"/>
      <c r="BD8" s="95"/>
      <c r="BE8" s="95"/>
      <c r="BF8" s="95"/>
      <c r="BG8" s="95"/>
      <c r="BH8" s="95"/>
      <c r="BI8" s="95"/>
      <c r="BJ8" s="95"/>
      <c r="BK8" s="95"/>
      <c r="BL8" s="95"/>
      <c r="BM8" s="95"/>
      <c r="BN8" s="95"/>
      <c r="BO8" s="95"/>
      <c r="BP8" s="95"/>
      <c r="BQ8" s="95"/>
      <c r="BR8" s="95"/>
      <c r="BS8" s="95"/>
      <c r="BT8" s="95"/>
      <c r="BU8" s="95"/>
      <c r="BV8" s="95"/>
      <c r="BW8" s="95"/>
      <c r="BX8" s="95"/>
      <c r="BY8" s="95"/>
      <c r="BZ8" s="95"/>
      <c r="CA8" s="95"/>
      <c r="CB8" s="95"/>
      <c r="CC8" s="95"/>
      <c r="CD8" s="95"/>
      <c r="CE8" s="95"/>
      <c r="CF8" s="95"/>
      <c r="CG8" s="95"/>
      <c r="CH8" s="95"/>
      <c r="CI8" s="95"/>
      <c r="CJ8" s="95"/>
      <c r="CK8" s="95"/>
      <c r="CL8" s="95"/>
      <c r="CM8" s="95"/>
      <c r="CN8" s="95"/>
      <c r="CO8" s="95"/>
      <c r="CP8" s="95"/>
      <c r="CQ8" s="95"/>
      <c r="CR8" s="95"/>
      <c r="CS8" s="95"/>
      <c r="CT8" s="95"/>
      <c r="CU8" s="95"/>
      <c r="CV8" s="96"/>
      <c r="CW8" s="96"/>
      <c r="CX8" s="96"/>
      <c r="CY8" s="96"/>
      <c r="CZ8" s="96"/>
      <c r="DA8" s="96"/>
      <c r="DB8" s="96"/>
      <c r="DC8" s="96"/>
      <c r="DD8" s="96"/>
      <c r="DE8" s="96"/>
      <c r="DF8" s="96"/>
      <c r="DG8" s="96"/>
      <c r="DH8" s="96"/>
      <c r="DI8" s="96"/>
      <c r="DJ8" s="96"/>
      <c r="DK8" s="96"/>
      <c r="DL8" s="96"/>
      <c r="DM8" s="96"/>
      <c r="DN8" s="96"/>
      <c r="DO8" s="96"/>
      <c r="DP8" s="96"/>
      <c r="DQ8" s="96"/>
      <c r="DR8" s="96"/>
      <c r="DS8" s="96"/>
      <c r="DT8" s="96"/>
      <c r="DU8" s="96"/>
      <c r="DV8" s="96"/>
      <c r="DW8" s="96"/>
      <c r="DX8" s="96"/>
      <c r="DY8" s="96"/>
      <c r="DZ8" s="96"/>
      <c r="EA8" s="96"/>
      <c r="EB8" s="96"/>
      <c r="EC8" s="96"/>
      <c r="ED8" s="96"/>
      <c r="EE8" s="99"/>
      <c r="EF8" s="99"/>
      <c r="EG8" s="99"/>
      <c r="EH8" s="99"/>
      <c r="EI8" s="99"/>
      <c r="EJ8" s="99"/>
      <c r="EK8" s="99"/>
      <c r="EL8" s="99"/>
      <c r="EM8" s="99"/>
      <c r="EN8" s="99"/>
      <c r="EO8" s="99"/>
      <c r="EP8" s="99"/>
      <c r="EQ8" s="99"/>
      <c r="ER8" s="99"/>
      <c r="ES8" s="99"/>
      <c r="ET8" s="99"/>
      <c r="EU8" s="99"/>
      <c r="EV8" s="99"/>
      <c r="EW8" s="99"/>
      <c r="EX8" s="99"/>
      <c r="EY8" s="99"/>
      <c r="EZ8" s="99"/>
      <c r="FA8" s="99"/>
      <c r="FB8" s="99"/>
      <c r="FC8" s="99"/>
      <c r="FD8" s="99"/>
      <c r="FE8" s="99"/>
      <c r="FF8" s="99"/>
      <c r="FG8" s="99"/>
      <c r="FH8" s="99"/>
      <c r="FI8" s="99"/>
      <c r="FJ8" s="99"/>
      <c r="FK8" s="99"/>
      <c r="FL8" s="99"/>
      <c r="FM8" s="99"/>
      <c r="FN8" s="99"/>
    </row>
    <row r="9" spans="1:175" s="18" customFormat="1" ht="18" customHeight="1">
      <c r="A9" s="1808"/>
      <c r="B9" s="416">
        <v>301</v>
      </c>
      <c r="C9" s="493" t="str">
        <f>VLOOKUP(B9,Begriffe!$A$6:$E$442,Begriffe!$D$1+2)</f>
        <v>Raumtiefe</v>
      </c>
      <c r="D9" s="21"/>
      <c r="E9" s="21"/>
      <c r="I9" s="209" t="s">
        <v>702</v>
      </c>
      <c r="J9" s="871" t="s">
        <v>35</v>
      </c>
      <c r="K9" s="871"/>
      <c r="L9" s="1162">
        <v>7</v>
      </c>
      <c r="M9" s="872">
        <f>IF(L9&lt;&gt;"",L9,INDEX(Eingabedaten!$D$10:$CY$54,nutzid,MATCH($C9,Eingabedaten!$D$7:$CY$7,0)))</f>
        <v>7</v>
      </c>
      <c r="N9" s="325"/>
      <c r="O9" s="326"/>
      <c r="P9" s="989">
        <v>0</v>
      </c>
      <c r="Q9" s="989">
        <v>1</v>
      </c>
      <c r="R9" s="989">
        <v>0</v>
      </c>
      <c r="S9" s="131"/>
      <c r="T9" s="298"/>
      <c r="U9" s="298"/>
      <c r="V9" s="150"/>
      <c r="W9" s="299"/>
      <c r="X9" s="299"/>
      <c r="Y9" s="150"/>
      <c r="Z9" s="299"/>
      <c r="AA9" s="299"/>
      <c r="AB9" s="150"/>
      <c r="AC9" s="299"/>
      <c r="AD9" s="299"/>
      <c r="AE9" s="150"/>
      <c r="AF9" s="150"/>
      <c r="AG9" s="131"/>
      <c r="AH9" s="131"/>
      <c r="AI9" s="131"/>
      <c r="AJ9" s="131"/>
      <c r="AK9" s="131"/>
      <c r="AL9" s="131"/>
      <c r="AM9" s="131"/>
      <c r="AN9" s="152"/>
      <c r="AO9" s="152"/>
      <c r="AP9" s="153"/>
      <c r="AQ9" s="153"/>
      <c r="AR9" s="95"/>
      <c r="AS9" s="95"/>
      <c r="AT9" s="95"/>
      <c r="AU9" s="95"/>
      <c r="AV9" s="95"/>
      <c r="AW9" s="95"/>
      <c r="AX9" s="95"/>
      <c r="AY9" s="95"/>
      <c r="AZ9" s="95"/>
      <c r="BA9" s="95"/>
      <c r="BB9" s="95"/>
      <c r="BC9" s="95"/>
      <c r="BD9" s="95"/>
      <c r="BE9" s="95"/>
      <c r="BF9" s="95"/>
      <c r="BG9" s="95"/>
      <c r="BH9" s="95"/>
      <c r="BI9" s="95"/>
      <c r="BJ9" s="95"/>
      <c r="BK9" s="95"/>
      <c r="BL9" s="95"/>
      <c r="BM9" s="95"/>
      <c r="BN9" s="95"/>
      <c r="BO9" s="95"/>
      <c r="BP9" s="95"/>
      <c r="BQ9" s="95"/>
      <c r="BR9" s="95"/>
      <c r="BS9" s="95"/>
      <c r="BT9" s="95"/>
      <c r="BU9" s="95"/>
      <c r="BV9" s="95"/>
      <c r="BW9" s="95"/>
      <c r="BX9" s="95"/>
      <c r="BY9" s="95"/>
      <c r="BZ9" s="95"/>
      <c r="CA9" s="95"/>
      <c r="CB9" s="95"/>
      <c r="CC9" s="95"/>
      <c r="CD9" s="95"/>
      <c r="CE9" s="95"/>
      <c r="CF9" s="95"/>
      <c r="CG9" s="95"/>
      <c r="CH9" s="95"/>
      <c r="CI9" s="95"/>
      <c r="CJ9" s="95"/>
      <c r="CK9" s="95"/>
      <c r="CL9" s="95"/>
      <c r="CM9" s="95"/>
      <c r="CN9" s="95"/>
      <c r="CO9" s="95"/>
      <c r="CP9" s="95"/>
      <c r="CQ9" s="95"/>
      <c r="CR9" s="95"/>
      <c r="CS9" s="95"/>
      <c r="CT9" s="95"/>
      <c r="CU9" s="95"/>
      <c r="CV9" s="96"/>
      <c r="CW9" s="96"/>
      <c r="CX9" s="96"/>
      <c r="CY9" s="96"/>
      <c r="CZ9" s="96"/>
      <c r="DA9" s="96"/>
      <c r="DB9" s="96"/>
      <c r="DC9" s="96"/>
      <c r="DD9" s="96"/>
      <c r="DE9" s="96"/>
      <c r="DF9" s="96"/>
      <c r="DG9" s="96"/>
      <c r="DH9" s="96"/>
      <c r="DI9" s="96"/>
      <c r="DJ9" s="96"/>
      <c r="DK9" s="96"/>
      <c r="DL9" s="96"/>
      <c r="DM9" s="96"/>
      <c r="DN9" s="96"/>
      <c r="DO9" s="96"/>
      <c r="DP9" s="96"/>
      <c r="DQ9" s="96"/>
      <c r="DR9" s="96"/>
      <c r="DS9" s="96"/>
      <c r="DT9" s="96"/>
      <c r="DU9" s="96"/>
      <c r="DV9" s="96"/>
      <c r="DW9" s="96"/>
      <c r="DX9" s="96"/>
      <c r="DY9" s="96"/>
      <c r="DZ9" s="96"/>
      <c r="EA9" s="96"/>
      <c r="EB9" s="96"/>
      <c r="EC9" s="96"/>
      <c r="ED9" s="96"/>
      <c r="EE9" s="99"/>
      <c r="EF9" s="99"/>
      <c r="EG9" s="99"/>
      <c r="EH9" s="99"/>
      <c r="EI9" s="99"/>
      <c r="EJ9" s="99"/>
      <c r="EK9" s="99"/>
      <c r="EL9" s="99"/>
      <c r="EM9" s="99"/>
      <c r="EN9" s="99"/>
      <c r="EO9" s="99"/>
      <c r="EP9" s="99"/>
      <c r="EQ9" s="99"/>
      <c r="ER9" s="99"/>
      <c r="ES9" s="99"/>
      <c r="ET9" s="99"/>
      <c r="EU9" s="99"/>
      <c r="EV9" s="99"/>
      <c r="EW9" s="99"/>
      <c r="EX9" s="99"/>
      <c r="EY9" s="99"/>
      <c r="EZ9" s="99"/>
      <c r="FA9" s="99"/>
      <c r="FB9" s="99"/>
      <c r="FC9" s="99"/>
      <c r="FD9" s="99"/>
      <c r="FE9" s="99"/>
      <c r="FF9" s="99"/>
      <c r="FG9" s="99"/>
      <c r="FH9" s="99"/>
      <c r="FI9" s="99"/>
      <c r="FJ9" s="99"/>
      <c r="FK9" s="99"/>
      <c r="FL9" s="99"/>
      <c r="FM9" s="99"/>
      <c r="FN9" s="99"/>
    </row>
    <row r="10" spans="1:175" s="18" customFormat="1" ht="18" customHeight="1">
      <c r="A10" s="1808"/>
      <c r="B10" s="416">
        <v>302</v>
      </c>
      <c r="C10" s="493" t="str">
        <f>VLOOKUP(B10,Begriffe!$A$6:$E$442,Begriffe!$D$1+2)</f>
        <v>Raumhöhe</v>
      </c>
      <c r="D10" s="21"/>
      <c r="E10" s="21"/>
      <c r="H10" s="318"/>
      <c r="I10" s="209" t="s">
        <v>647</v>
      </c>
      <c r="J10" s="871" t="s">
        <v>35</v>
      </c>
      <c r="K10" s="871"/>
      <c r="L10" s="1162">
        <v>3</v>
      </c>
      <c r="M10" s="872">
        <f>IF(L10&lt;&gt;"",L10,INDEX(Eingabedaten!$D$10:$CY$54,nutzid,MATCH($C10,Eingabedaten!$D$7:$CY$7,0)))</f>
        <v>3</v>
      </c>
      <c r="N10" s="325"/>
      <c r="O10" s="326"/>
      <c r="P10" s="989">
        <v>0</v>
      </c>
      <c r="Q10" s="989">
        <v>1</v>
      </c>
      <c r="R10" s="989">
        <v>0</v>
      </c>
      <c r="S10" s="131"/>
      <c r="T10" s="298"/>
      <c r="U10" s="298"/>
      <c r="V10" s="150"/>
      <c r="W10" s="299"/>
      <c r="X10" s="299"/>
      <c r="Y10" s="150"/>
      <c r="Z10" s="299"/>
      <c r="AA10" s="299"/>
      <c r="AB10" s="150"/>
      <c r="AC10" s="299"/>
      <c r="AD10" s="299"/>
      <c r="AE10" s="150"/>
      <c r="AF10" s="150"/>
      <c r="AG10" s="131"/>
      <c r="AH10" s="131"/>
      <c r="AI10" s="131"/>
      <c r="AJ10" s="131"/>
      <c r="AK10" s="131"/>
      <c r="AL10" s="131"/>
      <c r="AM10" s="131"/>
      <c r="AN10" s="152"/>
      <c r="AO10" s="152"/>
      <c r="AP10" s="153"/>
      <c r="AQ10" s="153"/>
      <c r="AR10" s="95"/>
      <c r="AS10" s="95"/>
      <c r="AT10" s="95"/>
      <c r="AU10" s="95"/>
      <c r="AV10" s="95"/>
      <c r="AW10" s="95"/>
      <c r="AX10" s="95"/>
      <c r="AY10" s="95"/>
      <c r="AZ10" s="95"/>
      <c r="BA10" s="95"/>
      <c r="BB10" s="95"/>
      <c r="BC10" s="95"/>
      <c r="BD10" s="95"/>
      <c r="BE10" s="95"/>
      <c r="BF10" s="95"/>
      <c r="BG10" s="95"/>
      <c r="BH10" s="95"/>
      <c r="BI10" s="95"/>
      <c r="BJ10" s="95"/>
      <c r="BK10" s="95"/>
      <c r="BL10" s="95"/>
      <c r="BM10" s="95"/>
      <c r="BN10" s="95"/>
      <c r="BO10" s="95"/>
      <c r="BP10" s="95"/>
      <c r="BQ10" s="95"/>
      <c r="BR10" s="95"/>
      <c r="BS10" s="95"/>
      <c r="BT10" s="95"/>
      <c r="BU10" s="95"/>
      <c r="BV10" s="95"/>
      <c r="BW10" s="95"/>
      <c r="BX10" s="95"/>
      <c r="BY10" s="95"/>
      <c r="BZ10" s="95"/>
      <c r="CA10" s="95"/>
      <c r="CB10" s="95"/>
      <c r="CC10" s="95"/>
      <c r="CD10" s="95"/>
      <c r="CE10" s="95"/>
      <c r="CF10" s="95"/>
      <c r="CG10" s="95"/>
      <c r="CH10" s="95"/>
      <c r="CI10" s="95"/>
      <c r="CJ10" s="95"/>
      <c r="CK10" s="95"/>
      <c r="CL10" s="95"/>
      <c r="CM10" s="95"/>
      <c r="CN10" s="95"/>
      <c r="CO10" s="95"/>
      <c r="CP10" s="95"/>
      <c r="CQ10" s="95"/>
      <c r="CR10" s="95"/>
      <c r="CS10" s="95"/>
      <c r="CT10" s="95"/>
      <c r="CU10" s="95"/>
      <c r="CV10" s="96"/>
      <c r="CW10" s="96"/>
      <c r="CX10" s="96"/>
      <c r="CY10" s="96"/>
      <c r="CZ10" s="96"/>
      <c r="DA10" s="96"/>
      <c r="DB10" s="96"/>
      <c r="DC10" s="96"/>
      <c r="DD10" s="96"/>
      <c r="DE10" s="96"/>
      <c r="DF10" s="96"/>
      <c r="DG10" s="96"/>
      <c r="DH10" s="96"/>
      <c r="DI10" s="96"/>
      <c r="DJ10" s="96"/>
      <c r="DK10" s="96"/>
      <c r="DL10" s="96"/>
      <c r="DM10" s="96"/>
      <c r="DN10" s="96"/>
      <c r="DO10" s="96"/>
      <c r="DP10" s="96"/>
      <c r="DQ10" s="96"/>
      <c r="DR10" s="96"/>
      <c r="DS10" s="96"/>
      <c r="DT10" s="96"/>
      <c r="DU10" s="96"/>
      <c r="DV10" s="96"/>
      <c r="DW10" s="96"/>
      <c r="DX10" s="96"/>
      <c r="DY10" s="96"/>
      <c r="DZ10" s="96"/>
      <c r="EA10" s="96"/>
      <c r="EB10" s="96"/>
      <c r="EC10" s="96"/>
      <c r="ED10" s="96"/>
      <c r="EE10" s="99"/>
      <c r="EF10" s="99"/>
      <c r="EG10" s="99"/>
      <c r="EH10" s="99"/>
      <c r="EI10" s="99"/>
      <c r="EJ10" s="99"/>
      <c r="EK10" s="99"/>
      <c r="EL10" s="99"/>
      <c r="EM10" s="99"/>
      <c r="EN10" s="99"/>
      <c r="EO10" s="99"/>
      <c r="EP10" s="99"/>
      <c r="EQ10" s="99"/>
      <c r="ER10" s="99"/>
      <c r="ES10" s="99"/>
      <c r="ET10" s="99"/>
      <c r="EU10" s="99"/>
      <c r="EV10" s="99"/>
      <c r="EW10" s="99"/>
      <c r="EX10" s="99"/>
      <c r="EY10" s="99"/>
      <c r="EZ10" s="99"/>
      <c r="FA10" s="99"/>
      <c r="FB10" s="99"/>
      <c r="FC10" s="99"/>
      <c r="FD10" s="99"/>
      <c r="FE10" s="99"/>
      <c r="FF10" s="99"/>
      <c r="FG10" s="99"/>
      <c r="FH10" s="99"/>
      <c r="FI10" s="99"/>
      <c r="FJ10" s="99"/>
      <c r="FK10" s="99"/>
      <c r="FL10" s="99"/>
      <c r="FM10" s="99"/>
      <c r="FN10" s="99"/>
    </row>
    <row r="11" spans="1:175" s="18" customFormat="1" ht="18" customHeight="1">
      <c r="A11" s="1808"/>
      <c r="B11" s="416">
        <v>303</v>
      </c>
      <c r="C11" s="493" t="str">
        <f>VLOOKUP(B11,Begriffe!$A$6:$E$442,Begriffe!$D$1+2)</f>
        <v>Nettogeschossfläche</v>
      </c>
      <c r="D11" s="19"/>
      <c r="H11" s="318"/>
      <c r="I11" s="209" t="s">
        <v>703</v>
      </c>
      <c r="J11" s="871" t="s">
        <v>646</v>
      </c>
      <c r="K11" s="871"/>
      <c r="L11" s="1163"/>
      <c r="M11" s="989">
        <f>M8*M9</f>
        <v>35</v>
      </c>
      <c r="N11" s="325"/>
      <c r="O11" s="326"/>
      <c r="P11" s="989">
        <v>1</v>
      </c>
      <c r="Q11" s="989">
        <v>1</v>
      </c>
      <c r="R11" s="989">
        <v>0</v>
      </c>
      <c r="S11" s="131"/>
      <c r="T11" s="298"/>
      <c r="U11" s="298"/>
      <c r="V11" s="150"/>
      <c r="W11" s="299"/>
      <c r="X11" s="299"/>
      <c r="Y11" s="150"/>
      <c r="Z11" s="299"/>
      <c r="AA11" s="299"/>
      <c r="AB11" s="150"/>
      <c r="AC11" s="299"/>
      <c r="AD11" s="299"/>
      <c r="AE11" s="150"/>
      <c r="AF11" s="150"/>
      <c r="AG11" s="131"/>
      <c r="AH11" s="131"/>
      <c r="AI11" s="131"/>
      <c r="AJ11" s="131"/>
      <c r="AK11" s="131"/>
      <c r="AL11" s="131"/>
      <c r="AM11" s="131"/>
      <c r="AN11" s="152"/>
      <c r="AO11" s="152"/>
      <c r="AP11" s="153"/>
      <c r="AQ11" s="153"/>
      <c r="AR11" s="95"/>
      <c r="AS11" s="95"/>
      <c r="AT11" s="95"/>
      <c r="AU11" s="95"/>
      <c r="AV11" s="95"/>
      <c r="AW11" s="95"/>
      <c r="AX11" s="95"/>
      <c r="AY11" s="95"/>
      <c r="AZ11" s="95"/>
      <c r="BA11" s="95"/>
      <c r="BB11" s="95"/>
      <c r="BC11" s="95"/>
      <c r="BD11" s="95"/>
      <c r="BE11" s="95"/>
      <c r="BF11" s="95"/>
      <c r="BG11" s="95"/>
      <c r="BH11" s="95"/>
      <c r="BI11" s="95"/>
      <c r="BJ11" s="95"/>
      <c r="BK11" s="95"/>
      <c r="BL11" s="95"/>
      <c r="BM11" s="95"/>
      <c r="BN11" s="95"/>
      <c r="BO11" s="95"/>
      <c r="BP11" s="95"/>
      <c r="BQ11" s="95"/>
      <c r="BR11" s="95"/>
      <c r="BS11" s="95"/>
      <c r="BT11" s="95"/>
      <c r="BU11" s="95"/>
      <c r="BV11" s="95"/>
      <c r="BW11" s="95"/>
      <c r="BX11" s="95"/>
      <c r="BY11" s="95"/>
      <c r="BZ11" s="95"/>
      <c r="CA11" s="95"/>
      <c r="CB11" s="95"/>
      <c r="CC11" s="95"/>
      <c r="CD11" s="95"/>
      <c r="CE11" s="95"/>
      <c r="CF11" s="95"/>
      <c r="CG11" s="95"/>
      <c r="CH11" s="95"/>
      <c r="CI11" s="95"/>
      <c r="CJ11" s="95"/>
      <c r="CK11" s="95"/>
      <c r="CL11" s="95"/>
      <c r="CM11" s="95"/>
      <c r="CN11" s="95"/>
      <c r="CO11" s="95"/>
      <c r="CP11" s="95"/>
      <c r="CQ11" s="95"/>
      <c r="CR11" s="95"/>
      <c r="CS11" s="95"/>
      <c r="CT11" s="95"/>
      <c r="CU11" s="95"/>
      <c r="CV11" s="96"/>
      <c r="CW11" s="96"/>
      <c r="CX11" s="96"/>
      <c r="CY11" s="96"/>
      <c r="CZ11" s="96"/>
      <c r="DA11" s="96"/>
      <c r="DB11" s="96"/>
      <c r="DC11" s="96"/>
      <c r="DD11" s="96"/>
      <c r="DE11" s="96"/>
      <c r="DF11" s="96"/>
      <c r="DG11" s="96"/>
      <c r="DH11" s="96"/>
      <c r="DI11" s="96"/>
      <c r="DJ11" s="96"/>
      <c r="DK11" s="96"/>
      <c r="DL11" s="96"/>
      <c r="DM11" s="96"/>
      <c r="DN11" s="96"/>
      <c r="DO11" s="96"/>
      <c r="DP11" s="96"/>
      <c r="DQ11" s="96"/>
      <c r="DR11" s="96"/>
      <c r="DS11" s="96"/>
      <c r="DT11" s="96"/>
      <c r="DU11" s="96"/>
      <c r="DV11" s="96"/>
      <c r="DW11" s="96"/>
      <c r="DX11" s="96"/>
      <c r="DY11" s="96"/>
      <c r="DZ11" s="96"/>
      <c r="EA11" s="96"/>
      <c r="EB11" s="96"/>
      <c r="EC11" s="96"/>
      <c r="ED11" s="96"/>
      <c r="EE11" s="99"/>
      <c r="EF11" s="99"/>
      <c r="EG11" s="99"/>
      <c r="EH11" s="99"/>
      <c r="EI11" s="99"/>
      <c r="EJ11" s="99"/>
      <c r="EK11" s="99"/>
      <c r="EL11" s="99"/>
      <c r="EM11" s="99"/>
      <c r="EN11" s="99"/>
      <c r="EO11" s="99"/>
      <c r="EP11" s="99"/>
      <c r="EQ11" s="99"/>
      <c r="ER11" s="99"/>
      <c r="ES11" s="99"/>
      <c r="ET11" s="99"/>
      <c r="EU11" s="99"/>
      <c r="EV11" s="99"/>
      <c r="EW11" s="99"/>
      <c r="EX11" s="99"/>
      <c r="EY11" s="99"/>
      <c r="EZ11" s="99"/>
      <c r="FA11" s="99"/>
      <c r="FB11" s="99"/>
      <c r="FC11" s="99"/>
      <c r="FD11" s="99"/>
      <c r="FE11" s="99"/>
      <c r="FF11" s="99"/>
      <c r="FG11" s="99"/>
      <c r="FH11" s="99"/>
      <c r="FI11" s="99"/>
      <c r="FJ11" s="99"/>
      <c r="FK11" s="99"/>
      <c r="FL11" s="99"/>
      <c r="FM11" s="99"/>
      <c r="FN11" s="99"/>
    </row>
    <row r="12" spans="1:175" s="18" customFormat="1" ht="18" customHeight="1">
      <c r="A12" s="1808"/>
      <c r="B12" s="416">
        <v>171</v>
      </c>
      <c r="C12" s="493" t="str">
        <f>VLOOKUP(B12,Begriffe!$A$6:$E$442,Begriffe!$D$1+2)</f>
        <v>Thermische Gebäudehüllfläche</v>
      </c>
      <c r="D12" s="581"/>
      <c r="I12" s="209" t="s">
        <v>704</v>
      </c>
      <c r="J12" s="871" t="s">
        <v>646</v>
      </c>
      <c r="K12" s="871"/>
      <c r="L12" s="1164">
        <v>50</v>
      </c>
      <c r="M12" s="1157">
        <f>IF(L12&lt;&gt;"",L12,INDEX(Eingabedaten!$D$10:$CY$54,nutzid,MATCH($C12,Eingabedaten!$D$7:$CY$7,0)))</f>
        <v>50</v>
      </c>
      <c r="N12" s="579"/>
      <c r="O12" s="580"/>
      <c r="P12" s="989">
        <v>0</v>
      </c>
      <c r="Q12" s="989">
        <v>1</v>
      </c>
      <c r="R12" s="989">
        <v>0</v>
      </c>
      <c r="S12" s="131"/>
      <c r="T12" s="298"/>
      <c r="U12" s="298"/>
      <c r="V12" s="150"/>
      <c r="W12" s="299"/>
      <c r="X12" s="299"/>
      <c r="Y12" s="150"/>
      <c r="Z12" s="299"/>
      <c r="AA12" s="299"/>
      <c r="AB12" s="150"/>
      <c r="AC12" s="299"/>
      <c r="AD12" s="299"/>
      <c r="AE12" s="150"/>
      <c r="AF12" s="150"/>
      <c r="AG12" s="131"/>
      <c r="AH12" s="131"/>
      <c r="AI12" s="131"/>
      <c r="AJ12" s="131"/>
      <c r="AK12" s="131"/>
      <c r="AL12" s="131"/>
      <c r="AM12" s="131"/>
      <c r="AN12" s="152"/>
      <c r="AO12" s="152"/>
      <c r="AP12" s="153"/>
      <c r="AQ12" s="153"/>
      <c r="AR12" s="95"/>
      <c r="AS12" s="95"/>
      <c r="AT12" s="95"/>
      <c r="AU12" s="95"/>
      <c r="AV12" s="95"/>
      <c r="AW12" s="95"/>
      <c r="AX12" s="95"/>
      <c r="AY12" s="95"/>
      <c r="AZ12" s="95"/>
      <c r="BA12" s="95"/>
      <c r="BB12" s="95"/>
      <c r="BC12" s="95"/>
      <c r="BD12" s="95"/>
      <c r="BE12" s="95"/>
      <c r="BF12" s="95"/>
      <c r="BG12" s="95"/>
      <c r="BH12" s="95"/>
      <c r="BI12" s="95"/>
      <c r="BJ12" s="95"/>
      <c r="BK12" s="95"/>
      <c r="BL12" s="95"/>
      <c r="BM12" s="95"/>
      <c r="BN12" s="95"/>
      <c r="BO12" s="95"/>
      <c r="BP12" s="95"/>
      <c r="BQ12" s="95"/>
      <c r="BR12" s="95"/>
      <c r="BS12" s="95"/>
      <c r="BT12" s="95"/>
      <c r="BU12" s="95"/>
      <c r="BV12" s="95"/>
      <c r="BW12" s="95"/>
      <c r="BX12" s="95"/>
      <c r="BY12" s="95"/>
      <c r="BZ12" s="95"/>
      <c r="CA12" s="95"/>
      <c r="CB12" s="95"/>
      <c r="CC12" s="95"/>
      <c r="CD12" s="95"/>
      <c r="CE12" s="95"/>
      <c r="CF12" s="95"/>
      <c r="CG12" s="95"/>
      <c r="CH12" s="95"/>
      <c r="CI12" s="95"/>
      <c r="CJ12" s="95"/>
      <c r="CK12" s="95"/>
      <c r="CL12" s="95"/>
      <c r="CM12" s="95"/>
      <c r="CN12" s="95"/>
      <c r="CO12" s="95"/>
      <c r="CP12" s="95"/>
      <c r="CQ12" s="95"/>
      <c r="CR12" s="95"/>
      <c r="CS12" s="95"/>
      <c r="CT12" s="95"/>
      <c r="CU12" s="95"/>
      <c r="CV12" s="96"/>
      <c r="CW12" s="96"/>
      <c r="CX12" s="96"/>
      <c r="CY12" s="96"/>
      <c r="CZ12" s="96"/>
      <c r="DA12" s="96"/>
      <c r="DB12" s="96"/>
      <c r="DC12" s="96"/>
      <c r="DD12" s="96"/>
      <c r="DE12" s="96"/>
      <c r="DF12" s="96"/>
      <c r="DG12" s="96"/>
      <c r="DH12" s="96"/>
      <c r="DI12" s="96"/>
      <c r="DJ12" s="96"/>
      <c r="DK12" s="96"/>
      <c r="DL12" s="96"/>
      <c r="DM12" s="96"/>
      <c r="DN12" s="96"/>
      <c r="DO12" s="96"/>
      <c r="DP12" s="96"/>
      <c r="DQ12" s="96"/>
      <c r="DR12" s="96"/>
      <c r="DS12" s="96"/>
      <c r="DT12" s="96"/>
      <c r="DU12" s="96"/>
      <c r="DV12" s="96"/>
      <c r="DW12" s="96"/>
      <c r="DX12" s="96"/>
      <c r="DY12" s="96"/>
      <c r="DZ12" s="96"/>
      <c r="EA12" s="96"/>
      <c r="EB12" s="96"/>
      <c r="EC12" s="96"/>
      <c r="ED12" s="96"/>
      <c r="EE12" s="99"/>
      <c r="EF12" s="99"/>
      <c r="EG12" s="99"/>
      <c r="EH12" s="99"/>
      <c r="EI12" s="99"/>
      <c r="EJ12" s="99"/>
      <c r="EK12" s="99"/>
      <c r="EL12" s="99"/>
      <c r="EM12" s="99"/>
      <c r="EN12" s="99"/>
      <c r="EO12" s="99"/>
      <c r="EP12" s="99"/>
      <c r="EQ12" s="99"/>
      <c r="ER12" s="99"/>
      <c r="ES12" s="99"/>
      <c r="ET12" s="99"/>
      <c r="EU12" s="99"/>
      <c r="EV12" s="99"/>
      <c r="EW12" s="99"/>
      <c r="EX12" s="99"/>
      <c r="EY12" s="99"/>
      <c r="EZ12" s="99"/>
      <c r="FA12" s="99"/>
      <c r="FB12" s="99"/>
      <c r="FC12" s="99"/>
      <c r="FD12" s="99"/>
      <c r="FE12" s="99"/>
      <c r="FF12" s="99"/>
      <c r="FG12" s="99"/>
      <c r="FH12" s="99"/>
      <c r="FI12" s="99"/>
      <c r="FJ12" s="99"/>
      <c r="FK12" s="99"/>
      <c r="FL12" s="99"/>
      <c r="FM12" s="99"/>
      <c r="FN12" s="99"/>
    </row>
    <row r="13" spans="1:175" s="18" customFormat="1" ht="18" hidden="1" customHeight="1">
      <c r="A13" s="1808"/>
      <c r="B13" s="171"/>
      <c r="C13" s="26" t="s">
        <v>72</v>
      </c>
      <c r="D13" s="32"/>
      <c r="E13" s="32"/>
      <c r="F13" s="32"/>
      <c r="G13" s="32"/>
      <c r="H13" s="32"/>
      <c r="I13" s="27"/>
      <c r="J13" s="33"/>
      <c r="K13" s="33"/>
      <c r="L13" s="28"/>
      <c r="M13" s="1027">
        <v>0.85</v>
      </c>
      <c r="N13" s="1027">
        <v>0.85</v>
      </c>
      <c r="O13" s="1027">
        <v>0.85</v>
      </c>
      <c r="P13" s="989">
        <v>0</v>
      </c>
      <c r="Q13" s="989">
        <v>0</v>
      </c>
      <c r="R13" s="989">
        <v>0</v>
      </c>
      <c r="S13" s="131"/>
      <c r="T13" s="298"/>
      <c r="U13" s="298"/>
      <c r="V13" s="150"/>
      <c r="W13" s="299"/>
      <c r="X13" s="299"/>
      <c r="Y13" s="150"/>
      <c r="Z13" s="299"/>
      <c r="AA13" s="299"/>
      <c r="AB13" s="150"/>
      <c r="AC13" s="299"/>
      <c r="AD13" s="299"/>
      <c r="AE13" s="150"/>
      <c r="AF13" s="150"/>
      <c r="AG13" s="131"/>
      <c r="AH13" s="131"/>
      <c r="AI13" s="131"/>
      <c r="AJ13" s="131"/>
      <c r="AK13" s="131"/>
      <c r="AL13" s="131"/>
      <c r="AM13" s="131"/>
      <c r="AN13" s="152"/>
      <c r="AO13" s="152"/>
      <c r="AP13" s="153"/>
      <c r="AQ13" s="153"/>
      <c r="AR13" s="95"/>
      <c r="AS13" s="95"/>
      <c r="AT13" s="95"/>
      <c r="AU13" s="95"/>
      <c r="AV13" s="95"/>
      <c r="AW13" s="95"/>
      <c r="AX13" s="95"/>
      <c r="AY13" s="95"/>
      <c r="AZ13" s="95"/>
      <c r="BA13" s="95"/>
      <c r="BB13" s="95"/>
      <c r="BC13" s="95"/>
      <c r="BD13" s="95"/>
      <c r="BE13" s="95"/>
      <c r="BF13" s="95"/>
      <c r="BG13" s="95"/>
      <c r="BH13" s="95"/>
      <c r="BI13" s="95"/>
      <c r="BJ13" s="95"/>
      <c r="BK13" s="95"/>
      <c r="BL13" s="95"/>
      <c r="BM13" s="95"/>
      <c r="BN13" s="95"/>
      <c r="BO13" s="95"/>
      <c r="BP13" s="95"/>
      <c r="BQ13" s="95"/>
      <c r="BR13" s="95"/>
      <c r="BS13" s="95"/>
      <c r="BT13" s="95"/>
      <c r="BU13" s="95"/>
      <c r="BV13" s="95"/>
      <c r="BW13" s="95"/>
      <c r="BX13" s="95"/>
      <c r="BY13" s="95"/>
      <c r="BZ13" s="95"/>
      <c r="CA13" s="95"/>
      <c r="CB13" s="95"/>
      <c r="CC13" s="95"/>
      <c r="CD13" s="95"/>
      <c r="CE13" s="95"/>
      <c r="CF13" s="95"/>
      <c r="CG13" s="95"/>
      <c r="CH13" s="95"/>
      <c r="CI13" s="95"/>
      <c r="CJ13" s="95"/>
      <c r="CK13" s="95"/>
      <c r="CL13" s="95"/>
      <c r="CM13" s="95"/>
      <c r="CN13" s="95"/>
      <c r="CO13" s="95"/>
      <c r="CP13" s="95"/>
      <c r="CQ13" s="95"/>
      <c r="CR13" s="95"/>
      <c r="CS13" s="95"/>
      <c r="CT13" s="95"/>
      <c r="CU13" s="95"/>
      <c r="CV13" s="96"/>
      <c r="CW13" s="96"/>
      <c r="CX13" s="96"/>
      <c r="CY13" s="96"/>
      <c r="CZ13" s="96"/>
      <c r="DA13" s="96"/>
      <c r="DB13" s="96"/>
      <c r="DC13" s="96"/>
      <c r="DD13" s="96"/>
      <c r="DE13" s="96"/>
      <c r="DF13" s="96"/>
      <c r="DG13" s="96"/>
      <c r="DH13" s="96"/>
      <c r="DI13" s="96"/>
      <c r="DJ13" s="96"/>
      <c r="DK13" s="96"/>
      <c r="DL13" s="96"/>
      <c r="DM13" s="96"/>
      <c r="DN13" s="96"/>
      <c r="DO13" s="96"/>
      <c r="DP13" s="96"/>
      <c r="DQ13" s="96"/>
      <c r="DR13" s="96"/>
      <c r="DS13" s="96"/>
      <c r="DT13" s="96"/>
      <c r="DU13" s="96"/>
      <c r="DV13" s="96"/>
      <c r="DW13" s="96"/>
      <c r="DX13" s="96"/>
      <c r="DY13" s="96"/>
      <c r="DZ13" s="96"/>
      <c r="EA13" s="96"/>
      <c r="EB13" s="96"/>
      <c r="EC13" s="96"/>
      <c r="ED13" s="96"/>
      <c r="EE13" s="99"/>
      <c r="EF13" s="99"/>
      <c r="EG13" s="99"/>
      <c r="EH13" s="99"/>
      <c r="EI13" s="99"/>
      <c r="EJ13" s="99"/>
      <c r="EK13" s="99"/>
      <c r="EL13" s="99"/>
      <c r="EM13" s="99"/>
      <c r="EN13" s="99"/>
      <c r="EO13" s="99"/>
      <c r="EP13" s="99"/>
      <c r="EQ13" s="99"/>
      <c r="ER13" s="99"/>
      <c r="ES13" s="99"/>
      <c r="ET13" s="99"/>
      <c r="EU13" s="99"/>
      <c r="EV13" s="99"/>
      <c r="EW13" s="99"/>
      <c r="EX13" s="99"/>
      <c r="EY13" s="99"/>
      <c r="EZ13" s="99"/>
      <c r="FA13" s="99"/>
      <c r="FB13" s="99"/>
      <c r="FC13" s="99"/>
      <c r="FD13" s="99"/>
      <c r="FE13" s="99"/>
      <c r="FF13" s="99"/>
      <c r="FG13" s="99"/>
      <c r="FH13" s="99"/>
      <c r="FI13" s="99"/>
      <c r="FJ13" s="99"/>
      <c r="FK13" s="99"/>
      <c r="FL13" s="99"/>
      <c r="FM13" s="99"/>
      <c r="FN13" s="99"/>
    </row>
    <row r="14" spans="1:175" s="18" customFormat="1" ht="15.75" customHeight="1">
      <c r="A14" s="1808"/>
      <c r="B14" s="416"/>
      <c r="C14" s="21"/>
      <c r="D14" s="177"/>
      <c r="E14" s="177"/>
      <c r="F14" s="21"/>
      <c r="G14" s="177"/>
      <c r="H14" s="177"/>
      <c r="I14" s="178"/>
      <c r="J14" s="188"/>
      <c r="K14" s="188"/>
      <c r="L14" s="188"/>
      <c r="M14" s="1012"/>
      <c r="N14" s="1012"/>
      <c r="O14" s="1012"/>
      <c r="P14" s="989">
        <v>0</v>
      </c>
      <c r="Q14" s="989">
        <v>1</v>
      </c>
      <c r="R14" s="989">
        <v>0</v>
      </c>
      <c r="S14" s="131"/>
      <c r="T14" s="298"/>
      <c r="U14" s="298"/>
      <c r="V14" s="150"/>
      <c r="W14" s="299"/>
      <c r="X14" s="299"/>
      <c r="Y14" s="150"/>
      <c r="Z14" s="299"/>
      <c r="AA14" s="299"/>
      <c r="AB14" s="150"/>
      <c r="AC14" s="299"/>
      <c r="AD14" s="299"/>
      <c r="AE14" s="150"/>
      <c r="AF14" s="150"/>
      <c r="AG14" s="131"/>
      <c r="AH14" s="131"/>
      <c r="AI14" s="131"/>
      <c r="AJ14" s="131"/>
      <c r="AK14" s="131"/>
      <c r="AL14" s="131"/>
      <c r="AM14" s="131"/>
      <c r="AN14" s="152"/>
      <c r="AO14" s="152"/>
      <c r="AP14" s="153"/>
      <c r="AQ14" s="153"/>
      <c r="AR14" s="95"/>
      <c r="AS14" s="95"/>
      <c r="AT14" s="95"/>
      <c r="AU14" s="95"/>
      <c r="AV14" s="95"/>
      <c r="AW14" s="95"/>
      <c r="AX14" s="95"/>
      <c r="AY14" s="95"/>
      <c r="AZ14" s="95"/>
      <c r="BA14" s="95"/>
      <c r="BB14" s="95"/>
      <c r="BC14" s="95"/>
      <c r="BD14" s="95"/>
      <c r="BE14" s="95"/>
      <c r="BF14" s="95"/>
      <c r="BG14" s="95"/>
      <c r="BH14" s="95"/>
      <c r="BI14" s="95"/>
      <c r="BJ14" s="95"/>
      <c r="BK14" s="95"/>
      <c r="BL14" s="95"/>
      <c r="BM14" s="95"/>
      <c r="BN14" s="95"/>
      <c r="BO14" s="95"/>
      <c r="BP14" s="95"/>
      <c r="BQ14" s="95"/>
      <c r="BR14" s="95"/>
      <c r="BS14" s="95"/>
      <c r="BT14" s="95"/>
      <c r="BU14" s="95"/>
      <c r="BV14" s="95"/>
      <c r="BW14" s="95"/>
      <c r="BX14" s="95"/>
      <c r="BY14" s="95"/>
      <c r="BZ14" s="95"/>
      <c r="CA14" s="95"/>
      <c r="CB14" s="95"/>
      <c r="CC14" s="95"/>
      <c r="CD14" s="95"/>
      <c r="CE14" s="95"/>
      <c r="CF14" s="95"/>
      <c r="CG14" s="95"/>
      <c r="CH14" s="95"/>
      <c r="CI14" s="95"/>
      <c r="CJ14" s="95"/>
      <c r="CK14" s="95"/>
      <c r="CL14" s="95"/>
      <c r="CM14" s="95"/>
      <c r="CN14" s="95"/>
      <c r="CO14" s="95"/>
      <c r="CP14" s="95"/>
      <c r="CQ14" s="95"/>
      <c r="CR14" s="95"/>
      <c r="CS14" s="95"/>
      <c r="CT14" s="95"/>
      <c r="CU14" s="95"/>
      <c r="CV14" s="96"/>
      <c r="CW14" s="96"/>
      <c r="CX14" s="96"/>
      <c r="CY14" s="96"/>
      <c r="CZ14" s="96"/>
      <c r="DA14" s="96"/>
      <c r="DB14" s="96"/>
      <c r="DC14" s="96"/>
      <c r="DD14" s="96"/>
      <c r="DE14" s="96"/>
      <c r="DF14" s="96"/>
      <c r="DG14" s="96"/>
      <c r="DH14" s="96"/>
      <c r="DI14" s="96"/>
      <c r="DJ14" s="96"/>
      <c r="DK14" s="96"/>
      <c r="DL14" s="96"/>
      <c r="DM14" s="96"/>
      <c r="DN14" s="96"/>
      <c r="DO14" s="96"/>
      <c r="DP14" s="96"/>
      <c r="DQ14" s="96"/>
      <c r="DR14" s="96"/>
      <c r="DS14" s="96"/>
      <c r="DT14" s="96"/>
      <c r="DU14" s="96"/>
      <c r="DV14" s="96"/>
      <c r="DW14" s="96"/>
      <c r="DX14" s="96"/>
      <c r="DY14" s="96"/>
      <c r="DZ14" s="96"/>
      <c r="EA14" s="96"/>
      <c r="EB14" s="96"/>
      <c r="EC14" s="96"/>
      <c r="ED14" s="96"/>
      <c r="EE14" s="99"/>
      <c r="EF14" s="99"/>
      <c r="EG14" s="99"/>
      <c r="EH14" s="99"/>
      <c r="EI14" s="99"/>
      <c r="EJ14" s="99"/>
      <c r="EK14" s="99"/>
      <c r="EL14" s="99"/>
      <c r="EM14" s="99"/>
      <c r="EN14" s="99"/>
      <c r="EO14" s="99"/>
      <c r="EP14" s="99"/>
      <c r="EQ14" s="99"/>
      <c r="ER14" s="99"/>
      <c r="ES14" s="99"/>
      <c r="ET14" s="99"/>
      <c r="EU14" s="99"/>
      <c r="EV14" s="99"/>
      <c r="EW14" s="99"/>
      <c r="EX14" s="99"/>
      <c r="EY14" s="99"/>
      <c r="EZ14" s="99"/>
      <c r="FA14" s="99"/>
      <c r="FB14" s="99"/>
      <c r="FC14" s="99"/>
      <c r="FD14" s="99"/>
      <c r="FE14" s="99"/>
      <c r="FF14" s="99"/>
      <c r="FG14" s="99"/>
      <c r="FH14" s="99"/>
      <c r="FI14" s="99"/>
      <c r="FJ14" s="99"/>
      <c r="FK14" s="99"/>
      <c r="FL14" s="99"/>
      <c r="FM14" s="99"/>
      <c r="FN14" s="99"/>
    </row>
    <row r="15" spans="1:175" s="18" customFormat="1" ht="18" customHeight="1">
      <c r="A15" s="1808"/>
      <c r="B15" s="416"/>
      <c r="C15" s="176" t="str">
        <f>Begriffe!F198</f>
        <v>Bauphysikalische Eigenschaften</v>
      </c>
      <c r="D15" s="177"/>
      <c r="E15" s="177"/>
      <c r="F15" s="21"/>
      <c r="G15" s="177"/>
      <c r="H15" s="177"/>
      <c r="I15" s="178"/>
      <c r="J15" s="188"/>
      <c r="K15" s="188"/>
      <c r="L15" s="188"/>
      <c r="M15" s="1012"/>
      <c r="N15" s="1012"/>
      <c r="O15" s="1012"/>
      <c r="P15" s="989">
        <v>0</v>
      </c>
      <c r="Q15" s="989">
        <v>1</v>
      </c>
      <c r="R15" s="989">
        <v>0</v>
      </c>
      <c r="S15" s="131"/>
      <c r="T15" s="298"/>
      <c r="U15" s="298"/>
      <c r="V15" s="150"/>
      <c r="W15" s="299"/>
      <c r="X15" s="299"/>
      <c r="Y15" s="150"/>
      <c r="Z15" s="299"/>
      <c r="AA15" s="299"/>
      <c r="AB15" s="150"/>
      <c r="AC15" s="299"/>
      <c r="AD15" s="299"/>
      <c r="AE15" s="150"/>
      <c r="AF15" s="150"/>
      <c r="AG15" s="131"/>
      <c r="AH15" s="131"/>
      <c r="AI15" s="131"/>
      <c r="AJ15" s="131"/>
      <c r="AK15" s="131"/>
      <c r="AL15" s="131"/>
      <c r="AM15" s="131"/>
      <c r="AN15" s="152"/>
      <c r="AO15" s="152"/>
      <c r="AP15" s="153"/>
      <c r="AQ15" s="153"/>
      <c r="AR15" s="95"/>
      <c r="AS15" s="95"/>
      <c r="AT15" s="95"/>
      <c r="AU15" s="95"/>
      <c r="AV15" s="95"/>
      <c r="AW15" s="95"/>
      <c r="AX15" s="95"/>
      <c r="AY15" s="95"/>
      <c r="AZ15" s="95"/>
      <c r="BA15" s="95"/>
      <c r="BB15" s="95"/>
      <c r="BC15" s="95"/>
      <c r="BD15" s="95"/>
      <c r="BE15" s="95"/>
      <c r="BF15" s="95"/>
      <c r="BG15" s="95"/>
      <c r="BH15" s="95"/>
      <c r="BI15" s="95"/>
      <c r="BJ15" s="95"/>
      <c r="BK15" s="95"/>
      <c r="BL15" s="95"/>
      <c r="BM15" s="95"/>
      <c r="BN15" s="95"/>
      <c r="BO15" s="95"/>
      <c r="BP15" s="95"/>
      <c r="BQ15" s="95"/>
      <c r="BR15" s="95"/>
      <c r="BS15" s="95"/>
      <c r="BT15" s="95"/>
      <c r="BU15" s="95"/>
      <c r="BV15" s="95"/>
      <c r="BW15" s="95"/>
      <c r="BX15" s="95"/>
      <c r="BY15" s="95"/>
      <c r="BZ15" s="95"/>
      <c r="CA15" s="95"/>
      <c r="CB15" s="95"/>
      <c r="CC15" s="95"/>
      <c r="CD15" s="95"/>
      <c r="CE15" s="95"/>
      <c r="CF15" s="95"/>
      <c r="CG15" s="95"/>
      <c r="CH15" s="95"/>
      <c r="CI15" s="95"/>
      <c r="CJ15" s="95"/>
      <c r="CK15" s="95"/>
      <c r="CL15" s="95"/>
      <c r="CM15" s="95"/>
      <c r="CN15" s="95"/>
      <c r="CO15" s="95"/>
      <c r="CP15" s="95"/>
      <c r="CQ15" s="95"/>
      <c r="CR15" s="95"/>
      <c r="CS15" s="95"/>
      <c r="CT15" s="95"/>
      <c r="CU15" s="95"/>
      <c r="CV15" s="96"/>
      <c r="CW15" s="96"/>
      <c r="CX15" s="96"/>
      <c r="CY15" s="96"/>
      <c r="CZ15" s="96"/>
      <c r="DA15" s="96"/>
      <c r="DB15" s="96"/>
      <c r="DC15" s="96"/>
      <c r="DD15" s="96"/>
      <c r="DE15" s="96"/>
      <c r="DF15" s="96"/>
      <c r="DG15" s="96"/>
      <c r="DH15" s="96"/>
      <c r="DI15" s="96"/>
      <c r="DJ15" s="96"/>
      <c r="DK15" s="96"/>
      <c r="DL15" s="96"/>
      <c r="DM15" s="96"/>
      <c r="DN15" s="96"/>
      <c r="DO15" s="96"/>
      <c r="DP15" s="96"/>
      <c r="DQ15" s="96"/>
      <c r="DR15" s="96"/>
      <c r="DS15" s="96"/>
      <c r="DT15" s="96"/>
      <c r="DU15" s="96"/>
      <c r="DV15" s="96"/>
      <c r="DW15" s="96"/>
      <c r="DX15" s="96"/>
      <c r="DY15" s="96"/>
      <c r="DZ15" s="96"/>
      <c r="EA15" s="96"/>
      <c r="EB15" s="96"/>
      <c r="EC15" s="96"/>
      <c r="ED15" s="96"/>
      <c r="EE15" s="99"/>
      <c r="EF15" s="99"/>
      <c r="EG15" s="99"/>
      <c r="EH15" s="99"/>
      <c r="EI15" s="99"/>
      <c r="EJ15" s="99"/>
      <c r="EK15" s="99"/>
      <c r="EL15" s="99"/>
      <c r="EM15" s="99"/>
      <c r="EN15" s="99"/>
      <c r="EO15" s="99"/>
      <c r="EP15" s="99"/>
      <c r="EQ15" s="99"/>
      <c r="ER15" s="99"/>
      <c r="ES15" s="99"/>
      <c r="ET15" s="99"/>
      <c r="EU15" s="99"/>
      <c r="EV15" s="99"/>
      <c r="EW15" s="99"/>
      <c r="EX15" s="99"/>
      <c r="EY15" s="99"/>
      <c r="EZ15" s="99"/>
      <c r="FA15" s="99"/>
      <c r="FB15" s="99"/>
      <c r="FC15" s="99"/>
      <c r="FD15" s="99"/>
      <c r="FE15" s="99"/>
      <c r="FF15" s="99"/>
      <c r="FG15" s="99"/>
      <c r="FH15" s="99"/>
      <c r="FI15" s="99"/>
      <c r="FJ15" s="99"/>
      <c r="FK15" s="99"/>
      <c r="FL15" s="99"/>
      <c r="FM15" s="99"/>
      <c r="FN15" s="99"/>
    </row>
    <row r="16" spans="1:175" s="18" customFormat="1" ht="18" customHeight="1">
      <c r="A16" s="1808"/>
      <c r="B16" s="416">
        <v>309</v>
      </c>
      <c r="C16" s="493" t="str">
        <f>VLOOKUP(B16,Begriffe!$A$6:$E$442,Begriffe!$D$1+2)</f>
        <v>U-Wert opake Bauteile</v>
      </c>
      <c r="D16" s="177"/>
      <c r="E16" s="177"/>
      <c r="F16" s="21"/>
      <c r="G16" s="177"/>
      <c r="H16" s="177"/>
      <c r="I16" s="209" t="s">
        <v>705</v>
      </c>
      <c r="J16" s="871" t="s">
        <v>645</v>
      </c>
      <c r="K16" s="871"/>
      <c r="L16" s="1162">
        <v>1</v>
      </c>
      <c r="M16" s="872">
        <f>IF(L16&lt;&gt;"",L16,INDEX(Eingabedaten!$D$10:$CY$54,nutzid,MATCH($C16,Eingabedaten!$D$7:$CY$7,0)))</f>
        <v>1</v>
      </c>
      <c r="N16" s="986">
        <f>INDEX(Eingabedaten!$D$10:$CY$54,nutzid,MATCH($C16,Eingabedaten!$D$7:$CY$7,0)+1)</f>
        <v>0.1</v>
      </c>
      <c r="O16" s="986">
        <f>INDEX(Eingabedaten!$D$10:$CY$54,nutzid,MATCH($C16,Eingabedaten!$D$7:$CY$7,0)+2)</f>
        <v>0.8</v>
      </c>
      <c r="P16" s="989">
        <v>0</v>
      </c>
      <c r="Q16" s="989">
        <v>1</v>
      </c>
      <c r="R16" s="989">
        <v>0</v>
      </c>
      <c r="S16" s="131"/>
      <c r="T16" s="298"/>
      <c r="U16" s="298"/>
      <c r="V16" s="150"/>
      <c r="W16" s="299"/>
      <c r="X16" s="299"/>
      <c r="Y16" s="150"/>
      <c r="Z16" s="299"/>
      <c r="AA16" s="299"/>
      <c r="AB16" s="150"/>
      <c r="AC16" s="299"/>
      <c r="AD16" s="299"/>
      <c r="AE16" s="150"/>
      <c r="AF16" s="150"/>
      <c r="AG16" s="131"/>
      <c r="AH16" s="131"/>
      <c r="AI16" s="131"/>
      <c r="AJ16" s="131"/>
      <c r="AK16" s="131"/>
      <c r="AL16" s="131"/>
      <c r="AM16" s="131"/>
      <c r="AN16" s="152"/>
      <c r="AO16" s="152"/>
      <c r="AP16" s="153"/>
      <c r="AQ16" s="153"/>
      <c r="AR16" s="95"/>
      <c r="AS16" s="95"/>
      <c r="AT16" s="95"/>
      <c r="AU16" s="95"/>
      <c r="AV16" s="95"/>
      <c r="AW16" s="95"/>
      <c r="AX16" s="95"/>
      <c r="AY16" s="95"/>
      <c r="AZ16" s="95"/>
      <c r="BA16" s="95"/>
      <c r="BB16" s="95"/>
      <c r="BC16" s="95"/>
      <c r="BD16" s="95"/>
      <c r="BE16" s="95"/>
      <c r="BF16" s="95"/>
      <c r="BG16" s="95"/>
      <c r="BH16" s="95"/>
      <c r="BI16" s="95"/>
      <c r="BJ16" s="95"/>
      <c r="BK16" s="95"/>
      <c r="BL16" s="95"/>
      <c r="BM16" s="95"/>
      <c r="BN16" s="95"/>
      <c r="BO16" s="95"/>
      <c r="BP16" s="95"/>
      <c r="BQ16" s="95"/>
      <c r="BR16" s="95"/>
      <c r="BS16" s="95"/>
      <c r="BT16" s="95"/>
      <c r="BU16" s="95"/>
      <c r="BV16" s="95"/>
      <c r="BW16" s="95"/>
      <c r="BX16" s="95"/>
      <c r="BY16" s="95"/>
      <c r="BZ16" s="95"/>
      <c r="CA16" s="95"/>
      <c r="CB16" s="95"/>
      <c r="CC16" s="95"/>
      <c r="CD16" s="95"/>
      <c r="CE16" s="95"/>
      <c r="CF16" s="95"/>
      <c r="CG16" s="95"/>
      <c r="CH16" s="95"/>
      <c r="CI16" s="95"/>
      <c r="CJ16" s="95"/>
      <c r="CK16" s="95"/>
      <c r="CL16" s="95"/>
      <c r="CM16" s="95"/>
      <c r="CN16" s="95"/>
      <c r="CO16" s="95"/>
      <c r="CP16" s="95"/>
      <c r="CQ16" s="95"/>
      <c r="CR16" s="95"/>
      <c r="CS16" s="95"/>
      <c r="CT16" s="95"/>
      <c r="CU16" s="95"/>
      <c r="CV16" s="96"/>
      <c r="CW16" s="96"/>
      <c r="CX16" s="96"/>
      <c r="CY16" s="96"/>
      <c r="CZ16" s="96"/>
      <c r="DA16" s="96"/>
      <c r="DB16" s="96"/>
      <c r="DC16" s="96"/>
      <c r="DD16" s="96"/>
      <c r="DE16" s="96"/>
      <c r="DF16" s="96"/>
      <c r="DG16" s="96"/>
      <c r="DH16" s="96"/>
      <c r="DI16" s="96"/>
      <c r="DJ16" s="96"/>
      <c r="DK16" s="96"/>
      <c r="DL16" s="96"/>
      <c r="DM16" s="96"/>
      <c r="DN16" s="96"/>
      <c r="DO16" s="96"/>
      <c r="DP16" s="96"/>
      <c r="DQ16" s="96"/>
      <c r="DR16" s="96"/>
      <c r="DS16" s="96"/>
      <c r="DT16" s="96"/>
      <c r="DU16" s="96"/>
      <c r="DV16" s="96"/>
      <c r="DW16" s="96"/>
      <c r="DX16" s="96"/>
      <c r="DY16" s="96"/>
      <c r="DZ16" s="96"/>
      <c r="EA16" s="96"/>
      <c r="EB16" s="96"/>
      <c r="EC16" s="96"/>
      <c r="ED16" s="96"/>
      <c r="EE16" s="99"/>
      <c r="EF16" s="99"/>
      <c r="EG16" s="99"/>
      <c r="EH16" s="99"/>
      <c r="EI16" s="99"/>
      <c r="EJ16" s="99"/>
      <c r="EK16" s="99"/>
      <c r="EL16" s="99"/>
      <c r="EM16" s="99"/>
      <c r="EN16" s="99"/>
      <c r="EO16" s="99"/>
      <c r="EP16" s="99"/>
      <c r="EQ16" s="99"/>
      <c r="ER16" s="99"/>
      <c r="ES16" s="99"/>
      <c r="ET16" s="99"/>
      <c r="EU16" s="99"/>
      <c r="EV16" s="99"/>
      <c r="EW16" s="99"/>
      <c r="EX16" s="99"/>
      <c r="EY16" s="99"/>
      <c r="EZ16" s="99"/>
      <c r="FA16" s="99"/>
      <c r="FB16" s="99"/>
      <c r="FC16" s="99"/>
      <c r="FD16" s="99"/>
      <c r="FE16" s="99"/>
      <c r="FF16" s="99"/>
      <c r="FG16" s="99"/>
      <c r="FH16" s="99"/>
      <c r="FI16" s="99"/>
      <c r="FJ16" s="99"/>
      <c r="FK16" s="99"/>
      <c r="FL16" s="99"/>
      <c r="FM16" s="99"/>
      <c r="FN16" s="99"/>
    </row>
    <row r="17" spans="1:170" s="18" customFormat="1" ht="18" customHeight="1">
      <c r="A17" s="1808"/>
      <c r="B17" s="416">
        <v>308</v>
      </c>
      <c r="C17" s="493" t="str">
        <f>VLOOKUP(B17,Begriffe!$A$6:$E$442,Begriffe!$D$1+2)</f>
        <v>U-Wert Fenster</v>
      </c>
      <c r="D17" s="13"/>
      <c r="E17" s="13"/>
      <c r="F17" s="493"/>
      <c r="G17" s="13"/>
      <c r="H17" s="13"/>
      <c r="I17" s="209" t="s">
        <v>706</v>
      </c>
      <c r="J17" s="871" t="s">
        <v>645</v>
      </c>
      <c r="K17" s="871"/>
      <c r="L17" s="1162">
        <v>2.5</v>
      </c>
      <c r="M17" s="872">
        <f>IF(L17&lt;&gt;"",L17,INDEX(Eingabedaten!$D$10:$CY$54,nutzid,MATCH($C17,Eingabedaten!$D$7:$CY$7,0)))</f>
        <v>2.5</v>
      </c>
      <c r="N17" s="986">
        <f>INDEX(Eingabedaten!$D$10:$CY$54,nutzid,MATCH($C17,Eingabedaten!$D$7:$CY$7,0)+1)</f>
        <v>0.9</v>
      </c>
      <c r="O17" s="986">
        <f>INDEX(Eingabedaten!$D$10:$CY$54,nutzid,MATCH($C17,Eingabedaten!$D$7:$CY$7,0)+2)</f>
        <v>1.5</v>
      </c>
      <c r="P17" s="989">
        <v>0</v>
      </c>
      <c r="Q17" s="989">
        <v>1</v>
      </c>
      <c r="R17" s="989">
        <v>0</v>
      </c>
      <c r="S17" s="131"/>
      <c r="T17" s="298"/>
      <c r="U17" s="298"/>
      <c r="V17" s="150"/>
      <c r="W17" s="299"/>
      <c r="X17" s="299"/>
      <c r="Y17" s="150"/>
      <c r="Z17" s="299"/>
      <c r="AA17" s="299"/>
      <c r="AB17" s="150"/>
      <c r="AC17" s="299"/>
      <c r="AD17" s="299"/>
      <c r="AE17" s="150"/>
      <c r="AF17" s="150"/>
      <c r="AG17" s="131"/>
      <c r="AH17" s="131"/>
      <c r="AI17" s="131"/>
      <c r="AJ17" s="131"/>
      <c r="AK17" s="131"/>
      <c r="AL17" s="131"/>
      <c r="AM17" s="131"/>
      <c r="AN17" s="152"/>
      <c r="AO17" s="152"/>
      <c r="AP17" s="153"/>
      <c r="AQ17" s="153"/>
      <c r="AR17" s="95"/>
      <c r="AS17" s="95"/>
      <c r="AT17" s="95"/>
      <c r="AU17" s="95"/>
      <c r="AV17" s="95"/>
      <c r="AW17" s="95"/>
      <c r="AX17" s="95"/>
      <c r="AY17" s="95"/>
      <c r="AZ17" s="95"/>
      <c r="BA17" s="95"/>
      <c r="BB17" s="95"/>
      <c r="BC17" s="95"/>
      <c r="BD17" s="95"/>
      <c r="BE17" s="95"/>
      <c r="BF17" s="95"/>
      <c r="BG17" s="95"/>
      <c r="BH17" s="95"/>
      <c r="BI17" s="95"/>
      <c r="BJ17" s="95"/>
      <c r="BK17" s="95"/>
      <c r="BL17" s="95"/>
      <c r="BM17" s="95"/>
      <c r="BN17" s="95"/>
      <c r="BO17" s="95"/>
      <c r="BP17" s="95"/>
      <c r="BQ17" s="95"/>
      <c r="BR17" s="95"/>
      <c r="BS17" s="95"/>
      <c r="BT17" s="95"/>
      <c r="BU17" s="95"/>
      <c r="BV17" s="95"/>
      <c r="BW17" s="95"/>
      <c r="BX17" s="95"/>
      <c r="BY17" s="95"/>
      <c r="BZ17" s="95"/>
      <c r="CA17" s="95"/>
      <c r="CB17" s="95"/>
      <c r="CC17" s="95"/>
      <c r="CD17" s="95"/>
      <c r="CE17" s="95"/>
      <c r="CF17" s="95"/>
      <c r="CG17" s="95"/>
      <c r="CH17" s="95"/>
      <c r="CI17" s="95"/>
      <c r="CJ17" s="95"/>
      <c r="CK17" s="95"/>
      <c r="CL17" s="95"/>
      <c r="CM17" s="95"/>
      <c r="CN17" s="95"/>
      <c r="CO17" s="95"/>
      <c r="CP17" s="95"/>
      <c r="CQ17" s="95"/>
      <c r="CR17" s="95"/>
      <c r="CS17" s="95"/>
      <c r="CT17" s="95"/>
      <c r="CU17" s="95"/>
      <c r="CV17" s="96"/>
      <c r="CW17" s="96"/>
      <c r="CX17" s="96"/>
      <c r="CY17" s="96"/>
      <c r="CZ17" s="96"/>
      <c r="DA17" s="96"/>
      <c r="DB17" s="96"/>
      <c r="DC17" s="96"/>
      <c r="DD17" s="96"/>
      <c r="DE17" s="96"/>
      <c r="DF17" s="96"/>
      <c r="DG17" s="96"/>
      <c r="DH17" s="96"/>
      <c r="DI17" s="96"/>
      <c r="DJ17" s="96"/>
      <c r="DK17" s="96"/>
      <c r="DL17" s="96"/>
      <c r="DM17" s="96"/>
      <c r="DN17" s="96"/>
      <c r="DO17" s="96"/>
      <c r="DP17" s="96"/>
      <c r="DQ17" s="96"/>
      <c r="DR17" s="96"/>
      <c r="DS17" s="96"/>
      <c r="DT17" s="96"/>
      <c r="DU17" s="96"/>
      <c r="DV17" s="96"/>
      <c r="DW17" s="96"/>
      <c r="DX17" s="96"/>
      <c r="DY17" s="96"/>
      <c r="DZ17" s="96"/>
      <c r="EA17" s="96"/>
      <c r="EB17" s="96"/>
      <c r="EC17" s="96"/>
      <c r="ED17" s="96"/>
      <c r="EE17" s="99"/>
      <c r="EF17" s="99"/>
      <c r="EG17" s="99"/>
      <c r="EH17" s="99"/>
      <c r="EI17" s="99"/>
      <c r="EJ17" s="99"/>
      <c r="EK17" s="99"/>
      <c r="EL17" s="99"/>
      <c r="EM17" s="99"/>
      <c r="EN17" s="99"/>
      <c r="EO17" s="99"/>
      <c r="EP17" s="99"/>
      <c r="EQ17" s="99"/>
      <c r="ER17" s="99"/>
      <c r="ES17" s="99"/>
      <c r="ET17" s="99"/>
      <c r="EU17" s="99"/>
      <c r="EV17" s="99"/>
      <c r="EW17" s="99"/>
      <c r="EX17" s="99"/>
      <c r="EY17" s="99"/>
      <c r="EZ17" s="99"/>
      <c r="FA17" s="99"/>
      <c r="FB17" s="99"/>
      <c r="FC17" s="99"/>
      <c r="FD17" s="99"/>
      <c r="FE17" s="99"/>
      <c r="FF17" s="99"/>
      <c r="FG17" s="99"/>
      <c r="FH17" s="99"/>
      <c r="FI17" s="99"/>
      <c r="FJ17" s="99"/>
      <c r="FK17" s="99"/>
      <c r="FL17" s="99"/>
      <c r="FM17" s="99"/>
      <c r="FN17" s="99"/>
    </row>
    <row r="18" spans="1:170" s="18" customFormat="1" ht="18" customHeight="1">
      <c r="A18" s="1808"/>
      <c r="B18" s="416">
        <v>100</v>
      </c>
      <c r="C18" s="493" t="str">
        <f>VLOOKUP(B18,Begriffe!$A$6:$E$442,Begriffe!$D$1+2)</f>
        <v>Abminderungsfaktor für Fensterrahmen</v>
      </c>
      <c r="D18" s="493"/>
      <c r="E18" s="13"/>
      <c r="F18" s="493"/>
      <c r="G18" s="493"/>
      <c r="H18" s="493"/>
      <c r="I18" s="209" t="s">
        <v>864</v>
      </c>
      <c r="J18" s="871" t="s">
        <v>18</v>
      </c>
      <c r="K18" s="871"/>
      <c r="L18" s="1165"/>
      <c r="M18" s="1158">
        <f>IF(L18&lt;&gt;"",L18,INDEX(Eingabedaten!$D$10:$CY$54,nutzid,MATCH($C18,Eingabedaten!$D$7:$CY$7,0)))</f>
        <v>0.75</v>
      </c>
      <c r="N18" s="986">
        <f>M18</f>
        <v>0.75</v>
      </c>
      <c r="O18" s="986">
        <f>M18</f>
        <v>0.75</v>
      </c>
      <c r="P18" s="989">
        <v>0</v>
      </c>
      <c r="Q18" s="989">
        <v>1</v>
      </c>
      <c r="R18" s="989">
        <v>0</v>
      </c>
      <c r="S18" s="131"/>
      <c r="T18" s="298"/>
      <c r="U18" s="298"/>
      <c r="V18" s="150"/>
      <c r="W18" s="299"/>
      <c r="X18" s="299"/>
      <c r="Y18" s="150"/>
      <c r="Z18" s="299"/>
      <c r="AA18" s="299"/>
      <c r="AB18" s="150"/>
      <c r="AC18" s="299"/>
      <c r="AD18" s="299"/>
      <c r="AE18" s="150"/>
      <c r="AF18" s="150"/>
      <c r="AG18" s="131"/>
      <c r="AH18" s="131"/>
      <c r="AI18" s="131"/>
      <c r="AJ18" s="131"/>
      <c r="AK18" s="131"/>
      <c r="AL18" s="131"/>
      <c r="AM18" s="131"/>
      <c r="AN18" s="152"/>
      <c r="AO18" s="152"/>
      <c r="AP18" s="153"/>
      <c r="AQ18" s="153"/>
      <c r="AR18" s="95"/>
      <c r="AS18" s="95"/>
      <c r="AT18" s="95"/>
      <c r="AU18" s="95"/>
      <c r="AV18" s="95"/>
      <c r="AW18" s="95"/>
      <c r="AX18" s="95"/>
      <c r="AY18" s="95"/>
      <c r="AZ18" s="95"/>
      <c r="BA18" s="95"/>
      <c r="BB18" s="95"/>
      <c r="BC18" s="95"/>
      <c r="BD18" s="95"/>
      <c r="BE18" s="95"/>
      <c r="BF18" s="95"/>
      <c r="BG18" s="95"/>
      <c r="BH18" s="95"/>
      <c r="BI18" s="95"/>
      <c r="BJ18" s="95"/>
      <c r="BK18" s="95"/>
      <c r="BL18" s="95"/>
      <c r="BM18" s="95"/>
      <c r="BN18" s="95"/>
      <c r="BO18" s="95"/>
      <c r="BP18" s="95"/>
      <c r="BQ18" s="95"/>
      <c r="BR18" s="95"/>
      <c r="BS18" s="95"/>
      <c r="BT18" s="95"/>
      <c r="BU18" s="95"/>
      <c r="BV18" s="95"/>
      <c r="BW18" s="95"/>
      <c r="BX18" s="95"/>
      <c r="BY18" s="95"/>
      <c r="BZ18" s="95"/>
      <c r="CA18" s="95"/>
      <c r="CB18" s="95"/>
      <c r="CC18" s="95"/>
      <c r="CD18" s="95"/>
      <c r="CE18" s="95"/>
      <c r="CF18" s="95"/>
      <c r="CG18" s="95"/>
      <c r="CH18" s="95"/>
      <c r="CI18" s="95"/>
      <c r="CJ18" s="95"/>
      <c r="CK18" s="95"/>
      <c r="CL18" s="95"/>
      <c r="CM18" s="95"/>
      <c r="CN18" s="95"/>
      <c r="CO18" s="95"/>
      <c r="CP18" s="95"/>
      <c r="CQ18" s="95"/>
      <c r="CR18" s="95"/>
      <c r="CS18" s="95"/>
      <c r="CT18" s="95"/>
      <c r="CU18" s="95"/>
      <c r="CV18" s="96"/>
      <c r="CW18" s="96"/>
      <c r="CX18" s="96"/>
      <c r="CY18" s="96"/>
      <c r="CZ18" s="96"/>
      <c r="DA18" s="96"/>
      <c r="DB18" s="96"/>
      <c r="DC18" s="96"/>
      <c r="DD18" s="96"/>
      <c r="DE18" s="96"/>
      <c r="DF18" s="96"/>
      <c r="DG18" s="96"/>
      <c r="DH18" s="96"/>
      <c r="DI18" s="96"/>
      <c r="DJ18" s="96"/>
      <c r="DK18" s="96"/>
      <c r="DL18" s="96"/>
      <c r="DM18" s="96"/>
      <c r="DN18" s="96"/>
      <c r="DO18" s="96"/>
      <c r="DP18" s="96"/>
      <c r="DQ18" s="96"/>
      <c r="DR18" s="96"/>
      <c r="DS18" s="96"/>
      <c r="DT18" s="96"/>
      <c r="DU18" s="96"/>
      <c r="DV18" s="96"/>
      <c r="DW18" s="96"/>
      <c r="DX18" s="96"/>
      <c r="DY18" s="96"/>
      <c r="DZ18" s="96"/>
      <c r="EA18" s="96"/>
      <c r="EB18" s="96"/>
      <c r="EC18" s="96"/>
      <c r="ED18" s="96"/>
      <c r="EE18" s="99"/>
      <c r="EF18" s="99"/>
      <c r="EG18" s="99"/>
      <c r="EH18" s="99"/>
      <c r="EI18" s="99"/>
      <c r="EJ18" s="99"/>
      <c r="EK18" s="99"/>
      <c r="EL18" s="99"/>
      <c r="EM18" s="99"/>
      <c r="EN18" s="99"/>
      <c r="EO18" s="99"/>
      <c r="EP18" s="99"/>
      <c r="EQ18" s="99"/>
      <c r="ER18" s="99"/>
      <c r="ES18" s="99"/>
      <c r="ET18" s="99"/>
      <c r="EU18" s="99"/>
      <c r="EV18" s="99"/>
      <c r="EW18" s="99"/>
      <c r="EX18" s="99"/>
      <c r="EY18" s="99"/>
      <c r="EZ18" s="99"/>
      <c r="FA18" s="99"/>
      <c r="FB18" s="99"/>
      <c r="FC18" s="99"/>
      <c r="FD18" s="99"/>
      <c r="FE18" s="99"/>
      <c r="FF18" s="99"/>
      <c r="FG18" s="99"/>
      <c r="FH18" s="99"/>
      <c r="FI18" s="99"/>
      <c r="FJ18" s="99"/>
      <c r="FK18" s="99"/>
      <c r="FL18" s="99"/>
      <c r="FM18" s="99"/>
      <c r="FN18" s="99"/>
    </row>
    <row r="19" spans="1:170" s="18" customFormat="1" ht="18" hidden="1" customHeight="1">
      <c r="A19" s="1808"/>
      <c r="B19" s="171"/>
      <c r="C19" s="26" t="s">
        <v>217</v>
      </c>
      <c r="D19" s="32"/>
      <c r="E19" s="32"/>
      <c r="F19" s="32"/>
      <c r="G19" s="32"/>
      <c r="H19" s="32"/>
      <c r="I19" s="27"/>
      <c r="J19" s="33" t="s">
        <v>6</v>
      </c>
      <c r="K19" s="33"/>
      <c r="L19" s="28"/>
      <c r="M19" s="1111">
        <v>0.1</v>
      </c>
      <c r="N19" s="1111">
        <v>0.1</v>
      </c>
      <c r="O19" s="1111">
        <v>0.1</v>
      </c>
      <c r="P19" s="989">
        <v>0</v>
      </c>
      <c r="Q19" s="989">
        <v>0</v>
      </c>
      <c r="R19" s="989">
        <v>0</v>
      </c>
      <c r="S19" s="131"/>
      <c r="T19" s="298"/>
      <c r="U19" s="298"/>
      <c r="V19" s="150"/>
      <c r="W19" s="299"/>
      <c r="X19" s="299"/>
      <c r="Y19" s="150"/>
      <c r="Z19" s="299"/>
      <c r="AA19" s="299"/>
      <c r="AB19" s="150"/>
      <c r="AC19" s="299"/>
      <c r="AD19" s="299"/>
      <c r="AE19" s="150"/>
      <c r="AF19" s="150"/>
      <c r="AG19" s="131"/>
      <c r="AH19" s="131"/>
      <c r="AI19" s="131"/>
      <c r="AJ19" s="131"/>
      <c r="AK19" s="131"/>
      <c r="AL19" s="131"/>
      <c r="AM19" s="131"/>
      <c r="AN19" s="152"/>
      <c r="AO19" s="152"/>
      <c r="AP19" s="153"/>
      <c r="AQ19" s="153"/>
      <c r="AR19" s="95"/>
      <c r="AS19" s="95"/>
      <c r="AT19" s="95"/>
      <c r="AU19" s="95"/>
      <c r="AV19" s="95"/>
      <c r="AW19" s="95"/>
      <c r="AX19" s="95"/>
      <c r="AY19" s="95"/>
      <c r="AZ19" s="95"/>
      <c r="BA19" s="95"/>
      <c r="BB19" s="95"/>
      <c r="BC19" s="95"/>
      <c r="BD19" s="95"/>
      <c r="BE19" s="95"/>
      <c r="BF19" s="95"/>
      <c r="BG19" s="95"/>
      <c r="BH19" s="95"/>
      <c r="BI19" s="95"/>
      <c r="BJ19" s="95"/>
      <c r="BK19" s="95"/>
      <c r="BL19" s="95"/>
      <c r="BM19" s="95"/>
      <c r="BN19" s="95"/>
      <c r="BO19" s="95"/>
      <c r="BP19" s="95"/>
      <c r="BQ19" s="95"/>
      <c r="BR19" s="95"/>
      <c r="BS19" s="95"/>
      <c r="BT19" s="95"/>
      <c r="BU19" s="95"/>
      <c r="BV19" s="95"/>
      <c r="BW19" s="95"/>
      <c r="BX19" s="95"/>
      <c r="BY19" s="95"/>
      <c r="BZ19" s="95"/>
      <c r="CA19" s="95"/>
      <c r="CB19" s="95"/>
      <c r="CC19" s="95"/>
      <c r="CD19" s="95"/>
      <c r="CE19" s="95"/>
      <c r="CF19" s="95"/>
      <c r="CG19" s="95"/>
      <c r="CH19" s="95"/>
      <c r="CI19" s="95"/>
      <c r="CJ19" s="95"/>
      <c r="CK19" s="95"/>
      <c r="CL19" s="95"/>
      <c r="CM19" s="95"/>
      <c r="CN19" s="95"/>
      <c r="CO19" s="95"/>
      <c r="CP19" s="95"/>
      <c r="CQ19" s="95"/>
      <c r="CR19" s="95"/>
      <c r="CS19" s="95"/>
      <c r="CT19" s="95"/>
      <c r="CU19" s="95"/>
      <c r="CV19" s="96"/>
      <c r="CW19" s="96"/>
      <c r="CX19" s="96"/>
      <c r="CY19" s="96"/>
      <c r="CZ19" s="96"/>
      <c r="DA19" s="96"/>
      <c r="DB19" s="96"/>
      <c r="DC19" s="96"/>
      <c r="DD19" s="96"/>
      <c r="DE19" s="96"/>
      <c r="DF19" s="96"/>
      <c r="DG19" s="96"/>
      <c r="DH19" s="96"/>
      <c r="DI19" s="96"/>
      <c r="DJ19" s="96"/>
      <c r="DK19" s="96"/>
      <c r="DL19" s="96"/>
      <c r="DM19" s="96"/>
      <c r="DN19" s="96"/>
      <c r="DO19" s="96"/>
      <c r="DP19" s="96"/>
      <c r="DQ19" s="96"/>
      <c r="DR19" s="96"/>
      <c r="DS19" s="96"/>
      <c r="DT19" s="96"/>
      <c r="DU19" s="96"/>
      <c r="DV19" s="96"/>
      <c r="DW19" s="96"/>
      <c r="DX19" s="96"/>
      <c r="DY19" s="96"/>
      <c r="DZ19" s="96"/>
      <c r="EA19" s="96"/>
      <c r="EB19" s="96"/>
      <c r="EC19" s="96"/>
      <c r="ED19" s="96"/>
      <c r="EE19" s="99"/>
      <c r="EF19" s="99"/>
      <c r="EG19" s="99"/>
      <c r="EH19" s="99"/>
      <c r="EI19" s="99"/>
      <c r="EJ19" s="99"/>
      <c r="EK19" s="99"/>
      <c r="EL19" s="99"/>
      <c r="EM19" s="99"/>
      <c r="EN19" s="99"/>
      <c r="EO19" s="99"/>
      <c r="EP19" s="99"/>
      <c r="EQ19" s="99"/>
      <c r="ER19" s="99"/>
      <c r="ES19" s="99"/>
      <c r="ET19" s="99"/>
      <c r="EU19" s="99"/>
      <c r="EV19" s="99"/>
      <c r="EW19" s="99"/>
      <c r="EX19" s="99"/>
      <c r="EY19" s="99"/>
      <c r="EZ19" s="99"/>
      <c r="FA19" s="99"/>
      <c r="FB19" s="99"/>
      <c r="FC19" s="99"/>
      <c r="FD19" s="99"/>
      <c r="FE19" s="99"/>
      <c r="FF19" s="99"/>
      <c r="FG19" s="99"/>
      <c r="FH19" s="99"/>
      <c r="FI19" s="99"/>
      <c r="FJ19" s="99"/>
      <c r="FK19" s="99"/>
      <c r="FL19" s="99"/>
      <c r="FM19" s="99"/>
      <c r="FN19" s="99"/>
    </row>
    <row r="20" spans="1:170" s="18" customFormat="1" ht="18" customHeight="1">
      <c r="A20" s="1808"/>
      <c r="B20" s="416">
        <v>120</v>
      </c>
      <c r="C20" s="493" t="str">
        <f>VLOOKUP(B20,Begriffe!$A$6:$E$442,Begriffe!$D$1+2)</f>
        <v>Glasanteil</v>
      </c>
      <c r="D20" s="177"/>
      <c r="E20" s="177"/>
      <c r="F20" s="21"/>
      <c r="G20" s="21" t="str">
        <f>Begriffe!F310</f>
        <v>nach Westen orientiert</v>
      </c>
      <c r="H20" s="177"/>
      <c r="I20" s="209" t="s">
        <v>237</v>
      </c>
      <c r="J20" s="188" t="s">
        <v>6</v>
      </c>
      <c r="K20" s="188"/>
      <c r="L20" s="1164">
        <v>100</v>
      </c>
      <c r="M20" s="1157">
        <f>IF(L20&lt;&gt;"",L20,INDEX(Eingabedaten!$D$10:$CY$54,nutzid,MATCH($C20,Eingabedaten!$D$7:$CY$7,0)))</f>
        <v>100</v>
      </c>
      <c r="N20" s="182"/>
      <c r="O20" s="328"/>
      <c r="P20" s="989">
        <v>0</v>
      </c>
      <c r="Q20" s="989">
        <v>1</v>
      </c>
      <c r="R20" s="989">
        <v>0</v>
      </c>
      <c r="S20" s="131"/>
      <c r="T20" s="298"/>
      <c r="U20" s="298"/>
      <c r="V20" s="150"/>
      <c r="W20" s="299"/>
      <c r="X20" s="299"/>
      <c r="Y20" s="150"/>
      <c r="Z20" s="299"/>
      <c r="AA20" s="299"/>
      <c r="AB20" s="150"/>
      <c r="AC20" s="299"/>
      <c r="AD20" s="299"/>
      <c r="AE20" s="150"/>
      <c r="AF20" s="150"/>
      <c r="AG20" s="131"/>
      <c r="AH20" s="131"/>
      <c r="AI20" s="131"/>
      <c r="AJ20" s="131"/>
      <c r="AK20" s="131"/>
      <c r="AL20" s="131"/>
      <c r="AM20" s="131"/>
      <c r="AN20" s="152"/>
      <c r="AO20" s="152"/>
      <c r="AP20" s="153"/>
      <c r="AQ20" s="153"/>
      <c r="AR20" s="95"/>
      <c r="AS20" s="95"/>
      <c r="AT20" s="95"/>
      <c r="AU20" s="95"/>
      <c r="AV20" s="95"/>
      <c r="AW20" s="95"/>
      <c r="AX20" s="95"/>
      <c r="AY20" s="95"/>
      <c r="AZ20" s="95"/>
      <c r="BA20" s="95"/>
      <c r="BB20" s="95"/>
      <c r="BC20" s="95"/>
      <c r="BD20" s="95"/>
      <c r="BE20" s="95"/>
      <c r="BF20" s="95"/>
      <c r="BG20" s="95"/>
      <c r="BH20" s="95"/>
      <c r="BI20" s="95"/>
      <c r="BJ20" s="95"/>
      <c r="BK20" s="95"/>
      <c r="BL20" s="95"/>
      <c r="BM20" s="95"/>
      <c r="BN20" s="95"/>
      <c r="BO20" s="95"/>
      <c r="BP20" s="95"/>
      <c r="BQ20" s="95"/>
      <c r="BR20" s="95"/>
      <c r="BS20" s="95"/>
      <c r="BT20" s="95"/>
      <c r="BU20" s="95"/>
      <c r="BV20" s="95"/>
      <c r="BW20" s="95"/>
      <c r="BX20" s="95"/>
      <c r="BY20" s="95"/>
      <c r="BZ20" s="95"/>
      <c r="CA20" s="95"/>
      <c r="CB20" s="95"/>
      <c r="CC20" s="95"/>
      <c r="CD20" s="95"/>
      <c r="CE20" s="95"/>
      <c r="CF20" s="95"/>
      <c r="CG20" s="95"/>
      <c r="CH20" s="95"/>
      <c r="CI20" s="95"/>
      <c r="CJ20" s="95"/>
      <c r="CK20" s="95"/>
      <c r="CL20" s="95"/>
      <c r="CM20" s="95"/>
      <c r="CN20" s="95"/>
      <c r="CO20" s="95"/>
      <c r="CP20" s="95"/>
      <c r="CQ20" s="95"/>
      <c r="CR20" s="95"/>
      <c r="CS20" s="95"/>
      <c r="CT20" s="95"/>
      <c r="CU20" s="95"/>
      <c r="CV20" s="96"/>
      <c r="CW20" s="96"/>
      <c r="CX20" s="96"/>
      <c r="CY20" s="96"/>
      <c r="CZ20" s="96"/>
      <c r="DA20" s="96"/>
      <c r="DB20" s="96"/>
      <c r="DC20" s="96"/>
      <c r="DD20" s="96"/>
      <c r="DE20" s="96"/>
      <c r="DF20" s="96"/>
      <c r="DG20" s="96"/>
      <c r="DH20" s="96"/>
      <c r="DI20" s="96"/>
      <c r="DJ20" s="96"/>
      <c r="DK20" s="96"/>
      <c r="DL20" s="96"/>
      <c r="DM20" s="96"/>
      <c r="DN20" s="96"/>
      <c r="DO20" s="96"/>
      <c r="DP20" s="96"/>
      <c r="DQ20" s="96"/>
      <c r="DR20" s="96"/>
      <c r="DS20" s="96"/>
      <c r="DT20" s="96"/>
      <c r="DU20" s="96"/>
      <c r="DV20" s="96"/>
      <c r="DW20" s="96"/>
      <c r="DX20" s="96"/>
      <c r="DY20" s="96"/>
      <c r="DZ20" s="96"/>
      <c r="EA20" s="96"/>
      <c r="EB20" s="96"/>
      <c r="EC20" s="96"/>
      <c r="ED20" s="96"/>
      <c r="EE20" s="99"/>
      <c r="EF20" s="99"/>
      <c r="EG20" s="99"/>
      <c r="EH20" s="99"/>
      <c r="EI20" s="99"/>
      <c r="EJ20" s="99"/>
      <c r="EK20" s="99"/>
      <c r="EL20" s="99"/>
      <c r="EM20" s="99"/>
      <c r="EN20" s="99"/>
      <c r="EO20" s="99"/>
      <c r="EP20" s="99"/>
      <c r="EQ20" s="99"/>
      <c r="ER20" s="99"/>
      <c r="ES20" s="99"/>
      <c r="ET20" s="99"/>
      <c r="EU20" s="99"/>
      <c r="EV20" s="99"/>
      <c r="EW20" s="99"/>
      <c r="EX20" s="99"/>
      <c r="EY20" s="99"/>
      <c r="EZ20" s="99"/>
      <c r="FA20" s="99"/>
      <c r="FB20" s="99"/>
      <c r="FC20" s="99"/>
      <c r="FD20" s="99"/>
      <c r="FE20" s="99"/>
      <c r="FF20" s="99"/>
      <c r="FG20" s="99"/>
      <c r="FH20" s="99"/>
      <c r="FI20" s="99"/>
      <c r="FJ20" s="99"/>
      <c r="FK20" s="99"/>
      <c r="FL20" s="99"/>
      <c r="FM20" s="99"/>
      <c r="FN20" s="99"/>
    </row>
    <row r="21" spans="1:170" s="18" customFormat="1" ht="18" hidden="1" customHeight="1">
      <c r="A21" s="1808"/>
      <c r="B21" s="30"/>
      <c r="C21" s="932" t="s">
        <v>774</v>
      </c>
      <c r="D21" s="1055"/>
      <c r="E21" s="1055"/>
      <c r="F21" s="1055"/>
      <c r="G21" s="932"/>
      <c r="H21" s="1055"/>
      <c r="I21" s="933" t="s">
        <v>775</v>
      </c>
      <c r="J21" s="934" t="s">
        <v>273</v>
      </c>
      <c r="K21" s="934"/>
      <c r="L21" s="1056"/>
      <c r="M21" s="1058">
        <f>M8*M10/M13*M20%</f>
        <v>17.647058823529413</v>
      </c>
      <c r="N21" s="938"/>
      <c r="O21" s="1057"/>
      <c r="P21" s="989">
        <v>0</v>
      </c>
      <c r="Q21" s="989">
        <v>0</v>
      </c>
      <c r="R21" s="989">
        <v>0</v>
      </c>
      <c r="S21" s="131"/>
      <c r="T21" s="298"/>
      <c r="U21" s="298"/>
      <c r="V21" s="150"/>
      <c r="W21" s="299"/>
      <c r="X21" s="299"/>
      <c r="Y21" s="150"/>
      <c r="Z21" s="299"/>
      <c r="AA21" s="299"/>
      <c r="AB21" s="150"/>
      <c r="AC21" s="299"/>
      <c r="AD21" s="299"/>
      <c r="AE21" s="150"/>
      <c r="AF21" s="150"/>
      <c r="AG21" s="131"/>
      <c r="AH21" s="131"/>
      <c r="AI21" s="131"/>
      <c r="AJ21" s="131"/>
      <c r="AK21" s="131"/>
      <c r="AL21" s="131"/>
      <c r="AM21" s="131"/>
      <c r="AN21" s="152"/>
      <c r="AO21" s="152"/>
      <c r="AP21" s="153"/>
      <c r="AQ21" s="153"/>
      <c r="AR21" s="95"/>
      <c r="AS21" s="95"/>
      <c r="AT21" s="95"/>
      <c r="AU21" s="95"/>
      <c r="AV21" s="95"/>
      <c r="AW21" s="95"/>
      <c r="AX21" s="95"/>
      <c r="AY21" s="95"/>
      <c r="AZ21" s="95"/>
      <c r="BA21" s="95"/>
      <c r="BB21" s="95"/>
      <c r="BC21" s="95"/>
      <c r="BD21" s="95"/>
      <c r="BE21" s="95"/>
      <c r="BF21" s="95"/>
      <c r="BG21" s="95"/>
      <c r="BH21" s="95"/>
      <c r="BI21" s="95"/>
      <c r="BJ21" s="95"/>
      <c r="BK21" s="95"/>
      <c r="BL21" s="95"/>
      <c r="BM21" s="95"/>
      <c r="BN21" s="95"/>
      <c r="BO21" s="95"/>
      <c r="BP21" s="95"/>
      <c r="BQ21" s="95"/>
      <c r="BR21" s="95"/>
      <c r="BS21" s="95"/>
      <c r="BT21" s="95"/>
      <c r="BU21" s="95"/>
      <c r="BV21" s="95"/>
      <c r="BW21" s="95"/>
      <c r="BX21" s="95"/>
      <c r="BY21" s="95"/>
      <c r="BZ21" s="95"/>
      <c r="CA21" s="95"/>
      <c r="CB21" s="95"/>
      <c r="CC21" s="95"/>
      <c r="CD21" s="95"/>
      <c r="CE21" s="95"/>
      <c r="CF21" s="95"/>
      <c r="CG21" s="95"/>
      <c r="CH21" s="95"/>
      <c r="CI21" s="95"/>
      <c r="CJ21" s="95"/>
      <c r="CK21" s="95"/>
      <c r="CL21" s="95"/>
      <c r="CM21" s="95"/>
      <c r="CN21" s="95"/>
      <c r="CO21" s="95"/>
      <c r="CP21" s="95"/>
      <c r="CQ21" s="95"/>
      <c r="CR21" s="95"/>
      <c r="CS21" s="95"/>
      <c r="CT21" s="95"/>
      <c r="CU21" s="95"/>
      <c r="CV21" s="96"/>
      <c r="CW21" s="96"/>
      <c r="CX21" s="96"/>
      <c r="CY21" s="96"/>
      <c r="CZ21" s="96"/>
      <c r="DA21" s="96"/>
      <c r="DB21" s="96"/>
      <c r="DC21" s="96"/>
      <c r="DD21" s="96"/>
      <c r="DE21" s="96"/>
      <c r="DF21" s="96"/>
      <c r="DG21" s="96"/>
      <c r="DH21" s="96"/>
      <c r="DI21" s="96"/>
      <c r="DJ21" s="96"/>
      <c r="DK21" s="96"/>
      <c r="DL21" s="96"/>
      <c r="DM21" s="96"/>
      <c r="DN21" s="96"/>
      <c r="DO21" s="96"/>
      <c r="DP21" s="96"/>
      <c r="DQ21" s="96"/>
      <c r="DR21" s="96"/>
      <c r="DS21" s="96"/>
      <c r="DT21" s="96"/>
      <c r="DU21" s="96"/>
      <c r="DV21" s="96"/>
      <c r="DW21" s="96"/>
      <c r="DX21" s="96"/>
      <c r="DY21" s="96"/>
      <c r="DZ21" s="96"/>
      <c r="EA21" s="96"/>
      <c r="EB21" s="96"/>
      <c r="EC21" s="96"/>
      <c r="ED21" s="96"/>
      <c r="EE21" s="99"/>
      <c r="EF21" s="99"/>
      <c r="EG21" s="99"/>
      <c r="EH21" s="99"/>
      <c r="EI21" s="99"/>
      <c r="EJ21" s="99"/>
      <c r="EK21" s="99"/>
      <c r="EL21" s="99"/>
      <c r="EM21" s="99"/>
      <c r="EN21" s="99"/>
      <c r="EO21" s="99"/>
      <c r="EP21" s="99"/>
      <c r="EQ21" s="99"/>
      <c r="ER21" s="99"/>
      <c r="ES21" s="99"/>
      <c r="ET21" s="99"/>
      <c r="EU21" s="99"/>
      <c r="EV21" s="99"/>
      <c r="EW21" s="99"/>
      <c r="EX21" s="99"/>
      <c r="EY21" s="99"/>
      <c r="EZ21" s="99"/>
      <c r="FA21" s="99"/>
      <c r="FB21" s="99"/>
      <c r="FC21" s="99"/>
      <c r="FD21" s="99"/>
      <c r="FE21" s="99"/>
      <c r="FF21" s="99"/>
      <c r="FG21" s="99"/>
      <c r="FH21" s="99"/>
      <c r="FI21" s="99"/>
      <c r="FJ21" s="99"/>
      <c r="FK21" s="99"/>
      <c r="FL21" s="99"/>
      <c r="FM21" s="99"/>
      <c r="FN21" s="99"/>
    </row>
    <row r="22" spans="1:170" s="18" customFormat="1" ht="18" hidden="1" customHeight="1">
      <c r="A22" s="1808"/>
      <c r="B22" s="30"/>
      <c r="C22" s="932" t="s">
        <v>776</v>
      </c>
      <c r="D22" s="1055"/>
      <c r="E22" s="1055"/>
      <c r="F22" s="1055"/>
      <c r="G22" s="932"/>
      <c r="H22" s="1055"/>
      <c r="I22" s="933" t="s">
        <v>777</v>
      </c>
      <c r="J22" s="934" t="s">
        <v>273</v>
      </c>
      <c r="K22" s="934"/>
      <c r="L22" s="1056"/>
      <c r="M22" s="1058">
        <f>M21/M18</f>
        <v>23.529411764705884</v>
      </c>
      <c r="N22" s="938"/>
      <c r="O22" s="1057"/>
      <c r="P22" s="989">
        <v>0</v>
      </c>
      <c r="Q22" s="989">
        <v>0</v>
      </c>
      <c r="R22" s="989">
        <v>0</v>
      </c>
      <c r="S22" s="131"/>
      <c r="T22" s="298"/>
      <c r="U22" s="298"/>
      <c r="V22" s="150"/>
      <c r="W22" s="299"/>
      <c r="X22" s="299"/>
      <c r="Y22" s="150"/>
      <c r="Z22" s="299"/>
      <c r="AA22" s="299"/>
      <c r="AB22" s="150"/>
      <c r="AC22" s="299"/>
      <c r="AD22" s="299"/>
      <c r="AE22" s="150"/>
      <c r="AF22" s="150"/>
      <c r="AG22" s="131"/>
      <c r="AH22" s="131"/>
      <c r="AI22" s="131"/>
      <c r="AJ22" s="131"/>
      <c r="AK22" s="131"/>
      <c r="AL22" s="131"/>
      <c r="AM22" s="131"/>
      <c r="AN22" s="152"/>
      <c r="AO22" s="152"/>
      <c r="AP22" s="153"/>
      <c r="AQ22" s="153"/>
      <c r="AR22" s="95"/>
      <c r="AS22" s="95"/>
      <c r="AT22" s="95"/>
      <c r="AU22" s="95"/>
      <c r="AV22" s="95"/>
      <c r="AW22" s="95"/>
      <c r="AX22" s="95"/>
      <c r="AY22" s="95"/>
      <c r="AZ22" s="95"/>
      <c r="BA22" s="95"/>
      <c r="BB22" s="95"/>
      <c r="BC22" s="95"/>
      <c r="BD22" s="95"/>
      <c r="BE22" s="95"/>
      <c r="BF22" s="95"/>
      <c r="BG22" s="95"/>
      <c r="BH22" s="95"/>
      <c r="BI22" s="95"/>
      <c r="BJ22" s="95"/>
      <c r="BK22" s="95"/>
      <c r="BL22" s="95"/>
      <c r="BM22" s="95"/>
      <c r="BN22" s="95"/>
      <c r="BO22" s="95"/>
      <c r="BP22" s="95"/>
      <c r="BQ22" s="95"/>
      <c r="BR22" s="95"/>
      <c r="BS22" s="95"/>
      <c r="BT22" s="95"/>
      <c r="BU22" s="95"/>
      <c r="BV22" s="95"/>
      <c r="BW22" s="95"/>
      <c r="BX22" s="95"/>
      <c r="BY22" s="95"/>
      <c r="BZ22" s="95"/>
      <c r="CA22" s="95"/>
      <c r="CB22" s="95"/>
      <c r="CC22" s="95"/>
      <c r="CD22" s="95"/>
      <c r="CE22" s="95"/>
      <c r="CF22" s="95"/>
      <c r="CG22" s="95"/>
      <c r="CH22" s="95"/>
      <c r="CI22" s="95"/>
      <c r="CJ22" s="95"/>
      <c r="CK22" s="95"/>
      <c r="CL22" s="95"/>
      <c r="CM22" s="95"/>
      <c r="CN22" s="95"/>
      <c r="CO22" s="95"/>
      <c r="CP22" s="95"/>
      <c r="CQ22" s="95"/>
      <c r="CR22" s="95"/>
      <c r="CS22" s="95"/>
      <c r="CT22" s="95"/>
      <c r="CU22" s="95"/>
      <c r="CV22" s="96"/>
      <c r="CW22" s="96"/>
      <c r="CX22" s="96"/>
      <c r="CY22" s="96"/>
      <c r="CZ22" s="96"/>
      <c r="DA22" s="96"/>
      <c r="DB22" s="96"/>
      <c r="DC22" s="96"/>
      <c r="DD22" s="96"/>
      <c r="DE22" s="96"/>
      <c r="DF22" s="96"/>
      <c r="DG22" s="96"/>
      <c r="DH22" s="96"/>
      <c r="DI22" s="96"/>
      <c r="DJ22" s="96"/>
      <c r="DK22" s="96"/>
      <c r="DL22" s="96"/>
      <c r="DM22" s="96"/>
      <c r="DN22" s="96"/>
      <c r="DO22" s="96"/>
      <c r="DP22" s="96"/>
      <c r="DQ22" s="96"/>
      <c r="DR22" s="96"/>
      <c r="DS22" s="96"/>
      <c r="DT22" s="96"/>
      <c r="DU22" s="96"/>
      <c r="DV22" s="96"/>
      <c r="DW22" s="96"/>
      <c r="DX22" s="96"/>
      <c r="DY22" s="96"/>
      <c r="DZ22" s="96"/>
      <c r="EA22" s="96"/>
      <c r="EB22" s="96"/>
      <c r="EC22" s="96"/>
      <c r="ED22" s="96"/>
      <c r="EE22" s="99"/>
      <c r="EF22" s="99"/>
      <c r="EG22" s="99"/>
      <c r="EH22" s="99"/>
      <c r="EI22" s="99"/>
      <c r="EJ22" s="99"/>
      <c r="EK22" s="99"/>
      <c r="EL22" s="99"/>
      <c r="EM22" s="99"/>
      <c r="EN22" s="99"/>
      <c r="EO22" s="99"/>
      <c r="EP22" s="99"/>
      <c r="EQ22" s="99"/>
      <c r="ER22" s="99"/>
      <c r="ES22" s="99"/>
      <c r="ET22" s="99"/>
      <c r="EU22" s="99"/>
      <c r="EV22" s="99"/>
      <c r="EW22" s="99"/>
      <c r="EX22" s="99"/>
      <c r="EY22" s="99"/>
      <c r="EZ22" s="99"/>
      <c r="FA22" s="99"/>
      <c r="FB22" s="99"/>
      <c r="FC22" s="99"/>
      <c r="FD22" s="99"/>
      <c r="FE22" s="99"/>
      <c r="FF22" s="99"/>
      <c r="FG22" s="99"/>
      <c r="FH22" s="99"/>
      <c r="FI22" s="99"/>
      <c r="FJ22" s="99"/>
      <c r="FK22" s="99"/>
      <c r="FL22" s="99"/>
      <c r="FM22" s="99"/>
      <c r="FN22" s="99"/>
    </row>
    <row r="23" spans="1:170" s="18" customFormat="1" ht="18" hidden="1" customHeight="1">
      <c r="A23" s="1808"/>
      <c r="B23" s="1059"/>
      <c r="C23" s="932" t="s">
        <v>778</v>
      </c>
      <c r="D23" s="1055"/>
      <c r="E23" s="1055"/>
      <c r="F23" s="1055"/>
      <c r="G23" s="932"/>
      <c r="H23" s="1055"/>
      <c r="I23" s="933" t="s">
        <v>779</v>
      </c>
      <c r="J23" s="934" t="s">
        <v>273</v>
      </c>
      <c r="K23" s="934"/>
      <c r="L23" s="1056"/>
      <c r="M23" s="1058">
        <f>M12-M22</f>
        <v>26.470588235294116</v>
      </c>
      <c r="N23" s="938"/>
      <c r="O23" s="1057"/>
      <c r="P23" s="989">
        <v>0</v>
      </c>
      <c r="Q23" s="989">
        <v>0</v>
      </c>
      <c r="R23" s="989">
        <v>0</v>
      </c>
      <c r="S23" s="131"/>
      <c r="T23" s="298"/>
      <c r="U23" s="298"/>
      <c r="V23" s="150"/>
      <c r="W23" s="299"/>
      <c r="X23" s="299"/>
      <c r="Y23" s="150"/>
      <c r="Z23" s="299"/>
      <c r="AA23" s="299"/>
      <c r="AB23" s="150"/>
      <c r="AC23" s="299"/>
      <c r="AD23" s="299"/>
      <c r="AE23" s="150"/>
      <c r="AF23" s="150"/>
      <c r="AG23" s="131"/>
      <c r="AH23" s="131"/>
      <c r="AI23" s="131"/>
      <c r="AJ23" s="131"/>
      <c r="AK23" s="131"/>
      <c r="AL23" s="131"/>
      <c r="AM23" s="131"/>
      <c r="AN23" s="152"/>
      <c r="AO23" s="152"/>
      <c r="AP23" s="153"/>
      <c r="AQ23" s="153"/>
      <c r="AR23" s="95"/>
      <c r="AS23" s="95"/>
      <c r="AT23" s="95"/>
      <c r="AU23" s="95"/>
      <c r="AV23" s="95"/>
      <c r="AW23" s="95"/>
      <c r="AX23" s="95"/>
      <c r="AY23" s="95"/>
      <c r="AZ23" s="95"/>
      <c r="BA23" s="95"/>
      <c r="BB23" s="95"/>
      <c r="BC23" s="95"/>
      <c r="BD23" s="95"/>
      <c r="BE23" s="95"/>
      <c r="BF23" s="95"/>
      <c r="BG23" s="95"/>
      <c r="BH23" s="95"/>
      <c r="BI23" s="95"/>
      <c r="BJ23" s="95"/>
      <c r="BK23" s="95"/>
      <c r="BL23" s="95"/>
      <c r="BM23" s="95"/>
      <c r="BN23" s="95"/>
      <c r="BO23" s="95"/>
      <c r="BP23" s="95"/>
      <c r="BQ23" s="95"/>
      <c r="BR23" s="95"/>
      <c r="BS23" s="95"/>
      <c r="BT23" s="95"/>
      <c r="BU23" s="95"/>
      <c r="BV23" s="95"/>
      <c r="BW23" s="95"/>
      <c r="BX23" s="95"/>
      <c r="BY23" s="95"/>
      <c r="BZ23" s="95"/>
      <c r="CA23" s="95"/>
      <c r="CB23" s="95"/>
      <c r="CC23" s="95"/>
      <c r="CD23" s="95"/>
      <c r="CE23" s="95"/>
      <c r="CF23" s="95"/>
      <c r="CG23" s="95"/>
      <c r="CH23" s="95"/>
      <c r="CI23" s="95"/>
      <c r="CJ23" s="95"/>
      <c r="CK23" s="95"/>
      <c r="CL23" s="95"/>
      <c r="CM23" s="95"/>
      <c r="CN23" s="95"/>
      <c r="CO23" s="95"/>
      <c r="CP23" s="95"/>
      <c r="CQ23" s="95"/>
      <c r="CR23" s="95"/>
      <c r="CS23" s="95"/>
      <c r="CT23" s="95"/>
      <c r="CU23" s="95"/>
      <c r="CV23" s="96"/>
      <c r="CW23" s="96"/>
      <c r="CX23" s="96"/>
      <c r="CY23" s="96"/>
      <c r="CZ23" s="96"/>
      <c r="DA23" s="96"/>
      <c r="DB23" s="96"/>
      <c r="DC23" s="96"/>
      <c r="DD23" s="96"/>
      <c r="DE23" s="96"/>
      <c r="DF23" s="96"/>
      <c r="DG23" s="96"/>
      <c r="DH23" s="96"/>
      <c r="DI23" s="96"/>
      <c r="DJ23" s="96"/>
      <c r="DK23" s="96"/>
      <c r="DL23" s="96"/>
      <c r="DM23" s="96"/>
      <c r="DN23" s="96"/>
      <c r="DO23" s="96"/>
      <c r="DP23" s="96"/>
      <c r="DQ23" s="96"/>
      <c r="DR23" s="96"/>
      <c r="DS23" s="96"/>
      <c r="DT23" s="96"/>
      <c r="DU23" s="96"/>
      <c r="DV23" s="96"/>
      <c r="DW23" s="96"/>
      <c r="DX23" s="96"/>
      <c r="DY23" s="96"/>
      <c r="DZ23" s="96"/>
      <c r="EA23" s="96"/>
      <c r="EB23" s="96"/>
      <c r="EC23" s="96"/>
      <c r="ED23" s="96"/>
      <c r="EE23" s="99"/>
      <c r="EF23" s="99"/>
      <c r="EG23" s="99"/>
      <c r="EH23" s="99"/>
      <c r="EI23" s="99"/>
      <c r="EJ23" s="99"/>
      <c r="EK23" s="99"/>
      <c r="EL23" s="99"/>
      <c r="EM23" s="99"/>
      <c r="EN23" s="99"/>
      <c r="EO23" s="99"/>
      <c r="EP23" s="99"/>
      <c r="EQ23" s="99"/>
      <c r="ER23" s="99"/>
      <c r="ES23" s="99"/>
      <c r="ET23" s="99"/>
      <c r="EU23" s="99"/>
      <c r="EV23" s="99"/>
      <c r="EW23" s="99"/>
      <c r="EX23" s="99"/>
      <c r="EY23" s="99"/>
      <c r="EZ23" s="99"/>
      <c r="FA23" s="99"/>
      <c r="FB23" s="99"/>
      <c r="FC23" s="99"/>
      <c r="FD23" s="99"/>
      <c r="FE23" s="99"/>
      <c r="FF23" s="99"/>
      <c r="FG23" s="99"/>
      <c r="FH23" s="99"/>
      <c r="FI23" s="99"/>
      <c r="FJ23" s="99"/>
      <c r="FK23" s="99"/>
      <c r="FL23" s="99"/>
      <c r="FM23" s="99"/>
      <c r="FN23" s="99"/>
    </row>
    <row r="24" spans="1:170" s="18" customFormat="1" ht="18" customHeight="1">
      <c r="A24" s="1808"/>
      <c r="B24" s="416">
        <v>310</v>
      </c>
      <c r="C24" s="493" t="str">
        <f>VLOOKUP(B24,Begriffe!$A$6:$E$442,Begriffe!$D$1+2)</f>
        <v>Gesamtenergiedurchlassgrad Verglasung</v>
      </c>
      <c r="D24" s="185"/>
      <c r="E24" s="179"/>
      <c r="F24" s="21"/>
      <c r="G24" s="184"/>
      <c r="H24" s="21"/>
      <c r="I24" s="178" t="s">
        <v>32</v>
      </c>
      <c r="J24" s="188" t="s">
        <v>272</v>
      </c>
      <c r="K24" s="188"/>
      <c r="L24" s="1165"/>
      <c r="M24" s="1158">
        <f>IF(L24&lt;&gt;"",L24,INDEX(Eingabedaten!$D$10:$CY$54,nutzid,MATCH($C24,Eingabedaten!$D$7:$CY$7,0)))</f>
        <v>0.5</v>
      </c>
      <c r="N24" s="986">
        <f>INDEX(Eingabedaten!$D$10:$CY$54,nutzid,MATCH($C24,Eingabedaten!$D$7:$CY$7,0)+1)</f>
        <v>0.5</v>
      </c>
      <c r="O24" s="986">
        <f>INDEX(Eingabedaten!$D$10:$CY$54,nutzid,MATCH($C24,Eingabedaten!$D$7:$CY$7,0)+2)</f>
        <v>0.65</v>
      </c>
      <c r="P24" s="989">
        <v>0</v>
      </c>
      <c r="Q24" s="989">
        <v>1</v>
      </c>
      <c r="R24" s="989">
        <v>0</v>
      </c>
      <c r="S24" s="131"/>
      <c r="T24" s="298"/>
      <c r="U24" s="298"/>
      <c r="V24" s="150"/>
      <c r="W24" s="299"/>
      <c r="X24" s="299"/>
      <c r="Y24" s="150"/>
      <c r="Z24" s="299"/>
      <c r="AA24" s="299"/>
      <c r="AB24" s="150"/>
      <c r="AC24" s="299"/>
      <c r="AD24" s="299"/>
      <c r="AE24" s="150"/>
      <c r="AF24" s="150"/>
      <c r="AG24" s="131"/>
      <c r="AH24" s="131"/>
      <c r="AI24" s="131"/>
      <c r="AJ24" s="131"/>
      <c r="AK24" s="131"/>
      <c r="AL24" s="131"/>
      <c r="AM24" s="131"/>
      <c r="AN24" s="152"/>
      <c r="AO24" s="152"/>
      <c r="AP24" s="153"/>
      <c r="AQ24" s="153"/>
      <c r="AR24" s="95"/>
      <c r="AS24" s="95"/>
      <c r="AT24" s="95"/>
      <c r="AU24" s="95"/>
      <c r="AV24" s="95"/>
      <c r="AW24" s="95"/>
      <c r="AX24" s="95"/>
      <c r="AY24" s="95"/>
      <c r="AZ24" s="95"/>
      <c r="BA24" s="95"/>
      <c r="BB24" s="95"/>
      <c r="BC24" s="95"/>
      <c r="BD24" s="95"/>
      <c r="BE24" s="95"/>
      <c r="BF24" s="95"/>
      <c r="BG24" s="95"/>
      <c r="BH24" s="95"/>
      <c r="BI24" s="95"/>
      <c r="BJ24" s="95"/>
      <c r="BK24" s="95"/>
      <c r="BL24" s="95"/>
      <c r="BM24" s="95"/>
      <c r="BN24" s="95"/>
      <c r="BO24" s="95"/>
      <c r="BP24" s="95"/>
      <c r="BQ24" s="95"/>
      <c r="BR24" s="95"/>
      <c r="BS24" s="95"/>
      <c r="BT24" s="95"/>
      <c r="BU24" s="95"/>
      <c r="BV24" s="95"/>
      <c r="BW24" s="95"/>
      <c r="BX24" s="95"/>
      <c r="BY24" s="95"/>
      <c r="BZ24" s="95"/>
      <c r="CA24" s="95"/>
      <c r="CB24" s="95"/>
      <c r="CC24" s="95"/>
      <c r="CD24" s="95"/>
      <c r="CE24" s="95"/>
      <c r="CF24" s="95"/>
      <c r="CG24" s="95"/>
      <c r="CH24" s="95"/>
      <c r="CI24" s="95"/>
      <c r="CJ24" s="95"/>
      <c r="CK24" s="95"/>
      <c r="CL24" s="95"/>
      <c r="CM24" s="95"/>
      <c r="CN24" s="95"/>
      <c r="CO24" s="95"/>
      <c r="CP24" s="95"/>
      <c r="CQ24" s="95"/>
      <c r="CR24" s="95"/>
      <c r="CS24" s="95"/>
      <c r="CT24" s="95"/>
      <c r="CU24" s="95"/>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6"/>
      <c r="DT24" s="96"/>
      <c r="DU24" s="96"/>
      <c r="DV24" s="96"/>
      <c r="DW24" s="96"/>
      <c r="DX24" s="96"/>
      <c r="DY24" s="96"/>
      <c r="DZ24" s="96"/>
      <c r="EA24" s="96"/>
      <c r="EB24" s="96"/>
      <c r="EC24" s="96"/>
      <c r="ED24" s="96"/>
      <c r="EE24" s="99"/>
      <c r="EF24" s="99"/>
      <c r="EG24" s="99"/>
      <c r="EH24" s="99"/>
      <c r="EI24" s="99"/>
      <c r="EJ24" s="99"/>
      <c r="EK24" s="99"/>
      <c r="EL24" s="99"/>
      <c r="EM24" s="99"/>
      <c r="EN24" s="99"/>
      <c r="EO24" s="99"/>
      <c r="EP24" s="99"/>
      <c r="EQ24" s="99"/>
      <c r="ER24" s="99"/>
      <c r="ES24" s="99"/>
      <c r="ET24" s="99"/>
      <c r="EU24" s="99"/>
      <c r="EV24" s="99"/>
      <c r="EW24" s="99"/>
      <c r="EX24" s="99"/>
      <c r="EY24" s="99"/>
      <c r="EZ24" s="99"/>
      <c r="FA24" s="99"/>
      <c r="FB24" s="99"/>
      <c r="FC24" s="99"/>
      <c r="FD24" s="99"/>
      <c r="FE24" s="99"/>
      <c r="FF24" s="99"/>
      <c r="FG24" s="99"/>
      <c r="FH24" s="99"/>
      <c r="FI24" s="99"/>
      <c r="FJ24" s="99"/>
      <c r="FK24" s="99"/>
      <c r="FL24" s="99"/>
      <c r="FM24" s="99"/>
      <c r="FN24" s="99"/>
    </row>
    <row r="25" spans="1:170" s="18" customFormat="1" ht="18" customHeight="1">
      <c r="A25" s="1808"/>
      <c r="B25" s="416">
        <v>311</v>
      </c>
      <c r="C25" s="493" t="str">
        <f>VLOOKUP(B25,Begriffe!$A$6:$E$442,Begriffe!$D$1+2)</f>
        <v>Gesamtenergiedurchlassgrad Verglasung und Sonnenschutz</v>
      </c>
      <c r="D25" s="185"/>
      <c r="E25" s="179"/>
      <c r="F25" s="21"/>
      <c r="G25" s="184"/>
      <c r="H25" s="21"/>
      <c r="I25" s="209" t="s">
        <v>708</v>
      </c>
      <c r="J25" s="188" t="s">
        <v>272</v>
      </c>
      <c r="K25" s="188"/>
      <c r="L25" s="1165"/>
      <c r="M25" s="1158">
        <f>IF(L25&lt;&gt;"",L25,INDEX(Eingabedaten!$D$10:$CY$54,nutzid,MATCH($C25,Eingabedaten!$D$7:$CY$7,0)))</f>
        <v>0.14000000000000001</v>
      </c>
      <c r="N25" s="986">
        <f>INDEX(Eingabedaten!$D$10:$CY$54,nutzid,MATCH($C25,Eingabedaten!$D$7:$CY$7,0)+1)</f>
        <v>0.1</v>
      </c>
      <c r="O25" s="986">
        <f>INDEX(Eingabedaten!$D$10:$CY$54,nutzid,MATCH($C25,Eingabedaten!$D$7:$CY$7,0)+2)</f>
        <v>0.2</v>
      </c>
      <c r="P25" s="989">
        <v>0</v>
      </c>
      <c r="Q25" s="989">
        <v>1</v>
      </c>
      <c r="R25" s="989">
        <v>0</v>
      </c>
      <c r="S25" s="131"/>
      <c r="T25" s="298"/>
      <c r="U25" s="298"/>
      <c r="V25" s="150"/>
      <c r="W25" s="299"/>
      <c r="X25" s="299"/>
      <c r="Y25" s="150"/>
      <c r="Z25" s="299"/>
      <c r="AA25" s="299"/>
      <c r="AB25" s="150"/>
      <c r="AC25" s="299"/>
      <c r="AD25" s="299"/>
      <c r="AE25" s="150"/>
      <c r="AF25" s="150"/>
      <c r="AG25" s="131"/>
      <c r="AH25" s="131"/>
      <c r="AI25" s="131"/>
      <c r="AJ25" s="131"/>
      <c r="AK25" s="131"/>
      <c r="AL25" s="131"/>
      <c r="AM25" s="131"/>
      <c r="AN25" s="152"/>
      <c r="AO25" s="152"/>
      <c r="AP25" s="153"/>
      <c r="AQ25" s="153"/>
      <c r="AR25" s="95"/>
      <c r="AS25" s="95"/>
      <c r="AT25" s="95"/>
      <c r="AU25" s="95"/>
      <c r="AV25" s="95"/>
      <c r="AW25" s="95"/>
      <c r="AX25" s="95"/>
      <c r="AY25" s="95"/>
      <c r="AZ25" s="95"/>
      <c r="BA25" s="95"/>
      <c r="BB25" s="95"/>
      <c r="BC25" s="95"/>
      <c r="BD25" s="95"/>
      <c r="BE25" s="95"/>
      <c r="BF25" s="95"/>
      <c r="BG25" s="95"/>
      <c r="BH25" s="95"/>
      <c r="BI25" s="95"/>
      <c r="BJ25" s="95"/>
      <c r="BK25" s="95"/>
      <c r="BL25" s="95"/>
      <c r="BM25" s="95"/>
      <c r="BN25" s="95"/>
      <c r="BO25" s="95"/>
      <c r="BP25" s="95"/>
      <c r="BQ25" s="95"/>
      <c r="BR25" s="95"/>
      <c r="BS25" s="95"/>
      <c r="BT25" s="95"/>
      <c r="BU25" s="95"/>
      <c r="BV25" s="95"/>
      <c r="BW25" s="95"/>
      <c r="BX25" s="95"/>
      <c r="BY25" s="95"/>
      <c r="BZ25" s="95"/>
      <c r="CA25" s="95"/>
      <c r="CB25" s="95"/>
      <c r="CC25" s="95"/>
      <c r="CD25" s="95"/>
      <c r="CE25" s="95"/>
      <c r="CF25" s="95"/>
      <c r="CG25" s="95"/>
      <c r="CH25" s="95"/>
      <c r="CI25" s="95"/>
      <c r="CJ25" s="95"/>
      <c r="CK25" s="95"/>
      <c r="CL25" s="95"/>
      <c r="CM25" s="95"/>
      <c r="CN25" s="95"/>
      <c r="CO25" s="95"/>
      <c r="CP25" s="95"/>
      <c r="CQ25" s="95"/>
      <c r="CR25" s="95"/>
      <c r="CS25" s="95"/>
      <c r="CT25" s="95"/>
      <c r="CU25" s="95"/>
      <c r="CV25" s="96"/>
      <c r="CW25" s="96"/>
      <c r="CX25" s="96"/>
      <c r="CY25" s="96"/>
      <c r="CZ25" s="96"/>
      <c r="DA25" s="96"/>
      <c r="DB25" s="96"/>
      <c r="DC25" s="96"/>
      <c r="DD25" s="96"/>
      <c r="DE25" s="96"/>
      <c r="DF25" s="96"/>
      <c r="DG25" s="96"/>
      <c r="DH25" s="96"/>
      <c r="DI25" s="96"/>
      <c r="DJ25" s="96"/>
      <c r="DK25" s="96"/>
      <c r="DL25" s="96"/>
      <c r="DM25" s="96"/>
      <c r="DN25" s="96"/>
      <c r="DO25" s="96"/>
      <c r="DP25" s="96"/>
      <c r="DQ25" s="96"/>
      <c r="DR25" s="96"/>
      <c r="DS25" s="96"/>
      <c r="DT25" s="96"/>
      <c r="DU25" s="96"/>
      <c r="DV25" s="96"/>
      <c r="DW25" s="96"/>
      <c r="DX25" s="96"/>
      <c r="DY25" s="96"/>
      <c r="DZ25" s="96"/>
      <c r="EA25" s="96"/>
      <c r="EB25" s="96"/>
      <c r="EC25" s="96"/>
      <c r="ED25" s="96"/>
      <c r="EE25" s="99"/>
      <c r="EF25" s="99"/>
      <c r="EG25" s="99"/>
      <c r="EH25" s="99"/>
      <c r="EI25" s="99"/>
      <c r="EJ25" s="99"/>
      <c r="EK25" s="99"/>
      <c r="EL25" s="99"/>
      <c r="EM25" s="99"/>
      <c r="EN25" s="99"/>
      <c r="EO25" s="99"/>
      <c r="EP25" s="99"/>
      <c r="EQ25" s="99"/>
      <c r="ER25" s="99"/>
      <c r="ES25" s="99"/>
      <c r="ET25" s="99"/>
      <c r="EU25" s="99"/>
      <c r="EV25" s="99"/>
      <c r="EW25" s="99"/>
      <c r="EX25" s="99"/>
      <c r="EY25" s="99"/>
      <c r="EZ25" s="99"/>
      <c r="FA25" s="99"/>
      <c r="FB25" s="99"/>
      <c r="FC25" s="99"/>
      <c r="FD25" s="99"/>
      <c r="FE25" s="99"/>
      <c r="FF25" s="99"/>
      <c r="FG25" s="99"/>
      <c r="FH25" s="99"/>
      <c r="FI25" s="99"/>
      <c r="FJ25" s="99"/>
      <c r="FK25" s="99"/>
      <c r="FL25" s="99"/>
      <c r="FM25" s="99"/>
      <c r="FN25" s="99"/>
    </row>
    <row r="26" spans="1:170" s="18" customFormat="1" ht="18" customHeight="1">
      <c r="A26" s="1808"/>
      <c r="B26" s="416">
        <v>184</v>
      </c>
      <c r="C26" s="493" t="str">
        <f>VLOOKUP(B26,Begriffe!$A$6:$E$442,Begriffe!$D$1+2)</f>
        <v>Wärmespeicherfähigkeit des Raumes</v>
      </c>
      <c r="D26" s="13"/>
      <c r="E26" s="327"/>
      <c r="F26" s="493"/>
      <c r="G26" s="1806"/>
      <c r="H26" s="1807"/>
      <c r="I26" s="209" t="s">
        <v>234</v>
      </c>
      <c r="J26" s="871" t="s">
        <v>238</v>
      </c>
      <c r="K26" s="871"/>
      <c r="L26" s="1164"/>
      <c r="M26" s="1157">
        <f>IF(L26&lt;&gt;"",L26,INDEX(Eingabedaten!$D$10:$CY$54,nutzid,MATCH($C26,Eingabedaten!$D$7:$CY$7,0)))</f>
        <v>111.9</v>
      </c>
      <c r="N26" s="987">
        <f>M26</f>
        <v>111.9</v>
      </c>
      <c r="O26" s="987">
        <f>M26</f>
        <v>111.9</v>
      </c>
      <c r="P26" s="989">
        <v>0</v>
      </c>
      <c r="Q26" s="989">
        <v>1</v>
      </c>
      <c r="R26" s="989">
        <v>0</v>
      </c>
      <c r="S26" s="131"/>
      <c r="T26" s="298"/>
      <c r="U26" s="298"/>
      <c r="V26" s="150"/>
      <c r="W26" s="299"/>
      <c r="X26" s="299"/>
      <c r="Y26" s="150"/>
      <c r="Z26" s="299"/>
      <c r="AA26" s="299"/>
      <c r="AB26" s="150"/>
      <c r="AC26" s="299"/>
      <c r="AD26" s="299"/>
      <c r="AE26" s="150"/>
      <c r="AF26" s="150"/>
      <c r="AG26" s="131"/>
      <c r="AH26" s="131"/>
      <c r="AI26" s="131"/>
      <c r="AJ26" s="131"/>
      <c r="AK26" s="131"/>
      <c r="AL26" s="131"/>
      <c r="AM26" s="131"/>
      <c r="AN26" s="152"/>
      <c r="AO26" s="152"/>
      <c r="AP26" s="153"/>
      <c r="AQ26" s="153"/>
      <c r="AR26" s="95"/>
      <c r="AS26" s="95"/>
      <c r="AT26" s="95"/>
      <c r="AU26" s="95"/>
      <c r="AV26" s="95"/>
      <c r="AW26" s="95"/>
      <c r="AX26" s="95"/>
      <c r="AY26" s="95"/>
      <c r="AZ26" s="95"/>
      <c r="BA26" s="95"/>
      <c r="BB26" s="95"/>
      <c r="BC26" s="95"/>
      <c r="BD26" s="95"/>
      <c r="BE26" s="95"/>
      <c r="BF26" s="95"/>
      <c r="BG26" s="95"/>
      <c r="BH26" s="95"/>
      <c r="BI26" s="95"/>
      <c r="BJ26" s="95"/>
      <c r="BK26" s="95"/>
      <c r="BL26" s="95"/>
      <c r="BM26" s="95"/>
      <c r="BN26" s="95"/>
      <c r="BO26" s="95"/>
      <c r="BP26" s="95"/>
      <c r="BQ26" s="95"/>
      <c r="BR26" s="95"/>
      <c r="BS26" s="95"/>
      <c r="BT26" s="95"/>
      <c r="BU26" s="95"/>
      <c r="BV26" s="95"/>
      <c r="BW26" s="95"/>
      <c r="BX26" s="95"/>
      <c r="BY26" s="95"/>
      <c r="BZ26" s="95"/>
      <c r="CA26" s="95"/>
      <c r="CB26" s="95"/>
      <c r="CC26" s="95"/>
      <c r="CD26" s="95"/>
      <c r="CE26" s="95"/>
      <c r="CF26" s="95"/>
      <c r="CG26" s="95"/>
      <c r="CH26" s="95"/>
      <c r="CI26" s="95"/>
      <c r="CJ26" s="95"/>
      <c r="CK26" s="95"/>
      <c r="CL26" s="95"/>
      <c r="CM26" s="95"/>
      <c r="CN26" s="95"/>
      <c r="CO26" s="95"/>
      <c r="CP26" s="95"/>
      <c r="CQ26" s="95"/>
      <c r="CR26" s="95"/>
      <c r="CS26" s="95"/>
      <c r="CT26" s="95"/>
      <c r="CU26" s="95"/>
      <c r="CV26" s="96"/>
      <c r="CW26" s="96"/>
      <c r="CX26" s="96"/>
      <c r="CY26" s="96"/>
      <c r="CZ26" s="96"/>
      <c r="DA26" s="96"/>
      <c r="DB26" s="96"/>
      <c r="DC26" s="96"/>
      <c r="DD26" s="96"/>
      <c r="DE26" s="96"/>
      <c r="DF26" s="96"/>
      <c r="DG26" s="96"/>
      <c r="DH26" s="96"/>
      <c r="DI26" s="96"/>
      <c r="DJ26" s="96"/>
      <c r="DK26" s="96"/>
      <c r="DL26" s="96"/>
      <c r="DM26" s="96"/>
      <c r="DN26" s="96"/>
      <c r="DO26" s="96"/>
      <c r="DP26" s="96"/>
      <c r="DQ26" s="96"/>
      <c r="DR26" s="96"/>
      <c r="DS26" s="96"/>
      <c r="DT26" s="96"/>
      <c r="DU26" s="96"/>
      <c r="DV26" s="96"/>
      <c r="DW26" s="96"/>
      <c r="DX26" s="96"/>
      <c r="DY26" s="96"/>
      <c r="DZ26" s="96"/>
      <c r="EA26" s="96"/>
      <c r="EB26" s="96"/>
      <c r="EC26" s="96"/>
      <c r="ED26" s="96"/>
      <c r="EE26" s="99"/>
      <c r="EF26" s="99"/>
      <c r="EG26" s="99"/>
      <c r="EH26" s="99"/>
      <c r="EI26" s="99"/>
      <c r="EJ26" s="99"/>
      <c r="EK26" s="99"/>
      <c r="EL26" s="99"/>
      <c r="EM26" s="99"/>
      <c r="EN26" s="99"/>
      <c r="EO26" s="99"/>
      <c r="EP26" s="99"/>
      <c r="EQ26" s="99"/>
      <c r="ER26" s="99"/>
      <c r="ES26" s="99"/>
      <c r="ET26" s="99"/>
      <c r="EU26" s="99"/>
      <c r="EV26" s="99"/>
      <c r="EW26" s="99"/>
      <c r="EX26" s="99"/>
      <c r="EY26" s="99"/>
      <c r="EZ26" s="99"/>
      <c r="FA26" s="99"/>
      <c r="FB26" s="99"/>
      <c r="FC26" s="99"/>
      <c r="FD26" s="99"/>
      <c r="FE26" s="99"/>
      <c r="FF26" s="99"/>
      <c r="FG26" s="99"/>
      <c r="FH26" s="99"/>
      <c r="FI26" s="99"/>
      <c r="FJ26" s="99"/>
      <c r="FK26" s="99"/>
      <c r="FL26" s="99"/>
      <c r="FM26" s="99"/>
      <c r="FN26" s="99"/>
    </row>
    <row r="27" spans="1:170" s="18" customFormat="1" ht="15.75" customHeight="1">
      <c r="A27" s="1808"/>
      <c r="B27" s="416"/>
      <c r="C27" s="184"/>
      <c r="D27" s="185"/>
      <c r="E27" s="179"/>
      <c r="F27" s="21"/>
      <c r="G27" s="184"/>
      <c r="H27" s="21"/>
      <c r="I27" s="178"/>
      <c r="J27" s="188"/>
      <c r="K27" s="188"/>
      <c r="L27" s="188"/>
      <c r="M27" s="314"/>
      <c r="N27" s="314"/>
      <c r="O27" s="314"/>
      <c r="P27" s="989">
        <v>0</v>
      </c>
      <c r="Q27" s="989">
        <v>1</v>
      </c>
      <c r="R27" s="989">
        <v>0</v>
      </c>
      <c r="S27" s="131"/>
      <c r="T27" s="298"/>
      <c r="U27" s="298"/>
      <c r="V27" s="150"/>
      <c r="W27" s="299"/>
      <c r="X27" s="299"/>
      <c r="Y27" s="150"/>
      <c r="Z27" s="299"/>
      <c r="AA27" s="299"/>
      <c r="AB27" s="150"/>
      <c r="AC27" s="299"/>
      <c r="AD27" s="299"/>
      <c r="AE27" s="150"/>
      <c r="AF27" s="150"/>
      <c r="AG27" s="131"/>
      <c r="AH27" s="131"/>
      <c r="AI27" s="131"/>
      <c r="AJ27" s="131"/>
      <c r="AK27" s="131"/>
      <c r="AL27" s="131"/>
      <c r="AM27" s="131"/>
      <c r="AN27" s="152"/>
      <c r="AO27" s="152"/>
      <c r="AP27" s="153"/>
      <c r="AQ27" s="153"/>
      <c r="AR27" s="95"/>
      <c r="AS27" s="95"/>
      <c r="AT27" s="95"/>
      <c r="AU27" s="95"/>
      <c r="AV27" s="95"/>
      <c r="AW27" s="95"/>
      <c r="AX27" s="95"/>
      <c r="AY27" s="95"/>
      <c r="AZ27" s="95"/>
      <c r="BA27" s="95"/>
      <c r="BB27" s="95"/>
      <c r="BC27" s="95"/>
      <c r="BD27" s="95"/>
      <c r="BE27" s="95"/>
      <c r="BF27" s="95"/>
      <c r="BG27" s="95"/>
      <c r="BH27" s="95"/>
      <c r="BI27" s="95"/>
      <c r="BJ27" s="95"/>
      <c r="BK27" s="95"/>
      <c r="BL27" s="95"/>
      <c r="BM27" s="95"/>
      <c r="BN27" s="95"/>
      <c r="BO27" s="95"/>
      <c r="BP27" s="95"/>
      <c r="BQ27" s="95"/>
      <c r="BR27" s="95"/>
      <c r="BS27" s="95"/>
      <c r="BT27" s="95"/>
      <c r="BU27" s="95"/>
      <c r="BV27" s="95"/>
      <c r="BW27" s="95"/>
      <c r="BX27" s="95"/>
      <c r="BY27" s="95"/>
      <c r="BZ27" s="95"/>
      <c r="CA27" s="95"/>
      <c r="CB27" s="95"/>
      <c r="CC27" s="95"/>
      <c r="CD27" s="95"/>
      <c r="CE27" s="95"/>
      <c r="CF27" s="95"/>
      <c r="CG27" s="95"/>
      <c r="CH27" s="95"/>
      <c r="CI27" s="95"/>
      <c r="CJ27" s="95"/>
      <c r="CK27" s="95"/>
      <c r="CL27" s="95"/>
      <c r="CM27" s="95"/>
      <c r="CN27" s="95"/>
      <c r="CO27" s="95"/>
      <c r="CP27" s="95"/>
      <c r="CQ27" s="95"/>
      <c r="CR27" s="95"/>
      <c r="CS27" s="95"/>
      <c r="CT27" s="95"/>
      <c r="CU27" s="95"/>
      <c r="CV27" s="96"/>
      <c r="CW27" s="96"/>
      <c r="CX27" s="96"/>
      <c r="CY27" s="96"/>
      <c r="CZ27" s="96"/>
      <c r="DA27" s="96"/>
      <c r="DB27" s="96"/>
      <c r="DC27" s="96"/>
      <c r="DD27" s="96"/>
      <c r="DE27" s="96"/>
      <c r="DF27" s="96"/>
      <c r="DG27" s="96"/>
      <c r="DH27" s="96"/>
      <c r="DI27" s="96"/>
      <c r="DJ27" s="96"/>
      <c r="DK27" s="96"/>
      <c r="DL27" s="96"/>
      <c r="DM27" s="96"/>
      <c r="DN27" s="96"/>
      <c r="DO27" s="96"/>
      <c r="DP27" s="96"/>
      <c r="DQ27" s="96"/>
      <c r="DR27" s="96"/>
      <c r="DS27" s="96"/>
      <c r="DT27" s="96"/>
      <c r="DU27" s="96"/>
      <c r="DV27" s="96"/>
      <c r="DW27" s="96"/>
      <c r="DX27" s="96"/>
      <c r="DY27" s="96"/>
      <c r="DZ27" s="96"/>
      <c r="EA27" s="96"/>
      <c r="EB27" s="96"/>
      <c r="EC27" s="96"/>
      <c r="ED27" s="96"/>
      <c r="EE27" s="99"/>
      <c r="EF27" s="99"/>
      <c r="EG27" s="99"/>
      <c r="EH27" s="99"/>
      <c r="EI27" s="99"/>
      <c r="EJ27" s="99"/>
      <c r="EK27" s="99"/>
      <c r="EL27" s="99"/>
      <c r="EM27" s="99"/>
      <c r="EN27" s="99"/>
      <c r="EO27" s="99"/>
      <c r="EP27" s="99"/>
      <c r="EQ27" s="99"/>
      <c r="ER27" s="99"/>
      <c r="ES27" s="99"/>
      <c r="ET27" s="99"/>
      <c r="EU27" s="99"/>
      <c r="EV27" s="99"/>
      <c r="EW27" s="99"/>
      <c r="EX27" s="99"/>
      <c r="EY27" s="99"/>
      <c r="EZ27" s="99"/>
      <c r="FA27" s="99"/>
      <c r="FB27" s="99"/>
      <c r="FC27" s="99"/>
      <c r="FD27" s="99"/>
      <c r="FE27" s="99"/>
      <c r="FF27" s="99"/>
      <c r="FG27" s="99"/>
      <c r="FH27" s="99"/>
      <c r="FI27" s="99"/>
      <c r="FJ27" s="99"/>
      <c r="FK27" s="99"/>
      <c r="FL27" s="99"/>
      <c r="FM27" s="99"/>
      <c r="FN27" s="99"/>
    </row>
    <row r="28" spans="1:170" s="18" customFormat="1" ht="18" customHeight="1">
      <c r="A28" s="1808"/>
      <c r="B28" s="416"/>
      <c r="C28" s="176" t="str">
        <f>Begriffe!F199</f>
        <v>Raumklima</v>
      </c>
      <c r="D28" s="13"/>
      <c r="E28" s="161"/>
      <c r="F28" s="493"/>
      <c r="G28" s="13"/>
      <c r="H28" s="13"/>
      <c r="I28" s="173"/>
      <c r="J28" s="173"/>
      <c r="K28" s="173"/>
      <c r="L28" s="173"/>
      <c r="M28" s="871"/>
      <c r="N28" s="319"/>
      <c r="O28" s="319"/>
      <c r="P28" s="493">
        <v>0</v>
      </c>
      <c r="Q28" s="989">
        <v>1</v>
      </c>
      <c r="R28" s="493">
        <v>0</v>
      </c>
      <c r="S28" s="131"/>
      <c r="T28" s="298"/>
      <c r="U28" s="298"/>
      <c r="V28" s="150"/>
      <c r="W28" s="299"/>
      <c r="X28" s="299"/>
      <c r="Y28" s="150"/>
      <c r="Z28" s="299"/>
      <c r="AA28" s="299"/>
      <c r="AB28" s="131"/>
      <c r="AC28" s="298"/>
      <c r="AD28" s="298"/>
      <c r="AE28" s="131"/>
      <c r="AF28" s="131"/>
      <c r="AG28" s="131"/>
      <c r="AH28" s="131"/>
      <c r="AI28" s="131"/>
      <c r="AJ28" s="131"/>
      <c r="AK28" s="131"/>
      <c r="AL28" s="131"/>
      <c r="AM28" s="131"/>
      <c r="AN28" s="152"/>
      <c r="AO28" s="152"/>
      <c r="AP28" s="153"/>
      <c r="AQ28" s="153"/>
      <c r="AR28" s="95"/>
      <c r="AS28" s="95"/>
      <c r="AT28" s="95"/>
      <c r="AU28" s="95"/>
      <c r="AV28" s="95"/>
      <c r="AW28" s="95"/>
      <c r="AX28" s="95"/>
      <c r="AY28" s="95"/>
      <c r="AZ28" s="95"/>
      <c r="BA28" s="95"/>
      <c r="BB28" s="95"/>
      <c r="BC28" s="95"/>
      <c r="BD28" s="95"/>
      <c r="BE28" s="95"/>
      <c r="BF28" s="95"/>
      <c r="BG28" s="95"/>
      <c r="BH28" s="95"/>
      <c r="BI28" s="95"/>
      <c r="BJ28" s="95"/>
      <c r="BK28" s="95"/>
      <c r="BL28" s="95"/>
      <c r="BM28" s="95"/>
      <c r="BN28" s="95"/>
      <c r="BO28" s="95"/>
      <c r="BP28" s="95"/>
      <c r="BQ28" s="95"/>
      <c r="BR28" s="95"/>
      <c r="BS28" s="95"/>
      <c r="BT28" s="95"/>
      <c r="BU28" s="95"/>
      <c r="BV28" s="95"/>
      <c r="BW28" s="95"/>
      <c r="BX28" s="95"/>
      <c r="BY28" s="95"/>
      <c r="BZ28" s="95"/>
      <c r="CA28" s="95"/>
      <c r="CB28" s="95"/>
      <c r="CC28" s="95"/>
      <c r="CD28" s="95"/>
      <c r="CE28" s="95"/>
      <c r="CF28" s="95"/>
      <c r="CG28" s="95"/>
      <c r="CH28" s="95"/>
      <c r="CI28" s="95"/>
      <c r="CJ28" s="95"/>
      <c r="CK28" s="95"/>
      <c r="CL28" s="95"/>
      <c r="CM28" s="95"/>
      <c r="CN28" s="95"/>
      <c r="CO28" s="95"/>
      <c r="CP28" s="95"/>
      <c r="CQ28" s="95"/>
      <c r="CR28" s="95"/>
      <c r="CS28" s="95"/>
      <c r="CT28" s="95"/>
      <c r="CU28" s="95"/>
      <c r="CV28" s="96"/>
      <c r="CW28" s="96"/>
      <c r="CX28" s="96"/>
      <c r="CY28" s="96"/>
      <c r="CZ28" s="96"/>
      <c r="DA28" s="96"/>
      <c r="DB28" s="96"/>
      <c r="DC28" s="96"/>
      <c r="DD28" s="96"/>
      <c r="DE28" s="96"/>
      <c r="DF28" s="96"/>
      <c r="DG28" s="96"/>
      <c r="DH28" s="96"/>
      <c r="DI28" s="96"/>
      <c r="DJ28" s="96"/>
      <c r="DK28" s="96"/>
      <c r="DL28" s="96"/>
      <c r="DM28" s="96"/>
      <c r="DN28" s="96"/>
      <c r="DO28" s="96"/>
      <c r="DP28" s="96"/>
      <c r="DQ28" s="96"/>
      <c r="DR28" s="96"/>
      <c r="DS28" s="96"/>
      <c r="DT28" s="96"/>
      <c r="DU28" s="96"/>
      <c r="DV28" s="96"/>
      <c r="DW28" s="96"/>
      <c r="DX28" s="96"/>
      <c r="DY28" s="96"/>
      <c r="DZ28" s="96"/>
      <c r="EA28" s="96"/>
      <c r="EB28" s="96"/>
      <c r="EC28" s="96"/>
      <c r="ED28" s="96"/>
      <c r="EE28" s="99"/>
      <c r="EF28" s="99"/>
      <c r="EG28" s="99"/>
      <c r="EH28" s="99"/>
      <c r="EI28" s="99"/>
      <c r="EJ28" s="99"/>
      <c r="EK28" s="99"/>
      <c r="EL28" s="99"/>
      <c r="EM28" s="99"/>
      <c r="EN28" s="99"/>
      <c r="EO28" s="99"/>
      <c r="EP28" s="99"/>
      <c r="EQ28" s="99"/>
      <c r="ER28" s="99"/>
      <c r="ES28" s="99"/>
      <c r="ET28" s="99"/>
      <c r="EU28" s="99"/>
      <c r="EV28" s="99"/>
      <c r="EW28" s="99"/>
      <c r="EX28" s="99"/>
      <c r="EY28" s="99"/>
      <c r="EZ28" s="99"/>
      <c r="FA28" s="99"/>
      <c r="FB28" s="99"/>
      <c r="FC28" s="99"/>
      <c r="FD28" s="99"/>
      <c r="FE28" s="99"/>
      <c r="FF28" s="99"/>
      <c r="FG28" s="99"/>
      <c r="FH28" s="99"/>
      <c r="FI28" s="99"/>
      <c r="FJ28" s="99"/>
      <c r="FK28" s="99"/>
      <c r="FL28" s="99"/>
      <c r="FM28" s="99"/>
      <c r="FN28" s="99"/>
    </row>
    <row r="29" spans="1:170" s="18" customFormat="1" ht="18" customHeight="1">
      <c r="A29" s="1808"/>
      <c r="B29" s="416">
        <v>160</v>
      </c>
      <c r="C29" s="493" t="str">
        <f>VLOOKUP(B29,Begriffe!$A$6:$E$442,Begriffe!$D$1+2)</f>
        <v>Raumlufttemperatur</v>
      </c>
      <c r="D29" s="177"/>
      <c r="E29" s="177"/>
      <c r="F29" s="21" t="str">
        <f>Begriffe!$F$225</f>
        <v>Sommer</v>
      </c>
      <c r="G29" s="21" t="str">
        <f>Begriffe!$F$311</f>
        <v>Auslegung Kühlung</v>
      </c>
      <c r="H29" s="21"/>
      <c r="I29" s="239" t="s">
        <v>830</v>
      </c>
      <c r="J29" s="188" t="s">
        <v>3</v>
      </c>
      <c r="K29" s="188"/>
      <c r="L29" s="1164"/>
      <c r="M29" s="1157">
        <f>IF(L29&lt;&gt;"",L29,INDEX(Eingabedaten!$D$10:$CY$54,nutzid,MATCH($C29,Eingabedaten!$D$7:$CY$7,0)))</f>
        <v>26</v>
      </c>
      <c r="N29" s="265"/>
      <c r="O29" s="265"/>
      <c r="P29" s="493">
        <v>0</v>
      </c>
      <c r="Q29" s="989">
        <v>1</v>
      </c>
      <c r="R29" s="493">
        <v>0</v>
      </c>
      <c r="S29" s="131"/>
      <c r="T29" s="298"/>
      <c r="U29" s="298"/>
      <c r="V29" s="150"/>
      <c r="W29" s="299"/>
      <c r="X29" s="299"/>
      <c r="Y29" s="150"/>
      <c r="Z29" s="299"/>
      <c r="AA29" s="299"/>
      <c r="AB29" s="150"/>
      <c r="AC29" s="299"/>
      <c r="AD29" s="299"/>
      <c r="AE29" s="150"/>
      <c r="AF29" s="150"/>
      <c r="AG29" s="131"/>
      <c r="AH29" s="131"/>
      <c r="AI29" s="131"/>
      <c r="AJ29" s="131"/>
      <c r="AK29" s="131"/>
      <c r="AL29" s="131"/>
      <c r="AM29" s="131"/>
      <c r="AN29" s="152"/>
      <c r="AO29" s="152"/>
      <c r="AP29" s="153"/>
      <c r="AQ29" s="153"/>
      <c r="AR29" s="95"/>
      <c r="AS29" s="95"/>
      <c r="AT29" s="95"/>
      <c r="AU29" s="95"/>
      <c r="AV29" s="95"/>
      <c r="AW29" s="95"/>
      <c r="AX29" s="95"/>
      <c r="AY29" s="95"/>
      <c r="AZ29" s="95"/>
      <c r="BA29" s="95"/>
      <c r="BB29" s="95"/>
      <c r="BC29" s="95"/>
      <c r="BD29" s="95"/>
      <c r="BE29" s="95"/>
      <c r="BF29" s="95"/>
      <c r="BG29" s="95"/>
      <c r="BH29" s="95"/>
      <c r="BI29" s="95"/>
      <c r="BJ29" s="95"/>
      <c r="BK29" s="95"/>
      <c r="BL29" s="95"/>
      <c r="BM29" s="95"/>
      <c r="BN29" s="95"/>
      <c r="BO29" s="95"/>
      <c r="BP29" s="95"/>
      <c r="BQ29" s="95"/>
      <c r="BR29" s="95"/>
      <c r="BS29" s="95"/>
      <c r="BT29" s="95"/>
      <c r="BU29" s="95"/>
      <c r="BV29" s="95"/>
      <c r="BW29" s="95"/>
      <c r="BX29" s="95"/>
      <c r="BY29" s="95"/>
      <c r="BZ29" s="95"/>
      <c r="CA29" s="95"/>
      <c r="CB29" s="95"/>
      <c r="CC29" s="95"/>
      <c r="CD29" s="95"/>
      <c r="CE29" s="95"/>
      <c r="CF29" s="95"/>
      <c r="CG29" s="95"/>
      <c r="CH29" s="95"/>
      <c r="CI29" s="95"/>
      <c r="CJ29" s="95"/>
      <c r="CK29" s="95"/>
      <c r="CL29" s="95"/>
      <c r="CM29" s="95"/>
      <c r="CN29" s="95"/>
      <c r="CO29" s="95"/>
      <c r="CP29" s="95"/>
      <c r="CQ29" s="95"/>
      <c r="CR29" s="95"/>
      <c r="CS29" s="95"/>
      <c r="CT29" s="95"/>
      <c r="CU29" s="95"/>
      <c r="CV29" s="96"/>
      <c r="CW29" s="96"/>
      <c r="CX29" s="96"/>
      <c r="CY29" s="96"/>
      <c r="CZ29" s="96"/>
      <c r="DA29" s="96"/>
      <c r="DB29" s="96"/>
      <c r="DC29" s="96"/>
      <c r="DD29" s="96"/>
      <c r="DE29" s="96"/>
      <c r="DF29" s="96"/>
      <c r="DG29" s="96"/>
      <c r="DH29" s="96"/>
      <c r="DI29" s="96"/>
      <c r="DJ29" s="96"/>
      <c r="DK29" s="96"/>
      <c r="DL29" s="96"/>
      <c r="DM29" s="96"/>
      <c r="DN29" s="96"/>
      <c r="DO29" s="96"/>
      <c r="DP29" s="96"/>
      <c r="DQ29" s="96"/>
      <c r="DR29" s="96"/>
      <c r="DS29" s="96"/>
      <c r="DT29" s="96"/>
      <c r="DU29" s="96"/>
      <c r="DV29" s="96"/>
      <c r="DW29" s="96"/>
      <c r="DX29" s="96"/>
      <c r="DY29" s="96"/>
      <c r="DZ29" s="96"/>
      <c r="EA29" s="96"/>
      <c r="EB29" s="96"/>
      <c r="EC29" s="96"/>
      <c r="ED29" s="96"/>
      <c r="EE29" s="99"/>
      <c r="EF29" s="99"/>
      <c r="EG29" s="99"/>
      <c r="EH29" s="99"/>
      <c r="EI29" s="99"/>
      <c r="EJ29" s="99"/>
      <c r="EK29" s="99"/>
      <c r="EL29" s="99"/>
      <c r="EM29" s="99"/>
      <c r="EN29" s="99"/>
      <c r="EO29" s="99"/>
      <c r="EP29" s="99"/>
      <c r="EQ29" s="99"/>
      <c r="ER29" s="99"/>
      <c r="ES29" s="99"/>
      <c r="ET29" s="99"/>
      <c r="EU29" s="99"/>
      <c r="EV29" s="99"/>
      <c r="EW29" s="99"/>
      <c r="EX29" s="99"/>
      <c r="EY29" s="99"/>
      <c r="EZ29" s="99"/>
      <c r="FA29" s="99"/>
      <c r="FB29" s="99"/>
      <c r="FC29" s="99"/>
      <c r="FD29" s="99"/>
      <c r="FE29" s="99"/>
      <c r="FF29" s="99"/>
      <c r="FG29" s="99"/>
      <c r="FH29" s="99"/>
      <c r="FI29" s="99"/>
      <c r="FJ29" s="99"/>
      <c r="FK29" s="99"/>
      <c r="FL29" s="99"/>
      <c r="FM29" s="99"/>
      <c r="FN29" s="99"/>
    </row>
    <row r="30" spans="1:170" s="18" customFormat="1" ht="18" customHeight="1">
      <c r="A30" s="1808"/>
      <c r="B30" s="416"/>
      <c r="C30" s="493"/>
      <c r="D30" s="177"/>
      <c r="E30" s="177"/>
      <c r="F30" s="21" t="str">
        <f>Begriffe!$F$226</f>
        <v>Winter</v>
      </c>
      <c r="G30" s="21" t="str">
        <f>Begriffe!$F$312</f>
        <v>Auslegung Heizung</v>
      </c>
      <c r="H30" s="21"/>
      <c r="I30" s="239" t="s">
        <v>830</v>
      </c>
      <c r="J30" s="188" t="s">
        <v>3</v>
      </c>
      <c r="K30" s="188"/>
      <c r="L30" s="1164"/>
      <c r="M30" s="1159">
        <f>IF(L30&lt;&gt;"",L30,INDEX(Eingabedaten!$D$10:$CY$54,nutzid,MATCH($C29,Eingabedaten!$D$7:$CY$7,0)+1))</f>
        <v>21</v>
      </c>
      <c r="N30" s="265"/>
      <c r="O30" s="265"/>
      <c r="P30" s="493">
        <v>0</v>
      </c>
      <c r="Q30" s="989">
        <v>1</v>
      </c>
      <c r="R30" s="493">
        <v>0</v>
      </c>
      <c r="S30" s="131"/>
      <c r="T30" s="298"/>
      <c r="U30" s="298"/>
      <c r="V30" s="150"/>
      <c r="W30" s="1123"/>
      <c r="X30" s="299"/>
      <c r="Y30" s="150"/>
      <c r="Z30" s="299"/>
      <c r="AA30" s="299"/>
      <c r="AB30" s="150"/>
      <c r="AC30" s="299"/>
      <c r="AD30" s="299"/>
      <c r="AE30" s="150"/>
      <c r="AF30" s="150"/>
      <c r="AG30" s="131"/>
      <c r="AH30" s="131"/>
      <c r="AI30" s="131"/>
      <c r="AJ30" s="131"/>
      <c r="AK30" s="131"/>
      <c r="AL30" s="131"/>
      <c r="AM30" s="131"/>
      <c r="AN30" s="152"/>
      <c r="AO30" s="152"/>
      <c r="AP30" s="153"/>
      <c r="AQ30" s="153"/>
      <c r="AR30" s="95"/>
      <c r="AS30" s="95"/>
      <c r="AT30" s="95"/>
      <c r="AU30" s="95"/>
      <c r="AV30" s="95"/>
      <c r="AW30" s="95"/>
      <c r="AX30" s="95"/>
      <c r="AY30" s="95"/>
      <c r="AZ30" s="95"/>
      <c r="BA30" s="95"/>
      <c r="BB30" s="95"/>
      <c r="BC30" s="95"/>
      <c r="BD30" s="95"/>
      <c r="BE30" s="95"/>
      <c r="BF30" s="95"/>
      <c r="BG30" s="95"/>
      <c r="BH30" s="95"/>
      <c r="BI30" s="95"/>
      <c r="BJ30" s="95"/>
      <c r="BK30" s="95"/>
      <c r="BL30" s="95"/>
      <c r="BM30" s="95"/>
      <c r="BN30" s="95"/>
      <c r="BO30" s="95"/>
      <c r="BP30" s="95"/>
      <c r="BQ30" s="95"/>
      <c r="BR30" s="95"/>
      <c r="BS30" s="95"/>
      <c r="BT30" s="95"/>
      <c r="BU30" s="95"/>
      <c r="BV30" s="95"/>
      <c r="BW30" s="95"/>
      <c r="BX30" s="95"/>
      <c r="BY30" s="95"/>
      <c r="BZ30" s="95"/>
      <c r="CA30" s="95"/>
      <c r="CB30" s="95"/>
      <c r="CC30" s="95"/>
      <c r="CD30" s="95"/>
      <c r="CE30" s="95"/>
      <c r="CF30" s="95"/>
      <c r="CG30" s="95"/>
      <c r="CH30" s="95"/>
      <c r="CI30" s="95"/>
      <c r="CJ30" s="95"/>
      <c r="CK30" s="95"/>
      <c r="CL30" s="95"/>
      <c r="CM30" s="95"/>
      <c r="CN30" s="95"/>
      <c r="CO30" s="95"/>
      <c r="CP30" s="95"/>
      <c r="CQ30" s="95"/>
      <c r="CR30" s="95"/>
      <c r="CS30" s="95"/>
      <c r="CT30" s="95"/>
      <c r="CU30" s="95"/>
      <c r="CV30" s="96"/>
      <c r="CW30" s="96"/>
      <c r="CX30" s="96"/>
      <c r="CY30" s="96"/>
      <c r="CZ30" s="96"/>
      <c r="DA30" s="96"/>
      <c r="DB30" s="96"/>
      <c r="DC30" s="96"/>
      <c r="DD30" s="96"/>
      <c r="DE30" s="96"/>
      <c r="DF30" s="96"/>
      <c r="DG30" s="96"/>
      <c r="DH30" s="96"/>
      <c r="DI30" s="96"/>
      <c r="DJ30" s="96"/>
      <c r="DK30" s="96"/>
      <c r="DL30" s="96"/>
      <c r="DM30" s="96"/>
      <c r="DN30" s="96"/>
      <c r="DO30" s="96"/>
      <c r="DP30" s="96"/>
      <c r="DQ30" s="96"/>
      <c r="DR30" s="96"/>
      <c r="DS30" s="96"/>
      <c r="DT30" s="96"/>
      <c r="DU30" s="96"/>
      <c r="DV30" s="96"/>
      <c r="DW30" s="96"/>
      <c r="DX30" s="96"/>
      <c r="DY30" s="96"/>
      <c r="DZ30" s="96"/>
      <c r="EA30" s="96"/>
      <c r="EB30" s="96"/>
      <c r="EC30" s="96"/>
      <c r="ED30" s="96"/>
      <c r="EE30" s="99"/>
      <c r="EF30" s="99"/>
      <c r="EG30" s="99"/>
      <c r="EH30" s="99"/>
      <c r="EI30" s="99"/>
      <c r="EJ30" s="99"/>
      <c r="EK30" s="99"/>
      <c r="EL30" s="99"/>
      <c r="EM30" s="99"/>
      <c r="EN30" s="99"/>
      <c r="EO30" s="99"/>
      <c r="EP30" s="99"/>
      <c r="EQ30" s="99"/>
      <c r="ER30" s="99"/>
      <c r="ES30" s="99"/>
      <c r="ET30" s="99"/>
      <c r="EU30" s="99"/>
      <c r="EV30" s="99"/>
      <c r="EW30" s="99"/>
      <c r="EX30" s="99"/>
      <c r="EY30" s="99"/>
      <c r="EZ30" s="99"/>
      <c r="FA30" s="99"/>
      <c r="FB30" s="99"/>
      <c r="FC30" s="99"/>
      <c r="FD30" s="99"/>
      <c r="FE30" s="99"/>
      <c r="FF30" s="99"/>
      <c r="FG30" s="99"/>
      <c r="FH30" s="99"/>
      <c r="FI30" s="99"/>
      <c r="FJ30" s="99"/>
      <c r="FK30" s="99"/>
      <c r="FL30" s="99"/>
      <c r="FM30" s="99"/>
      <c r="FN30" s="99"/>
    </row>
    <row r="31" spans="1:170" s="19" customFormat="1" ht="18" customHeight="1">
      <c r="A31" s="1808"/>
      <c r="B31" s="416">
        <v>163</v>
      </c>
      <c r="C31" s="493" t="str">
        <f>VLOOKUP(B31,Begriffe!$A$6:$E$442,Begriffe!$D$1+2)</f>
        <v xml:space="preserve">Relative Raumluftfeuchte </v>
      </c>
      <c r="D31" s="21"/>
      <c r="E31" s="179"/>
      <c r="F31" s="21" t="str">
        <f>Begriffe!$F$225</f>
        <v>Sommer</v>
      </c>
      <c r="G31" s="21" t="str">
        <f>Begriffe!$F$311</f>
        <v>Auslegung Kühlung</v>
      </c>
      <c r="H31" s="21"/>
      <c r="I31" s="261" t="s">
        <v>5</v>
      </c>
      <c r="J31" s="188" t="s">
        <v>6</v>
      </c>
      <c r="K31" s="188"/>
      <c r="L31" s="1164"/>
      <c r="M31" s="1157">
        <f>IF(L31&lt;&gt;"",L31,INDEX(Eingabedaten!$D$10:$CY$54,nutzid,MATCH($C31,Eingabedaten!$D$7:$CY$7,0)))</f>
        <v>60</v>
      </c>
      <c r="N31" s="265"/>
      <c r="O31" s="265"/>
      <c r="P31" s="493">
        <v>0</v>
      </c>
      <c r="Q31" s="989">
        <v>1</v>
      </c>
      <c r="R31" s="493">
        <v>0</v>
      </c>
      <c r="S31" s="131"/>
      <c r="T31" s="298"/>
      <c r="U31" s="298"/>
      <c r="V31" s="150"/>
      <c r="W31" s="1123"/>
      <c r="X31" s="299"/>
      <c r="Y31" s="150"/>
      <c r="Z31" s="299"/>
      <c r="AA31" s="299"/>
      <c r="AB31" s="150"/>
      <c r="AC31" s="299"/>
      <c r="AD31" s="299"/>
      <c r="AE31" s="150"/>
      <c r="AF31" s="150"/>
      <c r="AG31" s="131"/>
      <c r="AH31" s="131"/>
      <c r="AI31" s="131"/>
      <c r="AJ31" s="131"/>
      <c r="AK31" s="131"/>
      <c r="AL31" s="131"/>
      <c r="AM31" s="131"/>
      <c r="AN31" s="152"/>
      <c r="AO31" s="152"/>
      <c r="AP31" s="154"/>
      <c r="AQ31" s="154"/>
      <c r="AR31" s="100"/>
      <c r="AS31" s="100"/>
      <c r="AT31" s="100"/>
      <c r="AU31" s="100"/>
      <c r="AV31" s="100"/>
      <c r="AW31" s="100"/>
      <c r="AX31" s="100"/>
      <c r="AY31" s="100"/>
      <c r="AZ31" s="100"/>
      <c r="BA31" s="100"/>
      <c r="BB31" s="100"/>
      <c r="BC31" s="100"/>
      <c r="BD31" s="100"/>
      <c r="BE31" s="100"/>
      <c r="BF31" s="100"/>
      <c r="BG31" s="100"/>
      <c r="BH31" s="100"/>
      <c r="BI31" s="100"/>
      <c r="BJ31" s="100"/>
      <c r="BK31" s="100"/>
      <c r="BL31" s="100"/>
      <c r="BM31" s="100"/>
      <c r="BN31" s="100"/>
      <c r="BO31" s="100"/>
      <c r="BP31" s="100"/>
      <c r="BQ31" s="100"/>
      <c r="BR31" s="100"/>
      <c r="BS31" s="100"/>
      <c r="BT31" s="100"/>
      <c r="BU31" s="100"/>
      <c r="BV31" s="100"/>
      <c r="BW31" s="100"/>
      <c r="BX31" s="100"/>
      <c r="BY31" s="100"/>
      <c r="BZ31" s="100"/>
      <c r="CA31" s="100"/>
      <c r="CB31" s="100"/>
      <c r="CC31" s="100"/>
      <c r="CD31" s="100"/>
      <c r="CE31" s="100"/>
      <c r="CF31" s="100"/>
      <c r="CG31" s="100"/>
      <c r="CH31" s="100"/>
      <c r="CI31" s="100"/>
      <c r="CJ31" s="100"/>
      <c r="CK31" s="100"/>
      <c r="CL31" s="100"/>
      <c r="CM31" s="100"/>
      <c r="CN31" s="100"/>
      <c r="CO31" s="100"/>
      <c r="CP31" s="100"/>
      <c r="CQ31" s="100"/>
      <c r="CR31" s="100"/>
      <c r="CS31" s="100"/>
      <c r="CT31" s="100"/>
      <c r="CU31" s="100"/>
      <c r="CV31" s="101"/>
      <c r="CW31" s="101"/>
      <c r="CX31" s="101"/>
      <c r="CY31" s="101"/>
      <c r="CZ31" s="101"/>
      <c r="DA31" s="101"/>
      <c r="DB31" s="101"/>
      <c r="DC31" s="101"/>
      <c r="DD31" s="101"/>
      <c r="DE31" s="101"/>
      <c r="DF31" s="101"/>
      <c r="DG31" s="101"/>
      <c r="DH31" s="101"/>
      <c r="DI31" s="101"/>
      <c r="DJ31" s="101"/>
      <c r="DK31" s="101"/>
      <c r="DL31" s="101"/>
      <c r="DM31" s="101"/>
      <c r="DN31" s="101"/>
      <c r="DO31" s="101"/>
      <c r="DP31" s="101"/>
      <c r="DQ31" s="101"/>
      <c r="DR31" s="101"/>
      <c r="DS31" s="101"/>
      <c r="DT31" s="101"/>
      <c r="DU31" s="101"/>
      <c r="DV31" s="101"/>
      <c r="DW31" s="101"/>
      <c r="DX31" s="101"/>
      <c r="DY31" s="101"/>
      <c r="DZ31" s="101"/>
      <c r="EA31" s="101"/>
      <c r="EB31" s="101"/>
      <c r="EC31" s="101"/>
      <c r="ED31" s="101"/>
      <c r="EE31" s="102"/>
      <c r="EF31" s="102"/>
      <c r="EG31" s="102"/>
      <c r="EH31" s="102"/>
      <c r="EI31" s="102"/>
      <c r="EJ31" s="102"/>
      <c r="EK31" s="102"/>
      <c r="EL31" s="102"/>
      <c r="EM31" s="102"/>
      <c r="EN31" s="102"/>
      <c r="EO31" s="102"/>
      <c r="EP31" s="102"/>
      <c r="EQ31" s="102"/>
      <c r="ER31" s="102"/>
      <c r="ES31" s="102"/>
      <c r="ET31" s="102"/>
      <c r="EU31" s="102"/>
      <c r="EV31" s="102"/>
      <c r="EW31" s="102"/>
      <c r="EX31" s="102"/>
      <c r="EY31" s="102"/>
      <c r="EZ31" s="102"/>
      <c r="FA31" s="102"/>
      <c r="FB31" s="102"/>
      <c r="FC31" s="102"/>
      <c r="FD31" s="102"/>
      <c r="FE31" s="102"/>
      <c r="FF31" s="102"/>
      <c r="FG31" s="102"/>
      <c r="FH31" s="102"/>
      <c r="FI31" s="102"/>
      <c r="FJ31" s="102"/>
      <c r="FK31" s="102"/>
      <c r="FL31" s="102"/>
      <c r="FM31" s="102"/>
      <c r="FN31" s="102"/>
    </row>
    <row r="32" spans="1:170" s="19" customFormat="1" ht="18" customHeight="1">
      <c r="A32" s="1808"/>
      <c r="B32" s="416"/>
      <c r="C32" s="21"/>
      <c r="D32" s="21"/>
      <c r="E32" s="179"/>
      <c r="F32" s="21" t="str">
        <f>Begriffe!$F$226</f>
        <v>Winter</v>
      </c>
      <c r="G32" s="21" t="str">
        <f>Begriffe!$F$312</f>
        <v>Auslegung Heizung</v>
      </c>
      <c r="H32" s="21"/>
      <c r="I32" s="261" t="s">
        <v>5</v>
      </c>
      <c r="J32" s="188" t="s">
        <v>6</v>
      </c>
      <c r="K32" s="188"/>
      <c r="L32" s="1164"/>
      <c r="M32" s="1159">
        <f>IF(L32&lt;&gt;"",L32,INDEX(Eingabedaten!$D$10:$CY$54,nutzid,MATCH($C31,Eingabedaten!$D$7:$CY$7,0)+1))</f>
        <v>30</v>
      </c>
      <c r="N32" s="265"/>
      <c r="O32" s="265"/>
      <c r="P32" s="493">
        <v>0</v>
      </c>
      <c r="Q32" s="989">
        <v>1</v>
      </c>
      <c r="R32" s="493">
        <v>0</v>
      </c>
      <c r="S32" s="131"/>
      <c r="T32" s="298"/>
      <c r="U32" s="298"/>
      <c r="V32" s="150"/>
      <c r="W32" s="299"/>
      <c r="X32" s="299"/>
      <c r="Y32" s="150"/>
      <c r="Z32" s="299"/>
      <c r="AA32" s="299"/>
      <c r="AB32" s="150"/>
      <c r="AC32" s="299"/>
      <c r="AD32" s="299"/>
      <c r="AE32" s="150"/>
      <c r="AF32" s="150"/>
      <c r="AG32" s="131"/>
      <c r="AH32" s="131"/>
      <c r="AI32" s="131"/>
      <c r="AJ32" s="131"/>
      <c r="AK32" s="131"/>
      <c r="AL32" s="131"/>
      <c r="AM32" s="131"/>
      <c r="AN32" s="152"/>
      <c r="AO32" s="152"/>
      <c r="AP32" s="154"/>
      <c r="AQ32" s="154"/>
      <c r="AR32" s="100"/>
      <c r="AS32" s="100"/>
      <c r="AT32" s="100"/>
      <c r="AU32" s="100"/>
      <c r="AV32" s="100"/>
      <c r="AW32" s="100"/>
      <c r="AX32" s="100"/>
      <c r="AY32" s="100"/>
      <c r="AZ32" s="100"/>
      <c r="BA32" s="100"/>
      <c r="BB32" s="100"/>
      <c r="BC32" s="100"/>
      <c r="BD32" s="100"/>
      <c r="BE32" s="100"/>
      <c r="BF32" s="100"/>
      <c r="BG32" s="100"/>
      <c r="BH32" s="100"/>
      <c r="BI32" s="100"/>
      <c r="BJ32" s="100"/>
      <c r="BK32" s="100"/>
      <c r="BL32" s="100"/>
      <c r="BM32" s="100"/>
      <c r="BN32" s="100"/>
      <c r="BO32" s="100"/>
      <c r="BP32" s="100"/>
      <c r="BQ32" s="100"/>
      <c r="BR32" s="100"/>
      <c r="BS32" s="100"/>
      <c r="BT32" s="100"/>
      <c r="BU32" s="100"/>
      <c r="BV32" s="100"/>
      <c r="BW32" s="100"/>
      <c r="BX32" s="100"/>
      <c r="BY32" s="100"/>
      <c r="BZ32" s="100"/>
      <c r="CA32" s="100"/>
      <c r="CB32" s="100"/>
      <c r="CC32" s="100"/>
      <c r="CD32" s="100"/>
      <c r="CE32" s="100"/>
      <c r="CF32" s="100"/>
      <c r="CG32" s="100"/>
      <c r="CH32" s="100"/>
      <c r="CI32" s="100"/>
      <c r="CJ32" s="100"/>
      <c r="CK32" s="100"/>
      <c r="CL32" s="100"/>
      <c r="CM32" s="100"/>
      <c r="CN32" s="100"/>
      <c r="CO32" s="100"/>
      <c r="CP32" s="100"/>
      <c r="CQ32" s="100"/>
      <c r="CR32" s="100"/>
      <c r="CS32" s="100"/>
      <c r="CT32" s="100"/>
      <c r="CU32" s="100"/>
      <c r="CV32" s="101"/>
      <c r="CW32" s="101"/>
      <c r="CX32" s="101"/>
      <c r="CY32" s="101"/>
      <c r="CZ32" s="101"/>
      <c r="DA32" s="101"/>
      <c r="DB32" s="101"/>
      <c r="DC32" s="101"/>
      <c r="DD32" s="101"/>
      <c r="DE32" s="101"/>
      <c r="DF32" s="101"/>
      <c r="DG32" s="101"/>
      <c r="DH32" s="101"/>
      <c r="DI32" s="101"/>
      <c r="DJ32" s="101"/>
      <c r="DK32" s="101"/>
      <c r="DL32" s="101"/>
      <c r="DM32" s="101"/>
      <c r="DN32" s="101"/>
      <c r="DO32" s="101"/>
      <c r="DP32" s="101"/>
      <c r="DQ32" s="101"/>
      <c r="DR32" s="101"/>
      <c r="DS32" s="101"/>
      <c r="DT32" s="101"/>
      <c r="DU32" s="101"/>
      <c r="DV32" s="101"/>
      <c r="DW32" s="101"/>
      <c r="DX32" s="101"/>
      <c r="DY32" s="101"/>
      <c r="DZ32" s="101"/>
      <c r="EA32" s="101"/>
      <c r="EB32" s="101"/>
      <c r="EC32" s="101"/>
      <c r="ED32" s="101"/>
      <c r="EE32" s="102"/>
      <c r="EF32" s="102"/>
      <c r="EG32" s="102"/>
      <c r="EH32" s="102"/>
      <c r="EI32" s="102"/>
      <c r="EJ32" s="102"/>
      <c r="EK32" s="102"/>
      <c r="EL32" s="102"/>
      <c r="EM32" s="102"/>
      <c r="EN32" s="102"/>
      <c r="EO32" s="102"/>
      <c r="EP32" s="102"/>
      <c r="EQ32" s="102"/>
      <c r="ER32" s="102"/>
      <c r="ES32" s="102"/>
      <c r="ET32" s="102"/>
      <c r="EU32" s="102"/>
      <c r="EV32" s="102"/>
      <c r="EW32" s="102"/>
      <c r="EX32" s="102"/>
      <c r="EY32" s="102"/>
      <c r="EZ32" s="102"/>
      <c r="FA32" s="102"/>
      <c r="FB32" s="102"/>
      <c r="FC32" s="102"/>
      <c r="FD32" s="102"/>
      <c r="FE32" s="102"/>
      <c r="FF32" s="102"/>
      <c r="FG32" s="102"/>
      <c r="FH32" s="102"/>
      <c r="FI32" s="102"/>
      <c r="FJ32" s="102"/>
      <c r="FK32" s="102"/>
      <c r="FL32" s="102"/>
      <c r="FM32" s="102"/>
      <c r="FN32" s="102"/>
    </row>
    <row r="33" spans="1:170" s="19" customFormat="1" ht="18" customHeight="1">
      <c r="A33" s="1808"/>
      <c r="B33" s="416">
        <v>148</v>
      </c>
      <c r="C33" s="493" t="str">
        <f>VLOOKUP(B33,Begriffe!$A$6:$E$442,Begriffe!$D$1+2)</f>
        <v>Maximale Luftgeschwindigkeit</v>
      </c>
      <c r="D33" s="21"/>
      <c r="E33" s="179"/>
      <c r="F33" s="21" t="str">
        <f>Begriffe!$F$225</f>
        <v>Sommer</v>
      </c>
      <c r="G33" s="21" t="str">
        <f>Begriffe!$F$311</f>
        <v>Auslegung Kühlung</v>
      </c>
      <c r="H33" s="21"/>
      <c r="I33" s="178" t="s">
        <v>917</v>
      </c>
      <c r="J33" s="188" t="s">
        <v>7</v>
      </c>
      <c r="K33" s="16"/>
      <c r="L33" s="13"/>
      <c r="M33" s="314">
        <f>IF(L33&lt;&gt;"",L33,IF(M29=0,0,ROUND((0.001*M29*M29-0.036*M29+0.439)*2,2)/2))</f>
        <v>0.18</v>
      </c>
      <c r="N33" s="314"/>
      <c r="O33" s="314"/>
      <c r="P33" s="493">
        <v>1</v>
      </c>
      <c r="Q33" s="989">
        <v>1</v>
      </c>
      <c r="R33" s="493">
        <v>0</v>
      </c>
      <c r="S33" s="131"/>
      <c r="T33" s="298"/>
      <c r="U33" s="298"/>
      <c r="V33" s="150"/>
      <c r="W33" s="299"/>
      <c r="X33" s="299"/>
      <c r="Y33" s="150"/>
      <c r="Z33" s="299"/>
      <c r="AA33" s="299"/>
      <c r="AB33" s="150"/>
      <c r="AC33" s="299"/>
      <c r="AD33" s="299"/>
      <c r="AE33" s="150"/>
      <c r="AF33" s="150"/>
      <c r="AG33" s="131"/>
      <c r="AH33" s="131"/>
      <c r="AI33" s="131"/>
      <c r="AJ33" s="131"/>
      <c r="AK33" s="131"/>
      <c r="AL33" s="131"/>
      <c r="AM33" s="131"/>
      <c r="AN33" s="152"/>
      <c r="AO33" s="152"/>
      <c r="AP33" s="154"/>
      <c r="AQ33" s="154"/>
      <c r="AR33" s="100"/>
      <c r="AS33" s="100"/>
      <c r="AT33" s="100"/>
      <c r="AU33" s="100"/>
      <c r="AV33" s="100"/>
      <c r="AW33" s="100"/>
      <c r="AX33" s="100"/>
      <c r="AY33" s="100"/>
      <c r="AZ33" s="100"/>
      <c r="BA33" s="100"/>
      <c r="BB33" s="100"/>
      <c r="BC33" s="100"/>
      <c r="BD33" s="100"/>
      <c r="BE33" s="100"/>
      <c r="BF33" s="100"/>
      <c r="BG33" s="100"/>
      <c r="BH33" s="100"/>
      <c r="BI33" s="100"/>
      <c r="BJ33" s="100"/>
      <c r="BK33" s="100"/>
      <c r="BL33" s="100"/>
      <c r="BM33" s="100"/>
      <c r="BN33" s="100"/>
      <c r="BO33" s="100"/>
      <c r="BP33" s="100"/>
      <c r="BQ33" s="100"/>
      <c r="BR33" s="100"/>
      <c r="BS33" s="100"/>
      <c r="BT33" s="100"/>
      <c r="BU33" s="100"/>
      <c r="BV33" s="100"/>
      <c r="BW33" s="100"/>
      <c r="BX33" s="100"/>
      <c r="BY33" s="100"/>
      <c r="BZ33" s="100"/>
      <c r="CA33" s="100"/>
      <c r="CB33" s="100"/>
      <c r="CC33" s="100"/>
      <c r="CD33" s="100"/>
      <c r="CE33" s="100"/>
      <c r="CF33" s="100"/>
      <c r="CG33" s="100"/>
      <c r="CH33" s="100"/>
      <c r="CI33" s="100"/>
      <c r="CJ33" s="100"/>
      <c r="CK33" s="100"/>
      <c r="CL33" s="100"/>
      <c r="CM33" s="100"/>
      <c r="CN33" s="100"/>
      <c r="CO33" s="100"/>
      <c r="CP33" s="100"/>
      <c r="CQ33" s="100"/>
      <c r="CR33" s="100"/>
      <c r="CS33" s="100"/>
      <c r="CT33" s="100"/>
      <c r="CU33" s="100"/>
      <c r="CV33" s="101"/>
      <c r="CW33" s="101"/>
      <c r="CX33" s="101"/>
      <c r="CY33" s="101"/>
      <c r="CZ33" s="101"/>
      <c r="DA33" s="101"/>
      <c r="DB33" s="101"/>
      <c r="DC33" s="101"/>
      <c r="DD33" s="101"/>
      <c r="DE33" s="101"/>
      <c r="DF33" s="101"/>
      <c r="DG33" s="101"/>
      <c r="DH33" s="101"/>
      <c r="DI33" s="101"/>
      <c r="DJ33" s="101"/>
      <c r="DK33" s="101"/>
      <c r="DL33" s="101"/>
      <c r="DM33" s="101"/>
      <c r="DN33" s="101"/>
      <c r="DO33" s="101"/>
      <c r="DP33" s="101"/>
      <c r="DQ33" s="101"/>
      <c r="DR33" s="101"/>
      <c r="DS33" s="101"/>
      <c r="DT33" s="101"/>
      <c r="DU33" s="101"/>
      <c r="DV33" s="101"/>
      <c r="DW33" s="101"/>
      <c r="DX33" s="101"/>
      <c r="DY33" s="101"/>
      <c r="DZ33" s="101"/>
      <c r="EA33" s="101"/>
      <c r="EB33" s="101"/>
      <c r="EC33" s="101"/>
      <c r="ED33" s="101"/>
      <c r="EE33" s="102"/>
      <c r="EF33" s="102"/>
      <c r="EG33" s="102"/>
      <c r="EH33" s="102"/>
      <c r="EI33" s="102"/>
      <c r="EJ33" s="102"/>
      <c r="EK33" s="102"/>
      <c r="EL33" s="102"/>
      <c r="EM33" s="102"/>
      <c r="EN33" s="102"/>
      <c r="EO33" s="102"/>
      <c r="EP33" s="102"/>
      <c r="EQ33" s="102"/>
      <c r="ER33" s="102"/>
      <c r="ES33" s="102"/>
      <c r="ET33" s="102"/>
      <c r="EU33" s="102"/>
      <c r="EV33" s="102"/>
      <c r="EW33" s="102"/>
      <c r="EX33" s="102"/>
      <c r="EY33" s="102"/>
      <c r="EZ33" s="102"/>
      <c r="FA33" s="102"/>
      <c r="FB33" s="102"/>
      <c r="FC33" s="102"/>
      <c r="FD33" s="102"/>
      <c r="FE33" s="102"/>
      <c r="FF33" s="102"/>
      <c r="FG33" s="102"/>
      <c r="FH33" s="102"/>
      <c r="FI33" s="102"/>
      <c r="FJ33" s="102"/>
      <c r="FK33" s="102"/>
      <c r="FL33" s="102"/>
      <c r="FM33" s="102"/>
      <c r="FN33" s="102"/>
    </row>
    <row r="34" spans="1:170" s="19" customFormat="1" ht="18" customHeight="1">
      <c r="A34" s="1808"/>
      <c r="B34" s="416"/>
      <c r="C34" s="21"/>
      <c r="D34" s="21"/>
      <c r="E34" s="179"/>
      <c r="F34" s="21" t="str">
        <f>Begriffe!$F$226</f>
        <v>Winter</v>
      </c>
      <c r="G34" s="21" t="str">
        <f>Begriffe!$F$312</f>
        <v>Auslegung Heizung</v>
      </c>
      <c r="H34" s="21"/>
      <c r="I34" s="178" t="s">
        <v>917</v>
      </c>
      <c r="J34" s="188" t="s">
        <v>7</v>
      </c>
      <c r="K34" s="16"/>
      <c r="L34" s="13"/>
      <c r="M34" s="314">
        <f>IF(L34&lt;&gt;"",L34,IF(M30=0,0,ROUND((0.001*M30*M30-0.036*M30+0.439)*2,2)/2))</f>
        <v>0.125</v>
      </c>
      <c r="N34" s="314"/>
      <c r="O34" s="314"/>
      <c r="P34" s="493">
        <v>1</v>
      </c>
      <c r="Q34" s="989">
        <v>1</v>
      </c>
      <c r="R34" s="493">
        <v>0</v>
      </c>
      <c r="S34" s="131"/>
      <c r="T34" s="298"/>
      <c r="U34" s="298"/>
      <c r="V34" s="150"/>
      <c r="W34" s="299"/>
      <c r="X34" s="299"/>
      <c r="Y34" s="150"/>
      <c r="Z34" s="299"/>
      <c r="AA34" s="299"/>
      <c r="AB34" s="150"/>
      <c r="AC34" s="299"/>
      <c r="AD34" s="299"/>
      <c r="AE34" s="150"/>
      <c r="AF34" s="150"/>
      <c r="AG34" s="131"/>
      <c r="AH34" s="131"/>
      <c r="AI34" s="131"/>
      <c r="AJ34" s="131"/>
      <c r="AK34" s="131"/>
      <c r="AL34" s="131"/>
      <c r="AM34" s="131"/>
      <c r="AN34" s="152"/>
      <c r="AO34" s="152"/>
      <c r="AP34" s="154"/>
      <c r="AQ34" s="154"/>
      <c r="AR34" s="100"/>
      <c r="AS34" s="100"/>
      <c r="AT34" s="100"/>
      <c r="AU34" s="100"/>
      <c r="AV34" s="100"/>
      <c r="AW34" s="100"/>
      <c r="AX34" s="100"/>
      <c r="AY34" s="100"/>
      <c r="AZ34" s="100"/>
      <c r="BA34" s="100"/>
      <c r="BB34" s="100"/>
      <c r="BC34" s="100"/>
      <c r="BD34" s="100"/>
      <c r="BE34" s="100"/>
      <c r="BF34" s="100"/>
      <c r="BG34" s="100"/>
      <c r="BH34" s="100"/>
      <c r="BI34" s="100"/>
      <c r="BJ34" s="100"/>
      <c r="BK34" s="100"/>
      <c r="BL34" s="100"/>
      <c r="BM34" s="100"/>
      <c r="BN34" s="100"/>
      <c r="BO34" s="100"/>
      <c r="BP34" s="100"/>
      <c r="BQ34" s="100"/>
      <c r="BR34" s="100"/>
      <c r="BS34" s="100"/>
      <c r="BT34" s="100"/>
      <c r="BU34" s="100"/>
      <c r="BV34" s="100"/>
      <c r="BW34" s="100"/>
      <c r="BX34" s="100"/>
      <c r="BY34" s="100"/>
      <c r="BZ34" s="100"/>
      <c r="CA34" s="100"/>
      <c r="CB34" s="100"/>
      <c r="CC34" s="100"/>
      <c r="CD34" s="100"/>
      <c r="CE34" s="100"/>
      <c r="CF34" s="100"/>
      <c r="CG34" s="100"/>
      <c r="CH34" s="100"/>
      <c r="CI34" s="100"/>
      <c r="CJ34" s="100"/>
      <c r="CK34" s="100"/>
      <c r="CL34" s="100"/>
      <c r="CM34" s="100"/>
      <c r="CN34" s="100"/>
      <c r="CO34" s="100"/>
      <c r="CP34" s="100"/>
      <c r="CQ34" s="100"/>
      <c r="CR34" s="100"/>
      <c r="CS34" s="100"/>
      <c r="CT34" s="100"/>
      <c r="CU34" s="100"/>
      <c r="CV34" s="101"/>
      <c r="CW34" s="101"/>
      <c r="CX34" s="101"/>
      <c r="CY34" s="101"/>
      <c r="CZ34" s="101"/>
      <c r="DA34" s="101"/>
      <c r="DB34" s="101"/>
      <c r="DC34" s="101"/>
      <c r="DD34" s="101"/>
      <c r="DE34" s="101"/>
      <c r="DF34" s="101"/>
      <c r="DG34" s="101"/>
      <c r="DH34" s="101"/>
      <c r="DI34" s="101"/>
      <c r="DJ34" s="101"/>
      <c r="DK34" s="101"/>
      <c r="DL34" s="101"/>
      <c r="DM34" s="101"/>
      <c r="DN34" s="101"/>
      <c r="DO34" s="101"/>
      <c r="DP34" s="101"/>
      <c r="DQ34" s="101"/>
      <c r="DR34" s="101"/>
      <c r="DS34" s="101"/>
      <c r="DT34" s="101"/>
      <c r="DU34" s="101"/>
      <c r="DV34" s="101"/>
      <c r="DW34" s="101"/>
      <c r="DX34" s="101"/>
      <c r="DY34" s="101"/>
      <c r="DZ34" s="101"/>
      <c r="EA34" s="101"/>
      <c r="EB34" s="101"/>
      <c r="EC34" s="101"/>
      <c r="ED34" s="101"/>
      <c r="EE34" s="102"/>
      <c r="EF34" s="102"/>
      <c r="EG34" s="102"/>
      <c r="EH34" s="102"/>
      <c r="EI34" s="102"/>
      <c r="EJ34" s="102"/>
      <c r="EK34" s="102"/>
      <c r="EL34" s="102"/>
      <c r="EM34" s="102"/>
      <c r="EN34" s="102"/>
      <c r="EO34" s="102"/>
      <c r="EP34" s="102"/>
      <c r="EQ34" s="102"/>
      <c r="ER34" s="102"/>
      <c r="ES34" s="102"/>
      <c r="ET34" s="102"/>
      <c r="EU34" s="102"/>
      <c r="EV34" s="102"/>
      <c r="EW34" s="102"/>
      <c r="EX34" s="102"/>
      <c r="EY34" s="102"/>
      <c r="EZ34" s="102"/>
      <c r="FA34" s="102"/>
      <c r="FB34" s="102"/>
      <c r="FC34" s="102"/>
      <c r="FD34" s="102"/>
      <c r="FE34" s="102"/>
      <c r="FF34" s="102"/>
      <c r="FG34" s="102"/>
      <c r="FH34" s="102"/>
      <c r="FI34" s="102"/>
      <c r="FJ34" s="102"/>
      <c r="FK34" s="102"/>
      <c r="FL34" s="102"/>
      <c r="FM34" s="102"/>
      <c r="FN34" s="102"/>
    </row>
    <row r="35" spans="1:170" s="13" customFormat="1" ht="18" customHeight="1">
      <c r="A35" s="1808"/>
      <c r="B35" s="416"/>
      <c r="C35" s="176" t="str">
        <f>Begriffe!F200</f>
        <v>Raumakustik</v>
      </c>
      <c r="F35" s="493"/>
      <c r="I35" s="180"/>
      <c r="J35" s="173"/>
      <c r="K35" s="131"/>
      <c r="M35" s="181"/>
      <c r="N35" s="320"/>
      <c r="O35" s="320"/>
      <c r="P35" s="493">
        <v>0</v>
      </c>
      <c r="Q35" s="989">
        <v>1</v>
      </c>
      <c r="R35" s="493">
        <v>0</v>
      </c>
      <c r="S35" s="131"/>
      <c r="T35" s="298"/>
      <c r="U35" s="298"/>
      <c r="V35" s="150"/>
      <c r="W35" s="299"/>
      <c r="X35" s="299"/>
      <c r="Y35" s="150"/>
      <c r="Z35" s="299"/>
      <c r="AA35" s="299"/>
      <c r="AB35" s="131"/>
      <c r="AC35" s="298"/>
      <c r="AD35" s="298"/>
      <c r="AE35" s="131"/>
      <c r="AF35" s="131"/>
      <c r="AG35" s="131"/>
      <c r="AH35" s="131"/>
      <c r="AI35" s="131"/>
      <c r="AJ35" s="131"/>
      <c r="AK35" s="131"/>
      <c r="AL35" s="131"/>
      <c r="AM35" s="131"/>
      <c r="AN35" s="131"/>
      <c r="AO35" s="131"/>
      <c r="AP35" s="131"/>
      <c r="AQ35" s="131"/>
      <c r="AR35" s="94"/>
      <c r="AS35" s="94"/>
      <c r="AT35" s="94"/>
      <c r="AU35" s="94"/>
      <c r="AV35" s="94"/>
      <c r="AW35" s="94"/>
      <c r="AX35" s="94"/>
      <c r="AY35" s="94"/>
      <c r="AZ35" s="94"/>
      <c r="BA35" s="94"/>
      <c r="BB35" s="94"/>
      <c r="BC35" s="94"/>
      <c r="BD35" s="94"/>
      <c r="BE35" s="94"/>
      <c r="BF35" s="94"/>
      <c r="BG35" s="94"/>
      <c r="BH35" s="94"/>
      <c r="BI35" s="94"/>
      <c r="BJ35" s="94"/>
      <c r="BK35" s="94"/>
      <c r="BL35" s="94"/>
      <c r="BM35" s="94"/>
      <c r="BN35" s="94"/>
      <c r="BO35" s="94"/>
      <c r="BP35" s="94"/>
      <c r="BQ35" s="94"/>
      <c r="BR35" s="94"/>
      <c r="BS35" s="94"/>
      <c r="BT35" s="94"/>
      <c r="BU35" s="94"/>
      <c r="BV35" s="94"/>
      <c r="BW35" s="94"/>
      <c r="BX35" s="94"/>
      <c r="BY35" s="94"/>
      <c r="BZ35" s="94"/>
      <c r="CA35" s="94"/>
      <c r="CB35" s="94"/>
      <c r="CC35" s="94"/>
      <c r="CD35" s="94"/>
      <c r="CE35" s="94"/>
      <c r="CF35" s="94"/>
      <c r="CG35" s="94"/>
      <c r="CH35" s="94"/>
      <c r="CI35" s="94"/>
      <c r="CJ35" s="94"/>
      <c r="CK35" s="94"/>
      <c r="CL35" s="94"/>
      <c r="CM35" s="94"/>
      <c r="CN35" s="94"/>
      <c r="CO35" s="94"/>
      <c r="CP35" s="94"/>
      <c r="CQ35" s="94"/>
      <c r="CR35" s="94"/>
      <c r="CS35" s="94"/>
      <c r="CT35" s="94"/>
      <c r="CU35" s="94"/>
      <c r="CV35" s="104"/>
      <c r="CW35" s="104"/>
      <c r="CX35" s="104"/>
      <c r="CY35" s="104"/>
      <c r="CZ35" s="104"/>
      <c r="DA35" s="104"/>
      <c r="DB35" s="104"/>
      <c r="DC35" s="104"/>
      <c r="DD35" s="104"/>
      <c r="DE35" s="104"/>
      <c r="DF35" s="104"/>
      <c r="DG35" s="104"/>
      <c r="DH35" s="104"/>
      <c r="DI35" s="104"/>
      <c r="DJ35" s="104"/>
      <c r="DK35" s="104"/>
      <c r="DL35" s="104"/>
      <c r="DM35" s="104"/>
      <c r="DN35" s="104"/>
      <c r="DO35" s="104"/>
      <c r="DP35" s="104"/>
      <c r="DQ35" s="104"/>
      <c r="DR35" s="104"/>
      <c r="DS35" s="104"/>
      <c r="DT35" s="104"/>
      <c r="DU35" s="104"/>
      <c r="DV35" s="104"/>
      <c r="DW35" s="104"/>
      <c r="DX35" s="104"/>
      <c r="DY35" s="104"/>
      <c r="DZ35" s="104"/>
      <c r="EA35" s="104"/>
      <c r="EB35" s="104"/>
      <c r="EC35" s="104"/>
      <c r="ED35" s="104"/>
      <c r="EE35" s="88"/>
      <c r="EF35" s="88"/>
      <c r="EG35" s="88"/>
      <c r="EH35" s="88"/>
      <c r="EI35" s="88"/>
      <c r="EJ35" s="88"/>
      <c r="EK35" s="88"/>
      <c r="EL35" s="88"/>
      <c r="EM35" s="88"/>
      <c r="EN35" s="88"/>
      <c r="EO35" s="88"/>
      <c r="EP35" s="88"/>
      <c r="EQ35" s="88"/>
      <c r="ER35" s="88"/>
      <c r="ES35" s="88"/>
      <c r="ET35" s="88"/>
      <c r="EU35" s="88"/>
      <c r="EV35" s="88"/>
      <c r="EW35" s="88"/>
      <c r="EX35" s="88"/>
      <c r="EY35" s="88"/>
      <c r="EZ35" s="88"/>
      <c r="FA35" s="88"/>
      <c r="FB35" s="88"/>
      <c r="FC35" s="88"/>
      <c r="FD35" s="88"/>
      <c r="FE35" s="88"/>
      <c r="FF35" s="88"/>
      <c r="FG35" s="88"/>
      <c r="FH35" s="88"/>
      <c r="FI35" s="88"/>
      <c r="FJ35" s="88"/>
      <c r="FK35" s="88"/>
      <c r="FL35" s="88"/>
      <c r="FM35" s="88"/>
      <c r="FN35" s="88"/>
    </row>
    <row r="36" spans="1:170" s="19" customFormat="1" ht="25.65" customHeight="1">
      <c r="A36" s="1808"/>
      <c r="B36" s="416">
        <v>142</v>
      </c>
      <c r="C36" s="493" t="str">
        <f>VLOOKUP(B36,Begriffe!$A$6:$E$442,Begriffe!$D$1+2)</f>
        <v>Lärmempfindlichkeit</v>
      </c>
      <c r="D36" s="21"/>
      <c r="E36" s="21"/>
      <c r="F36" s="21"/>
      <c r="G36" s="1814" t="str">
        <f>Begriffe!F313</f>
        <v>Aussen-/Innenlärm, Trittschall</v>
      </c>
      <c r="H36" s="1815"/>
      <c r="I36" s="215" t="s">
        <v>272</v>
      </c>
      <c r="J36" s="212" t="s">
        <v>272</v>
      </c>
      <c r="K36" s="188"/>
      <c r="L36" s="1160"/>
      <c r="M36" s="1157" t="str">
        <f>IF(L36&lt;&gt;"",L36,INDEX(Eingabedaten!$D$10:$CY$54,nutzid,MATCH($C36,Eingabedaten!$D$7:$CY$7,0)))</f>
        <v>mittel</v>
      </c>
      <c r="N36" s="321"/>
      <c r="O36" s="322"/>
      <c r="P36" s="493">
        <v>0</v>
      </c>
      <c r="Q36" s="989">
        <v>1</v>
      </c>
      <c r="R36" s="493">
        <v>0</v>
      </c>
      <c r="S36" s="131"/>
      <c r="T36" s="298"/>
      <c r="U36" s="298"/>
      <c r="V36" s="150"/>
      <c r="W36" s="299"/>
      <c r="X36" s="299"/>
      <c r="Y36" s="150"/>
      <c r="Z36" s="299"/>
      <c r="AA36" s="299"/>
      <c r="AB36" s="131"/>
      <c r="AC36" s="298"/>
      <c r="AD36" s="298"/>
      <c r="AE36" s="131"/>
      <c r="AF36" s="131"/>
      <c r="AG36" s="131"/>
      <c r="AH36" s="131"/>
      <c r="AI36" s="131"/>
      <c r="AJ36" s="131"/>
      <c r="AK36" s="131"/>
      <c r="AL36" s="131"/>
      <c r="AM36" s="131"/>
      <c r="AN36" s="152"/>
      <c r="AO36" s="152"/>
      <c r="AP36" s="154"/>
      <c r="AQ36" s="154"/>
      <c r="AR36" s="100"/>
      <c r="AS36" s="100"/>
      <c r="AT36" s="100"/>
      <c r="AU36" s="100"/>
      <c r="AV36" s="100"/>
      <c r="AW36" s="100"/>
      <c r="AX36" s="100"/>
      <c r="AY36" s="100"/>
      <c r="AZ36" s="100"/>
      <c r="BA36" s="100"/>
      <c r="BB36" s="100"/>
      <c r="BC36" s="100"/>
      <c r="BD36" s="100"/>
      <c r="BE36" s="100"/>
      <c r="BF36" s="100"/>
      <c r="BG36" s="100"/>
      <c r="BH36" s="100"/>
      <c r="BI36" s="100"/>
      <c r="BJ36" s="100"/>
      <c r="BK36" s="100"/>
      <c r="BL36" s="100"/>
      <c r="BM36" s="100"/>
      <c r="BN36" s="100"/>
      <c r="BO36" s="100"/>
      <c r="BP36" s="100"/>
      <c r="BQ36" s="100"/>
      <c r="BR36" s="100"/>
      <c r="BS36" s="100"/>
      <c r="BT36" s="100"/>
      <c r="BU36" s="100"/>
      <c r="BV36" s="100"/>
      <c r="BW36" s="100"/>
      <c r="BX36" s="100"/>
      <c r="BY36" s="100"/>
      <c r="BZ36" s="100"/>
      <c r="CA36" s="100"/>
      <c r="CB36" s="100"/>
      <c r="CC36" s="100"/>
      <c r="CD36" s="100"/>
      <c r="CE36" s="100"/>
      <c r="CF36" s="100"/>
      <c r="CG36" s="100"/>
      <c r="CH36" s="100"/>
      <c r="CI36" s="100"/>
      <c r="CJ36" s="100"/>
      <c r="CK36" s="100"/>
      <c r="CL36" s="100"/>
      <c r="CM36" s="100"/>
      <c r="CN36" s="100"/>
      <c r="CO36" s="100"/>
      <c r="CP36" s="100"/>
      <c r="CQ36" s="100"/>
      <c r="CR36" s="100"/>
      <c r="CS36" s="100"/>
      <c r="CT36" s="100"/>
      <c r="CU36" s="100"/>
      <c r="CV36" s="101"/>
      <c r="CW36" s="101"/>
      <c r="CX36" s="101"/>
      <c r="CY36" s="101"/>
      <c r="CZ36" s="101"/>
      <c r="DA36" s="101"/>
      <c r="DB36" s="101"/>
      <c r="DC36" s="101"/>
      <c r="DD36" s="101"/>
      <c r="DE36" s="101"/>
      <c r="DF36" s="101"/>
      <c r="DG36" s="101"/>
      <c r="DH36" s="101"/>
      <c r="DI36" s="101"/>
      <c r="DJ36" s="101"/>
      <c r="DK36" s="101"/>
      <c r="DL36" s="101"/>
      <c r="DM36" s="101"/>
      <c r="DN36" s="101"/>
      <c r="DO36" s="101"/>
      <c r="DP36" s="101"/>
      <c r="DQ36" s="101"/>
      <c r="DR36" s="101"/>
      <c r="DS36" s="101"/>
      <c r="DT36" s="101"/>
      <c r="DU36" s="101"/>
      <c r="DV36" s="101"/>
      <c r="DW36" s="101"/>
      <c r="DX36" s="101"/>
      <c r="DY36" s="101"/>
      <c r="DZ36" s="101"/>
      <c r="EA36" s="101"/>
      <c r="EB36" s="101"/>
      <c r="EC36" s="101"/>
      <c r="ED36" s="101"/>
      <c r="EE36" s="102"/>
      <c r="EF36" s="102"/>
      <c r="EG36" s="102"/>
      <c r="EH36" s="102"/>
      <c r="EI36" s="102"/>
      <c r="EJ36" s="102"/>
      <c r="EK36" s="102"/>
      <c r="EL36" s="102"/>
      <c r="EM36" s="102"/>
      <c r="EN36" s="102"/>
      <c r="EO36" s="102"/>
      <c r="EP36" s="102"/>
      <c r="EQ36" s="102"/>
      <c r="ER36" s="102"/>
      <c r="ES36" s="102"/>
      <c r="ET36" s="102"/>
      <c r="EU36" s="102"/>
      <c r="EV36" s="102"/>
      <c r="EW36" s="102"/>
      <c r="EX36" s="102"/>
      <c r="EY36" s="102"/>
      <c r="EZ36" s="102"/>
      <c r="FA36" s="102"/>
      <c r="FB36" s="102"/>
      <c r="FC36" s="102"/>
      <c r="FD36" s="102"/>
      <c r="FE36" s="102"/>
      <c r="FF36" s="102"/>
      <c r="FG36" s="102"/>
      <c r="FH36" s="102"/>
      <c r="FI36" s="102"/>
      <c r="FJ36" s="102"/>
      <c r="FK36" s="102"/>
      <c r="FL36" s="102"/>
      <c r="FM36" s="102"/>
      <c r="FN36" s="102"/>
    </row>
    <row r="37" spans="1:170" s="19" customFormat="1" ht="25.65" customHeight="1">
      <c r="A37" s="1808"/>
      <c r="B37" s="416">
        <v>108</v>
      </c>
      <c r="C37" s="1816" t="str">
        <f>VLOOKUP(B37,Begriffe!$A$6:$E$442,Begriffe!$D$1+2)</f>
        <v>Beurteilungspegel für Geräusche haustechnischer Anlagen</v>
      </c>
      <c r="D37" s="1816"/>
      <c r="E37" s="1816"/>
      <c r="F37" s="1816"/>
      <c r="G37" s="494" t="str">
        <f>Begriffe!F314</f>
        <v>Auslegung Dauergeräusche</v>
      </c>
      <c r="H37" s="21"/>
      <c r="I37" s="209" t="s">
        <v>884</v>
      </c>
      <c r="J37" s="210" t="s">
        <v>9</v>
      </c>
      <c r="K37" s="188"/>
      <c r="L37" s="1164"/>
      <c r="M37" s="1157">
        <f>IF(L37&lt;&gt;"",L37,INDEX(Eingabedaten!$D$10:$CY$54,nutzid,MATCH($C37,Eingabedaten!$D$7:$CY$7,0)))</f>
        <v>25</v>
      </c>
      <c r="N37" s="1025"/>
      <c r="O37" s="1026"/>
      <c r="P37" s="493">
        <v>0</v>
      </c>
      <c r="Q37" s="989">
        <v>1</v>
      </c>
      <c r="R37" s="493">
        <v>0</v>
      </c>
      <c r="S37"/>
      <c r="T37"/>
      <c r="U37"/>
      <c r="V37"/>
      <c r="W37"/>
      <c r="X37"/>
      <c r="Y37"/>
      <c r="Z37"/>
      <c r="AA37" s="299"/>
      <c r="AB37" s="131"/>
      <c r="AC37" s="298"/>
      <c r="AD37" s="298"/>
      <c r="AE37" s="131"/>
      <c r="AF37" s="131"/>
      <c r="AG37" s="131"/>
      <c r="AH37" s="131"/>
      <c r="AI37" s="131"/>
      <c r="AJ37" s="131"/>
      <c r="AK37" s="131"/>
      <c r="AL37" s="131"/>
      <c r="AM37" s="131"/>
      <c r="AN37" s="152"/>
      <c r="AO37" s="152"/>
      <c r="AP37" s="154"/>
      <c r="AQ37" s="154"/>
      <c r="AR37" s="100"/>
      <c r="AS37" s="100"/>
      <c r="AT37" s="100"/>
      <c r="AU37" s="100"/>
      <c r="AV37" s="100"/>
      <c r="AW37" s="100"/>
      <c r="AX37" s="100"/>
      <c r="AY37" s="100"/>
      <c r="AZ37" s="100"/>
      <c r="BA37" s="100"/>
      <c r="BB37" s="100"/>
      <c r="BC37" s="100"/>
      <c r="BD37" s="100"/>
      <c r="BE37" s="100"/>
      <c r="BF37" s="100"/>
      <c r="BG37" s="100"/>
      <c r="BH37" s="100"/>
      <c r="BI37" s="100"/>
      <c r="BJ37" s="100"/>
      <c r="BK37" s="100"/>
      <c r="BL37" s="100"/>
      <c r="BM37" s="100"/>
      <c r="BN37" s="100"/>
      <c r="BO37" s="100"/>
      <c r="BP37" s="100"/>
      <c r="BQ37" s="100"/>
      <c r="BR37" s="100"/>
      <c r="BS37" s="100"/>
      <c r="BT37" s="100"/>
      <c r="BU37" s="100"/>
      <c r="BV37" s="100"/>
      <c r="BW37" s="100"/>
      <c r="BX37" s="100"/>
      <c r="BY37" s="100"/>
      <c r="BZ37" s="100"/>
      <c r="CA37" s="100"/>
      <c r="CB37" s="100"/>
      <c r="CC37" s="100"/>
      <c r="CD37" s="100"/>
      <c r="CE37" s="100"/>
      <c r="CF37" s="100"/>
      <c r="CG37" s="100"/>
      <c r="CH37" s="100"/>
      <c r="CI37" s="100"/>
      <c r="CJ37" s="100"/>
      <c r="CK37" s="100"/>
      <c r="CL37" s="100"/>
      <c r="CM37" s="100"/>
      <c r="CN37" s="100"/>
      <c r="CO37" s="100"/>
      <c r="CP37" s="100"/>
      <c r="CQ37" s="100"/>
      <c r="CR37" s="100"/>
      <c r="CS37" s="100"/>
      <c r="CT37" s="100"/>
      <c r="CU37" s="100"/>
      <c r="CV37" s="101"/>
      <c r="CW37" s="101"/>
      <c r="CX37" s="101"/>
      <c r="CY37" s="101"/>
      <c r="CZ37" s="101"/>
      <c r="DA37" s="101"/>
      <c r="DB37" s="101"/>
      <c r="DC37" s="101"/>
      <c r="DD37" s="101"/>
      <c r="DE37" s="101"/>
      <c r="DF37" s="101"/>
      <c r="DG37" s="101"/>
      <c r="DH37" s="101"/>
      <c r="DI37" s="101"/>
      <c r="DJ37" s="101"/>
      <c r="DK37" s="101"/>
      <c r="DL37" s="101"/>
      <c r="DM37" s="101"/>
      <c r="DN37" s="101"/>
      <c r="DO37" s="101"/>
      <c r="DP37" s="101"/>
      <c r="DQ37" s="101"/>
      <c r="DR37" s="101"/>
      <c r="DS37" s="101"/>
      <c r="DT37" s="101"/>
      <c r="DU37" s="101"/>
      <c r="DV37" s="101"/>
      <c r="DW37" s="101"/>
      <c r="DX37" s="101"/>
      <c r="DY37" s="101"/>
      <c r="DZ37" s="101"/>
      <c r="EA37" s="101"/>
      <c r="EB37" s="101"/>
      <c r="EC37" s="101"/>
      <c r="ED37" s="101"/>
      <c r="EE37" s="102"/>
      <c r="EF37" s="102"/>
      <c r="EG37" s="102"/>
      <c r="EH37" s="102"/>
      <c r="EI37" s="102"/>
      <c r="EJ37" s="102"/>
      <c r="EK37" s="102"/>
      <c r="EL37" s="102"/>
      <c r="EM37" s="102"/>
      <c r="EN37" s="102"/>
      <c r="EO37" s="102"/>
      <c r="EP37" s="102"/>
      <c r="EQ37" s="102"/>
      <c r="ER37" s="102"/>
      <c r="ES37" s="102"/>
      <c r="ET37" s="102"/>
      <c r="EU37" s="102"/>
      <c r="EV37" s="102"/>
      <c r="EW37" s="102"/>
      <c r="EX37" s="102"/>
      <c r="EY37" s="102"/>
      <c r="EZ37" s="102"/>
      <c r="FA37" s="102"/>
      <c r="FB37" s="102"/>
      <c r="FC37" s="102"/>
      <c r="FD37" s="102"/>
      <c r="FE37" s="102"/>
      <c r="FF37" s="102"/>
      <c r="FG37" s="102"/>
      <c r="FH37" s="102"/>
      <c r="FI37" s="102"/>
      <c r="FJ37" s="102"/>
      <c r="FK37" s="102"/>
      <c r="FL37" s="102"/>
      <c r="FM37" s="102"/>
      <c r="FN37" s="102"/>
    </row>
    <row r="38" spans="1:170" s="19" customFormat="1" ht="18" customHeight="1">
      <c r="A38" s="1808"/>
      <c r="B38" s="416">
        <v>149</v>
      </c>
      <c r="C38" s="493" t="str">
        <f>VLOOKUP(B38,Begriffe!$A$6:$E$442,Begriffe!$D$1+2)</f>
        <v>Nachhallzeit</v>
      </c>
      <c r="D38" s="21"/>
      <c r="E38" s="21"/>
      <c r="F38" s="21"/>
      <c r="G38" s="494" t="str">
        <f>Begriffe!F315</f>
        <v>mit Möblierung</v>
      </c>
      <c r="H38" s="21"/>
      <c r="I38" s="178" t="s">
        <v>10</v>
      </c>
      <c r="J38" s="188" t="s">
        <v>11</v>
      </c>
      <c r="K38" s="188"/>
      <c r="L38" s="1162"/>
      <c r="M38" s="872">
        <f>IF(L38&lt;&gt;"",L38,INDEX(Eingabedaten!$D$10:$CY$54,nutzid,MATCH($C38,Eingabedaten!$D$7:$CY$7,0)))</f>
        <v>0.6</v>
      </c>
      <c r="N38" s="931"/>
      <c r="O38" s="931"/>
      <c r="P38" s="493">
        <v>0</v>
      </c>
      <c r="Q38" s="989">
        <v>1</v>
      </c>
      <c r="R38" s="493">
        <v>0</v>
      </c>
      <c r="S38"/>
      <c r="T38"/>
      <c r="U38"/>
      <c r="V38"/>
      <c r="W38"/>
      <c r="X38"/>
      <c r="Y38"/>
      <c r="Z38"/>
      <c r="AA38" s="299"/>
      <c r="AB38" s="150"/>
      <c r="AC38" s="299"/>
      <c r="AD38" s="299"/>
      <c r="AE38" s="150"/>
      <c r="AF38" s="150"/>
      <c r="AG38" s="150"/>
      <c r="AH38" s="150"/>
      <c r="AI38" s="150"/>
      <c r="AJ38" s="150"/>
      <c r="AK38" s="150"/>
      <c r="AL38" s="131"/>
      <c r="AM38" s="131"/>
      <c r="AN38" s="152"/>
      <c r="AO38" s="152"/>
      <c r="AP38" s="154"/>
      <c r="AQ38" s="154"/>
      <c r="AR38" s="100"/>
      <c r="AS38" s="100"/>
      <c r="AT38" s="100"/>
      <c r="AU38" s="100"/>
      <c r="AV38" s="100"/>
      <c r="AW38" s="100"/>
      <c r="AX38" s="100"/>
      <c r="AY38" s="100"/>
      <c r="AZ38" s="100"/>
      <c r="BA38" s="100"/>
      <c r="BB38" s="100"/>
      <c r="BC38" s="100"/>
      <c r="BD38" s="100"/>
      <c r="BE38" s="100"/>
      <c r="BF38" s="100"/>
      <c r="BG38" s="100"/>
      <c r="BH38" s="100"/>
      <c r="BI38" s="100"/>
      <c r="BJ38" s="100"/>
      <c r="BK38" s="100"/>
      <c r="BL38" s="100"/>
      <c r="BM38" s="100"/>
      <c r="BN38" s="100"/>
      <c r="BO38" s="100"/>
      <c r="BP38" s="100"/>
      <c r="BQ38" s="100"/>
      <c r="BR38" s="100"/>
      <c r="BS38" s="100"/>
      <c r="BT38" s="100"/>
      <c r="BU38" s="100"/>
      <c r="BV38" s="100"/>
      <c r="BW38" s="100"/>
      <c r="BX38" s="100"/>
      <c r="BY38" s="100"/>
      <c r="BZ38" s="100"/>
      <c r="CA38" s="100"/>
      <c r="CB38" s="100"/>
      <c r="CC38" s="100"/>
      <c r="CD38" s="100"/>
      <c r="CE38" s="100"/>
      <c r="CF38" s="100"/>
      <c r="CG38" s="100"/>
      <c r="CH38" s="100"/>
      <c r="CI38" s="100"/>
      <c r="CJ38" s="100"/>
      <c r="CK38" s="100"/>
      <c r="CL38" s="100"/>
      <c r="CM38" s="100"/>
      <c r="CN38" s="100"/>
      <c r="CO38" s="100"/>
      <c r="CP38" s="100"/>
      <c r="CQ38" s="100"/>
      <c r="CR38" s="100"/>
      <c r="CS38" s="100"/>
      <c r="CT38" s="100"/>
      <c r="CU38" s="100"/>
      <c r="CV38" s="101"/>
      <c r="CW38" s="101"/>
      <c r="CX38" s="101"/>
      <c r="CY38" s="101"/>
      <c r="CZ38" s="101"/>
      <c r="DA38" s="101"/>
      <c r="DB38" s="101"/>
      <c r="DC38" s="101"/>
      <c r="DD38" s="101"/>
      <c r="DE38" s="101"/>
      <c r="DF38" s="101"/>
      <c r="DG38" s="101"/>
      <c r="DH38" s="101"/>
      <c r="DI38" s="101"/>
      <c r="DJ38" s="101"/>
      <c r="DK38" s="101"/>
      <c r="DL38" s="101"/>
      <c r="DM38" s="101"/>
      <c r="DN38" s="101"/>
      <c r="DO38" s="101"/>
      <c r="DP38" s="101"/>
      <c r="DQ38" s="101"/>
      <c r="DR38" s="101"/>
      <c r="DS38" s="101"/>
      <c r="DT38" s="101"/>
      <c r="DU38" s="101"/>
      <c r="DV38" s="101"/>
      <c r="DW38" s="101"/>
      <c r="DX38" s="101"/>
      <c r="DY38" s="101"/>
      <c r="DZ38" s="101"/>
      <c r="EA38" s="101"/>
      <c r="EB38" s="101"/>
      <c r="EC38" s="101"/>
      <c r="ED38" s="101"/>
      <c r="EE38" s="102"/>
      <c r="EF38" s="102"/>
      <c r="EG38" s="102"/>
      <c r="EH38" s="102"/>
      <c r="EI38" s="102"/>
      <c r="EJ38" s="102"/>
      <c r="EK38" s="102"/>
      <c r="EL38" s="102"/>
      <c r="EM38" s="102"/>
      <c r="EN38" s="102"/>
      <c r="EO38" s="102"/>
      <c r="EP38" s="102"/>
      <c r="EQ38" s="102"/>
      <c r="ER38" s="102"/>
      <c r="ES38" s="102"/>
      <c r="ET38" s="102"/>
      <c r="EU38" s="102"/>
      <c r="EV38" s="102"/>
      <c r="EW38" s="102"/>
      <c r="EX38" s="102"/>
      <c r="EY38" s="102"/>
      <c r="EZ38" s="102"/>
      <c r="FA38" s="102"/>
      <c r="FB38" s="102"/>
      <c r="FC38" s="102"/>
      <c r="FD38" s="102"/>
      <c r="FE38" s="102"/>
      <c r="FF38" s="102"/>
      <c r="FG38" s="102"/>
      <c r="FH38" s="102"/>
      <c r="FI38" s="102"/>
      <c r="FJ38" s="102"/>
      <c r="FK38" s="102"/>
      <c r="FL38" s="102"/>
      <c r="FM38" s="102"/>
      <c r="FN38" s="102"/>
    </row>
    <row r="39" spans="1:170" s="21" customFormat="1" ht="18" customHeight="1">
      <c r="A39" s="1809"/>
      <c r="B39" s="416"/>
      <c r="C39" s="176"/>
      <c r="I39" s="178"/>
      <c r="J39" s="188"/>
      <c r="K39" s="188"/>
      <c r="L39" s="188"/>
      <c r="M39" s="183"/>
      <c r="N39" s="323"/>
      <c r="O39" s="324"/>
      <c r="P39" s="493">
        <v>0</v>
      </c>
      <c r="Q39" s="989">
        <v>1</v>
      </c>
      <c r="R39" s="493">
        <v>0</v>
      </c>
      <c r="S39"/>
      <c r="T39"/>
      <c r="U39"/>
      <c r="V39"/>
      <c r="W39"/>
      <c r="X39"/>
      <c r="Y39"/>
      <c r="Z39"/>
      <c r="AA39" s="299"/>
      <c r="AB39" s="150"/>
      <c r="AC39" s="299"/>
      <c r="AD39" s="299"/>
      <c r="AE39" s="150"/>
      <c r="AF39" s="150"/>
      <c r="AG39" s="131"/>
      <c r="AH39" s="131"/>
      <c r="AI39" s="131"/>
      <c r="AJ39" s="131"/>
      <c r="AK39" s="131"/>
      <c r="AL39" s="131"/>
      <c r="AM39" s="131"/>
      <c r="AN39" s="131"/>
      <c r="AO39" s="131"/>
      <c r="AP39" s="131"/>
      <c r="AQ39" s="131"/>
      <c r="AR39" s="94"/>
      <c r="AS39" s="94"/>
      <c r="AT39" s="94"/>
      <c r="AU39" s="94"/>
      <c r="AV39" s="94"/>
      <c r="AW39" s="94"/>
      <c r="AX39" s="94"/>
      <c r="AY39" s="94"/>
      <c r="AZ39" s="94"/>
      <c r="BA39" s="94"/>
      <c r="BB39" s="94"/>
      <c r="BC39" s="94"/>
      <c r="BD39" s="94"/>
      <c r="BE39" s="94"/>
      <c r="BF39" s="94"/>
      <c r="BG39" s="94"/>
      <c r="BH39" s="94"/>
      <c r="BI39" s="94"/>
      <c r="BJ39" s="94"/>
      <c r="BK39" s="94"/>
      <c r="BL39" s="94"/>
      <c r="BM39" s="94"/>
      <c r="BN39" s="94"/>
      <c r="BO39" s="94"/>
      <c r="BP39" s="94"/>
      <c r="BQ39" s="94"/>
      <c r="BR39" s="94"/>
      <c r="BS39" s="94"/>
      <c r="BT39" s="94"/>
      <c r="BU39" s="94"/>
      <c r="BV39" s="94"/>
      <c r="BW39" s="94"/>
      <c r="BX39" s="94"/>
      <c r="BY39" s="94"/>
      <c r="BZ39" s="94"/>
      <c r="CA39" s="94"/>
      <c r="CB39" s="94"/>
      <c r="CC39" s="94"/>
      <c r="CD39" s="94"/>
      <c r="CE39" s="94"/>
      <c r="CF39" s="94"/>
      <c r="CG39" s="94"/>
      <c r="CH39" s="94"/>
      <c r="CI39" s="94"/>
      <c r="CJ39" s="94"/>
      <c r="CK39" s="94"/>
      <c r="CL39" s="94"/>
      <c r="CM39" s="94"/>
      <c r="CN39" s="94"/>
      <c r="CO39" s="94"/>
      <c r="CP39" s="94"/>
      <c r="CQ39" s="94"/>
      <c r="CR39" s="94"/>
      <c r="CS39" s="94"/>
      <c r="CT39" s="94"/>
      <c r="CU39" s="94"/>
      <c r="CV39" s="104"/>
      <c r="CW39" s="104"/>
      <c r="CX39" s="104"/>
      <c r="CY39" s="104"/>
      <c r="CZ39" s="104"/>
      <c r="DA39" s="104"/>
      <c r="DB39" s="104"/>
      <c r="DC39" s="104"/>
      <c r="DD39" s="104"/>
      <c r="DE39" s="104"/>
      <c r="DF39" s="104"/>
      <c r="DG39" s="104"/>
      <c r="DH39" s="104"/>
      <c r="DI39" s="104"/>
      <c r="DJ39" s="104"/>
      <c r="DK39" s="104"/>
      <c r="DL39" s="104"/>
      <c r="DM39" s="104"/>
      <c r="DN39" s="104"/>
      <c r="DO39" s="104"/>
      <c r="DP39" s="104"/>
      <c r="DQ39" s="104"/>
      <c r="DR39" s="104"/>
      <c r="DS39" s="104"/>
      <c r="DT39" s="104"/>
      <c r="DU39" s="104"/>
      <c r="DV39" s="104"/>
      <c r="DW39" s="104"/>
      <c r="DX39" s="104"/>
      <c r="DY39" s="104"/>
      <c r="DZ39" s="104"/>
      <c r="EA39" s="104"/>
      <c r="EB39" s="104"/>
      <c r="EC39" s="104"/>
      <c r="ED39" s="104"/>
      <c r="EE39" s="88"/>
      <c r="EF39" s="88"/>
      <c r="EG39" s="88"/>
      <c r="EH39" s="88"/>
      <c r="EI39" s="88"/>
      <c r="EJ39" s="88"/>
      <c r="EK39" s="88"/>
      <c r="EL39" s="88"/>
      <c r="EM39" s="88"/>
      <c r="EN39" s="88"/>
      <c r="EO39" s="88"/>
      <c r="EP39" s="88"/>
      <c r="EQ39" s="88"/>
      <c r="ER39" s="88"/>
      <c r="ES39" s="88"/>
      <c r="ET39" s="88"/>
      <c r="EU39" s="88"/>
      <c r="EV39" s="88"/>
      <c r="EW39" s="88"/>
      <c r="EX39" s="88"/>
      <c r="EY39" s="88"/>
      <c r="EZ39" s="88"/>
      <c r="FA39" s="88"/>
      <c r="FB39" s="88"/>
      <c r="FC39" s="88"/>
      <c r="FD39" s="88"/>
      <c r="FE39" s="88"/>
      <c r="FF39" s="88"/>
      <c r="FG39" s="88"/>
      <c r="FH39" s="88"/>
      <c r="FI39" s="88"/>
      <c r="FJ39" s="88"/>
      <c r="FK39" s="88"/>
      <c r="FL39" s="88"/>
      <c r="FM39" s="88"/>
      <c r="FN39" s="88"/>
    </row>
    <row r="40" spans="1:170" s="12" customFormat="1" ht="2.1" customHeight="1">
      <c r="A40" s="198"/>
      <c r="B40" s="1142"/>
      <c r="C40" s="200"/>
      <c r="D40" s="200"/>
      <c r="E40" s="200"/>
      <c r="F40" s="200"/>
      <c r="G40" s="200"/>
      <c r="H40" s="200"/>
      <c r="I40" s="201"/>
      <c r="J40" s="200"/>
      <c r="K40" s="200"/>
      <c r="L40" s="201"/>
      <c r="M40" s="202"/>
      <c r="N40" s="997"/>
      <c r="O40" s="997"/>
      <c r="P40" s="493">
        <v>0</v>
      </c>
      <c r="Q40" s="989">
        <v>1</v>
      </c>
      <c r="R40" s="493">
        <v>0</v>
      </c>
      <c r="S40" s="311"/>
      <c r="T40" s="301"/>
      <c r="U40" s="301"/>
      <c r="V40" s="311"/>
      <c r="W40" s="301"/>
      <c r="X40" s="301"/>
      <c r="Y40" s="311"/>
      <c r="Z40" s="301"/>
      <c r="AA40" s="301"/>
      <c r="AB40" s="311"/>
      <c r="AC40" s="301"/>
      <c r="AD40" s="301"/>
      <c r="AN40" s="156"/>
      <c r="AO40" s="156"/>
      <c r="AP40" s="157"/>
      <c r="AQ40" s="157"/>
      <c r="AR40" s="106"/>
      <c r="AS40" s="106"/>
      <c r="AT40" s="106"/>
      <c r="AU40" s="106"/>
      <c r="AV40" s="106"/>
      <c r="AW40" s="106"/>
      <c r="AX40" s="106"/>
      <c r="AY40" s="106"/>
      <c r="AZ40" s="106"/>
      <c r="BA40" s="106"/>
      <c r="BB40" s="106"/>
      <c r="BC40" s="106"/>
      <c r="BD40" s="106"/>
      <c r="BE40" s="106"/>
      <c r="BF40" s="106"/>
      <c r="BG40" s="106"/>
      <c r="BH40" s="106"/>
      <c r="BI40" s="106"/>
      <c r="BJ40" s="106"/>
      <c r="BK40" s="106"/>
      <c r="BL40" s="106"/>
      <c r="BM40" s="106"/>
      <c r="BN40" s="106"/>
      <c r="BO40" s="106"/>
      <c r="BP40" s="106"/>
      <c r="BQ40" s="106"/>
      <c r="BR40" s="106"/>
      <c r="BS40" s="106"/>
      <c r="BT40" s="106"/>
      <c r="BU40" s="106"/>
      <c r="BV40" s="106"/>
      <c r="BW40" s="106"/>
      <c r="BX40" s="106"/>
      <c r="BY40" s="106"/>
      <c r="BZ40" s="106"/>
      <c r="CA40" s="106"/>
      <c r="CB40" s="106"/>
      <c r="CC40" s="106"/>
      <c r="CD40" s="106"/>
      <c r="CE40" s="106"/>
      <c r="CF40" s="106"/>
      <c r="CG40" s="106"/>
      <c r="CH40" s="106"/>
      <c r="CI40" s="106"/>
      <c r="CJ40" s="106"/>
      <c r="CK40" s="106"/>
      <c r="CL40" s="106"/>
      <c r="CM40" s="106"/>
      <c r="CN40" s="106"/>
      <c r="CO40" s="106"/>
      <c r="CP40" s="106"/>
      <c r="CQ40" s="106"/>
      <c r="CR40" s="106"/>
      <c r="CS40" s="106"/>
      <c r="CT40" s="106"/>
      <c r="CU40" s="106"/>
      <c r="CV40" s="107"/>
      <c r="CW40" s="107"/>
      <c r="CX40" s="107"/>
      <c r="CY40" s="107"/>
      <c r="CZ40" s="107"/>
      <c r="DA40" s="107"/>
      <c r="DB40" s="107"/>
      <c r="DC40" s="107"/>
      <c r="DD40" s="107"/>
      <c r="DE40" s="107"/>
      <c r="DF40" s="107"/>
      <c r="DG40" s="107"/>
      <c r="DH40" s="107"/>
      <c r="DI40" s="107"/>
      <c r="DJ40" s="107"/>
      <c r="DK40" s="107"/>
      <c r="DL40" s="107"/>
      <c r="DM40" s="107"/>
      <c r="DN40" s="107"/>
      <c r="DO40" s="107"/>
      <c r="DP40" s="107"/>
      <c r="DQ40" s="107"/>
      <c r="DR40" s="107"/>
      <c r="DS40" s="107"/>
      <c r="DT40" s="107"/>
      <c r="DU40" s="107"/>
      <c r="DV40" s="107"/>
      <c r="DW40" s="107"/>
      <c r="DX40" s="107"/>
      <c r="DY40" s="107"/>
      <c r="DZ40" s="107"/>
      <c r="EA40" s="107"/>
      <c r="EB40" s="107"/>
      <c r="EC40" s="107"/>
      <c r="ED40" s="107"/>
      <c r="EE40" s="105"/>
      <c r="EF40" s="105"/>
      <c r="EG40" s="105"/>
      <c r="EH40" s="105"/>
      <c r="EI40" s="105"/>
      <c r="EJ40" s="105"/>
      <c r="EK40" s="105"/>
      <c r="EL40" s="105"/>
      <c r="EM40" s="105"/>
      <c r="EN40" s="105"/>
      <c r="EO40" s="105"/>
      <c r="EP40" s="105"/>
      <c r="EQ40" s="105"/>
      <c r="ER40" s="105"/>
      <c r="ES40" s="105"/>
      <c r="ET40" s="105"/>
      <c r="EU40" s="105"/>
      <c r="EV40" s="105"/>
      <c r="EW40" s="105"/>
      <c r="EX40" s="105"/>
      <c r="EY40" s="105"/>
      <c r="EZ40" s="105"/>
      <c r="FA40" s="105"/>
      <c r="FB40" s="105"/>
      <c r="FC40" s="105"/>
      <c r="FD40" s="105"/>
      <c r="FE40" s="105"/>
      <c r="FF40" s="105"/>
      <c r="FG40" s="105"/>
      <c r="FH40" s="105"/>
      <c r="FI40" s="105"/>
      <c r="FJ40" s="105"/>
      <c r="FK40" s="105"/>
      <c r="FL40" s="105"/>
      <c r="FM40" s="105"/>
      <c r="FN40" s="105"/>
    </row>
    <row r="41" spans="1:170" s="5" customFormat="1" ht="18" hidden="1" customHeight="1">
      <c r="A41" s="1808" t="str">
        <f>Begriffe!F201</f>
        <v>Personen</v>
      </c>
      <c r="B41" s="416"/>
      <c r="K41" s="1133"/>
      <c r="L41" s="988"/>
      <c r="N41" s="988"/>
      <c r="P41" s="493">
        <v>0</v>
      </c>
      <c r="Q41" s="989">
        <v>0</v>
      </c>
      <c r="R41" s="493">
        <v>0</v>
      </c>
      <c r="S41" s="82"/>
      <c r="U41" s="302"/>
      <c r="V41" s="312"/>
      <c r="W41" s="302"/>
      <c r="X41" s="302"/>
      <c r="Y41" s="312"/>
      <c r="Z41" s="302"/>
      <c r="AA41" s="302"/>
      <c r="AB41" s="312"/>
      <c r="AC41" s="302"/>
      <c r="AD41" s="302"/>
      <c r="AM41" s="82"/>
      <c r="AN41" s="158"/>
      <c r="AO41" s="158"/>
      <c r="AP41" s="159"/>
      <c r="AQ41" s="159"/>
      <c r="AR41" s="108"/>
      <c r="AS41" s="108"/>
      <c r="AT41" s="108"/>
      <c r="AU41" s="108"/>
      <c r="AV41" s="108"/>
      <c r="AW41" s="108"/>
      <c r="AX41" s="108"/>
      <c r="AY41" s="108"/>
      <c r="AZ41" s="108"/>
      <c r="BA41" s="108"/>
      <c r="BB41" s="108"/>
      <c r="BC41" s="108"/>
      <c r="BD41" s="108"/>
      <c r="BE41" s="108"/>
      <c r="BF41" s="108"/>
      <c r="BG41" s="108"/>
      <c r="BH41" s="108"/>
      <c r="BI41" s="108"/>
      <c r="BJ41" s="108"/>
      <c r="BK41" s="108"/>
      <c r="BL41" s="108"/>
      <c r="BM41" s="108"/>
      <c r="BN41" s="108"/>
      <c r="BO41" s="108"/>
      <c r="BP41" s="108"/>
      <c r="BQ41" s="108"/>
      <c r="BR41" s="108"/>
      <c r="BS41" s="108"/>
      <c r="BT41" s="108"/>
      <c r="BU41" s="108"/>
      <c r="BV41" s="108"/>
      <c r="BW41" s="108"/>
      <c r="BX41" s="108"/>
      <c r="BY41" s="108"/>
      <c r="BZ41" s="108"/>
      <c r="CA41" s="108"/>
      <c r="CB41" s="108"/>
      <c r="CC41" s="108"/>
      <c r="CD41" s="108"/>
      <c r="CE41" s="108"/>
      <c r="CF41" s="108"/>
      <c r="CG41" s="108"/>
      <c r="CH41" s="108"/>
      <c r="CI41" s="108"/>
      <c r="CJ41" s="108"/>
      <c r="CK41" s="108"/>
      <c r="CL41" s="108"/>
      <c r="CM41" s="108"/>
      <c r="CN41" s="108"/>
      <c r="CO41" s="108"/>
      <c r="CP41" s="108"/>
      <c r="CQ41" s="108"/>
      <c r="CR41" s="108"/>
      <c r="CS41" s="108"/>
      <c r="CT41" s="108"/>
      <c r="CU41" s="108"/>
      <c r="CV41" s="109"/>
      <c r="CW41" s="109"/>
      <c r="CX41" s="109"/>
      <c r="CY41" s="109"/>
      <c r="CZ41" s="109"/>
      <c r="DA41" s="109"/>
      <c r="DB41" s="109"/>
      <c r="DC41" s="109"/>
      <c r="DD41" s="109"/>
      <c r="DE41" s="109"/>
      <c r="DF41" s="109"/>
      <c r="DG41" s="109"/>
      <c r="DH41" s="109"/>
      <c r="DI41" s="109"/>
      <c r="DJ41" s="109"/>
      <c r="DK41" s="109"/>
      <c r="DL41" s="109"/>
      <c r="DM41" s="109"/>
      <c r="DN41" s="109"/>
      <c r="DO41" s="109"/>
      <c r="DP41" s="109"/>
      <c r="DQ41" s="109"/>
      <c r="DR41" s="109"/>
      <c r="DS41" s="109"/>
      <c r="DT41" s="109"/>
      <c r="DU41" s="109"/>
      <c r="DV41" s="109"/>
      <c r="DW41" s="109"/>
      <c r="DX41" s="109"/>
      <c r="DY41" s="109"/>
      <c r="DZ41" s="109"/>
      <c r="EA41" s="109"/>
      <c r="EB41" s="109"/>
      <c r="EC41" s="109"/>
      <c r="ED41" s="109"/>
      <c r="EE41" s="110"/>
      <c r="EF41" s="110"/>
      <c r="EG41" s="110"/>
      <c r="EH41" s="110"/>
      <c r="EI41" s="110"/>
      <c r="EJ41" s="110"/>
      <c r="EK41" s="110"/>
      <c r="EL41" s="110"/>
      <c r="EM41" s="110"/>
      <c r="EN41" s="110"/>
      <c r="EO41" s="110"/>
      <c r="EP41" s="110"/>
      <c r="EQ41" s="110"/>
      <c r="ER41" s="110"/>
      <c r="ES41" s="110"/>
      <c r="ET41" s="110"/>
      <c r="EU41" s="110"/>
      <c r="EV41" s="110"/>
      <c r="EW41" s="110"/>
      <c r="EX41" s="110"/>
      <c r="EY41" s="110"/>
      <c r="EZ41" s="110"/>
      <c r="FA41" s="110"/>
      <c r="FB41" s="110"/>
      <c r="FC41" s="110"/>
      <c r="FD41" s="110"/>
      <c r="FE41" s="110"/>
      <c r="FF41" s="110"/>
      <c r="FG41" s="110"/>
      <c r="FH41" s="110"/>
      <c r="FI41" s="110"/>
      <c r="FJ41" s="110"/>
      <c r="FK41" s="110"/>
      <c r="FL41" s="110"/>
      <c r="FM41" s="110"/>
      <c r="FN41" s="110"/>
    </row>
    <row r="42" spans="1:170" s="5" customFormat="1" ht="18" customHeight="1">
      <c r="A42" s="1808"/>
      <c r="B42" s="416"/>
      <c r="C42" s="1813" t="str">
        <f>Begriffe!F63</f>
        <v>Personenprofil</v>
      </c>
      <c r="D42" s="1"/>
      <c r="E42" s="329"/>
      <c r="F42" s="329"/>
      <c r="G42" s="1"/>
      <c r="H42" s="330"/>
      <c r="I42" s="1819" t="str">
        <f>Begriffe!F32</f>
        <v>Jahresprofil</v>
      </c>
      <c r="J42" s="331"/>
      <c r="K42" s="331"/>
      <c r="L42" s="331"/>
      <c r="M42" s="332"/>
      <c r="N42" s="333"/>
      <c r="O42" s="216"/>
      <c r="P42" s="493">
        <v>0</v>
      </c>
      <c r="Q42" s="989">
        <v>1</v>
      </c>
      <c r="R42" s="493">
        <v>0</v>
      </c>
      <c r="S42" s="131"/>
      <c r="T42" s="302"/>
      <c r="U42" s="302"/>
      <c r="V42" s="312"/>
      <c r="W42" s="302"/>
      <c r="X42" s="302"/>
      <c r="Y42" s="312"/>
      <c r="Z42" s="302"/>
      <c r="AA42" s="302"/>
      <c r="AB42" s="312"/>
      <c r="AC42" s="302"/>
      <c r="AD42" s="302"/>
      <c r="AM42" s="13"/>
      <c r="AN42" s="160"/>
      <c r="AO42" s="16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c r="CY42" s="110"/>
      <c r="CZ42" s="110"/>
      <c r="DA42" s="110"/>
      <c r="DB42" s="110"/>
      <c r="DC42" s="110"/>
      <c r="DD42" s="110"/>
      <c r="DE42" s="109"/>
      <c r="DF42" s="109"/>
      <c r="DG42" s="109"/>
      <c r="DH42" s="109"/>
      <c r="DI42" s="109"/>
      <c r="DJ42" s="109"/>
      <c r="DK42" s="109"/>
      <c r="DL42" s="109"/>
      <c r="DM42" s="109"/>
      <c r="DN42" s="109"/>
      <c r="DO42" s="109"/>
      <c r="DP42" s="109"/>
      <c r="DQ42" s="109"/>
      <c r="DR42" s="109"/>
      <c r="DS42" s="109"/>
      <c r="DT42" s="109"/>
      <c r="DU42" s="109"/>
      <c r="DV42" s="109"/>
      <c r="DW42" s="109"/>
      <c r="DX42" s="109"/>
      <c r="DY42" s="109"/>
      <c r="DZ42" s="109"/>
      <c r="EA42" s="109"/>
      <c r="EB42" s="109"/>
      <c r="EC42" s="109"/>
      <c r="ED42" s="109"/>
      <c r="EE42" s="110"/>
      <c r="EF42" s="110"/>
      <c r="EG42" s="110"/>
      <c r="EH42" s="110"/>
      <c r="EI42" s="110"/>
      <c r="EJ42" s="110"/>
      <c r="EK42" s="110"/>
      <c r="EL42" s="110"/>
      <c r="EM42" s="110"/>
      <c r="EN42" s="110"/>
      <c r="EO42" s="110"/>
      <c r="EP42" s="110"/>
      <c r="EQ42" s="110"/>
      <c r="ER42" s="110"/>
      <c r="ES42" s="110"/>
      <c r="ET42" s="110"/>
      <c r="EU42" s="110"/>
      <c r="EV42" s="110"/>
      <c r="EW42" s="110"/>
      <c r="EX42" s="110"/>
      <c r="EY42" s="110"/>
      <c r="EZ42" s="110"/>
      <c r="FA42" s="110"/>
      <c r="FB42" s="110"/>
      <c r="FC42" s="110"/>
      <c r="FD42" s="110"/>
      <c r="FE42" s="110"/>
      <c r="FF42" s="110"/>
      <c r="FG42" s="110"/>
      <c r="FH42" s="110"/>
      <c r="FI42" s="110"/>
      <c r="FJ42" s="110"/>
      <c r="FK42" s="110"/>
      <c r="FL42" s="110"/>
      <c r="FM42" s="110"/>
      <c r="FN42" s="110"/>
    </row>
    <row r="43" spans="1:170" s="5" customFormat="1" ht="18" customHeight="1">
      <c r="A43" s="1808"/>
      <c r="B43" s="416"/>
      <c r="C43" s="1813"/>
      <c r="D43" s="1"/>
      <c r="E43" s="329"/>
      <c r="F43" s="329"/>
      <c r="G43" s="1"/>
      <c r="H43" s="330"/>
      <c r="I43" s="1819"/>
      <c r="J43" s="331"/>
      <c r="K43" s="331"/>
      <c r="L43" s="331"/>
      <c r="M43" s="332"/>
      <c r="N43" s="333"/>
      <c r="O43" s="216"/>
      <c r="P43" s="493">
        <v>0</v>
      </c>
      <c r="Q43" s="417">
        <v>1</v>
      </c>
      <c r="R43" s="493">
        <v>0</v>
      </c>
      <c r="S43" s="85"/>
      <c r="T43" s="302"/>
      <c r="U43" s="302"/>
      <c r="V43" s="312"/>
      <c r="W43" s="302"/>
      <c r="X43" s="302"/>
      <c r="Y43" s="312"/>
      <c r="Z43" s="302"/>
      <c r="AA43" s="302"/>
      <c r="AB43" s="312"/>
      <c r="AC43" s="302"/>
      <c r="AD43" s="302"/>
      <c r="AM43" s="85"/>
      <c r="AN43" s="160"/>
      <c r="AO43" s="16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c r="CY43" s="110"/>
      <c r="CZ43" s="110"/>
      <c r="DA43" s="110"/>
      <c r="DB43" s="110"/>
      <c r="DC43" s="110"/>
      <c r="DD43" s="110"/>
      <c r="DE43" s="109"/>
      <c r="DF43" s="109"/>
      <c r="DG43" s="109"/>
      <c r="DH43" s="109"/>
      <c r="DI43" s="109"/>
      <c r="DJ43" s="109"/>
      <c r="DK43" s="109"/>
      <c r="DL43" s="109"/>
      <c r="DM43" s="109"/>
      <c r="DN43" s="109"/>
      <c r="DO43" s="109"/>
      <c r="DP43" s="109"/>
      <c r="DQ43" s="109"/>
      <c r="DR43" s="109"/>
      <c r="DS43" s="109"/>
      <c r="DT43" s="109"/>
      <c r="DU43" s="109"/>
      <c r="DV43" s="109"/>
      <c r="DW43" s="109"/>
      <c r="DX43" s="109"/>
      <c r="DY43" s="109"/>
      <c r="DZ43" s="109"/>
      <c r="EA43" s="109"/>
      <c r="EB43" s="109"/>
      <c r="EC43" s="109"/>
      <c r="ED43" s="109"/>
      <c r="EE43" s="110"/>
      <c r="EF43" s="110"/>
      <c r="EG43" s="110"/>
      <c r="EH43" s="110"/>
      <c r="EI43" s="110"/>
      <c r="EJ43" s="110"/>
      <c r="EK43" s="110"/>
      <c r="EL43" s="110"/>
      <c r="EM43" s="110"/>
      <c r="EN43" s="110"/>
      <c r="EO43" s="110"/>
      <c r="EP43" s="110"/>
      <c r="EQ43" s="110"/>
      <c r="ER43" s="110"/>
      <c r="ES43" s="110"/>
      <c r="ET43" s="110"/>
      <c r="EU43" s="110"/>
      <c r="EV43" s="110"/>
      <c r="EW43" s="110"/>
      <c r="EX43" s="110"/>
      <c r="EY43" s="110"/>
      <c r="EZ43" s="110"/>
      <c r="FA43" s="110"/>
      <c r="FB43" s="110"/>
      <c r="FC43" s="110"/>
      <c r="FD43" s="110"/>
      <c r="FE43" s="110"/>
      <c r="FF43" s="110"/>
      <c r="FG43" s="110"/>
      <c r="FH43" s="110"/>
      <c r="FI43" s="110"/>
      <c r="FJ43" s="110"/>
      <c r="FK43" s="110"/>
      <c r="FL43" s="110"/>
      <c r="FM43" s="110"/>
      <c r="FN43" s="110"/>
    </row>
    <row r="44" spans="1:170" s="5" customFormat="1" ht="18" customHeight="1">
      <c r="A44" s="1808"/>
      <c r="B44" s="416"/>
      <c r="C44" s="1813"/>
      <c r="D44" s="1"/>
      <c r="E44" s="329"/>
      <c r="F44" s="329"/>
      <c r="G44" s="1"/>
      <c r="H44" s="330"/>
      <c r="I44" s="1819"/>
      <c r="J44" s="331"/>
      <c r="K44" s="331"/>
      <c r="L44" s="331"/>
      <c r="M44" s="332"/>
      <c r="N44" s="333"/>
      <c r="O44" s="216"/>
      <c r="P44" s="493">
        <v>0</v>
      </c>
      <c r="Q44" s="989">
        <v>1</v>
      </c>
      <c r="R44" s="493">
        <v>0</v>
      </c>
      <c r="S44" s="312"/>
      <c r="T44" s="302"/>
      <c r="U44" s="302"/>
      <c r="V44" s="312"/>
      <c r="W44" s="302"/>
      <c r="X44" s="302"/>
      <c r="Y44" s="312"/>
      <c r="Z44" s="302"/>
      <c r="AA44" s="302"/>
      <c r="AB44" s="312"/>
      <c r="AC44" s="302"/>
      <c r="AD44" s="302"/>
      <c r="AM44" s="1"/>
      <c r="AN44" s="160"/>
      <c r="AO44" s="16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c r="CY44" s="110"/>
      <c r="CZ44" s="110"/>
      <c r="DA44" s="110"/>
      <c r="DB44" s="110"/>
      <c r="DC44" s="110"/>
      <c r="DD44" s="110"/>
      <c r="DE44" s="109"/>
      <c r="DF44" s="109"/>
      <c r="DG44" s="109"/>
      <c r="DH44" s="109"/>
      <c r="DI44" s="109"/>
      <c r="DJ44" s="109"/>
      <c r="DK44" s="109"/>
      <c r="DL44" s="109"/>
      <c r="DM44" s="109"/>
      <c r="DN44" s="109"/>
      <c r="DO44" s="109"/>
      <c r="DP44" s="109"/>
      <c r="DQ44" s="109"/>
      <c r="DR44" s="109"/>
      <c r="DS44" s="109"/>
      <c r="DT44" s="109"/>
      <c r="DU44" s="109"/>
      <c r="DV44" s="109"/>
      <c r="DW44" s="109"/>
      <c r="DX44" s="109"/>
      <c r="DY44" s="109"/>
      <c r="DZ44" s="109"/>
      <c r="EA44" s="109"/>
      <c r="EB44" s="109"/>
      <c r="EC44" s="109"/>
      <c r="ED44" s="109"/>
      <c r="EE44" s="110"/>
      <c r="EF44" s="110"/>
      <c r="EG44" s="110"/>
      <c r="EH44" s="110"/>
      <c r="EI44" s="110"/>
      <c r="EJ44" s="110"/>
      <c r="EK44" s="110"/>
      <c r="EL44" s="110"/>
      <c r="EM44" s="110"/>
      <c r="EN44" s="110"/>
      <c r="EO44" s="110"/>
      <c r="EP44" s="110"/>
      <c r="EQ44" s="110"/>
      <c r="ER44" s="110"/>
      <c r="ES44" s="110"/>
      <c r="ET44" s="110"/>
      <c r="EU44" s="110"/>
      <c r="EV44" s="110"/>
      <c r="EW44" s="110"/>
      <c r="EX44" s="110"/>
      <c r="EY44" s="110"/>
      <c r="EZ44" s="110"/>
      <c r="FA44" s="110"/>
      <c r="FB44" s="110"/>
      <c r="FC44" s="110"/>
      <c r="FD44" s="110"/>
      <c r="FE44" s="110"/>
      <c r="FF44" s="110"/>
      <c r="FG44" s="110"/>
      <c r="FH44" s="110"/>
      <c r="FI44" s="110"/>
      <c r="FJ44" s="110"/>
      <c r="FK44" s="110"/>
      <c r="FL44" s="110"/>
      <c r="FM44" s="110"/>
      <c r="FN44" s="110"/>
    </row>
    <row r="45" spans="1:170" s="5" customFormat="1" ht="18" customHeight="1">
      <c r="A45" s="1808"/>
      <c r="B45" s="416"/>
      <c r="C45" s="1813"/>
      <c r="D45" s="1"/>
      <c r="E45" s="329"/>
      <c r="F45" s="329"/>
      <c r="G45" s="1"/>
      <c r="H45" s="330"/>
      <c r="I45" s="1819"/>
      <c r="J45" s="331"/>
      <c r="K45" s="331"/>
      <c r="L45" s="331"/>
      <c r="M45" s="332"/>
      <c r="N45" s="333"/>
      <c r="O45" s="216"/>
      <c r="P45" s="493">
        <v>0</v>
      </c>
      <c r="Q45" s="989">
        <v>1</v>
      </c>
      <c r="R45" s="493">
        <v>0</v>
      </c>
      <c r="S45" s="312"/>
      <c r="T45" s="302"/>
      <c r="U45" s="302"/>
      <c r="V45" s="312"/>
      <c r="W45" s="302"/>
      <c r="X45" s="302"/>
      <c r="Y45" s="312"/>
      <c r="Z45" s="302"/>
      <c r="AA45" s="302"/>
      <c r="AB45" s="312"/>
      <c r="AC45" s="302"/>
      <c r="AD45" s="302"/>
      <c r="AM45" s="1"/>
      <c r="AN45" s="160"/>
      <c r="AO45" s="16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c r="CY45" s="110"/>
      <c r="CZ45" s="110"/>
      <c r="DA45" s="110"/>
      <c r="DB45" s="110"/>
      <c r="DC45" s="110"/>
      <c r="DD45" s="110"/>
      <c r="DE45" s="109"/>
      <c r="DF45" s="109"/>
      <c r="DG45" s="109"/>
      <c r="DH45" s="109"/>
      <c r="DI45" s="109"/>
      <c r="DJ45" s="109"/>
      <c r="DK45" s="109"/>
      <c r="DL45" s="109"/>
      <c r="DM45" s="109"/>
      <c r="DN45" s="109"/>
      <c r="DO45" s="109"/>
      <c r="DP45" s="109"/>
      <c r="DQ45" s="109"/>
      <c r="DR45" s="109"/>
      <c r="DS45" s="109"/>
      <c r="DT45" s="109"/>
      <c r="DU45" s="109"/>
      <c r="DV45" s="109"/>
      <c r="DW45" s="109"/>
      <c r="DX45" s="109"/>
      <c r="DY45" s="109"/>
      <c r="DZ45" s="109"/>
      <c r="EA45" s="109"/>
      <c r="EB45" s="109"/>
      <c r="EC45" s="109"/>
      <c r="ED45" s="109"/>
      <c r="EE45" s="110"/>
      <c r="EF45" s="110"/>
      <c r="EG45" s="110"/>
      <c r="EH45" s="110"/>
      <c r="EI45" s="110"/>
      <c r="EJ45" s="110"/>
      <c r="EK45" s="110"/>
      <c r="EL45" s="110"/>
      <c r="EM45" s="110"/>
      <c r="EN45" s="110"/>
      <c r="EO45" s="110"/>
      <c r="EP45" s="110"/>
      <c r="EQ45" s="110"/>
      <c r="ER45" s="110"/>
      <c r="ES45" s="110"/>
      <c r="ET45" s="110"/>
      <c r="EU45" s="110"/>
      <c r="EV45" s="110"/>
      <c r="EW45" s="110"/>
      <c r="EX45" s="110"/>
      <c r="EY45" s="110"/>
      <c r="EZ45" s="110"/>
      <c r="FA45" s="110"/>
      <c r="FB45" s="110"/>
      <c r="FC45" s="110"/>
      <c r="FD45" s="110"/>
      <c r="FE45" s="110"/>
      <c r="FF45" s="110"/>
      <c r="FG45" s="110"/>
      <c r="FH45" s="110"/>
      <c r="FI45" s="110"/>
      <c r="FJ45" s="110"/>
      <c r="FK45" s="110"/>
      <c r="FL45" s="110"/>
      <c r="FM45" s="110"/>
      <c r="FN45" s="110"/>
    </row>
    <row r="46" spans="1:170" s="5" customFormat="1" ht="18" customHeight="1">
      <c r="A46" s="1808"/>
      <c r="B46" s="416"/>
      <c r="C46" s="1813"/>
      <c r="D46" s="1"/>
      <c r="E46" s="329"/>
      <c r="F46" s="329"/>
      <c r="G46" s="1"/>
      <c r="H46" s="330"/>
      <c r="I46" s="1819"/>
      <c r="J46" s="331"/>
      <c r="K46" s="331"/>
      <c r="L46" s="331"/>
      <c r="M46" s="332"/>
      <c r="N46" s="333"/>
      <c r="O46" s="216"/>
      <c r="P46" s="493">
        <v>0</v>
      </c>
      <c r="Q46" s="989">
        <v>1</v>
      </c>
      <c r="R46" s="493">
        <v>0</v>
      </c>
      <c r="S46" s="131"/>
      <c r="T46" s="302"/>
      <c r="U46" s="302"/>
      <c r="V46" s="312"/>
      <c r="W46" s="302"/>
      <c r="X46" s="302"/>
      <c r="Y46" s="312"/>
      <c r="Z46" s="302"/>
      <c r="AA46" s="302"/>
      <c r="AB46" s="312"/>
      <c r="AC46" s="302"/>
      <c r="AD46" s="302"/>
      <c r="AM46" s="1"/>
      <c r="AN46" s="160"/>
      <c r="AO46" s="16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c r="CY46" s="110"/>
      <c r="CZ46" s="110"/>
      <c r="DA46" s="110"/>
      <c r="DB46" s="110"/>
      <c r="DC46" s="110"/>
      <c r="DD46" s="110"/>
      <c r="DE46" s="109"/>
      <c r="DF46" s="109"/>
      <c r="DG46" s="109"/>
      <c r="DH46" s="109"/>
      <c r="DI46" s="109"/>
      <c r="DJ46" s="109"/>
      <c r="DK46" s="109"/>
      <c r="DL46" s="109"/>
      <c r="DM46" s="109"/>
      <c r="DN46" s="109"/>
      <c r="DO46" s="109"/>
      <c r="DP46" s="109"/>
      <c r="DQ46" s="109"/>
      <c r="DR46" s="109"/>
      <c r="DS46" s="109"/>
      <c r="DT46" s="109"/>
      <c r="DU46" s="109"/>
      <c r="DV46" s="109"/>
      <c r="DW46" s="109"/>
      <c r="DX46" s="109"/>
      <c r="DY46" s="109"/>
      <c r="DZ46" s="109"/>
      <c r="EA46" s="109"/>
      <c r="EB46" s="109"/>
      <c r="EC46" s="109"/>
      <c r="ED46" s="109"/>
      <c r="EE46" s="110"/>
      <c r="EF46" s="110"/>
      <c r="EG46" s="110"/>
      <c r="EH46" s="110"/>
      <c r="EI46" s="110"/>
      <c r="EJ46" s="110"/>
      <c r="EK46" s="110"/>
      <c r="EL46" s="110"/>
      <c r="EM46" s="110"/>
      <c r="EN46" s="110"/>
      <c r="EO46" s="110"/>
      <c r="EP46" s="110"/>
      <c r="EQ46" s="110"/>
      <c r="ER46" s="110"/>
      <c r="ES46" s="110"/>
      <c r="ET46" s="110"/>
      <c r="EU46" s="110"/>
      <c r="EV46" s="110"/>
      <c r="EW46" s="110"/>
      <c r="EX46" s="110"/>
      <c r="EY46" s="110"/>
      <c r="EZ46" s="110"/>
      <c r="FA46" s="110"/>
      <c r="FB46" s="110"/>
      <c r="FC46" s="110"/>
      <c r="FD46" s="110"/>
      <c r="FE46" s="110"/>
      <c r="FF46" s="110"/>
      <c r="FG46" s="110"/>
      <c r="FH46" s="110"/>
      <c r="FI46" s="110"/>
      <c r="FJ46" s="110"/>
      <c r="FK46" s="110"/>
      <c r="FL46" s="110"/>
      <c r="FM46" s="110"/>
      <c r="FN46" s="110"/>
    </row>
    <row r="47" spans="1:170" s="5" customFormat="1" ht="18" customHeight="1">
      <c r="A47" s="1808"/>
      <c r="B47" s="416"/>
      <c r="C47" s="186"/>
      <c r="D47" s="1"/>
      <c r="E47" s="329"/>
      <c r="F47" s="329"/>
      <c r="G47" s="1"/>
      <c r="H47" s="330"/>
      <c r="I47" s="334"/>
      <c r="J47" s="335"/>
      <c r="K47" s="335"/>
      <c r="L47" s="335"/>
      <c r="M47" s="336"/>
      <c r="N47" s="337"/>
      <c r="O47" s="217"/>
      <c r="P47" s="493">
        <v>0</v>
      </c>
      <c r="Q47" s="989">
        <v>1</v>
      </c>
      <c r="R47" s="493">
        <v>0</v>
      </c>
      <c r="S47" s="131"/>
      <c r="T47" s="303"/>
      <c r="U47" s="260"/>
      <c r="V47" s="36"/>
      <c r="W47" s="232"/>
      <c r="X47" s="304"/>
      <c r="Y47" s="36"/>
      <c r="Z47" s="232"/>
      <c r="AA47" s="232"/>
      <c r="AB47" s="85"/>
      <c r="AC47" s="260"/>
      <c r="AD47" s="260"/>
      <c r="AE47" s="85"/>
      <c r="AF47" s="85"/>
      <c r="AG47" s="85"/>
      <c r="AH47" s="85"/>
      <c r="AI47" s="85"/>
      <c r="AJ47" s="85"/>
      <c r="AK47" s="85"/>
      <c r="AL47" s="85"/>
      <c r="AM47" s="1"/>
      <c r="AN47" s="160"/>
      <c r="AO47" s="16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c r="CY47" s="110"/>
      <c r="CZ47" s="110"/>
      <c r="DA47" s="110"/>
      <c r="DB47" s="110"/>
      <c r="DC47" s="110"/>
      <c r="DD47" s="110"/>
      <c r="DE47" s="109"/>
      <c r="DF47" s="109"/>
      <c r="DG47" s="109"/>
      <c r="DH47" s="109"/>
      <c r="DI47" s="109"/>
      <c r="DJ47" s="109"/>
      <c r="DK47" s="109"/>
      <c r="DL47" s="109"/>
      <c r="DM47" s="109"/>
      <c r="DN47" s="109"/>
      <c r="DO47" s="109"/>
      <c r="DP47" s="109"/>
      <c r="DQ47" s="109"/>
      <c r="DR47" s="109"/>
      <c r="DS47" s="109"/>
      <c r="DT47" s="109"/>
      <c r="DU47" s="109"/>
      <c r="DV47" s="109"/>
      <c r="DW47" s="109"/>
      <c r="DX47" s="109"/>
      <c r="DY47" s="109"/>
      <c r="DZ47" s="109"/>
      <c r="EA47" s="109"/>
      <c r="EB47" s="109"/>
      <c r="EC47" s="109"/>
      <c r="ED47" s="109"/>
      <c r="EE47" s="110"/>
      <c r="EF47" s="110"/>
      <c r="EG47" s="110"/>
      <c r="EH47" s="110"/>
      <c r="EI47" s="110"/>
      <c r="EJ47" s="110"/>
      <c r="EK47" s="110"/>
      <c r="EL47" s="110"/>
      <c r="EM47" s="110"/>
      <c r="EN47" s="110"/>
      <c r="EO47" s="110"/>
      <c r="EP47" s="110"/>
      <c r="EQ47" s="110"/>
      <c r="ER47" s="110"/>
      <c r="ES47" s="110"/>
      <c r="ET47" s="110"/>
      <c r="EU47" s="110"/>
      <c r="EV47" s="110"/>
      <c r="EW47" s="110"/>
      <c r="EX47" s="110"/>
      <c r="EY47" s="110"/>
      <c r="EZ47" s="110"/>
      <c r="FA47" s="110"/>
      <c r="FB47" s="110"/>
      <c r="FC47" s="110"/>
      <c r="FD47" s="110"/>
      <c r="FE47" s="110"/>
      <c r="FF47" s="110"/>
      <c r="FG47" s="110"/>
      <c r="FH47" s="110"/>
      <c r="FI47" s="110"/>
      <c r="FJ47" s="110"/>
      <c r="FK47" s="110"/>
      <c r="FL47" s="110"/>
      <c r="FM47" s="110"/>
      <c r="FN47" s="110"/>
    </row>
    <row r="48" spans="1:170" s="5" customFormat="1" ht="18" customHeight="1">
      <c r="A48" s="1808"/>
      <c r="B48" s="416">
        <v>152</v>
      </c>
      <c r="C48" s="493" t="str">
        <f>VLOOKUP(B48,Begriffe!$A$6:$E$442,Begriffe!$D$1+2)</f>
        <v>Nutzungsstunden pro Tag</v>
      </c>
      <c r="D48" s="1146"/>
      <c r="E48" s="1132"/>
      <c r="F48" s="1132"/>
      <c r="G48" s="1132"/>
      <c r="H48" s="184"/>
      <c r="I48" s="209" t="s">
        <v>1187</v>
      </c>
      <c r="J48" s="210" t="s">
        <v>17</v>
      </c>
      <c r="K48" s="188"/>
      <c r="L48" s="1162">
        <v>20</v>
      </c>
      <c r="M48" s="931">
        <f>IF(L48&lt;&gt;"",L48,Profile!$C$66)</f>
        <v>20</v>
      </c>
      <c r="N48" s="1183"/>
      <c r="O48" s="982"/>
      <c r="P48" s="493">
        <v>1</v>
      </c>
      <c r="Q48" s="989">
        <v>1</v>
      </c>
      <c r="R48" s="493">
        <v>0</v>
      </c>
      <c r="S48" s="131"/>
      <c r="T48" s="303"/>
      <c r="U48" s="260"/>
      <c r="V48" s="36"/>
      <c r="W48" s="232"/>
      <c r="X48" s="304"/>
      <c r="Y48" s="36"/>
      <c r="Z48" s="232"/>
      <c r="AA48" s="232"/>
      <c r="AB48" s="85"/>
      <c r="AC48" s="260"/>
      <c r="AD48" s="260"/>
      <c r="AE48" s="85"/>
      <c r="AF48" s="85"/>
      <c r="AG48" s="85"/>
      <c r="AH48" s="85"/>
      <c r="AI48" s="85"/>
      <c r="AJ48" s="85"/>
      <c r="AK48" s="85"/>
      <c r="AL48" s="85"/>
      <c r="AM48" s="1"/>
      <c r="AN48" s="160"/>
      <c r="AO48" s="16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c r="CY48" s="110"/>
      <c r="CZ48" s="110"/>
      <c r="DA48" s="110"/>
      <c r="DB48" s="110"/>
      <c r="DC48" s="110"/>
      <c r="DD48" s="110"/>
      <c r="DE48" s="109"/>
      <c r="DF48" s="109"/>
      <c r="DG48" s="109"/>
      <c r="DH48" s="109"/>
      <c r="DI48" s="109"/>
      <c r="DJ48" s="109"/>
      <c r="DK48" s="109"/>
      <c r="DL48" s="109"/>
      <c r="DM48" s="109"/>
      <c r="DN48" s="109"/>
      <c r="DO48" s="109"/>
      <c r="DP48" s="109"/>
      <c r="DQ48" s="109"/>
      <c r="DR48" s="109"/>
      <c r="DS48" s="109"/>
      <c r="DT48" s="109"/>
      <c r="DU48" s="109"/>
      <c r="DV48" s="109"/>
      <c r="DW48" s="109"/>
      <c r="DX48" s="109"/>
      <c r="DY48" s="109"/>
      <c r="DZ48" s="109"/>
      <c r="EA48" s="109"/>
      <c r="EB48" s="109"/>
      <c r="EC48" s="109"/>
      <c r="ED48" s="109"/>
      <c r="EE48" s="110"/>
      <c r="EF48" s="110"/>
      <c r="EG48" s="110"/>
      <c r="EH48" s="110"/>
      <c r="EI48" s="110"/>
      <c r="EJ48" s="110"/>
      <c r="EK48" s="110"/>
      <c r="EL48" s="110"/>
      <c r="EM48" s="110"/>
      <c r="EN48" s="110"/>
      <c r="EO48" s="110"/>
      <c r="EP48" s="110"/>
      <c r="EQ48" s="110"/>
      <c r="ER48" s="110"/>
      <c r="ES48" s="110"/>
      <c r="ET48" s="110"/>
      <c r="EU48" s="110"/>
      <c r="EV48" s="110"/>
      <c r="EW48" s="110"/>
      <c r="EX48" s="110"/>
      <c r="EY48" s="110"/>
      <c r="EZ48" s="110"/>
      <c r="FA48" s="110"/>
      <c r="FB48" s="110"/>
      <c r="FC48" s="110"/>
      <c r="FD48" s="110"/>
      <c r="FE48" s="110"/>
      <c r="FF48" s="110"/>
      <c r="FG48" s="110"/>
      <c r="FH48" s="110"/>
      <c r="FI48" s="110"/>
      <c r="FJ48" s="110"/>
      <c r="FK48" s="110"/>
      <c r="FL48" s="110"/>
      <c r="FM48" s="110"/>
      <c r="FN48" s="110"/>
    </row>
    <row r="49" spans="1:170" s="5" customFormat="1" ht="18" customHeight="1">
      <c r="A49" s="1808"/>
      <c r="B49" s="416">
        <v>175</v>
      </c>
      <c r="C49" s="493" t="str">
        <f>VLOOKUP(B49,Begriffe!$A$6:$E$442,Begriffe!$D$1+2)</f>
        <v>Volllaststunden pro Tag</v>
      </c>
      <c r="D49" s="1146"/>
      <c r="E49" s="1132"/>
      <c r="F49" s="1132"/>
      <c r="G49" s="1132"/>
      <c r="H49" s="21"/>
      <c r="I49" s="178" t="s">
        <v>1188</v>
      </c>
      <c r="J49" s="188" t="s">
        <v>17</v>
      </c>
      <c r="K49" s="188"/>
      <c r="L49" s="1162">
        <v>13</v>
      </c>
      <c r="M49" s="931">
        <f>IF(L49&lt;&gt;"",L49,Profile!$B$66)</f>
        <v>13</v>
      </c>
      <c r="N49" s="1184"/>
      <c r="O49" s="1024"/>
      <c r="P49" s="493">
        <v>1</v>
      </c>
      <c r="Q49" s="989">
        <v>1</v>
      </c>
      <c r="R49" s="493">
        <v>1</v>
      </c>
      <c r="S49" s="131"/>
      <c r="T49" s="303"/>
      <c r="U49" s="260"/>
      <c r="V49" s="36"/>
      <c r="W49" s="232"/>
      <c r="X49" s="304"/>
      <c r="Y49" s="36"/>
      <c r="Z49" s="232"/>
      <c r="AA49" s="232"/>
      <c r="AB49" s="85"/>
      <c r="AC49" s="260"/>
      <c r="AD49" s="260"/>
      <c r="AE49" s="85"/>
      <c r="AF49" s="85"/>
      <c r="AG49" s="85"/>
      <c r="AH49" s="85"/>
      <c r="AI49" s="85"/>
      <c r="AJ49" s="85"/>
      <c r="AK49" s="85"/>
      <c r="AL49" s="85"/>
      <c r="AM49" s="1"/>
      <c r="AN49" s="160"/>
      <c r="AO49" s="16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c r="CY49" s="110"/>
      <c r="CZ49" s="110"/>
      <c r="DA49" s="110"/>
      <c r="DB49" s="110"/>
      <c r="DC49" s="110"/>
      <c r="DD49" s="110"/>
      <c r="DE49" s="109"/>
      <c r="DF49" s="109"/>
      <c r="DG49" s="109"/>
      <c r="DH49" s="109"/>
      <c r="DI49" s="109"/>
      <c r="DJ49" s="109"/>
      <c r="DK49" s="109"/>
      <c r="DL49" s="109"/>
      <c r="DM49" s="109"/>
      <c r="DN49" s="109"/>
      <c r="DO49" s="109"/>
      <c r="DP49" s="109"/>
      <c r="DQ49" s="109"/>
      <c r="DR49" s="109"/>
      <c r="DS49" s="109"/>
      <c r="DT49" s="109"/>
      <c r="DU49" s="109"/>
      <c r="DV49" s="109"/>
      <c r="DW49" s="109"/>
      <c r="DX49" s="109"/>
      <c r="DY49" s="109"/>
      <c r="DZ49" s="109"/>
      <c r="EA49" s="109"/>
      <c r="EB49" s="109"/>
      <c r="EC49" s="109"/>
      <c r="ED49" s="109"/>
      <c r="EE49" s="110"/>
      <c r="EF49" s="110"/>
      <c r="EG49" s="110"/>
      <c r="EH49" s="110"/>
      <c r="EI49" s="110"/>
      <c r="EJ49" s="110"/>
      <c r="EK49" s="110"/>
      <c r="EL49" s="110"/>
      <c r="EM49" s="110"/>
      <c r="EN49" s="110"/>
      <c r="EO49" s="110"/>
      <c r="EP49" s="110"/>
      <c r="EQ49" s="110"/>
      <c r="ER49" s="110"/>
      <c r="ES49" s="110"/>
      <c r="ET49" s="110"/>
      <c r="EU49" s="110"/>
      <c r="EV49" s="110"/>
      <c r="EW49" s="110"/>
      <c r="EX49" s="110"/>
      <c r="EY49" s="110"/>
      <c r="EZ49" s="110"/>
      <c r="FA49" s="110"/>
      <c r="FB49" s="110"/>
      <c r="FC49" s="110"/>
      <c r="FD49" s="110"/>
      <c r="FE49" s="110"/>
      <c r="FF49" s="110"/>
      <c r="FG49" s="110"/>
      <c r="FH49" s="110"/>
      <c r="FI49" s="110"/>
      <c r="FJ49" s="110"/>
      <c r="FK49" s="110"/>
      <c r="FL49" s="110"/>
      <c r="FM49" s="110"/>
      <c r="FN49" s="110"/>
    </row>
    <row r="50" spans="1:170" s="5" customFormat="1" ht="18" customHeight="1">
      <c r="A50" s="1808"/>
      <c r="B50" s="416">
        <v>164</v>
      </c>
      <c r="C50" s="493" t="str">
        <f>VLOOKUP(B50,Begriffe!$A$6:$E$442,Begriffe!$D$1+2)</f>
        <v>Ruhetage pro Woche</v>
      </c>
      <c r="D50" s="1146"/>
      <c r="E50" s="1132"/>
      <c r="F50" s="1132"/>
      <c r="G50" s="1132"/>
      <c r="H50" s="13"/>
      <c r="I50" s="178" t="s">
        <v>1189</v>
      </c>
      <c r="J50" s="173" t="s">
        <v>48</v>
      </c>
      <c r="K50" s="173"/>
      <c r="L50" s="1164">
        <v>2</v>
      </c>
      <c r="M50" s="984">
        <f>IF(L50&lt;&gt;"",L50,INDEX(Eingabedaten!$D$10:$FY$54,nutzid,MATCH(C50,Eingabedaten!$D$7:$FY$7,0)))</f>
        <v>2</v>
      </c>
      <c r="N50" s="1185"/>
      <c r="O50" s="931"/>
      <c r="P50" s="493">
        <v>0</v>
      </c>
      <c r="Q50" s="989">
        <v>1</v>
      </c>
      <c r="R50" s="493">
        <v>0</v>
      </c>
      <c r="S50" s="131"/>
      <c r="T50" s="303"/>
      <c r="U50" s="260"/>
      <c r="V50" s="36"/>
      <c r="W50" s="232"/>
      <c r="X50" s="304"/>
      <c r="Y50" s="36"/>
      <c r="Z50" s="232"/>
      <c r="AA50" s="232"/>
      <c r="AB50" s="85"/>
      <c r="AC50" s="260"/>
      <c r="AD50" s="260"/>
      <c r="AE50" s="85"/>
      <c r="AF50" s="85"/>
      <c r="AG50" s="85"/>
      <c r="AH50" s="85"/>
      <c r="AI50" s="85"/>
      <c r="AJ50" s="85"/>
      <c r="AK50" s="85"/>
      <c r="AL50" s="85"/>
      <c r="AM50" s="1"/>
      <c r="AN50" s="160"/>
      <c r="AO50" s="16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c r="CY50" s="110"/>
      <c r="CZ50" s="110"/>
      <c r="DA50" s="110"/>
      <c r="DB50" s="110"/>
      <c r="DC50" s="110"/>
      <c r="DD50" s="110"/>
      <c r="DE50" s="109"/>
      <c r="DF50" s="109"/>
      <c r="DG50" s="109"/>
      <c r="DH50" s="109"/>
      <c r="DI50" s="109"/>
      <c r="DJ50" s="109"/>
      <c r="DK50" s="109"/>
      <c r="DL50" s="109"/>
      <c r="DM50" s="109"/>
      <c r="DN50" s="109"/>
      <c r="DO50" s="109"/>
      <c r="DP50" s="109"/>
      <c r="DQ50" s="109"/>
      <c r="DR50" s="109"/>
      <c r="DS50" s="109"/>
      <c r="DT50" s="109"/>
      <c r="DU50" s="109"/>
      <c r="DV50" s="109"/>
      <c r="DW50" s="109"/>
      <c r="DX50" s="109"/>
      <c r="DY50" s="109"/>
      <c r="DZ50" s="109"/>
      <c r="EA50" s="109"/>
      <c r="EB50" s="109"/>
      <c r="EC50" s="109"/>
      <c r="ED50" s="109"/>
      <c r="EE50" s="110"/>
      <c r="EF50" s="110"/>
      <c r="EG50" s="110"/>
      <c r="EH50" s="110"/>
      <c r="EI50" s="110"/>
      <c r="EJ50" s="110"/>
      <c r="EK50" s="110"/>
      <c r="EL50" s="110"/>
      <c r="EM50" s="110"/>
      <c r="EN50" s="110"/>
      <c r="EO50" s="110"/>
      <c r="EP50" s="110"/>
      <c r="EQ50" s="110"/>
      <c r="ER50" s="110"/>
      <c r="ES50" s="110"/>
      <c r="ET50" s="110"/>
      <c r="EU50" s="110"/>
      <c r="EV50" s="110"/>
      <c r="EW50" s="110"/>
      <c r="EX50" s="110"/>
      <c r="EY50" s="110"/>
      <c r="EZ50" s="110"/>
      <c r="FA50" s="110"/>
      <c r="FB50" s="110"/>
      <c r="FC50" s="110"/>
      <c r="FD50" s="110"/>
      <c r="FE50" s="110"/>
      <c r="FF50" s="110"/>
      <c r="FG50" s="110"/>
      <c r="FH50" s="110"/>
      <c r="FI50" s="110"/>
      <c r="FJ50" s="110"/>
      <c r="FK50" s="110"/>
      <c r="FL50" s="110"/>
      <c r="FM50" s="110"/>
      <c r="FN50" s="110"/>
    </row>
    <row r="51" spans="1:170" s="5" customFormat="1" ht="18" customHeight="1">
      <c r="A51" s="1808"/>
      <c r="B51" s="416">
        <v>154</v>
      </c>
      <c r="C51" s="493" t="str">
        <f>VLOOKUP(B51,Begriffe!$A$6:$E$442,Begriffe!$D$1+2)</f>
        <v>Nutzungstage pro Jahr</v>
      </c>
      <c r="D51" s="1146"/>
      <c r="E51" s="1132"/>
      <c r="F51" s="1132"/>
      <c r="G51" s="1132"/>
      <c r="H51" s="13"/>
      <c r="I51" s="178" t="s">
        <v>1190</v>
      </c>
      <c r="J51" s="871" t="s">
        <v>48</v>
      </c>
      <c r="K51" s="871"/>
      <c r="L51" s="1166"/>
      <c r="M51" s="187">
        <f>365-52*M50</f>
        <v>261</v>
      </c>
      <c r="N51" s="1186"/>
      <c r="O51" s="931"/>
      <c r="P51" s="493">
        <v>1</v>
      </c>
      <c r="Q51" s="989">
        <v>1</v>
      </c>
      <c r="R51" s="493">
        <v>0</v>
      </c>
      <c r="S51" s="131"/>
      <c r="T51" s="303"/>
      <c r="U51" s="260"/>
      <c r="V51" s="36"/>
      <c r="W51" s="232"/>
      <c r="X51" s="304"/>
      <c r="Y51" s="36"/>
      <c r="Z51" s="232"/>
      <c r="AA51" s="232"/>
      <c r="AB51" s="85"/>
      <c r="AC51" s="260"/>
      <c r="AD51" s="260"/>
      <c r="AE51" s="85"/>
      <c r="AF51" s="85"/>
      <c r="AG51" s="85"/>
      <c r="AH51" s="85"/>
      <c r="AI51" s="85"/>
      <c r="AJ51" s="85"/>
      <c r="AK51" s="85"/>
      <c r="AL51" s="85"/>
      <c r="AM51" s="1"/>
      <c r="AN51" s="160"/>
      <c r="AO51" s="16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c r="CY51" s="110"/>
      <c r="CZ51" s="110"/>
      <c r="DA51" s="110"/>
      <c r="DB51" s="110"/>
      <c r="DC51" s="110"/>
      <c r="DD51" s="110"/>
      <c r="DE51" s="109"/>
      <c r="DF51" s="109"/>
      <c r="DG51" s="109"/>
      <c r="DH51" s="109"/>
      <c r="DI51" s="109"/>
      <c r="DJ51" s="109"/>
      <c r="DK51" s="109"/>
      <c r="DL51" s="109"/>
      <c r="DM51" s="109"/>
      <c r="DN51" s="109"/>
      <c r="DO51" s="109"/>
      <c r="DP51" s="109"/>
      <c r="DQ51" s="109"/>
      <c r="DR51" s="109"/>
      <c r="DS51" s="109"/>
      <c r="DT51" s="109"/>
      <c r="DU51" s="109"/>
      <c r="DV51" s="109"/>
      <c r="DW51" s="109"/>
      <c r="DX51" s="109"/>
      <c r="DY51" s="109"/>
      <c r="DZ51" s="109"/>
      <c r="EA51" s="109"/>
      <c r="EB51" s="109"/>
      <c r="EC51" s="109"/>
      <c r="ED51" s="109"/>
      <c r="EE51" s="110"/>
      <c r="EF51" s="110"/>
      <c r="EG51" s="110"/>
      <c r="EH51" s="110"/>
      <c r="EI51" s="110"/>
      <c r="EJ51" s="110"/>
      <c r="EK51" s="110"/>
      <c r="EL51" s="110"/>
      <c r="EM51" s="110"/>
      <c r="EN51" s="110"/>
      <c r="EO51" s="110"/>
      <c r="EP51" s="110"/>
      <c r="EQ51" s="110"/>
      <c r="ER51" s="110"/>
      <c r="ES51" s="110"/>
      <c r="ET51" s="110"/>
      <c r="EU51" s="110"/>
      <c r="EV51" s="110"/>
      <c r="EW51" s="110"/>
      <c r="EX51" s="110"/>
      <c r="EY51" s="110"/>
      <c r="EZ51" s="110"/>
      <c r="FA51" s="110"/>
      <c r="FB51" s="110"/>
      <c r="FC51" s="110"/>
      <c r="FD51" s="110"/>
      <c r="FE51" s="110"/>
      <c r="FF51" s="110"/>
      <c r="FG51" s="110"/>
      <c r="FH51" s="110"/>
      <c r="FI51" s="110"/>
      <c r="FJ51" s="110"/>
      <c r="FK51" s="110"/>
      <c r="FL51" s="110"/>
      <c r="FM51" s="110"/>
      <c r="FN51" s="110"/>
    </row>
    <row r="52" spans="1:170" s="5" customFormat="1" ht="18" customHeight="1">
      <c r="A52" s="1808"/>
      <c r="B52" s="416">
        <v>124</v>
      </c>
      <c r="C52" s="493" t="str">
        <f>VLOOKUP(B52,Begriffe!$A$6:$E$442,Begriffe!$D$1+2)</f>
        <v>Jahresgleichzeitigkeit</v>
      </c>
      <c r="D52" s="1146"/>
      <c r="E52" s="1132"/>
      <c r="F52" s="1132"/>
      <c r="G52" s="1132"/>
      <c r="H52" s="1106"/>
      <c r="I52" s="178" t="s">
        <v>1191</v>
      </c>
      <c r="J52" s="188" t="s">
        <v>18</v>
      </c>
      <c r="K52" s="188"/>
      <c r="L52" s="1165">
        <v>1</v>
      </c>
      <c r="M52" s="1187">
        <f>IF(L52&lt;&gt;"",L52,INDEX(Eingabedaten!$FL$10:$FQ$54,nutzid,MATCH(C52,Eingabedaten!$FL$7:$FQ$7,0)))</f>
        <v>1</v>
      </c>
      <c r="N52" s="183"/>
      <c r="O52" s="183"/>
      <c r="P52" s="493">
        <v>1</v>
      </c>
      <c r="Q52" s="989">
        <v>1</v>
      </c>
      <c r="R52" s="493">
        <v>0</v>
      </c>
      <c r="S52" s="131"/>
      <c r="T52" s="303"/>
      <c r="U52" s="260"/>
      <c r="V52" s="36"/>
      <c r="W52" s="232"/>
      <c r="X52" s="304"/>
      <c r="Y52" s="36"/>
      <c r="Z52" s="232"/>
      <c r="AA52" s="232"/>
      <c r="AB52" s="85"/>
      <c r="AC52" s="260"/>
      <c r="AD52" s="260"/>
      <c r="AE52" s="85"/>
      <c r="AF52" s="85"/>
      <c r="AG52" s="85"/>
      <c r="AH52" s="85"/>
      <c r="AI52" s="85"/>
      <c r="AJ52" s="85"/>
      <c r="AK52" s="85"/>
      <c r="AL52" s="85"/>
      <c r="AM52" s="1"/>
      <c r="AN52" s="160"/>
      <c r="AO52" s="16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c r="CY52" s="110"/>
      <c r="CZ52" s="110"/>
      <c r="DA52" s="110"/>
      <c r="DB52" s="110"/>
      <c r="DC52" s="110"/>
      <c r="DD52" s="110"/>
      <c r="DE52" s="109"/>
      <c r="DF52" s="109"/>
      <c r="DG52" s="109"/>
      <c r="DH52" s="109"/>
      <c r="DI52" s="109"/>
      <c r="DJ52" s="109"/>
      <c r="DK52" s="109"/>
      <c r="DL52" s="109"/>
      <c r="DM52" s="109"/>
      <c r="DN52" s="109"/>
      <c r="DO52" s="109"/>
      <c r="DP52" s="109"/>
      <c r="DQ52" s="109"/>
      <c r="DR52" s="109"/>
      <c r="DS52" s="109"/>
      <c r="DT52" s="109"/>
      <c r="DU52" s="109"/>
      <c r="DV52" s="109"/>
      <c r="DW52" s="109"/>
      <c r="DX52" s="109"/>
      <c r="DY52" s="109"/>
      <c r="DZ52" s="109"/>
      <c r="EA52" s="109"/>
      <c r="EB52" s="109"/>
      <c r="EC52" s="109"/>
      <c r="ED52" s="109"/>
      <c r="EE52" s="110"/>
      <c r="EF52" s="110"/>
      <c r="EG52" s="110"/>
      <c r="EH52" s="110"/>
      <c r="EI52" s="110"/>
      <c r="EJ52" s="110"/>
      <c r="EK52" s="110"/>
      <c r="EL52" s="110"/>
      <c r="EM52" s="110"/>
      <c r="EN52" s="110"/>
      <c r="EO52" s="110"/>
      <c r="EP52" s="110"/>
      <c r="EQ52" s="110"/>
      <c r="ER52" s="110"/>
      <c r="ES52" s="110"/>
      <c r="ET52" s="110"/>
      <c r="EU52" s="110"/>
      <c r="EV52" s="110"/>
      <c r="EW52" s="110"/>
      <c r="EX52" s="110"/>
      <c r="EY52" s="110"/>
      <c r="EZ52" s="110"/>
      <c r="FA52" s="110"/>
      <c r="FB52" s="110"/>
      <c r="FC52" s="110"/>
      <c r="FD52" s="110"/>
      <c r="FE52" s="110"/>
      <c r="FF52" s="110"/>
      <c r="FG52" s="110"/>
      <c r="FH52" s="110"/>
      <c r="FI52" s="110"/>
      <c r="FJ52" s="110"/>
      <c r="FK52" s="110"/>
      <c r="FL52" s="110"/>
      <c r="FM52" s="110"/>
      <c r="FN52" s="110"/>
    </row>
    <row r="53" spans="1:170" s="5" customFormat="1" ht="18" customHeight="1">
      <c r="A53" s="1808"/>
      <c r="B53" s="416">
        <v>174</v>
      </c>
      <c r="C53" s="493" t="str">
        <f>VLOOKUP(B53,Begriffe!$A$6:$E$442,Begriffe!$D$1+2)</f>
        <v>Volllaststunden pro Jahr</v>
      </c>
      <c r="D53" s="1146"/>
      <c r="E53" s="1132"/>
      <c r="F53" s="1132"/>
      <c r="G53" s="1132"/>
      <c r="H53" s="21"/>
      <c r="I53" s="178" t="s">
        <v>1192</v>
      </c>
      <c r="J53" s="188" t="s">
        <v>17</v>
      </c>
      <c r="K53" s="188"/>
      <c r="L53" s="1166"/>
      <c r="M53" s="1188">
        <f>ROUND(M49*M51*M52,-1)</f>
        <v>3390</v>
      </c>
      <c r="N53" s="931"/>
      <c r="O53" s="931"/>
      <c r="P53" s="493">
        <v>0</v>
      </c>
      <c r="Q53" s="989">
        <v>1</v>
      </c>
      <c r="R53" s="493">
        <v>0</v>
      </c>
      <c r="S53" s="131"/>
      <c r="T53" s="303"/>
      <c r="U53" s="260"/>
      <c r="V53" s="36"/>
      <c r="W53" s="232"/>
      <c r="X53" s="304"/>
      <c r="Y53" s="36"/>
      <c r="Z53" s="232"/>
      <c r="AA53" s="232"/>
      <c r="AB53" s="85"/>
      <c r="AC53" s="260"/>
      <c r="AD53" s="260"/>
      <c r="AE53" s="85"/>
      <c r="AF53" s="85"/>
      <c r="AG53" s="85"/>
      <c r="AH53" s="85"/>
      <c r="AI53" s="85"/>
      <c r="AJ53" s="85"/>
      <c r="AK53" s="85"/>
      <c r="AL53" s="85"/>
      <c r="AM53" s="1"/>
      <c r="AN53" s="160"/>
      <c r="AO53" s="16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c r="CY53" s="110"/>
      <c r="CZ53" s="110"/>
      <c r="DA53" s="110"/>
      <c r="DB53" s="110"/>
      <c r="DC53" s="110"/>
      <c r="DD53" s="110"/>
      <c r="DE53" s="109"/>
      <c r="DF53" s="109"/>
      <c r="DG53" s="109"/>
      <c r="DH53" s="109"/>
      <c r="DI53" s="109"/>
      <c r="DJ53" s="109"/>
      <c r="DK53" s="109"/>
      <c r="DL53" s="109"/>
      <c r="DM53" s="109"/>
      <c r="DN53" s="109"/>
      <c r="DO53" s="109"/>
      <c r="DP53" s="109"/>
      <c r="DQ53" s="109"/>
      <c r="DR53" s="109"/>
      <c r="DS53" s="109"/>
      <c r="DT53" s="109"/>
      <c r="DU53" s="109"/>
      <c r="DV53" s="109"/>
      <c r="DW53" s="109"/>
      <c r="DX53" s="109"/>
      <c r="DY53" s="109"/>
      <c r="DZ53" s="109"/>
      <c r="EA53" s="109"/>
      <c r="EB53" s="109"/>
      <c r="EC53" s="109"/>
      <c r="ED53" s="109"/>
      <c r="EE53" s="110"/>
      <c r="EF53" s="110"/>
      <c r="EG53" s="110"/>
      <c r="EH53" s="110"/>
      <c r="EI53" s="110"/>
      <c r="EJ53" s="110"/>
      <c r="EK53" s="110"/>
      <c r="EL53" s="110"/>
      <c r="EM53" s="110"/>
      <c r="EN53" s="110"/>
      <c r="EO53" s="110"/>
      <c r="EP53" s="110"/>
      <c r="EQ53" s="110"/>
      <c r="ER53" s="110"/>
      <c r="ES53" s="110"/>
      <c r="ET53" s="110"/>
      <c r="EU53" s="110"/>
      <c r="EV53" s="110"/>
      <c r="EW53" s="110"/>
      <c r="EX53" s="110"/>
      <c r="EY53" s="110"/>
      <c r="EZ53" s="110"/>
      <c r="FA53" s="110"/>
      <c r="FB53" s="110"/>
      <c r="FC53" s="110"/>
      <c r="FD53" s="110"/>
      <c r="FE53" s="110"/>
      <c r="FF53" s="110"/>
      <c r="FG53" s="110"/>
      <c r="FH53" s="110"/>
      <c r="FI53" s="110"/>
      <c r="FJ53" s="110"/>
      <c r="FK53" s="110"/>
      <c r="FL53" s="110"/>
      <c r="FM53" s="110"/>
      <c r="FN53" s="110"/>
    </row>
    <row r="54" spans="1:170" s="18" customFormat="1" ht="18" customHeight="1">
      <c r="A54" s="1808"/>
      <c r="B54" s="416">
        <v>156</v>
      </c>
      <c r="C54" s="493" t="str">
        <f>VLOOKUP(B54,Begriffe!$A$6:$E$442,Begriffe!$D$1+2)</f>
        <v>Personenfläche</v>
      </c>
      <c r="D54" s="177"/>
      <c r="E54" s="184"/>
      <c r="F54" s="184" t="str">
        <f>Begriffe!F316</f>
        <v>Nettogeschossfläche pro Person</v>
      </c>
      <c r="G54" s="184"/>
      <c r="H54" s="184"/>
      <c r="I54" s="209" t="s">
        <v>700</v>
      </c>
      <c r="J54" s="210" t="s">
        <v>822</v>
      </c>
      <c r="K54" s="188"/>
      <c r="L54" s="1164"/>
      <c r="M54" s="984">
        <f>IF(L54&lt;&gt;"",L54,INDEX(Eingabedaten!$D$10:$GE$54,nutzid,MATCH($C54,Eingabedaten!$D$7:$GE$7,0)))</f>
        <v>14</v>
      </c>
      <c r="N54" s="982"/>
      <c r="O54" s="982"/>
      <c r="P54" s="493">
        <v>1</v>
      </c>
      <c r="Q54" s="989">
        <v>1</v>
      </c>
      <c r="R54" s="493">
        <v>0</v>
      </c>
      <c r="S54" s="131"/>
      <c r="T54" s="300"/>
      <c r="U54" s="300"/>
      <c r="V54" s="310"/>
      <c r="W54" s="300"/>
      <c r="X54" s="300"/>
      <c r="Y54" s="310"/>
      <c r="Z54" s="300"/>
      <c r="AA54" s="300"/>
      <c r="AB54" s="85"/>
      <c r="AC54" s="260"/>
      <c r="AD54" s="260"/>
      <c r="AE54" s="130"/>
      <c r="AF54" s="130"/>
      <c r="AG54" s="130"/>
      <c r="AH54" s="130"/>
      <c r="AI54" s="130"/>
      <c r="AJ54" s="130"/>
      <c r="AK54" s="130"/>
      <c r="AL54" s="130"/>
      <c r="AM54" s="13"/>
      <c r="AN54" s="161"/>
      <c r="AO54" s="161"/>
      <c r="AR54" s="99"/>
      <c r="AS54" s="99"/>
      <c r="AT54" s="99"/>
      <c r="AU54" s="99"/>
      <c r="AV54" s="99"/>
      <c r="AW54" s="99"/>
      <c r="AX54" s="99"/>
      <c r="AY54" s="99"/>
      <c r="AZ54" s="99"/>
      <c r="BA54" s="99"/>
      <c r="BB54" s="99"/>
      <c r="BC54" s="99"/>
      <c r="BD54" s="99"/>
      <c r="BE54" s="99"/>
      <c r="BF54" s="99"/>
      <c r="BG54" s="99"/>
      <c r="BH54" s="99"/>
      <c r="BI54" s="99"/>
      <c r="BJ54" s="99"/>
      <c r="BK54" s="99"/>
      <c r="BL54" s="99"/>
      <c r="BM54" s="99"/>
      <c r="BN54" s="99"/>
      <c r="BO54" s="99"/>
      <c r="BP54" s="99"/>
      <c r="BQ54" s="99"/>
      <c r="BR54" s="99"/>
      <c r="BS54" s="99"/>
      <c r="BT54" s="99"/>
      <c r="BU54" s="99"/>
      <c r="BV54" s="99"/>
      <c r="BW54" s="99"/>
      <c r="BX54" s="99"/>
      <c r="BY54" s="99"/>
      <c r="BZ54" s="99"/>
      <c r="CA54" s="99"/>
      <c r="CB54" s="99"/>
      <c r="CC54" s="99"/>
      <c r="CD54" s="99"/>
      <c r="CE54" s="99"/>
      <c r="CF54" s="99"/>
      <c r="CG54" s="99"/>
      <c r="CH54" s="99"/>
      <c r="CI54" s="99"/>
      <c r="CJ54" s="99"/>
      <c r="CK54" s="99"/>
      <c r="CL54" s="99"/>
      <c r="CM54" s="99"/>
      <c r="CN54" s="99"/>
      <c r="CO54" s="99"/>
      <c r="CP54" s="99"/>
      <c r="CQ54" s="99"/>
      <c r="CR54" s="99"/>
      <c r="CS54" s="99"/>
      <c r="CT54" s="99"/>
      <c r="CU54" s="99"/>
      <c r="CV54" s="99"/>
      <c r="CW54" s="99"/>
      <c r="CX54" s="99"/>
      <c r="CY54" s="99"/>
      <c r="CZ54" s="99"/>
      <c r="DA54" s="99"/>
      <c r="DB54" s="99"/>
      <c r="DC54" s="99"/>
      <c r="DD54" s="99"/>
      <c r="DE54" s="96"/>
      <c r="DF54" s="96"/>
      <c r="DG54" s="96"/>
      <c r="DH54" s="96"/>
      <c r="DI54" s="96"/>
      <c r="DJ54" s="96"/>
      <c r="DK54" s="96"/>
      <c r="DL54" s="96"/>
      <c r="DM54" s="96"/>
      <c r="DN54" s="96"/>
      <c r="DO54" s="96"/>
      <c r="DP54" s="96"/>
      <c r="DQ54" s="96"/>
      <c r="DR54" s="96"/>
      <c r="DS54" s="96"/>
      <c r="DT54" s="96"/>
      <c r="DU54" s="96"/>
      <c r="DV54" s="96"/>
      <c r="DW54" s="96"/>
      <c r="DX54" s="96"/>
      <c r="DY54" s="96"/>
      <c r="DZ54" s="96"/>
      <c r="EA54" s="96"/>
      <c r="EB54" s="96"/>
      <c r="EC54" s="96"/>
      <c r="ED54" s="96"/>
      <c r="EE54" s="99"/>
      <c r="EF54" s="99"/>
      <c r="EG54" s="99"/>
      <c r="EH54" s="99"/>
      <c r="EI54" s="99"/>
      <c r="EJ54" s="99"/>
      <c r="EK54" s="99"/>
      <c r="EL54" s="99"/>
      <c r="EM54" s="99"/>
      <c r="EN54" s="99"/>
      <c r="EO54" s="99"/>
      <c r="EP54" s="99"/>
      <c r="EQ54" s="99"/>
      <c r="ER54" s="99"/>
      <c r="ES54" s="99"/>
      <c r="ET54" s="99"/>
      <c r="EU54" s="99"/>
      <c r="EV54" s="99"/>
      <c r="EW54" s="99"/>
      <c r="EX54" s="99"/>
      <c r="EY54" s="99"/>
      <c r="EZ54" s="99"/>
      <c r="FA54" s="99"/>
      <c r="FB54" s="99"/>
      <c r="FC54" s="99"/>
      <c r="FD54" s="99"/>
      <c r="FE54" s="99"/>
      <c r="FF54" s="99"/>
      <c r="FG54" s="99"/>
      <c r="FH54" s="99"/>
      <c r="FI54" s="99"/>
      <c r="FJ54" s="99"/>
      <c r="FK54" s="99"/>
      <c r="FL54" s="99"/>
      <c r="FM54" s="99"/>
      <c r="FN54" s="99"/>
    </row>
    <row r="55" spans="1:170" s="18" customFormat="1" ht="18" customHeight="1">
      <c r="A55" s="1808"/>
      <c r="B55" s="416">
        <v>101</v>
      </c>
      <c r="C55" s="493" t="str">
        <f>VLOOKUP(B55,Begriffe!$A$6:$E$442,Begriffe!$D$1+2)</f>
        <v>Aktivitätsgrad</v>
      </c>
      <c r="D55" s="177"/>
      <c r="E55" s="177"/>
      <c r="F55" s="21"/>
      <c r="G55" s="177"/>
      <c r="H55" s="21"/>
      <c r="I55" s="178" t="s">
        <v>13</v>
      </c>
      <c r="J55" s="188" t="s">
        <v>14</v>
      </c>
      <c r="K55" s="188"/>
      <c r="L55" s="1162"/>
      <c r="M55" s="931">
        <f>IF(L55&lt;&gt;"",L55,INDEX(Eingabedaten!$D$10:$GE$54,nutzid,MATCH($C55,Eingabedaten!$D$7:$GE$7,0)))</f>
        <v>1.2</v>
      </c>
      <c r="N55" s="931"/>
      <c r="O55" s="1024"/>
      <c r="P55" s="493">
        <v>0</v>
      </c>
      <c r="Q55" s="989">
        <v>1</v>
      </c>
      <c r="R55" s="493">
        <v>0</v>
      </c>
      <c r="S55" s="131"/>
      <c r="T55" s="298"/>
      <c r="U55" s="298"/>
      <c r="V55" s="150"/>
      <c r="W55" s="299"/>
      <c r="X55" s="299"/>
      <c r="Y55" s="150"/>
      <c r="Z55" s="299"/>
      <c r="AA55" s="299"/>
      <c r="AB55" s="131"/>
      <c r="AC55" s="298"/>
      <c r="AD55" s="298"/>
      <c r="AE55" s="131"/>
      <c r="AF55" s="131"/>
      <c r="AG55" s="131"/>
      <c r="AH55" s="131"/>
      <c r="AI55" s="131"/>
      <c r="AJ55" s="131"/>
      <c r="AK55" s="131"/>
      <c r="AL55" s="131"/>
      <c r="AM55" s="131"/>
      <c r="AN55" s="152"/>
      <c r="AO55" s="152"/>
      <c r="AP55" s="153"/>
      <c r="AQ55" s="153"/>
      <c r="AR55" s="95"/>
      <c r="AS55" s="95"/>
      <c r="AT55" s="95"/>
      <c r="AU55" s="95"/>
      <c r="AV55" s="95"/>
      <c r="AW55" s="95"/>
      <c r="AX55" s="95"/>
      <c r="AY55" s="95"/>
      <c r="AZ55" s="95"/>
      <c r="BA55" s="95"/>
      <c r="BB55" s="95"/>
      <c r="BC55" s="95"/>
      <c r="BD55" s="95"/>
      <c r="BE55" s="95"/>
      <c r="BF55" s="95"/>
      <c r="BG55" s="95"/>
      <c r="BH55" s="95"/>
      <c r="BI55" s="95"/>
      <c r="BJ55" s="95"/>
      <c r="BK55" s="95"/>
      <c r="BL55" s="95"/>
      <c r="BM55" s="95"/>
      <c r="BN55" s="95"/>
      <c r="BO55" s="95"/>
      <c r="BP55" s="95"/>
      <c r="BQ55" s="95"/>
      <c r="BR55" s="95"/>
      <c r="BS55" s="95"/>
      <c r="BT55" s="95"/>
      <c r="BU55" s="95"/>
      <c r="BV55" s="95"/>
      <c r="BW55" s="95"/>
      <c r="BX55" s="95"/>
      <c r="BY55" s="95"/>
      <c r="BZ55" s="95"/>
      <c r="CA55" s="95"/>
      <c r="CB55" s="95"/>
      <c r="CC55" s="95"/>
      <c r="CD55" s="95"/>
      <c r="CE55" s="95"/>
      <c r="CF55" s="95"/>
      <c r="CG55" s="95"/>
      <c r="CH55" s="95"/>
      <c r="CI55" s="95"/>
      <c r="CJ55" s="95"/>
      <c r="CK55" s="95"/>
      <c r="CL55" s="95"/>
      <c r="CM55" s="95"/>
      <c r="CN55" s="95"/>
      <c r="CO55" s="95"/>
      <c r="CP55" s="95"/>
      <c r="CQ55" s="95"/>
      <c r="CR55" s="95"/>
      <c r="CS55" s="95"/>
      <c r="CT55" s="95"/>
      <c r="CU55" s="95"/>
      <c r="CV55" s="96"/>
      <c r="CW55" s="96"/>
      <c r="CX55" s="96"/>
      <c r="CY55" s="96"/>
      <c r="CZ55" s="96"/>
      <c r="DA55" s="96"/>
      <c r="DB55" s="96"/>
      <c r="DC55" s="96"/>
      <c r="DD55" s="96"/>
      <c r="DE55" s="96"/>
      <c r="DF55" s="96"/>
      <c r="DG55" s="96"/>
      <c r="DH55" s="96"/>
      <c r="DI55" s="96"/>
      <c r="DJ55" s="96"/>
      <c r="DK55" s="96"/>
      <c r="DL55" s="96"/>
      <c r="DM55" s="96"/>
      <c r="DN55" s="96"/>
      <c r="DO55" s="96"/>
      <c r="DP55" s="96"/>
      <c r="DQ55" s="96"/>
      <c r="DR55" s="96"/>
      <c r="DS55" s="96"/>
      <c r="DT55" s="96"/>
      <c r="DU55" s="96"/>
      <c r="DV55" s="96"/>
      <c r="DW55" s="96"/>
      <c r="DX55" s="96"/>
      <c r="DY55" s="96"/>
      <c r="DZ55" s="96"/>
      <c r="EA55" s="96"/>
      <c r="EB55" s="96"/>
      <c r="EC55" s="96"/>
      <c r="ED55" s="96"/>
      <c r="EE55" s="99"/>
      <c r="EF55" s="99"/>
      <c r="EG55" s="99"/>
      <c r="EH55" s="99"/>
      <c r="EI55" s="99"/>
      <c r="EJ55" s="99"/>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row>
    <row r="56" spans="1:170" s="18" customFormat="1" ht="18" customHeight="1">
      <c r="A56" s="1808"/>
      <c r="B56" s="416">
        <v>178</v>
      </c>
      <c r="C56" s="1816" t="str">
        <f>VLOOKUP(B56,Begriffe!$A$6:$E$442,Begriffe!$D$1+2)</f>
        <v>Wärmedämmwert der Bekleidung</v>
      </c>
      <c r="D56" s="1816"/>
      <c r="E56" s="1816"/>
      <c r="F56" s="21" t="str">
        <f>Begriffe!$F$225</f>
        <v>Sommer</v>
      </c>
      <c r="G56" s="161"/>
      <c r="H56" s="13"/>
      <c r="I56" s="275" t="s">
        <v>216</v>
      </c>
      <c r="J56" s="173" t="s">
        <v>15</v>
      </c>
      <c r="K56" s="173"/>
      <c r="L56" s="1162"/>
      <c r="M56" s="931">
        <f>IF(L56&lt;&gt;"",L56,INDEX(Eingabedaten!$D$10:$GE$54,nutzid,MATCH($C56,Eingabedaten!$D$7:$GE$7,0)))</f>
        <v>0.5</v>
      </c>
      <c r="N56" s="931"/>
      <c r="O56" s="931"/>
      <c r="P56" s="493">
        <v>0</v>
      </c>
      <c r="Q56" s="989">
        <v>1</v>
      </c>
      <c r="R56" s="493">
        <v>0</v>
      </c>
      <c r="S56" s="131"/>
      <c r="T56" s="298"/>
      <c r="U56" s="298"/>
      <c r="V56" s="150"/>
      <c r="W56" s="299"/>
      <c r="X56" s="299"/>
      <c r="Y56" s="150"/>
      <c r="Z56" s="299"/>
      <c r="AA56" s="299"/>
      <c r="AB56" s="131"/>
      <c r="AC56" s="298"/>
      <c r="AD56" s="298"/>
      <c r="AE56" s="131"/>
      <c r="AF56" s="131"/>
      <c r="AG56" s="131"/>
      <c r="AH56" s="131"/>
      <c r="AI56" s="131"/>
      <c r="AJ56" s="131"/>
      <c r="AK56" s="131"/>
      <c r="AL56" s="131"/>
      <c r="AM56" s="131"/>
      <c r="AN56" s="152"/>
      <c r="AO56" s="152"/>
      <c r="AP56" s="153"/>
      <c r="AQ56" s="153"/>
      <c r="AR56" s="95"/>
      <c r="AS56" s="95"/>
      <c r="AT56" s="95"/>
      <c r="AU56" s="95"/>
      <c r="AV56" s="95"/>
      <c r="AW56" s="95"/>
      <c r="AX56" s="95"/>
      <c r="AY56" s="95"/>
      <c r="AZ56" s="95"/>
      <c r="BA56" s="95"/>
      <c r="BB56" s="95"/>
      <c r="BC56" s="95"/>
      <c r="BD56" s="95"/>
      <c r="BE56" s="95"/>
      <c r="BF56" s="95"/>
      <c r="BG56" s="95"/>
      <c r="BH56" s="95"/>
      <c r="BI56" s="95"/>
      <c r="BJ56" s="95"/>
      <c r="BK56" s="95"/>
      <c r="BL56" s="95"/>
      <c r="BM56" s="95"/>
      <c r="BN56" s="95"/>
      <c r="BO56" s="95"/>
      <c r="BP56" s="95"/>
      <c r="BQ56" s="95"/>
      <c r="BR56" s="95"/>
      <c r="BS56" s="95"/>
      <c r="BT56" s="95"/>
      <c r="BU56" s="95"/>
      <c r="BV56" s="95"/>
      <c r="BW56" s="95"/>
      <c r="BX56" s="95"/>
      <c r="BY56" s="95"/>
      <c r="BZ56" s="95"/>
      <c r="CA56" s="95"/>
      <c r="CB56" s="95"/>
      <c r="CC56" s="95"/>
      <c r="CD56" s="95"/>
      <c r="CE56" s="95"/>
      <c r="CF56" s="95"/>
      <c r="CG56" s="95"/>
      <c r="CH56" s="95"/>
      <c r="CI56" s="95"/>
      <c r="CJ56" s="95"/>
      <c r="CK56" s="95"/>
      <c r="CL56" s="95"/>
      <c r="CM56" s="95"/>
      <c r="CN56" s="95"/>
      <c r="CO56" s="95"/>
      <c r="CP56" s="95"/>
      <c r="CQ56" s="95"/>
      <c r="CR56" s="95"/>
      <c r="CS56" s="95"/>
      <c r="CT56" s="95"/>
      <c r="CU56" s="95"/>
      <c r="CV56" s="96"/>
      <c r="CW56" s="96"/>
      <c r="CX56" s="96"/>
      <c r="CY56" s="96"/>
      <c r="CZ56" s="96"/>
      <c r="DA56" s="96"/>
      <c r="DB56" s="96"/>
      <c r="DC56" s="96"/>
      <c r="DD56" s="96"/>
      <c r="DE56" s="96"/>
      <c r="DF56" s="96"/>
      <c r="DG56" s="96"/>
      <c r="DH56" s="96"/>
      <c r="DI56" s="96"/>
      <c r="DJ56" s="96"/>
      <c r="DK56" s="96"/>
      <c r="DL56" s="96"/>
      <c r="DM56" s="96"/>
      <c r="DN56" s="96"/>
      <c r="DO56" s="96"/>
      <c r="DP56" s="96"/>
      <c r="DQ56" s="96"/>
      <c r="DR56" s="96"/>
      <c r="DS56" s="96"/>
      <c r="DT56" s="96"/>
      <c r="DU56" s="96"/>
      <c r="DV56" s="96"/>
      <c r="DW56" s="96"/>
      <c r="DX56" s="96"/>
      <c r="DY56" s="96"/>
      <c r="DZ56" s="96"/>
      <c r="EA56" s="96"/>
      <c r="EB56" s="96"/>
      <c r="EC56" s="96"/>
      <c r="ED56" s="96"/>
      <c r="EE56" s="99"/>
      <c r="EF56" s="99"/>
      <c r="EG56" s="99"/>
      <c r="EH56" s="99"/>
      <c r="EI56" s="99"/>
      <c r="EJ56" s="99"/>
      <c r="EK56" s="99"/>
      <c r="EL56" s="99"/>
      <c r="EM56" s="99"/>
      <c r="EN56" s="99"/>
      <c r="EO56" s="99"/>
      <c r="EP56" s="99"/>
      <c r="EQ56" s="99"/>
      <c r="ER56" s="99"/>
      <c r="ES56" s="99"/>
      <c r="ET56" s="99"/>
      <c r="EU56" s="99"/>
      <c r="EV56" s="99"/>
      <c r="EW56" s="99"/>
      <c r="EX56" s="99"/>
      <c r="EY56" s="99"/>
      <c r="EZ56" s="99"/>
      <c r="FA56" s="99"/>
      <c r="FB56" s="99"/>
      <c r="FC56" s="99"/>
      <c r="FD56" s="99"/>
      <c r="FE56" s="99"/>
      <c r="FF56" s="99"/>
      <c r="FG56" s="99"/>
      <c r="FH56" s="99"/>
      <c r="FI56" s="99"/>
      <c r="FJ56" s="99"/>
      <c r="FK56" s="99"/>
      <c r="FL56" s="99"/>
      <c r="FM56" s="99"/>
      <c r="FN56" s="99"/>
    </row>
    <row r="57" spans="1:170" s="18" customFormat="1" ht="18" customHeight="1">
      <c r="A57" s="1808"/>
      <c r="B57" s="416"/>
      <c r="C57" s="13"/>
      <c r="D57" s="161"/>
      <c r="E57" s="161"/>
      <c r="F57" s="21" t="str">
        <f>Begriffe!$F$226</f>
        <v>Winter</v>
      </c>
      <c r="G57" s="161"/>
      <c r="H57" s="13"/>
      <c r="I57" s="275" t="s">
        <v>216</v>
      </c>
      <c r="J57" s="173" t="s">
        <v>15</v>
      </c>
      <c r="K57" s="173"/>
      <c r="L57" s="1162"/>
      <c r="M57" s="931">
        <f>IF(L57&lt;&gt;"",L57,INDEX(Eingabedaten!$D$10:$GE$54,nutzid,MATCH($C56,Eingabedaten!$D$7:$GE$7,0)+1))</f>
        <v>1</v>
      </c>
      <c r="N57" s="931"/>
      <c r="O57" s="931"/>
      <c r="P57" s="493">
        <v>0</v>
      </c>
      <c r="Q57" s="989">
        <v>1</v>
      </c>
      <c r="R57" s="493">
        <v>0</v>
      </c>
      <c r="S57" s="131"/>
      <c r="T57" s="298"/>
      <c r="U57" s="298"/>
      <c r="V57" s="150"/>
      <c r="W57" s="299"/>
      <c r="X57" s="299"/>
      <c r="Y57" s="150"/>
      <c r="Z57" s="299"/>
      <c r="AA57" s="299"/>
      <c r="AB57" s="131"/>
      <c r="AC57" s="298"/>
      <c r="AD57" s="298"/>
      <c r="AE57" s="131"/>
      <c r="AF57" s="131"/>
      <c r="AG57" s="131"/>
      <c r="AH57" s="131"/>
      <c r="AI57" s="131"/>
      <c r="AJ57" s="131"/>
      <c r="AK57" s="131"/>
      <c r="AL57" s="131"/>
      <c r="AM57" s="131"/>
      <c r="AN57" s="152"/>
      <c r="AO57" s="152"/>
      <c r="AP57" s="153"/>
      <c r="AQ57" s="153"/>
      <c r="AR57" s="95"/>
      <c r="AS57" s="95"/>
      <c r="AT57" s="95"/>
      <c r="AU57" s="95"/>
      <c r="AV57" s="95"/>
      <c r="AW57" s="95"/>
      <c r="AX57" s="95"/>
      <c r="AY57" s="95"/>
      <c r="AZ57" s="95"/>
      <c r="BA57" s="95"/>
      <c r="BB57" s="95"/>
      <c r="BC57" s="95"/>
      <c r="BD57" s="95"/>
      <c r="BE57" s="95"/>
      <c r="BF57" s="95"/>
      <c r="BG57" s="95"/>
      <c r="BH57" s="95"/>
      <c r="BI57" s="95"/>
      <c r="BJ57" s="95"/>
      <c r="BK57" s="95"/>
      <c r="BL57" s="95"/>
      <c r="BM57" s="95"/>
      <c r="BN57" s="95"/>
      <c r="BO57" s="95"/>
      <c r="BP57" s="95"/>
      <c r="BQ57" s="95"/>
      <c r="BR57" s="95"/>
      <c r="BS57" s="95"/>
      <c r="BT57" s="95"/>
      <c r="BU57" s="95"/>
      <c r="BV57" s="95"/>
      <c r="BW57" s="95"/>
      <c r="BX57" s="95"/>
      <c r="BY57" s="95"/>
      <c r="BZ57" s="95"/>
      <c r="CA57" s="95"/>
      <c r="CB57" s="95"/>
      <c r="CC57" s="95"/>
      <c r="CD57" s="95"/>
      <c r="CE57" s="95"/>
      <c r="CF57" s="95"/>
      <c r="CG57" s="95"/>
      <c r="CH57" s="95"/>
      <c r="CI57" s="95"/>
      <c r="CJ57" s="95"/>
      <c r="CK57" s="95"/>
      <c r="CL57" s="95"/>
      <c r="CM57" s="95"/>
      <c r="CN57" s="95"/>
      <c r="CO57" s="95"/>
      <c r="CP57" s="95"/>
      <c r="CQ57" s="95"/>
      <c r="CR57" s="95"/>
      <c r="CS57" s="95"/>
      <c r="CT57" s="95"/>
      <c r="CU57" s="95"/>
      <c r="CV57" s="96"/>
      <c r="CW57" s="96"/>
      <c r="CX57" s="96"/>
      <c r="CY57" s="96"/>
      <c r="CZ57" s="96"/>
      <c r="DA57" s="96"/>
      <c r="DB57" s="96"/>
      <c r="DC57" s="96"/>
      <c r="DD57" s="96"/>
      <c r="DE57" s="96"/>
      <c r="DF57" s="96"/>
      <c r="DG57" s="96"/>
      <c r="DH57" s="96"/>
      <c r="DI57" s="96"/>
      <c r="DJ57" s="96"/>
      <c r="DK57" s="96"/>
      <c r="DL57" s="96"/>
      <c r="DM57" s="96"/>
      <c r="DN57" s="96"/>
      <c r="DO57" s="96"/>
      <c r="DP57" s="96"/>
      <c r="DQ57" s="96"/>
      <c r="DR57" s="96"/>
      <c r="DS57" s="96"/>
      <c r="DT57" s="96"/>
      <c r="DU57" s="96"/>
      <c r="DV57" s="96"/>
      <c r="DW57" s="96"/>
      <c r="DX57" s="96"/>
      <c r="DY57" s="96"/>
      <c r="DZ57" s="96"/>
      <c r="EA57" s="96"/>
      <c r="EB57" s="96"/>
      <c r="EC57" s="96"/>
      <c r="ED57" s="96"/>
      <c r="EE57" s="99"/>
      <c r="EF57" s="99"/>
      <c r="EG57" s="99"/>
      <c r="EH57" s="99"/>
      <c r="EI57" s="99"/>
      <c r="EJ57" s="99"/>
      <c r="EK57" s="99"/>
      <c r="EL57" s="99"/>
      <c r="EM57" s="99"/>
      <c r="EN57" s="99"/>
      <c r="EO57" s="99"/>
      <c r="EP57" s="99"/>
      <c r="EQ57" s="99"/>
      <c r="ER57" s="99"/>
      <c r="ES57" s="99"/>
      <c r="ET57" s="99"/>
      <c r="EU57" s="99"/>
      <c r="EV57" s="99"/>
      <c r="EW57" s="99"/>
      <c r="EX57" s="99"/>
      <c r="EY57" s="99"/>
      <c r="EZ57" s="99"/>
      <c r="FA57" s="99"/>
      <c r="FB57" s="99"/>
      <c r="FC57" s="99"/>
      <c r="FD57" s="99"/>
      <c r="FE57" s="99"/>
      <c r="FF57" s="99"/>
      <c r="FG57" s="99"/>
      <c r="FH57" s="99"/>
      <c r="FI57" s="99"/>
      <c r="FJ57" s="99"/>
      <c r="FK57" s="99"/>
      <c r="FL57" s="99"/>
      <c r="FM57" s="99"/>
      <c r="FN57" s="99"/>
    </row>
    <row r="58" spans="1:170" s="18" customFormat="1" ht="18" customHeight="1">
      <c r="A58" s="1808"/>
      <c r="B58" s="416">
        <v>183</v>
      </c>
      <c r="C58" s="493" t="str">
        <f>VLOOKUP(B58,Begriffe!$A$6:$E$442,Begriffe!$D$1+2)</f>
        <v>Wärmeeintragsleistung Personen</v>
      </c>
      <c r="D58" s="177"/>
      <c r="E58" s="177"/>
      <c r="F58" s="1151" t="str">
        <f>Begriffe!$F$317</f>
        <v>bei</v>
      </c>
      <c r="G58" s="1150">
        <v>24</v>
      </c>
      <c r="H58" s="1106">
        <f>IF(M55="",0,ROUND(((0.865-(0.025*G58))*(M55*58*1.8)+35)*2,-1)/2)</f>
        <v>70</v>
      </c>
      <c r="I58" s="262" t="s">
        <v>897</v>
      </c>
      <c r="J58" s="188" t="s">
        <v>68</v>
      </c>
      <c r="K58" s="188"/>
      <c r="L58" s="1167"/>
      <c r="M58" s="183">
        <f>IF(OR($H58=0,M$54=0),0,ROUND($H58/M$54,1))</f>
        <v>5</v>
      </c>
      <c r="N58" s="183"/>
      <c r="O58" s="183"/>
      <c r="P58" s="493">
        <v>1</v>
      </c>
      <c r="Q58" s="989">
        <v>1</v>
      </c>
      <c r="R58" s="493">
        <v>1</v>
      </c>
      <c r="S58" s="494"/>
      <c r="T58" s="298"/>
      <c r="U58" s="298"/>
      <c r="V58" s="150"/>
      <c r="W58" s="299"/>
      <c r="X58" s="299"/>
      <c r="Y58" s="150"/>
      <c r="Z58" s="299"/>
      <c r="AA58" s="299"/>
      <c r="AB58" s="131"/>
      <c r="AC58" s="298"/>
      <c r="AD58" s="298"/>
      <c r="AE58" s="131"/>
      <c r="AF58" s="131"/>
      <c r="AG58" s="131"/>
      <c r="AH58" s="131"/>
      <c r="AI58" s="131"/>
      <c r="AJ58" s="131"/>
      <c r="AK58" s="131"/>
      <c r="AL58" s="131"/>
      <c r="AM58" s="131"/>
      <c r="AN58" s="152"/>
      <c r="AO58" s="152"/>
      <c r="AP58" s="153"/>
      <c r="AQ58" s="153"/>
      <c r="AR58" s="95"/>
      <c r="AS58" s="95"/>
      <c r="AT58" s="95"/>
      <c r="AU58" s="95"/>
      <c r="AV58" s="95"/>
      <c r="AW58" s="95"/>
      <c r="AX58" s="95"/>
      <c r="AY58" s="95"/>
      <c r="AZ58" s="95"/>
      <c r="BA58" s="95"/>
      <c r="BB58" s="95"/>
      <c r="BC58" s="95"/>
      <c r="BD58" s="95"/>
      <c r="BE58" s="95"/>
      <c r="BF58" s="95"/>
      <c r="BG58" s="95"/>
      <c r="BH58" s="95"/>
      <c r="BI58" s="95"/>
      <c r="BJ58" s="95"/>
      <c r="BK58" s="95"/>
      <c r="BL58" s="95"/>
      <c r="BM58" s="95"/>
      <c r="BN58" s="95"/>
      <c r="BO58" s="95"/>
      <c r="BP58" s="95"/>
      <c r="BQ58" s="95"/>
      <c r="BR58" s="95"/>
      <c r="BS58" s="95"/>
      <c r="BT58" s="95"/>
      <c r="BU58" s="95"/>
      <c r="BV58" s="95"/>
      <c r="BW58" s="95"/>
      <c r="BX58" s="95"/>
      <c r="BY58" s="95"/>
      <c r="BZ58" s="95"/>
      <c r="CA58" s="95"/>
      <c r="CB58" s="95"/>
      <c r="CC58" s="95"/>
      <c r="CD58" s="95"/>
      <c r="CE58" s="95"/>
      <c r="CF58" s="95"/>
      <c r="CG58" s="95"/>
      <c r="CH58" s="95"/>
      <c r="CI58" s="95"/>
      <c r="CJ58" s="95"/>
      <c r="CK58" s="95"/>
      <c r="CL58" s="95"/>
      <c r="CM58" s="95"/>
      <c r="CN58" s="95"/>
      <c r="CO58" s="95"/>
      <c r="CP58" s="95"/>
      <c r="CQ58" s="95"/>
      <c r="CR58" s="96"/>
      <c r="CS58" s="96"/>
      <c r="CT58" s="96"/>
      <c r="CU58" s="96"/>
      <c r="CV58" s="96"/>
      <c r="CW58" s="96"/>
      <c r="CX58" s="96"/>
      <c r="CY58" s="96"/>
      <c r="CZ58" s="96"/>
      <c r="DA58" s="96"/>
      <c r="DB58" s="96"/>
      <c r="DC58" s="96"/>
      <c r="DD58" s="96"/>
      <c r="DE58" s="96"/>
      <c r="DF58" s="96"/>
      <c r="DG58" s="96"/>
      <c r="DH58" s="96"/>
      <c r="DI58" s="96"/>
      <c r="DJ58" s="96"/>
      <c r="DK58" s="96"/>
      <c r="DL58" s="96"/>
      <c r="DM58" s="96"/>
      <c r="DN58" s="96"/>
      <c r="DO58" s="96"/>
      <c r="DP58" s="96"/>
      <c r="DQ58" s="96"/>
      <c r="DR58" s="96"/>
      <c r="DS58" s="96"/>
      <c r="DT58" s="96"/>
      <c r="DU58" s="96"/>
      <c r="DV58" s="96"/>
      <c r="DW58" s="96"/>
      <c r="DX58" s="96"/>
      <c r="DY58" s="96"/>
      <c r="DZ58" s="96"/>
      <c r="EA58" s="99"/>
      <c r="EB58" s="99"/>
      <c r="EC58" s="99"/>
      <c r="ED58" s="99"/>
      <c r="EE58" s="99"/>
      <c r="EF58" s="99"/>
      <c r="EG58" s="99"/>
      <c r="EH58" s="99"/>
      <c r="EI58" s="99"/>
      <c r="EJ58" s="99"/>
      <c r="EK58" s="99"/>
      <c r="EL58" s="99"/>
      <c r="EM58" s="99"/>
      <c r="EN58" s="99"/>
      <c r="EO58" s="99"/>
      <c r="EP58" s="99"/>
      <c r="EQ58" s="99"/>
      <c r="ER58" s="99"/>
      <c r="ES58" s="99"/>
      <c r="ET58" s="99"/>
      <c r="EU58" s="99"/>
      <c r="EV58" s="99"/>
      <c r="EW58" s="99"/>
      <c r="EX58" s="99"/>
      <c r="EY58" s="99"/>
      <c r="EZ58" s="99"/>
      <c r="FA58" s="99"/>
      <c r="FB58" s="99"/>
      <c r="FC58" s="99"/>
      <c r="FD58" s="99"/>
      <c r="FE58" s="99"/>
      <c r="FF58" s="99"/>
      <c r="FG58" s="99"/>
      <c r="FH58" s="99"/>
      <c r="FI58" s="99"/>
      <c r="FJ58" s="99"/>
      <c r="FK58" s="99"/>
      <c r="FL58" s="99"/>
      <c r="FM58" s="99"/>
      <c r="FN58" s="99"/>
    </row>
    <row r="59" spans="1:170" s="18" customFormat="1" ht="18" hidden="1" customHeight="1">
      <c r="A59" s="1808"/>
      <c r="B59" s="30"/>
      <c r="C59" s="932" t="s">
        <v>805</v>
      </c>
      <c r="D59" s="932"/>
      <c r="E59" s="932"/>
      <c r="F59" s="932"/>
      <c r="G59" s="932"/>
      <c r="H59" s="932"/>
      <c r="I59" s="1108" t="s">
        <v>806</v>
      </c>
      <c r="J59" s="934" t="s">
        <v>804</v>
      </c>
      <c r="K59" s="934"/>
      <c r="L59" s="1109"/>
      <c r="M59" s="1110">
        <f>$M58*$M$49</f>
        <v>65</v>
      </c>
      <c r="N59" s="1110">
        <f>$M58*$M$49</f>
        <v>65</v>
      </c>
      <c r="O59" s="1110">
        <f>$M58*$M$49</f>
        <v>65</v>
      </c>
      <c r="P59" s="493">
        <v>0</v>
      </c>
      <c r="Q59" s="989">
        <v>0</v>
      </c>
      <c r="R59" s="493">
        <v>1</v>
      </c>
      <c r="S59" s="494"/>
      <c r="T59" s="298"/>
      <c r="U59" s="298"/>
      <c r="V59" s="150"/>
      <c r="W59" s="299"/>
      <c r="X59" s="299"/>
      <c r="Y59" s="150"/>
      <c r="Z59" s="299"/>
      <c r="AA59" s="299"/>
      <c r="AB59" s="131"/>
      <c r="AC59" s="298"/>
      <c r="AD59" s="298"/>
      <c r="AE59" s="131"/>
      <c r="AF59" s="131"/>
      <c r="AG59" s="131"/>
      <c r="AH59" s="131"/>
      <c r="AI59" s="131"/>
      <c r="AJ59" s="131"/>
      <c r="AK59" s="131"/>
      <c r="AL59" s="131"/>
      <c r="AM59" s="131"/>
      <c r="AN59" s="152"/>
      <c r="AO59" s="152"/>
      <c r="AP59" s="153"/>
      <c r="AQ59" s="153"/>
      <c r="AR59" s="95"/>
      <c r="AS59" s="95"/>
      <c r="AT59" s="95"/>
      <c r="AU59" s="95"/>
      <c r="AV59" s="95"/>
      <c r="AW59" s="95"/>
      <c r="AX59" s="95"/>
      <c r="AY59" s="95"/>
      <c r="AZ59" s="95"/>
      <c r="BA59" s="95"/>
      <c r="BB59" s="95"/>
      <c r="BC59" s="95"/>
      <c r="BD59" s="95"/>
      <c r="BE59" s="95"/>
      <c r="BF59" s="95"/>
      <c r="BG59" s="95"/>
      <c r="BH59" s="95"/>
      <c r="BI59" s="95"/>
      <c r="BJ59" s="95"/>
      <c r="BK59" s="95"/>
      <c r="BL59" s="95"/>
      <c r="BM59" s="95"/>
      <c r="BN59" s="95"/>
      <c r="BO59" s="95"/>
      <c r="BP59" s="95"/>
      <c r="BQ59" s="95"/>
      <c r="BR59" s="95"/>
      <c r="BS59" s="95"/>
      <c r="BT59" s="95"/>
      <c r="BU59" s="95"/>
      <c r="BV59" s="95"/>
      <c r="BW59" s="95"/>
      <c r="BX59" s="95"/>
      <c r="BY59" s="95"/>
      <c r="BZ59" s="95"/>
      <c r="CA59" s="95"/>
      <c r="CB59" s="95"/>
      <c r="CC59" s="95"/>
      <c r="CD59" s="95"/>
      <c r="CE59" s="95"/>
      <c r="CF59" s="95"/>
      <c r="CG59" s="95"/>
      <c r="CH59" s="95"/>
      <c r="CI59" s="95"/>
      <c r="CJ59" s="95"/>
      <c r="CK59" s="95"/>
      <c r="CL59" s="95"/>
      <c r="CM59" s="95"/>
      <c r="CN59" s="95"/>
      <c r="CO59" s="95"/>
      <c r="CP59" s="95"/>
      <c r="CQ59" s="95"/>
      <c r="CR59" s="96"/>
      <c r="CS59" s="96"/>
      <c r="CT59" s="96"/>
      <c r="CU59" s="96"/>
      <c r="CV59" s="96"/>
      <c r="CW59" s="96"/>
      <c r="CX59" s="96"/>
      <c r="CY59" s="96"/>
      <c r="CZ59" s="96"/>
      <c r="DA59" s="96"/>
      <c r="DB59" s="96"/>
      <c r="DC59" s="96"/>
      <c r="DD59" s="96"/>
      <c r="DE59" s="96"/>
      <c r="DF59" s="96"/>
      <c r="DG59" s="96"/>
      <c r="DH59" s="96"/>
      <c r="DI59" s="96"/>
      <c r="DJ59" s="96"/>
      <c r="DK59" s="96"/>
      <c r="DL59" s="96"/>
      <c r="DM59" s="96"/>
      <c r="DN59" s="96"/>
      <c r="DO59" s="96"/>
      <c r="DP59" s="96"/>
      <c r="DQ59" s="96"/>
      <c r="DR59" s="96"/>
      <c r="DS59" s="96"/>
      <c r="DT59" s="96"/>
      <c r="DU59" s="96"/>
      <c r="DV59" s="96"/>
      <c r="DW59" s="96"/>
      <c r="DX59" s="96"/>
      <c r="DY59" s="96"/>
      <c r="DZ59" s="96"/>
      <c r="EA59" s="99"/>
      <c r="EB59" s="99"/>
      <c r="EC59" s="99"/>
      <c r="ED59" s="99"/>
      <c r="EE59" s="99"/>
      <c r="EF59" s="99"/>
      <c r="EG59" s="99"/>
      <c r="EH59" s="99"/>
      <c r="EI59" s="99"/>
      <c r="EJ59" s="99"/>
      <c r="EK59" s="99"/>
      <c r="EL59" s="99"/>
      <c r="EM59" s="99"/>
      <c r="EN59" s="99"/>
      <c r="EO59" s="99"/>
      <c r="EP59" s="99"/>
      <c r="EQ59" s="99"/>
      <c r="ER59" s="99"/>
      <c r="ES59" s="99"/>
      <c r="ET59" s="99"/>
      <c r="EU59" s="99"/>
      <c r="EV59" s="99"/>
      <c r="EW59" s="99"/>
      <c r="EX59" s="99"/>
      <c r="EY59" s="99"/>
      <c r="EZ59" s="99"/>
      <c r="FA59" s="99"/>
      <c r="FB59" s="99"/>
      <c r="FC59" s="99"/>
      <c r="FD59" s="99"/>
      <c r="FE59" s="99"/>
      <c r="FF59" s="99"/>
      <c r="FG59" s="99"/>
      <c r="FH59" s="99"/>
      <c r="FI59" s="99"/>
      <c r="FJ59" s="99"/>
      <c r="FK59" s="99"/>
      <c r="FL59" s="99"/>
      <c r="FM59" s="99"/>
      <c r="FN59" s="99"/>
    </row>
    <row r="60" spans="1:170" s="18" customFormat="1" ht="18" customHeight="1">
      <c r="A60" s="1808"/>
      <c r="B60" s="416">
        <v>116</v>
      </c>
      <c r="C60" s="493" t="str">
        <f>VLOOKUP(B60,Begriffe!$A$6:$E$442,Begriffe!$D$1+2)</f>
        <v>Feuchteproduktion Personen</v>
      </c>
      <c r="D60" s="177"/>
      <c r="E60" s="177"/>
      <c r="F60" s="1151" t="str">
        <f>Begriffe!$F$317</f>
        <v>bei</v>
      </c>
      <c r="G60" s="1150">
        <v>24</v>
      </c>
      <c r="H60" s="1107">
        <f>IF(OR(G60="",M54=""),0,IF(M54&gt;0,ROUND((10/7*(($M$55*58*1.8)-((0.865-(0.025*G60))*($M$55*58*1.8)+35)))*2,-1)/2,""))</f>
        <v>80</v>
      </c>
      <c r="I60" s="178" t="s">
        <v>923</v>
      </c>
      <c r="J60" s="272" t="s">
        <v>239</v>
      </c>
      <c r="K60" s="1179"/>
      <c r="L60" s="338"/>
      <c r="M60" s="273">
        <f>IF(OR($H60="",M$54=""),0,ROUND($H60/M$54*2,0)/2)</f>
        <v>5.5</v>
      </c>
      <c r="N60" s="183"/>
      <c r="O60" s="183"/>
      <c r="P60" s="493">
        <v>1</v>
      </c>
      <c r="Q60" s="989">
        <v>1</v>
      </c>
      <c r="R60" s="493">
        <v>0</v>
      </c>
      <c r="S60" s="494"/>
      <c r="T60" s="298"/>
      <c r="U60" s="298"/>
      <c r="V60" s="150"/>
      <c r="W60" s="299"/>
      <c r="X60" s="299"/>
      <c r="Y60" s="150"/>
      <c r="Z60" s="299"/>
      <c r="AA60" s="299"/>
      <c r="AB60" s="131"/>
      <c r="AC60" s="298"/>
      <c r="AD60" s="298"/>
      <c r="AE60" s="131"/>
      <c r="AF60" s="131"/>
      <c r="AG60" s="131"/>
      <c r="AH60" s="131"/>
      <c r="AI60" s="131"/>
      <c r="AJ60" s="131"/>
      <c r="AK60" s="131"/>
      <c r="AL60" s="131"/>
      <c r="AM60" s="131"/>
      <c r="AN60" s="152"/>
      <c r="AO60" s="152"/>
      <c r="AP60" s="153"/>
      <c r="AQ60" s="153"/>
      <c r="AR60" s="95"/>
      <c r="AS60" s="95"/>
      <c r="AT60" s="95"/>
      <c r="AU60" s="95"/>
      <c r="AV60" s="95"/>
      <c r="AW60" s="95"/>
      <c r="AX60" s="95"/>
      <c r="AY60" s="95"/>
      <c r="AZ60" s="95"/>
      <c r="BA60" s="95"/>
      <c r="BB60" s="95"/>
      <c r="BC60" s="95"/>
      <c r="BD60" s="95"/>
      <c r="BE60" s="95"/>
      <c r="BF60" s="95"/>
      <c r="BG60" s="95"/>
      <c r="BH60" s="95"/>
      <c r="BI60" s="95"/>
      <c r="BJ60" s="95"/>
      <c r="BK60" s="95"/>
      <c r="BL60" s="95"/>
      <c r="BM60" s="95"/>
      <c r="BN60" s="95"/>
      <c r="BO60" s="95"/>
      <c r="BP60" s="95"/>
      <c r="BQ60" s="95"/>
      <c r="BR60" s="95"/>
      <c r="BS60" s="95"/>
      <c r="BT60" s="95"/>
      <c r="BU60" s="95"/>
      <c r="BV60" s="95"/>
      <c r="BW60" s="95"/>
      <c r="BX60" s="95"/>
      <c r="BY60" s="95"/>
      <c r="BZ60" s="95"/>
      <c r="CA60" s="95"/>
      <c r="CB60" s="95"/>
      <c r="CC60" s="95"/>
      <c r="CD60" s="95"/>
      <c r="CE60" s="95"/>
      <c r="CF60" s="95"/>
      <c r="CG60" s="95"/>
      <c r="CH60" s="95"/>
      <c r="CI60" s="95"/>
      <c r="CJ60" s="95"/>
      <c r="CK60" s="95"/>
      <c r="CL60" s="95"/>
      <c r="CM60" s="95"/>
      <c r="CN60" s="95"/>
      <c r="CO60" s="95"/>
      <c r="CP60" s="95"/>
      <c r="CQ60" s="95"/>
      <c r="CR60" s="96"/>
      <c r="CS60" s="96"/>
      <c r="CT60" s="96"/>
      <c r="CU60" s="96"/>
      <c r="CV60" s="96"/>
      <c r="CW60" s="96"/>
      <c r="CX60" s="96"/>
      <c r="CY60" s="96"/>
      <c r="CZ60" s="96"/>
      <c r="DA60" s="96"/>
      <c r="DB60" s="96"/>
      <c r="DC60" s="96"/>
      <c r="DD60" s="96"/>
      <c r="DE60" s="96"/>
      <c r="DF60" s="96"/>
      <c r="DG60" s="96"/>
      <c r="DH60" s="96"/>
      <c r="DI60" s="96"/>
      <c r="DJ60" s="96"/>
      <c r="DK60" s="96"/>
      <c r="DL60" s="96"/>
      <c r="DM60" s="96"/>
      <c r="DN60" s="96"/>
      <c r="DO60" s="96"/>
      <c r="DP60" s="96"/>
      <c r="DQ60" s="96"/>
      <c r="DR60" s="96"/>
      <c r="DS60" s="96"/>
      <c r="DT60" s="96"/>
      <c r="DU60" s="96"/>
      <c r="DV60" s="96"/>
      <c r="DW60" s="96"/>
      <c r="DX60" s="96"/>
      <c r="DY60" s="96"/>
      <c r="DZ60" s="96"/>
      <c r="EA60" s="99"/>
      <c r="EB60" s="99"/>
      <c r="EC60" s="99"/>
      <c r="ED60" s="99"/>
      <c r="EE60" s="99"/>
      <c r="EF60" s="99"/>
      <c r="EG60" s="99"/>
      <c r="EH60" s="99"/>
      <c r="EI60" s="99"/>
      <c r="EJ60" s="99"/>
      <c r="EK60" s="99"/>
      <c r="EL60" s="99"/>
      <c r="EM60" s="99"/>
      <c r="EN60" s="99"/>
      <c r="EO60" s="99"/>
      <c r="EP60" s="99"/>
      <c r="EQ60" s="99"/>
      <c r="ER60" s="99"/>
      <c r="ES60" s="99"/>
      <c r="ET60" s="99"/>
      <c r="EU60" s="99"/>
      <c r="EV60" s="99"/>
      <c r="EW60" s="99"/>
      <c r="EX60" s="99"/>
      <c r="EY60" s="99"/>
      <c r="EZ60" s="99"/>
      <c r="FA60" s="99"/>
      <c r="FB60" s="99"/>
      <c r="FC60" s="99"/>
      <c r="FD60" s="99"/>
      <c r="FE60" s="99"/>
      <c r="FF60" s="99"/>
      <c r="FG60" s="99"/>
      <c r="FH60" s="99"/>
      <c r="FI60" s="99"/>
      <c r="FJ60" s="99"/>
      <c r="FK60" s="99"/>
      <c r="FL60" s="99"/>
      <c r="FM60" s="99"/>
      <c r="FN60" s="99"/>
    </row>
    <row r="61" spans="1:170" s="18" customFormat="1" ht="18" customHeight="1">
      <c r="A61" s="1808"/>
      <c r="B61" s="416">
        <v>117</v>
      </c>
      <c r="C61" s="21" t="str">
        <f>VLOOKUP(B61,Begriffe!$A$6:$E$442,Begriffe!$D$1+2)</f>
        <v>Feuchtequellen (ohne Personen)</v>
      </c>
      <c r="D61" s="21"/>
      <c r="E61" s="21"/>
      <c r="F61" s="21" t="str">
        <f>Begriffe!F318</f>
        <v>z.B. Pflanzen</v>
      </c>
      <c r="G61" s="21"/>
      <c r="H61" s="21"/>
      <c r="I61" s="178" t="s">
        <v>924</v>
      </c>
      <c r="J61" s="188" t="s">
        <v>239</v>
      </c>
      <c r="K61" s="188"/>
      <c r="L61" s="1168"/>
      <c r="M61" s="188">
        <f>IF(L61&lt;&gt;"",L61,INDEX(Eingabedaten!$D$10:$GE$54,nutzid,MATCH($C61,Eingabedaten!$D$7:$GE$7,0)))</f>
        <v>0.5</v>
      </c>
      <c r="N61" s="931"/>
      <c r="O61" s="931"/>
      <c r="P61" s="493">
        <v>0</v>
      </c>
      <c r="Q61" s="989">
        <v>1</v>
      </c>
      <c r="R61" s="493">
        <v>0</v>
      </c>
      <c r="S61" s="494"/>
      <c r="T61" s="298"/>
      <c r="U61" s="298"/>
      <c r="V61" s="150"/>
      <c r="W61" s="299"/>
      <c r="X61" s="299"/>
      <c r="Y61" s="150"/>
      <c r="Z61" s="299"/>
      <c r="AA61" s="299"/>
      <c r="AB61" s="131"/>
      <c r="AC61" s="298"/>
      <c r="AD61" s="298"/>
      <c r="AE61" s="131"/>
      <c r="AF61" s="131"/>
      <c r="AG61" s="131"/>
      <c r="AH61" s="131"/>
      <c r="AI61" s="131"/>
      <c r="AJ61" s="131"/>
      <c r="AK61" s="131"/>
      <c r="AL61" s="131"/>
      <c r="AM61" s="131"/>
      <c r="AN61" s="152"/>
      <c r="AO61" s="152"/>
      <c r="AP61" s="153"/>
      <c r="AQ61" s="153"/>
      <c r="AR61" s="95"/>
      <c r="AS61" s="95"/>
      <c r="AT61" s="95"/>
      <c r="AU61" s="95"/>
      <c r="AV61" s="95"/>
      <c r="AW61" s="95"/>
      <c r="AX61" s="95"/>
      <c r="AY61" s="95"/>
      <c r="AZ61" s="95"/>
      <c r="BA61" s="95"/>
      <c r="BB61" s="95"/>
      <c r="BC61" s="95"/>
      <c r="BD61" s="95"/>
      <c r="BE61" s="95"/>
      <c r="BF61" s="95"/>
      <c r="BG61" s="95"/>
      <c r="BH61" s="95"/>
      <c r="BI61" s="95"/>
      <c r="BJ61" s="95"/>
      <c r="BK61" s="95"/>
      <c r="BL61" s="95"/>
      <c r="BM61" s="95"/>
      <c r="BN61" s="95"/>
      <c r="BO61" s="95"/>
      <c r="BP61" s="95"/>
      <c r="BQ61" s="95"/>
      <c r="BR61" s="95"/>
      <c r="BS61" s="95"/>
      <c r="BT61" s="95"/>
      <c r="BU61" s="95"/>
      <c r="BV61" s="95"/>
      <c r="BW61" s="95"/>
      <c r="BX61" s="95"/>
      <c r="BY61" s="95"/>
      <c r="BZ61" s="95"/>
      <c r="CA61" s="95"/>
      <c r="CB61" s="95"/>
      <c r="CC61" s="95"/>
      <c r="CD61" s="95"/>
      <c r="CE61" s="95"/>
      <c r="CF61" s="95"/>
      <c r="CG61" s="95"/>
      <c r="CH61" s="95"/>
      <c r="CI61" s="95"/>
      <c r="CJ61" s="95"/>
      <c r="CK61" s="95"/>
      <c r="CL61" s="95"/>
      <c r="CM61" s="95"/>
      <c r="CN61" s="95"/>
      <c r="CO61" s="95"/>
      <c r="CP61" s="95"/>
      <c r="CQ61" s="95"/>
      <c r="CR61" s="96"/>
      <c r="CS61" s="96"/>
      <c r="CT61" s="96"/>
      <c r="CU61" s="96"/>
      <c r="CV61" s="96"/>
      <c r="CW61" s="96"/>
      <c r="CX61" s="96"/>
      <c r="CY61" s="96"/>
      <c r="CZ61" s="96"/>
      <c r="DA61" s="96"/>
      <c r="DB61" s="96"/>
      <c r="DC61" s="96"/>
      <c r="DD61" s="96"/>
      <c r="DE61" s="96"/>
      <c r="DF61" s="96"/>
      <c r="DG61" s="96"/>
      <c r="DH61" s="96"/>
      <c r="DI61" s="96"/>
      <c r="DJ61" s="96"/>
      <c r="DK61" s="96"/>
      <c r="DL61" s="96"/>
      <c r="DM61" s="96"/>
      <c r="DN61" s="96"/>
      <c r="DO61" s="96"/>
      <c r="DP61" s="96"/>
      <c r="DQ61" s="96"/>
      <c r="DR61" s="96"/>
      <c r="DS61" s="96"/>
      <c r="DT61" s="96"/>
      <c r="DU61" s="96"/>
      <c r="DV61" s="96"/>
      <c r="DW61" s="96"/>
      <c r="DX61" s="96"/>
      <c r="DY61" s="96"/>
      <c r="DZ61" s="96"/>
      <c r="EA61" s="99"/>
      <c r="EB61" s="99"/>
      <c r="EC61" s="99"/>
      <c r="ED61" s="99"/>
      <c r="EE61" s="99"/>
      <c r="EF61" s="99"/>
      <c r="EG61" s="99"/>
      <c r="EH61" s="99"/>
      <c r="EI61" s="99"/>
      <c r="EJ61" s="99"/>
      <c r="EK61" s="99"/>
      <c r="EL61" s="99"/>
      <c r="EM61" s="99"/>
      <c r="EN61" s="99"/>
      <c r="EO61" s="99"/>
      <c r="EP61" s="99"/>
      <c r="EQ61" s="99"/>
      <c r="ER61" s="99"/>
      <c r="ES61" s="99"/>
      <c r="ET61" s="99"/>
      <c r="EU61" s="99"/>
      <c r="EV61" s="99"/>
      <c r="EW61" s="99"/>
      <c r="EX61" s="99"/>
      <c r="EY61" s="99"/>
      <c r="EZ61" s="99"/>
      <c r="FA61" s="99"/>
      <c r="FB61" s="99"/>
      <c r="FC61" s="99"/>
      <c r="FD61" s="99"/>
      <c r="FE61" s="99"/>
      <c r="FF61" s="99"/>
      <c r="FG61" s="99"/>
      <c r="FH61" s="99"/>
      <c r="FI61" s="99"/>
      <c r="FJ61" s="99"/>
      <c r="FK61" s="99"/>
      <c r="FL61" s="99"/>
      <c r="FM61" s="99"/>
      <c r="FN61" s="99"/>
    </row>
    <row r="62" spans="1:170" s="12" customFormat="1" ht="2.1" customHeight="1">
      <c r="A62" s="198"/>
      <c r="B62" s="1142"/>
      <c r="C62" s="200"/>
      <c r="D62" s="200"/>
      <c r="E62" s="200"/>
      <c r="F62" s="200"/>
      <c r="G62" s="200"/>
      <c r="H62" s="200"/>
      <c r="I62" s="201"/>
      <c r="J62" s="201"/>
      <c r="K62" s="201"/>
      <c r="L62" s="201"/>
      <c r="M62" s="201"/>
      <c r="N62" s="997"/>
      <c r="O62" s="997"/>
      <c r="P62" s="493">
        <v>0</v>
      </c>
      <c r="Q62" s="989">
        <v>1</v>
      </c>
      <c r="R62" s="493">
        <v>0</v>
      </c>
      <c r="S62" s="82"/>
      <c r="T62" s="301"/>
      <c r="U62" s="301"/>
      <c r="V62" s="311"/>
      <c r="W62" s="301"/>
      <c r="X62" s="301"/>
      <c r="Y62" s="311"/>
      <c r="Z62" s="301"/>
      <c r="AA62" s="301"/>
      <c r="AB62" s="311"/>
      <c r="AC62" s="301"/>
      <c r="AD62" s="301"/>
      <c r="AM62" s="82"/>
      <c r="AN62" s="156"/>
      <c r="AO62" s="156"/>
      <c r="AP62" s="157"/>
      <c r="AQ62" s="157"/>
      <c r="AR62" s="106"/>
      <c r="AS62" s="106"/>
      <c r="AT62" s="106"/>
      <c r="AU62" s="106"/>
      <c r="AV62" s="106"/>
      <c r="AW62" s="106"/>
      <c r="AX62" s="106"/>
      <c r="AY62" s="106"/>
      <c r="AZ62" s="106"/>
      <c r="BA62" s="106"/>
      <c r="BB62" s="106"/>
      <c r="BC62" s="106"/>
      <c r="BD62" s="106"/>
      <c r="BE62" s="106"/>
      <c r="BF62" s="106"/>
      <c r="BG62" s="106"/>
      <c r="BH62" s="106"/>
      <c r="BI62" s="106"/>
      <c r="BJ62" s="106"/>
      <c r="BK62" s="106"/>
      <c r="BL62" s="106"/>
      <c r="BM62" s="106"/>
      <c r="BN62" s="106"/>
      <c r="BO62" s="106"/>
      <c r="BP62" s="106"/>
      <c r="BQ62" s="106"/>
      <c r="BR62" s="106"/>
      <c r="BS62" s="106"/>
      <c r="BT62" s="106"/>
      <c r="BU62" s="106"/>
      <c r="BV62" s="106"/>
      <c r="BW62" s="106"/>
      <c r="BX62" s="106"/>
      <c r="BY62" s="106"/>
      <c r="BZ62" s="106"/>
      <c r="CA62" s="106"/>
      <c r="CB62" s="106"/>
      <c r="CC62" s="106"/>
      <c r="CD62" s="106"/>
      <c r="CE62" s="106"/>
      <c r="CF62" s="106"/>
      <c r="CG62" s="106"/>
      <c r="CH62" s="106"/>
      <c r="CI62" s="106"/>
      <c r="CJ62" s="106"/>
      <c r="CK62" s="106"/>
      <c r="CL62" s="106"/>
      <c r="CM62" s="106"/>
      <c r="CN62" s="106"/>
      <c r="CO62" s="106"/>
      <c r="CP62" s="106"/>
      <c r="CQ62" s="106"/>
      <c r="CR62" s="106"/>
      <c r="CS62" s="106"/>
      <c r="CT62" s="106"/>
      <c r="CU62" s="106"/>
      <c r="CV62" s="107"/>
      <c r="CW62" s="107"/>
      <c r="CX62" s="107"/>
      <c r="CY62" s="107"/>
      <c r="CZ62" s="107"/>
      <c r="DA62" s="107"/>
      <c r="DB62" s="107"/>
      <c r="DC62" s="107"/>
      <c r="DD62" s="107"/>
      <c r="DE62" s="107"/>
      <c r="DF62" s="107"/>
      <c r="DG62" s="107"/>
      <c r="DH62" s="107"/>
      <c r="DI62" s="107"/>
      <c r="DJ62" s="107"/>
      <c r="DK62" s="107"/>
      <c r="DL62" s="107"/>
      <c r="DM62" s="107"/>
      <c r="DN62" s="107"/>
      <c r="DO62" s="107"/>
      <c r="DP62" s="107"/>
      <c r="DQ62" s="107"/>
      <c r="DR62" s="107"/>
      <c r="DS62" s="107"/>
      <c r="DT62" s="107"/>
      <c r="DU62" s="107"/>
      <c r="DV62" s="107"/>
      <c r="DW62" s="107"/>
      <c r="DX62" s="107"/>
      <c r="DY62" s="107"/>
      <c r="DZ62" s="107"/>
      <c r="EA62" s="107"/>
      <c r="EB62" s="107"/>
      <c r="EC62" s="107"/>
      <c r="ED62" s="107"/>
      <c r="EE62" s="105"/>
      <c r="EF62" s="105"/>
      <c r="EG62" s="105"/>
      <c r="EH62" s="105"/>
      <c r="EI62" s="105"/>
      <c r="EJ62" s="105"/>
      <c r="EK62" s="105"/>
      <c r="EL62" s="105"/>
      <c r="EM62" s="105"/>
      <c r="EN62" s="105"/>
      <c r="EO62" s="105"/>
      <c r="EP62" s="105"/>
      <c r="EQ62" s="105"/>
      <c r="ER62" s="105"/>
      <c r="ES62" s="105"/>
      <c r="ET62" s="105"/>
      <c r="EU62" s="105"/>
      <c r="EV62" s="105"/>
      <c r="EW62" s="105"/>
      <c r="EX62" s="105"/>
      <c r="EY62" s="105"/>
      <c r="EZ62" s="105"/>
      <c r="FA62" s="105"/>
      <c r="FB62" s="105"/>
      <c r="FC62" s="105"/>
      <c r="FD62" s="105"/>
      <c r="FE62" s="105"/>
      <c r="FF62" s="105"/>
      <c r="FG62" s="105"/>
      <c r="FH62" s="105"/>
      <c r="FI62" s="105"/>
      <c r="FJ62" s="105"/>
      <c r="FK62" s="105"/>
      <c r="FL62" s="105"/>
      <c r="FM62" s="105"/>
      <c r="FN62" s="105"/>
    </row>
    <row r="63" spans="1:170" s="5" customFormat="1" ht="18" customHeight="1">
      <c r="A63" s="1808" t="str">
        <f>Begriffe!F202</f>
        <v>Geräte</v>
      </c>
      <c r="B63" s="416"/>
      <c r="C63" s="1812" t="str">
        <f>Begriffe!F24</f>
        <v>Geräteprofil</v>
      </c>
      <c r="D63" s="1"/>
      <c r="E63" s="329"/>
      <c r="F63" s="329"/>
      <c r="G63" s="1"/>
      <c r="H63" s="330"/>
      <c r="I63" s="339"/>
      <c r="J63" s="340"/>
      <c r="K63" s="340"/>
      <c r="L63" s="340"/>
      <c r="M63" s="341"/>
      <c r="N63" s="340"/>
      <c r="O63" s="270"/>
      <c r="P63" s="990">
        <v>0</v>
      </c>
      <c r="Q63" s="995">
        <v>1</v>
      </c>
      <c r="R63" s="990">
        <v>0</v>
      </c>
      <c r="S63" s="36"/>
      <c r="T63" s="302"/>
      <c r="U63" s="302"/>
      <c r="V63" s="312"/>
      <c r="W63" s="302"/>
      <c r="X63" s="302"/>
      <c r="Y63" s="312"/>
      <c r="Z63" s="302"/>
      <c r="AA63" s="302"/>
      <c r="AB63" s="312"/>
      <c r="AC63" s="302"/>
      <c r="AD63" s="302"/>
      <c r="AM63" s="1"/>
      <c r="AN63" s="160"/>
      <c r="AO63" s="16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c r="CY63" s="110"/>
      <c r="CZ63" s="110"/>
      <c r="DA63" s="110"/>
      <c r="DB63" s="110"/>
      <c r="DC63" s="110"/>
      <c r="DD63" s="110"/>
      <c r="DE63" s="109"/>
      <c r="DF63" s="109"/>
      <c r="DG63" s="109"/>
      <c r="DH63" s="109"/>
      <c r="DI63" s="109"/>
      <c r="DJ63" s="109"/>
      <c r="DK63" s="109"/>
      <c r="DL63" s="109"/>
      <c r="DM63" s="109"/>
      <c r="DN63" s="109"/>
      <c r="DO63" s="109"/>
      <c r="DP63" s="109"/>
      <c r="DQ63" s="109"/>
      <c r="DR63" s="109"/>
      <c r="DS63" s="109"/>
      <c r="DT63" s="109"/>
      <c r="DU63" s="109"/>
      <c r="DV63" s="109"/>
      <c r="DW63" s="109"/>
      <c r="DX63" s="109"/>
      <c r="DY63" s="109"/>
      <c r="DZ63" s="109"/>
      <c r="EA63" s="109"/>
      <c r="EB63" s="109"/>
      <c r="EC63" s="109"/>
      <c r="ED63" s="109"/>
      <c r="EE63" s="110"/>
      <c r="EF63" s="110"/>
      <c r="EG63" s="110"/>
      <c r="EH63" s="110"/>
      <c r="EI63" s="110"/>
      <c r="EJ63" s="110"/>
      <c r="EK63" s="110"/>
      <c r="EL63" s="110"/>
      <c r="EM63" s="110"/>
      <c r="EN63" s="110"/>
      <c r="EO63" s="110"/>
      <c r="EP63" s="110"/>
      <c r="EQ63" s="110"/>
      <c r="ER63" s="110"/>
      <c r="ES63" s="110"/>
      <c r="ET63" s="110"/>
      <c r="EU63" s="110"/>
      <c r="EV63" s="110"/>
      <c r="EW63" s="110"/>
      <c r="EX63" s="110"/>
      <c r="EY63" s="110"/>
      <c r="EZ63" s="110"/>
      <c r="FA63" s="110"/>
      <c r="FB63" s="110"/>
      <c r="FC63" s="110"/>
      <c r="FD63" s="110"/>
      <c r="FE63" s="110"/>
      <c r="FF63" s="110"/>
      <c r="FG63" s="110"/>
      <c r="FH63" s="110"/>
      <c r="FI63" s="110"/>
      <c r="FJ63" s="110"/>
      <c r="FK63" s="110"/>
      <c r="FL63" s="110"/>
      <c r="FM63" s="110"/>
      <c r="FN63" s="110"/>
    </row>
    <row r="64" spans="1:170" s="5" customFormat="1" ht="18" customHeight="1">
      <c r="A64" s="1808"/>
      <c r="B64" s="416"/>
      <c r="C64" s="1813"/>
      <c r="D64" s="1"/>
      <c r="E64" s="329"/>
      <c r="F64" s="329"/>
      <c r="G64" s="1"/>
      <c r="H64" s="330"/>
      <c r="I64" s="339"/>
      <c r="J64" s="340"/>
      <c r="K64" s="340"/>
      <c r="L64" s="340"/>
      <c r="M64" s="341"/>
      <c r="N64" s="340"/>
      <c r="O64" s="270"/>
      <c r="P64" s="990">
        <v>0</v>
      </c>
      <c r="Q64" s="995">
        <v>1</v>
      </c>
      <c r="R64" s="990">
        <v>0</v>
      </c>
      <c r="S64" s="36"/>
      <c r="T64" s="302"/>
      <c r="U64" s="302"/>
      <c r="V64" s="312"/>
      <c r="W64" s="302"/>
      <c r="X64" s="302"/>
      <c r="Y64" s="312"/>
      <c r="Z64" s="302"/>
      <c r="AA64" s="302"/>
      <c r="AB64" s="312"/>
      <c r="AC64" s="302"/>
      <c r="AD64" s="302"/>
      <c r="AM64" s="1"/>
      <c r="AN64" s="160"/>
      <c r="AO64" s="16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c r="CY64" s="110"/>
      <c r="CZ64" s="110"/>
      <c r="DA64" s="110"/>
      <c r="DB64" s="110"/>
      <c r="DC64" s="110"/>
      <c r="DD64" s="110"/>
      <c r="DE64" s="109"/>
      <c r="DF64" s="109"/>
      <c r="DG64" s="109"/>
      <c r="DH64" s="109"/>
      <c r="DI64" s="109"/>
      <c r="DJ64" s="109"/>
      <c r="DK64" s="109"/>
      <c r="DL64" s="109"/>
      <c r="DM64" s="109"/>
      <c r="DN64" s="109"/>
      <c r="DO64" s="109"/>
      <c r="DP64" s="109"/>
      <c r="DQ64" s="109"/>
      <c r="DR64" s="109"/>
      <c r="DS64" s="109"/>
      <c r="DT64" s="109"/>
      <c r="DU64" s="109"/>
      <c r="DV64" s="109"/>
      <c r="DW64" s="109"/>
      <c r="DX64" s="109"/>
      <c r="DY64" s="109"/>
      <c r="DZ64" s="109"/>
      <c r="EA64" s="109"/>
      <c r="EB64" s="109"/>
      <c r="EC64" s="109"/>
      <c r="ED64" s="109"/>
      <c r="EE64" s="110"/>
      <c r="EF64" s="110"/>
      <c r="EG64" s="110"/>
      <c r="EH64" s="110"/>
      <c r="EI64" s="110"/>
      <c r="EJ64" s="110"/>
      <c r="EK64" s="110"/>
      <c r="EL64" s="110"/>
      <c r="EM64" s="110"/>
      <c r="EN64" s="110"/>
      <c r="EO64" s="110"/>
      <c r="EP64" s="110"/>
      <c r="EQ64" s="110"/>
      <c r="ER64" s="110"/>
      <c r="ES64" s="110"/>
      <c r="ET64" s="110"/>
      <c r="EU64" s="110"/>
      <c r="EV64" s="110"/>
      <c r="EW64" s="110"/>
      <c r="EX64" s="110"/>
      <c r="EY64" s="110"/>
      <c r="EZ64" s="110"/>
      <c r="FA64" s="110"/>
      <c r="FB64" s="110"/>
      <c r="FC64" s="110"/>
      <c r="FD64" s="110"/>
      <c r="FE64" s="110"/>
      <c r="FF64" s="110"/>
      <c r="FG64" s="110"/>
      <c r="FH64" s="110"/>
      <c r="FI64" s="110"/>
      <c r="FJ64" s="110"/>
      <c r="FK64" s="110"/>
      <c r="FL64" s="110"/>
      <c r="FM64" s="110"/>
      <c r="FN64" s="110"/>
    </row>
    <row r="65" spans="1:170" s="5" customFormat="1" ht="18" customHeight="1">
      <c r="A65" s="1808"/>
      <c r="B65" s="416"/>
      <c r="C65" s="1813"/>
      <c r="D65" s="1"/>
      <c r="E65" s="329"/>
      <c r="F65" s="329"/>
      <c r="G65" s="1"/>
      <c r="H65" s="330"/>
      <c r="I65" s="339"/>
      <c r="J65" s="340"/>
      <c r="K65" s="340"/>
      <c r="L65" s="340"/>
      <c r="M65" s="341"/>
      <c r="N65" s="340"/>
      <c r="O65" s="270"/>
      <c r="P65" s="990">
        <v>0</v>
      </c>
      <c r="Q65" s="995">
        <v>1</v>
      </c>
      <c r="R65" s="990">
        <v>0</v>
      </c>
      <c r="S65" s="36"/>
      <c r="T65" s="260"/>
      <c r="U65" s="260"/>
      <c r="V65" s="85"/>
      <c r="W65" s="260"/>
      <c r="X65" s="260"/>
      <c r="Y65" s="85"/>
      <c r="Z65" s="260"/>
      <c r="AA65" s="260"/>
      <c r="AB65" s="85"/>
      <c r="AC65" s="260"/>
      <c r="AD65" s="260"/>
      <c r="AE65" s="1"/>
      <c r="AF65" s="1"/>
      <c r="AG65" s="1"/>
      <c r="AH65" s="1"/>
      <c r="AI65" s="1"/>
      <c r="AJ65" s="1"/>
      <c r="AK65" s="1"/>
      <c r="AL65" s="1"/>
      <c r="AM65" s="1"/>
      <c r="AN65" s="160"/>
      <c r="AO65" s="16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c r="CY65" s="110"/>
      <c r="CZ65" s="110"/>
      <c r="DA65" s="110"/>
      <c r="DB65" s="110"/>
      <c r="DC65" s="110"/>
      <c r="DD65" s="110"/>
      <c r="DE65" s="109"/>
      <c r="DF65" s="109"/>
      <c r="DG65" s="109"/>
      <c r="DH65" s="109"/>
      <c r="DI65" s="109"/>
      <c r="DJ65" s="109"/>
      <c r="DK65" s="109"/>
      <c r="DL65" s="109"/>
      <c r="DM65" s="109"/>
      <c r="DN65" s="109"/>
      <c r="DO65" s="109"/>
      <c r="DP65" s="109"/>
      <c r="DQ65" s="109"/>
      <c r="DR65" s="109"/>
      <c r="DS65" s="109"/>
      <c r="DT65" s="109"/>
      <c r="DU65" s="109"/>
      <c r="DV65" s="109"/>
      <c r="DW65" s="109"/>
      <c r="DX65" s="109"/>
      <c r="DY65" s="109"/>
      <c r="DZ65" s="109"/>
      <c r="EA65" s="109"/>
      <c r="EB65" s="109"/>
      <c r="EC65" s="109"/>
      <c r="ED65" s="109"/>
      <c r="EE65" s="110"/>
      <c r="EF65" s="110"/>
      <c r="EG65" s="110"/>
      <c r="EH65" s="110"/>
      <c r="EI65" s="110"/>
      <c r="EJ65" s="110"/>
      <c r="EK65" s="110"/>
      <c r="EL65" s="110"/>
      <c r="EM65" s="110"/>
      <c r="EN65" s="110"/>
      <c r="EO65" s="110"/>
      <c r="EP65" s="110"/>
      <c r="EQ65" s="110"/>
      <c r="ER65" s="110"/>
      <c r="ES65" s="110"/>
      <c r="ET65" s="110"/>
      <c r="EU65" s="110"/>
      <c r="EV65" s="110"/>
      <c r="EW65" s="110"/>
      <c r="EX65" s="110"/>
      <c r="EY65" s="110"/>
      <c r="EZ65" s="110"/>
      <c r="FA65" s="110"/>
      <c r="FB65" s="110"/>
      <c r="FC65" s="110"/>
      <c r="FD65" s="110"/>
      <c r="FE65" s="110"/>
      <c r="FF65" s="110"/>
      <c r="FG65" s="110"/>
      <c r="FH65" s="110"/>
      <c r="FI65" s="110"/>
      <c r="FJ65" s="110"/>
      <c r="FK65" s="110"/>
      <c r="FL65" s="110"/>
      <c r="FM65" s="110"/>
      <c r="FN65" s="110"/>
    </row>
    <row r="66" spans="1:170" s="5" customFormat="1" ht="18" customHeight="1">
      <c r="A66" s="1808"/>
      <c r="B66" s="416"/>
      <c r="C66" s="1813"/>
      <c r="D66" s="1"/>
      <c r="E66" s="329"/>
      <c r="F66" s="329"/>
      <c r="G66" s="1"/>
      <c r="H66" s="330"/>
      <c r="I66" s="339"/>
      <c r="J66" s="340"/>
      <c r="K66" s="340"/>
      <c r="L66" s="340"/>
      <c r="M66" s="341"/>
      <c r="N66" s="340"/>
      <c r="O66" s="270"/>
      <c r="P66" s="990">
        <v>0</v>
      </c>
      <c r="Q66" s="995">
        <v>1</v>
      </c>
      <c r="R66" s="990">
        <v>0</v>
      </c>
      <c r="S66" s="36"/>
      <c r="T66" s="260"/>
      <c r="U66" s="260"/>
      <c r="V66" s="85"/>
      <c r="W66" s="260"/>
      <c r="X66" s="260"/>
      <c r="Y66" s="85"/>
      <c r="Z66" s="260"/>
      <c r="AA66" s="260"/>
      <c r="AB66" s="85"/>
      <c r="AC66" s="260"/>
      <c r="AD66" s="260"/>
      <c r="AE66" s="1"/>
      <c r="AF66" s="1"/>
      <c r="AG66" s="1"/>
      <c r="AH66" s="1"/>
      <c r="AI66" s="1"/>
      <c r="AJ66" s="1"/>
      <c r="AK66" s="1"/>
      <c r="AL66" s="1"/>
      <c r="AM66" s="1"/>
      <c r="AN66" s="160"/>
      <c r="AO66" s="16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c r="CY66" s="110"/>
      <c r="CZ66" s="110"/>
      <c r="DA66" s="110"/>
      <c r="DB66" s="110"/>
      <c r="DC66" s="110"/>
      <c r="DD66" s="110"/>
      <c r="DE66" s="109"/>
      <c r="DF66" s="109"/>
      <c r="DG66" s="109"/>
      <c r="DH66" s="109"/>
      <c r="DI66" s="109"/>
      <c r="DJ66" s="109"/>
      <c r="DK66" s="109"/>
      <c r="DL66" s="109"/>
      <c r="DM66" s="109"/>
      <c r="DN66" s="109"/>
      <c r="DO66" s="109"/>
      <c r="DP66" s="109"/>
      <c r="DQ66" s="109"/>
      <c r="DR66" s="109"/>
      <c r="DS66" s="109"/>
      <c r="DT66" s="109"/>
      <c r="DU66" s="109"/>
      <c r="DV66" s="109"/>
      <c r="DW66" s="109"/>
      <c r="DX66" s="109"/>
      <c r="DY66" s="109"/>
      <c r="DZ66" s="109"/>
      <c r="EA66" s="109"/>
      <c r="EB66" s="109"/>
      <c r="EC66" s="109"/>
      <c r="ED66" s="109"/>
      <c r="EE66" s="110"/>
      <c r="EF66" s="110"/>
      <c r="EG66" s="110"/>
      <c r="EH66" s="110"/>
      <c r="EI66" s="110"/>
      <c r="EJ66" s="110"/>
      <c r="EK66" s="110"/>
      <c r="EL66" s="110"/>
      <c r="EM66" s="110"/>
      <c r="EN66" s="110"/>
      <c r="EO66" s="110"/>
      <c r="EP66" s="110"/>
      <c r="EQ66" s="110"/>
      <c r="ER66" s="110"/>
      <c r="ES66" s="110"/>
      <c r="ET66" s="110"/>
      <c r="EU66" s="110"/>
      <c r="EV66" s="110"/>
      <c r="EW66" s="110"/>
      <c r="EX66" s="110"/>
      <c r="EY66" s="110"/>
      <c r="EZ66" s="110"/>
      <c r="FA66" s="110"/>
      <c r="FB66" s="110"/>
      <c r="FC66" s="110"/>
      <c r="FD66" s="110"/>
      <c r="FE66" s="110"/>
      <c r="FF66" s="110"/>
      <c r="FG66" s="110"/>
      <c r="FH66" s="110"/>
      <c r="FI66" s="110"/>
      <c r="FJ66" s="110"/>
      <c r="FK66" s="110"/>
      <c r="FL66" s="110"/>
      <c r="FM66" s="110"/>
      <c r="FN66" s="110"/>
    </row>
    <row r="67" spans="1:170" s="5" customFormat="1" ht="18" customHeight="1">
      <c r="A67" s="1808"/>
      <c r="B67" s="416"/>
      <c r="C67" s="1813"/>
      <c r="D67" s="1"/>
      <c r="E67" s="329"/>
      <c r="F67" s="329"/>
      <c r="G67" s="1"/>
      <c r="H67" s="330"/>
      <c r="I67" s="339"/>
      <c r="J67" s="340"/>
      <c r="K67" s="340"/>
      <c r="L67" s="340"/>
      <c r="M67" s="341"/>
      <c r="N67" s="340"/>
      <c r="O67" s="270"/>
      <c r="P67" s="990">
        <v>0</v>
      </c>
      <c r="Q67" s="995">
        <v>1</v>
      </c>
      <c r="R67" s="990">
        <v>0</v>
      </c>
      <c r="S67" s="36"/>
      <c r="T67" s="260"/>
      <c r="U67" s="260"/>
      <c r="V67" s="85"/>
      <c r="W67" s="260"/>
      <c r="X67" s="260"/>
      <c r="Y67" s="85"/>
      <c r="Z67" s="260"/>
      <c r="AA67" s="260"/>
      <c r="AB67" s="85"/>
      <c r="AC67" s="260"/>
      <c r="AD67" s="260"/>
      <c r="AE67" s="1"/>
      <c r="AF67" s="1"/>
      <c r="AG67" s="1"/>
      <c r="AH67" s="1"/>
      <c r="AI67" s="1"/>
      <c r="AJ67" s="1"/>
      <c r="AK67" s="1"/>
      <c r="AL67" s="1"/>
      <c r="AM67" s="1"/>
      <c r="AN67" s="160"/>
      <c r="AO67" s="16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c r="CY67" s="110"/>
      <c r="CZ67" s="110"/>
      <c r="DA67" s="110"/>
      <c r="DB67" s="110"/>
      <c r="DC67" s="110"/>
      <c r="DD67" s="110"/>
      <c r="DE67" s="109"/>
      <c r="DF67" s="109"/>
      <c r="DG67" s="109"/>
      <c r="DH67" s="109"/>
      <c r="DI67" s="109"/>
      <c r="DJ67" s="109"/>
      <c r="DK67" s="109"/>
      <c r="DL67" s="109"/>
      <c r="DM67" s="109"/>
      <c r="DN67" s="109"/>
      <c r="DO67" s="109"/>
      <c r="DP67" s="109"/>
      <c r="DQ67" s="109"/>
      <c r="DR67" s="109"/>
      <c r="DS67" s="109"/>
      <c r="DT67" s="109"/>
      <c r="DU67" s="109"/>
      <c r="DV67" s="109"/>
      <c r="DW67" s="109"/>
      <c r="DX67" s="109"/>
      <c r="DY67" s="109"/>
      <c r="DZ67" s="109"/>
      <c r="EA67" s="109"/>
      <c r="EB67" s="109"/>
      <c r="EC67" s="109"/>
      <c r="ED67" s="109"/>
      <c r="EE67" s="110"/>
      <c r="EF67" s="110"/>
      <c r="EG67" s="110"/>
      <c r="EH67" s="110"/>
      <c r="EI67" s="110"/>
      <c r="EJ67" s="110"/>
      <c r="EK67" s="110"/>
      <c r="EL67" s="110"/>
      <c r="EM67" s="110"/>
      <c r="EN67" s="110"/>
      <c r="EO67" s="110"/>
      <c r="EP67" s="110"/>
      <c r="EQ67" s="110"/>
      <c r="ER67" s="110"/>
      <c r="ES67" s="110"/>
      <c r="ET67" s="110"/>
      <c r="EU67" s="110"/>
      <c r="EV67" s="110"/>
      <c r="EW67" s="110"/>
      <c r="EX67" s="110"/>
      <c r="EY67" s="110"/>
      <c r="EZ67" s="110"/>
      <c r="FA67" s="110"/>
      <c r="FB67" s="110"/>
      <c r="FC67" s="110"/>
      <c r="FD67" s="110"/>
      <c r="FE67" s="110"/>
      <c r="FF67" s="110"/>
      <c r="FG67" s="110"/>
      <c r="FH67" s="110"/>
      <c r="FI67" s="110"/>
      <c r="FJ67" s="110"/>
      <c r="FK67" s="110"/>
      <c r="FL67" s="110"/>
      <c r="FM67" s="110"/>
      <c r="FN67" s="110"/>
    </row>
    <row r="68" spans="1:170" s="5" customFormat="1" ht="15">
      <c r="A68" s="1808"/>
      <c r="B68" s="416"/>
      <c r="C68" s="160"/>
      <c r="D68" s="1"/>
      <c r="E68" s="329"/>
      <c r="F68" s="329"/>
      <c r="G68" s="1"/>
      <c r="H68" s="330"/>
      <c r="I68" s="339"/>
      <c r="J68" s="340"/>
      <c r="K68" s="340"/>
      <c r="L68" s="340"/>
      <c r="M68" s="341"/>
      <c r="N68" s="340"/>
      <c r="O68" s="270"/>
      <c r="P68" s="990">
        <v>0</v>
      </c>
      <c r="Q68" s="995">
        <v>1</v>
      </c>
      <c r="R68" s="990">
        <v>0</v>
      </c>
      <c r="S68" s="36"/>
      <c r="T68" s="260"/>
      <c r="U68" s="260"/>
      <c r="V68" s="85"/>
      <c r="W68" s="260"/>
      <c r="X68" s="260"/>
      <c r="Y68" s="85"/>
      <c r="Z68" s="260"/>
      <c r="AA68" s="260"/>
      <c r="AB68" s="85"/>
      <c r="AC68" s="260"/>
      <c r="AD68" s="260"/>
      <c r="AE68" s="1"/>
      <c r="AF68" s="1"/>
      <c r="AG68" s="1"/>
      <c r="AH68" s="1"/>
      <c r="AI68" s="1"/>
      <c r="AJ68" s="1"/>
      <c r="AK68" s="1"/>
      <c r="AL68" s="1"/>
      <c r="AM68" s="1"/>
      <c r="AN68" s="160"/>
      <c r="AO68" s="16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c r="CY68" s="110"/>
      <c r="CZ68" s="110"/>
      <c r="DA68" s="110"/>
      <c r="DB68" s="110"/>
      <c r="DC68" s="110"/>
      <c r="DD68" s="110"/>
      <c r="DE68" s="109"/>
      <c r="DF68" s="109"/>
      <c r="DG68" s="109"/>
      <c r="DH68" s="109"/>
      <c r="DI68" s="109"/>
      <c r="DJ68" s="109"/>
      <c r="DK68" s="109"/>
      <c r="DL68" s="109"/>
      <c r="DM68" s="109"/>
      <c r="DN68" s="109"/>
      <c r="DO68" s="109"/>
      <c r="DP68" s="109"/>
      <c r="DQ68" s="109"/>
      <c r="DR68" s="109"/>
      <c r="DS68" s="109"/>
      <c r="DT68" s="109"/>
      <c r="DU68" s="109"/>
      <c r="DV68" s="109"/>
      <c r="DW68" s="109"/>
      <c r="DX68" s="109"/>
      <c r="DY68" s="109"/>
      <c r="DZ68" s="109"/>
      <c r="EA68" s="109"/>
      <c r="EB68" s="109"/>
      <c r="EC68" s="109"/>
      <c r="ED68" s="109"/>
      <c r="EE68" s="110"/>
      <c r="EF68" s="110"/>
      <c r="EG68" s="110"/>
      <c r="EH68" s="110"/>
      <c r="EI68" s="110"/>
      <c r="EJ68" s="110"/>
      <c r="EK68" s="110"/>
      <c r="EL68" s="110"/>
      <c r="EM68" s="110"/>
      <c r="EN68" s="110"/>
      <c r="EO68" s="110"/>
      <c r="EP68" s="110"/>
      <c r="EQ68" s="110"/>
      <c r="ER68" s="110"/>
      <c r="ES68" s="110"/>
      <c r="ET68" s="110"/>
      <c r="EU68" s="110"/>
      <c r="EV68" s="110"/>
      <c r="EW68" s="110"/>
      <c r="EX68" s="110"/>
      <c r="EY68" s="110"/>
      <c r="EZ68" s="110"/>
      <c r="FA68" s="110"/>
      <c r="FB68" s="110"/>
      <c r="FC68" s="110"/>
      <c r="FD68" s="110"/>
      <c r="FE68" s="110"/>
      <c r="FF68" s="110"/>
      <c r="FG68" s="110"/>
      <c r="FH68" s="110"/>
      <c r="FI68" s="110"/>
      <c r="FJ68" s="110"/>
      <c r="FK68" s="110"/>
      <c r="FL68" s="110"/>
      <c r="FM68" s="110"/>
      <c r="FN68" s="110"/>
    </row>
    <row r="69" spans="1:170" s="5" customFormat="1" ht="18" customHeight="1">
      <c r="A69" s="1808"/>
      <c r="B69" s="416">
        <v>176</v>
      </c>
      <c r="C69" s="493" t="str">
        <f>VLOOKUP(B69,Begriffe!$A$6:$E$442,Begriffe!$D$1+2)</f>
        <v>Volllaststunden pro Tag</v>
      </c>
      <c r="D69" s="1"/>
      <c r="E69" s="329"/>
      <c r="F69" s="329"/>
      <c r="G69" s="1"/>
      <c r="H69" s="330"/>
      <c r="I69" s="1152" t="s">
        <v>1184</v>
      </c>
      <c r="J69" s="1147" t="s">
        <v>17</v>
      </c>
      <c r="K69" s="1147"/>
      <c r="L69" s="340"/>
      <c r="M69" s="341">
        <f>IF(L69&lt;&gt;"",L69,Profile!$D$66)</f>
        <v>11.7</v>
      </c>
      <c r="N69" s="340"/>
      <c r="O69" s="270"/>
      <c r="P69" s="990">
        <v>0</v>
      </c>
      <c r="Q69" s="995">
        <v>1</v>
      </c>
      <c r="R69" s="990">
        <v>0</v>
      </c>
      <c r="S69" s="36"/>
      <c r="T69" s="260"/>
      <c r="U69" s="260"/>
      <c r="V69" s="85"/>
      <c r="W69" s="260"/>
      <c r="X69" s="260"/>
      <c r="Y69" s="85"/>
      <c r="Z69" s="260"/>
      <c r="AA69" s="260"/>
      <c r="AB69" s="85"/>
      <c r="AC69" s="260"/>
      <c r="AD69" s="260"/>
      <c r="AE69" s="1"/>
      <c r="AF69" s="1"/>
      <c r="AG69" s="1"/>
      <c r="AH69" s="1"/>
      <c r="AI69" s="1"/>
      <c r="AJ69" s="1"/>
      <c r="AK69" s="1"/>
      <c r="AL69" s="1"/>
      <c r="AM69" s="1"/>
      <c r="AN69" s="160"/>
      <c r="AO69" s="16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c r="CY69" s="110"/>
      <c r="CZ69" s="110"/>
      <c r="DA69" s="110"/>
      <c r="DB69" s="110"/>
      <c r="DC69" s="110"/>
      <c r="DD69" s="110"/>
      <c r="DE69" s="109"/>
      <c r="DF69" s="109"/>
      <c r="DG69" s="109"/>
      <c r="DH69" s="109"/>
      <c r="DI69" s="109"/>
      <c r="DJ69" s="109"/>
      <c r="DK69" s="109"/>
      <c r="DL69" s="109"/>
      <c r="DM69" s="109"/>
      <c r="DN69" s="109"/>
      <c r="DO69" s="109"/>
      <c r="DP69" s="109"/>
      <c r="DQ69" s="109"/>
      <c r="DR69" s="109"/>
      <c r="DS69" s="109"/>
      <c r="DT69" s="109"/>
      <c r="DU69" s="109"/>
      <c r="DV69" s="109"/>
      <c r="DW69" s="109"/>
      <c r="DX69" s="109"/>
      <c r="DY69" s="109"/>
      <c r="DZ69" s="109"/>
      <c r="EA69" s="109"/>
      <c r="EB69" s="109"/>
      <c r="EC69" s="109"/>
      <c r="ED69" s="109"/>
      <c r="EE69" s="110"/>
      <c r="EF69" s="110"/>
      <c r="EG69" s="110"/>
      <c r="EH69" s="110"/>
      <c r="EI69" s="110"/>
      <c r="EJ69" s="110"/>
      <c r="EK69" s="110"/>
      <c r="EL69" s="110"/>
      <c r="EM69" s="110"/>
      <c r="EN69" s="110"/>
      <c r="EO69" s="110"/>
      <c r="EP69" s="110"/>
      <c r="EQ69" s="110"/>
      <c r="ER69" s="110"/>
      <c r="ES69" s="110"/>
      <c r="ET69" s="110"/>
      <c r="EU69" s="110"/>
      <c r="EV69" s="110"/>
      <c r="EW69" s="110"/>
      <c r="EX69" s="110"/>
      <c r="EY69" s="110"/>
      <c r="EZ69" s="110"/>
      <c r="FA69" s="110"/>
      <c r="FB69" s="110"/>
      <c r="FC69" s="110"/>
      <c r="FD69" s="110"/>
      <c r="FE69" s="110"/>
      <c r="FF69" s="110"/>
      <c r="FG69" s="110"/>
      <c r="FH69" s="110"/>
      <c r="FI69" s="110"/>
      <c r="FJ69" s="110"/>
      <c r="FK69" s="110"/>
      <c r="FL69" s="110"/>
      <c r="FM69" s="110"/>
      <c r="FN69" s="110"/>
    </row>
    <row r="70" spans="1:170" s="18" customFormat="1" ht="18" customHeight="1">
      <c r="A70" s="1808"/>
      <c r="B70" s="416">
        <v>113</v>
      </c>
      <c r="C70" s="493" t="str">
        <f>VLOOKUP(B70,Begriffe!$A$6:$E$442,Begriffe!$D$1+2)</f>
        <v>Elektrische Leistung der Geräte</v>
      </c>
      <c r="D70" s="21"/>
      <c r="E70" s="21"/>
      <c r="F70" s="21"/>
      <c r="G70" s="21" t="str">
        <f>Begriffe!F319</f>
        <v>Maximaler Stundenwert</v>
      </c>
      <c r="H70" s="21"/>
      <c r="I70" s="178" t="s">
        <v>664</v>
      </c>
      <c r="J70" s="188" t="s">
        <v>68</v>
      </c>
      <c r="K70" s="188"/>
      <c r="L70" s="1162"/>
      <c r="M70" s="265">
        <f>IF(L70&lt;&gt;"",L70,INDEX(Eingabedaten!$D$10:$CY$54,nutzid,MATCH($C70,Eingabedaten!$D$7:$CY$7,0)))</f>
        <v>7</v>
      </c>
      <c r="N70" s="265">
        <f>INDEX(Eingabedaten!$D$10:$CY$54,nutzid,MATCH($C70,Eingabedaten!$D$7:$CY$7,0)+1)</f>
        <v>3</v>
      </c>
      <c r="O70" s="265">
        <f>INDEX(Eingabedaten!$D$10:$CY$54,nutzid,MATCH($C70,Eingabedaten!$D$7:$CY$7,0)+2)</f>
        <v>15</v>
      </c>
      <c r="P70" s="921">
        <v>1</v>
      </c>
      <c r="Q70" s="994">
        <v>1</v>
      </c>
      <c r="R70" s="921">
        <v>1</v>
      </c>
      <c r="S70" s="36"/>
      <c r="T70" s="298"/>
      <c r="U70" s="298"/>
      <c r="V70" s="150"/>
      <c r="W70" s="299"/>
      <c r="X70" s="299"/>
      <c r="Y70" s="150"/>
      <c r="Z70" s="299"/>
      <c r="AA70" s="299"/>
      <c r="AB70" s="131"/>
      <c r="AC70" s="298"/>
      <c r="AD70" s="298"/>
      <c r="AE70" s="13"/>
      <c r="AF70" s="13"/>
      <c r="AG70" s="13"/>
      <c r="AH70" s="13"/>
      <c r="AI70" s="13"/>
      <c r="AJ70" s="13"/>
      <c r="AK70" s="13"/>
      <c r="AL70" s="13"/>
      <c r="AM70" s="13"/>
      <c r="AN70" s="161"/>
      <c r="AO70" s="161"/>
      <c r="AR70" s="99"/>
      <c r="AS70" s="99"/>
      <c r="AT70" s="99"/>
      <c r="AU70" s="99"/>
      <c r="AV70" s="99"/>
      <c r="AW70" s="99"/>
      <c r="AX70" s="99"/>
      <c r="AY70" s="99"/>
      <c r="AZ70" s="99"/>
      <c r="BA70" s="99"/>
      <c r="BB70" s="99"/>
      <c r="BC70" s="99"/>
      <c r="BD70" s="99"/>
      <c r="BE70" s="99"/>
      <c r="BF70" s="99"/>
      <c r="BG70" s="99"/>
      <c r="BH70" s="99"/>
      <c r="BI70" s="99"/>
      <c r="BJ70" s="99"/>
      <c r="BK70" s="99"/>
      <c r="BL70" s="99"/>
      <c r="BM70" s="99"/>
      <c r="BN70" s="99"/>
      <c r="BO70" s="99"/>
      <c r="BP70" s="99"/>
      <c r="BQ70" s="99"/>
      <c r="BR70" s="99"/>
      <c r="BS70" s="99"/>
      <c r="BT70" s="99"/>
      <c r="BU70" s="99"/>
      <c r="BV70" s="99"/>
      <c r="BW70" s="99"/>
      <c r="BX70" s="99"/>
      <c r="BY70" s="99"/>
      <c r="BZ70" s="99"/>
      <c r="CA70" s="99"/>
      <c r="CB70" s="99"/>
      <c r="CC70" s="99"/>
      <c r="CD70" s="99"/>
      <c r="CE70" s="99"/>
      <c r="CF70" s="99"/>
      <c r="CG70" s="99"/>
      <c r="CH70" s="99"/>
      <c r="CI70" s="99"/>
      <c r="CJ70" s="99"/>
      <c r="CK70" s="99"/>
      <c r="CL70" s="99"/>
      <c r="CM70" s="99"/>
      <c r="CN70" s="99"/>
      <c r="CO70" s="99"/>
      <c r="CP70" s="99"/>
      <c r="CQ70" s="99"/>
      <c r="CR70" s="99"/>
      <c r="CS70" s="99"/>
      <c r="CT70" s="99"/>
      <c r="CU70" s="99"/>
      <c r="CV70" s="99"/>
      <c r="CW70" s="99"/>
      <c r="CX70" s="99"/>
      <c r="CY70" s="99"/>
      <c r="CZ70" s="99"/>
      <c r="DA70" s="96"/>
      <c r="DB70" s="96"/>
      <c r="DC70" s="96"/>
      <c r="DD70" s="96"/>
      <c r="DE70" s="96"/>
      <c r="DF70" s="96"/>
      <c r="DG70" s="96"/>
      <c r="DH70" s="96"/>
      <c r="DI70" s="96"/>
      <c r="DJ70" s="96"/>
      <c r="DK70" s="96"/>
      <c r="DL70" s="96"/>
      <c r="DM70" s="96"/>
      <c r="DN70" s="96"/>
      <c r="DO70" s="96"/>
      <c r="DP70" s="96"/>
      <c r="DQ70" s="96"/>
      <c r="DR70" s="96"/>
      <c r="DS70" s="96"/>
      <c r="DT70" s="96"/>
      <c r="DU70" s="96"/>
      <c r="DV70" s="96"/>
      <c r="DW70" s="96"/>
      <c r="DX70" s="96"/>
      <c r="DY70" s="96"/>
      <c r="DZ70" s="96"/>
      <c r="EA70" s="99"/>
      <c r="EB70" s="99"/>
      <c r="EC70" s="99"/>
      <c r="ED70" s="99"/>
      <c r="EE70" s="99"/>
      <c r="EF70" s="99"/>
      <c r="EG70" s="99"/>
      <c r="EH70" s="99"/>
      <c r="EI70" s="99"/>
      <c r="EJ70" s="99"/>
      <c r="EK70" s="99"/>
      <c r="EL70" s="99"/>
      <c r="EM70" s="99"/>
      <c r="EN70" s="99"/>
      <c r="EO70" s="99"/>
      <c r="EP70" s="99"/>
      <c r="EQ70" s="99"/>
      <c r="ER70" s="99"/>
      <c r="ES70" s="99"/>
      <c r="ET70" s="99"/>
      <c r="EU70" s="99"/>
      <c r="EV70" s="99"/>
      <c r="EW70" s="99"/>
      <c r="EX70" s="99"/>
      <c r="EY70" s="99"/>
      <c r="EZ70" s="99"/>
      <c r="FA70" s="99"/>
      <c r="FB70" s="99"/>
      <c r="FC70" s="99"/>
      <c r="FD70" s="99"/>
      <c r="FE70" s="99"/>
      <c r="FF70" s="99"/>
      <c r="FG70" s="99"/>
      <c r="FH70" s="99"/>
      <c r="FI70" s="99"/>
      <c r="FJ70" s="99"/>
      <c r="FK70" s="99"/>
      <c r="FL70" s="99"/>
      <c r="FM70" s="99"/>
      <c r="FN70" s="99"/>
    </row>
    <row r="71" spans="1:170" s="18" customFormat="1" ht="18" customHeight="1">
      <c r="A71" s="1808"/>
      <c r="B71" s="416">
        <v>143</v>
      </c>
      <c r="C71" s="493" t="str">
        <f>VLOOKUP(B71,Begriffe!$A$6:$E$442,Begriffe!$D$1+2)</f>
        <v>Leistung ausserhalb der Nutzungszeit</v>
      </c>
      <c r="D71" s="21"/>
      <c r="E71" s="21"/>
      <c r="F71" s="21"/>
      <c r="G71" s="21"/>
      <c r="H71" s="21"/>
      <c r="I71" s="1152" t="s">
        <v>1185</v>
      </c>
      <c r="J71" s="188" t="s">
        <v>6</v>
      </c>
      <c r="K71" s="188"/>
      <c r="L71" s="1166"/>
      <c r="M71" s="984">
        <f>INDEX(Eingabedaten!$D$10:$EV$54,nutzid,MATCH($C71,Eingabedaten!$D$7:$EV$7,0))</f>
        <v>10</v>
      </c>
      <c r="N71" s="343"/>
      <c r="O71" s="264"/>
      <c r="P71" s="921">
        <v>0</v>
      </c>
      <c r="Q71" s="994">
        <v>1</v>
      </c>
      <c r="R71" s="921">
        <v>0</v>
      </c>
      <c r="S71" s="36"/>
      <c r="T71" s="298"/>
      <c r="U71" s="298"/>
      <c r="V71" s="150"/>
      <c r="W71" s="299"/>
      <c r="X71" s="299"/>
      <c r="Y71" s="150"/>
      <c r="Z71" s="299"/>
      <c r="AA71" s="299"/>
      <c r="AB71" s="131"/>
      <c r="AC71" s="298"/>
      <c r="AD71" s="298"/>
      <c r="AE71" s="13"/>
      <c r="AF71" s="13"/>
      <c r="AG71" s="13"/>
      <c r="AH71" s="13"/>
      <c r="AI71" s="13"/>
      <c r="AJ71" s="13"/>
      <c r="AK71" s="13"/>
      <c r="AL71" s="13"/>
      <c r="AM71" s="13"/>
      <c r="AN71" s="161"/>
      <c r="AO71" s="161"/>
      <c r="AR71" s="99"/>
      <c r="AS71" s="99"/>
      <c r="AT71" s="99"/>
      <c r="AU71" s="99"/>
      <c r="AV71" s="99"/>
      <c r="AW71" s="99"/>
      <c r="AX71" s="99"/>
      <c r="AY71" s="99"/>
      <c r="AZ71" s="99"/>
      <c r="BA71" s="99"/>
      <c r="BB71" s="99"/>
      <c r="BC71" s="99"/>
      <c r="BD71" s="99"/>
      <c r="BE71" s="99"/>
      <c r="BF71" s="99"/>
      <c r="BG71" s="99"/>
      <c r="BH71" s="99"/>
      <c r="BI71" s="99"/>
      <c r="BJ71" s="99"/>
      <c r="BK71" s="99"/>
      <c r="BL71" s="99"/>
      <c r="BM71" s="99"/>
      <c r="BN71" s="99"/>
      <c r="BO71" s="99"/>
      <c r="BP71" s="99"/>
      <c r="BQ71" s="99"/>
      <c r="BR71" s="99"/>
      <c r="BS71" s="99"/>
      <c r="BT71" s="99"/>
      <c r="BU71" s="99"/>
      <c r="BV71" s="99"/>
      <c r="BW71" s="99"/>
      <c r="BX71" s="99"/>
      <c r="BY71" s="99"/>
      <c r="BZ71" s="99"/>
      <c r="CA71" s="99"/>
      <c r="CB71" s="99"/>
      <c r="CC71" s="99"/>
      <c r="CD71" s="99"/>
      <c r="CE71" s="99"/>
      <c r="CF71" s="99"/>
      <c r="CG71" s="99"/>
      <c r="CH71" s="99"/>
      <c r="CI71" s="99"/>
      <c r="CJ71" s="99"/>
      <c r="CK71" s="99"/>
      <c r="CL71" s="99"/>
      <c r="CM71" s="99"/>
      <c r="CN71" s="99"/>
      <c r="CO71" s="99"/>
      <c r="CP71" s="99"/>
      <c r="CQ71" s="99"/>
      <c r="CR71" s="99"/>
      <c r="CS71" s="99"/>
      <c r="CT71" s="99"/>
      <c r="CU71" s="99"/>
      <c r="CV71" s="99"/>
      <c r="CW71" s="99"/>
      <c r="CX71" s="99"/>
      <c r="CY71" s="99"/>
      <c r="CZ71" s="99"/>
      <c r="DA71" s="96"/>
      <c r="DB71" s="96"/>
      <c r="DC71" s="96"/>
      <c r="DD71" s="96"/>
      <c r="DE71" s="96"/>
      <c r="DF71" s="96"/>
      <c r="DG71" s="96"/>
      <c r="DH71" s="96"/>
      <c r="DI71" s="96"/>
      <c r="DJ71" s="96"/>
      <c r="DK71" s="96"/>
      <c r="DL71" s="96"/>
      <c r="DM71" s="96"/>
      <c r="DN71" s="96"/>
      <c r="DO71" s="96"/>
      <c r="DP71" s="96"/>
      <c r="DQ71" s="96"/>
      <c r="DR71" s="96"/>
      <c r="DS71" s="96"/>
      <c r="DT71" s="96"/>
      <c r="DU71" s="96"/>
      <c r="DV71" s="96"/>
      <c r="DW71" s="96"/>
      <c r="DX71" s="96"/>
      <c r="DY71" s="96"/>
      <c r="DZ71" s="96"/>
      <c r="EA71" s="99"/>
      <c r="EB71" s="99"/>
      <c r="EC71" s="99"/>
      <c r="ED71" s="99"/>
      <c r="EE71" s="99"/>
      <c r="EF71" s="99"/>
      <c r="EG71" s="99"/>
      <c r="EH71" s="99"/>
      <c r="EI71" s="99"/>
      <c r="EJ71" s="99"/>
      <c r="EK71" s="99"/>
      <c r="EL71" s="99"/>
      <c r="EM71" s="99"/>
      <c r="EN71" s="99"/>
      <c r="EO71" s="99"/>
      <c r="EP71" s="99"/>
      <c r="EQ71" s="99"/>
      <c r="ER71" s="99"/>
      <c r="ES71" s="99"/>
      <c r="ET71" s="99"/>
      <c r="EU71" s="99"/>
      <c r="EV71" s="99"/>
      <c r="EW71" s="99"/>
      <c r="EX71" s="99"/>
      <c r="EY71" s="99"/>
      <c r="EZ71" s="99"/>
      <c r="FA71" s="99"/>
      <c r="FB71" s="99"/>
      <c r="FC71" s="99"/>
      <c r="FD71" s="99"/>
      <c r="FE71" s="99"/>
      <c r="FF71" s="99"/>
      <c r="FG71" s="99"/>
      <c r="FH71" s="99"/>
      <c r="FI71" s="99"/>
      <c r="FJ71" s="99"/>
      <c r="FK71" s="99"/>
      <c r="FL71" s="99"/>
      <c r="FM71" s="99"/>
      <c r="FN71" s="99"/>
    </row>
    <row r="72" spans="1:170" s="18" customFormat="1" ht="18" customHeight="1">
      <c r="A72" s="1808"/>
      <c r="B72" s="416">
        <v>181</v>
      </c>
      <c r="C72" s="493" t="str">
        <f>VLOOKUP(B72,Begriffe!$A$6:$E$442,Begriffe!$D$1+2)</f>
        <v>Wärmeeintragsleistung der Geräte</v>
      </c>
      <c r="D72" s="21"/>
      <c r="E72" s="21"/>
      <c r="F72" s="21"/>
      <c r="G72" s="21"/>
      <c r="H72" s="21"/>
      <c r="I72" s="262" t="s">
        <v>720</v>
      </c>
      <c r="J72" s="188" t="s">
        <v>68</v>
      </c>
      <c r="K72" s="188"/>
      <c r="L72" s="1164"/>
      <c r="M72" s="931">
        <f>IF(L72&lt;&gt;"",L72,INDEX(Eingabedaten!$D$10:$CY$54,nutzid,MATCH($C72,Eingabedaten!$D$7:$CY$7,0)))</f>
        <v>7</v>
      </c>
      <c r="N72" s="931">
        <f>INDEX(Eingabedaten!$D$10:$CY$54,nutzid,MATCH($C72,Eingabedaten!$D$7:$CY$7,0)+1)</f>
        <v>3</v>
      </c>
      <c r="O72" s="931">
        <f>INDEX(Eingabedaten!$D$10:$CY$54,nutzid,MATCH($C72,Eingabedaten!$D$7:$CY$7,0)+2)</f>
        <v>15</v>
      </c>
      <c r="P72" s="921">
        <v>0</v>
      </c>
      <c r="Q72" s="994">
        <v>1</v>
      </c>
      <c r="R72" s="921">
        <v>0</v>
      </c>
      <c r="S72" s="36"/>
      <c r="T72" s="298"/>
      <c r="U72" s="298"/>
      <c r="V72" s="150"/>
      <c r="W72" s="299"/>
      <c r="X72" s="299"/>
      <c r="Y72" s="150"/>
      <c r="Z72" s="299"/>
      <c r="AA72" s="299"/>
      <c r="AB72" s="131"/>
      <c r="AC72" s="298"/>
      <c r="AD72" s="298"/>
      <c r="AE72" s="13"/>
      <c r="AF72" s="13"/>
      <c r="AG72" s="13"/>
      <c r="AH72" s="13"/>
      <c r="AI72" s="13"/>
      <c r="AJ72" s="13"/>
      <c r="AK72" s="13"/>
      <c r="AL72" s="13"/>
      <c r="AM72" s="13"/>
      <c r="AN72" s="161"/>
      <c r="AO72" s="161"/>
      <c r="AR72" s="99"/>
      <c r="AS72" s="99"/>
      <c r="AT72" s="99"/>
      <c r="AU72" s="99"/>
      <c r="AV72" s="99"/>
      <c r="AW72" s="99"/>
      <c r="AX72" s="99"/>
      <c r="AY72" s="99"/>
      <c r="AZ72" s="99"/>
      <c r="BA72" s="99"/>
      <c r="BB72" s="99"/>
      <c r="BC72" s="99"/>
      <c r="BD72" s="99"/>
      <c r="BE72" s="99"/>
      <c r="BF72" s="99"/>
      <c r="BG72" s="99"/>
      <c r="BH72" s="99"/>
      <c r="BI72" s="99"/>
      <c r="BJ72" s="99"/>
      <c r="BK72" s="99"/>
      <c r="BL72" s="99"/>
      <c r="BM72" s="99"/>
      <c r="BN72" s="99"/>
      <c r="BO72" s="99"/>
      <c r="BP72" s="99"/>
      <c r="BQ72" s="99"/>
      <c r="BR72" s="99"/>
      <c r="BS72" s="99"/>
      <c r="BT72" s="99"/>
      <c r="BU72" s="99"/>
      <c r="BV72" s="99"/>
      <c r="BW72" s="99"/>
      <c r="BX72" s="99"/>
      <c r="BY72" s="99"/>
      <c r="BZ72" s="99"/>
      <c r="CA72" s="99"/>
      <c r="CB72" s="99"/>
      <c r="CC72" s="99"/>
      <c r="CD72" s="99"/>
      <c r="CE72" s="99"/>
      <c r="CF72" s="99"/>
      <c r="CG72" s="99"/>
      <c r="CH72" s="99"/>
      <c r="CI72" s="99"/>
      <c r="CJ72" s="99"/>
      <c r="CK72" s="99"/>
      <c r="CL72" s="99"/>
      <c r="CM72" s="99"/>
      <c r="CN72" s="99"/>
      <c r="CO72" s="99"/>
      <c r="CP72" s="99"/>
      <c r="CQ72" s="99"/>
      <c r="CR72" s="99"/>
      <c r="CS72" s="99"/>
      <c r="CT72" s="99"/>
      <c r="CU72" s="99"/>
      <c r="CV72" s="99"/>
      <c r="CW72" s="99"/>
      <c r="CX72" s="99"/>
      <c r="CY72" s="99"/>
      <c r="CZ72" s="99"/>
      <c r="DA72" s="96"/>
      <c r="DB72" s="96"/>
      <c r="DC72" s="96"/>
      <c r="DD72" s="96"/>
      <c r="DE72" s="96"/>
      <c r="DF72" s="96"/>
      <c r="DG72" s="96"/>
      <c r="DH72" s="96"/>
      <c r="DI72" s="96"/>
      <c r="DJ72" s="96"/>
      <c r="DK72" s="96"/>
      <c r="DL72" s="96"/>
      <c r="DM72" s="96"/>
      <c r="DN72" s="96"/>
      <c r="DO72" s="96"/>
      <c r="DP72" s="96"/>
      <c r="DQ72" s="96"/>
      <c r="DR72" s="96"/>
      <c r="DS72" s="96"/>
      <c r="DT72" s="96"/>
      <c r="DU72" s="96"/>
      <c r="DV72" s="96"/>
      <c r="DW72" s="96"/>
      <c r="DX72" s="96"/>
      <c r="DY72" s="96"/>
      <c r="DZ72" s="96"/>
      <c r="EA72" s="99"/>
      <c r="EB72" s="99"/>
      <c r="EC72" s="99"/>
      <c r="ED72" s="99"/>
      <c r="EE72" s="99"/>
      <c r="EF72" s="99"/>
      <c r="EG72" s="99"/>
      <c r="EH72" s="99"/>
      <c r="EI72" s="99"/>
      <c r="EJ72" s="99"/>
      <c r="EK72" s="99"/>
      <c r="EL72" s="99"/>
      <c r="EM72" s="99"/>
      <c r="EN72" s="99"/>
      <c r="EO72" s="99"/>
      <c r="EP72" s="99"/>
      <c r="EQ72" s="99"/>
      <c r="ER72" s="99"/>
      <c r="ES72" s="99"/>
      <c r="ET72" s="99"/>
      <c r="EU72" s="99"/>
      <c r="EV72" s="99"/>
      <c r="EW72" s="99"/>
      <c r="EX72" s="99"/>
      <c r="EY72" s="99"/>
      <c r="EZ72" s="99"/>
      <c r="FA72" s="99"/>
      <c r="FB72" s="99"/>
      <c r="FC72" s="99"/>
      <c r="FD72" s="99"/>
      <c r="FE72" s="99"/>
      <c r="FF72" s="99"/>
      <c r="FG72" s="99"/>
      <c r="FH72" s="99"/>
      <c r="FI72" s="99"/>
      <c r="FJ72" s="99"/>
      <c r="FK72" s="99"/>
      <c r="FL72" s="99"/>
      <c r="FM72" s="99"/>
      <c r="FN72" s="99"/>
    </row>
    <row r="73" spans="1:170" s="18" customFormat="1" ht="15.6" hidden="1">
      <c r="A73" s="1808"/>
      <c r="B73" s="416"/>
      <c r="C73" s="21" t="s">
        <v>802</v>
      </c>
      <c r="D73" s="21"/>
      <c r="E73" s="21"/>
      <c r="F73" s="21"/>
      <c r="G73" s="21"/>
      <c r="H73" s="21"/>
      <c r="I73" s="209" t="s">
        <v>803</v>
      </c>
      <c r="J73" s="188" t="s">
        <v>804</v>
      </c>
      <c r="K73" s="188"/>
      <c r="L73" s="342"/>
      <c r="M73" s="931">
        <f>M72*$M$69</f>
        <v>81.899999999999991</v>
      </c>
      <c r="N73" s="931">
        <f>N72*$M$69</f>
        <v>35.099999999999994</v>
      </c>
      <c r="O73" s="931">
        <f>O72*$M$69</f>
        <v>175.5</v>
      </c>
      <c r="P73" s="921">
        <v>0</v>
      </c>
      <c r="Q73" s="994">
        <v>0</v>
      </c>
      <c r="R73" s="921">
        <v>0</v>
      </c>
      <c r="S73" s="36"/>
      <c r="T73" s="298"/>
      <c r="U73" s="298"/>
      <c r="V73" s="150"/>
      <c r="W73" s="299"/>
      <c r="X73" s="299"/>
      <c r="Y73" s="150"/>
      <c r="Z73" s="299"/>
      <c r="AA73" s="299"/>
      <c r="AB73" s="131"/>
      <c r="AC73" s="298"/>
      <c r="AD73" s="298"/>
      <c r="AE73" s="13"/>
      <c r="AF73" s="13"/>
      <c r="AG73" s="13"/>
      <c r="AH73" s="13"/>
      <c r="AI73" s="13"/>
      <c r="AJ73" s="13"/>
      <c r="AK73" s="13"/>
      <c r="AL73" s="13"/>
      <c r="AM73" s="13"/>
      <c r="AN73" s="161"/>
      <c r="AO73" s="161"/>
      <c r="AR73" s="99"/>
      <c r="AS73" s="99"/>
      <c r="AT73" s="99"/>
      <c r="AU73" s="99"/>
      <c r="AV73" s="99"/>
      <c r="AW73" s="99"/>
      <c r="AX73" s="99"/>
      <c r="AY73" s="99"/>
      <c r="AZ73" s="99"/>
      <c r="BA73" s="99"/>
      <c r="BB73" s="99"/>
      <c r="BC73" s="99"/>
      <c r="BD73" s="99"/>
      <c r="BE73" s="99"/>
      <c r="BF73" s="99"/>
      <c r="BG73" s="99"/>
      <c r="BH73" s="99"/>
      <c r="BI73" s="99"/>
      <c r="BJ73" s="99"/>
      <c r="BK73" s="99"/>
      <c r="BL73" s="99"/>
      <c r="BM73" s="99"/>
      <c r="BN73" s="99"/>
      <c r="BO73" s="99"/>
      <c r="BP73" s="99"/>
      <c r="BQ73" s="99"/>
      <c r="BR73" s="99"/>
      <c r="BS73" s="99"/>
      <c r="BT73" s="99"/>
      <c r="BU73" s="99"/>
      <c r="BV73" s="99"/>
      <c r="BW73" s="99"/>
      <c r="BX73" s="99"/>
      <c r="BY73" s="99"/>
      <c r="BZ73" s="99"/>
      <c r="CA73" s="99"/>
      <c r="CB73" s="99"/>
      <c r="CC73" s="99"/>
      <c r="CD73" s="99"/>
      <c r="CE73" s="99"/>
      <c r="CF73" s="99"/>
      <c r="CG73" s="99"/>
      <c r="CH73" s="99"/>
      <c r="CI73" s="99"/>
      <c r="CJ73" s="99"/>
      <c r="CK73" s="99"/>
      <c r="CL73" s="99"/>
      <c r="CM73" s="99"/>
      <c r="CN73" s="99"/>
      <c r="CO73" s="99"/>
      <c r="CP73" s="99"/>
      <c r="CQ73" s="99"/>
      <c r="CR73" s="99"/>
      <c r="CS73" s="99"/>
      <c r="CT73" s="99"/>
      <c r="CU73" s="99"/>
      <c r="CV73" s="99"/>
      <c r="CW73" s="99"/>
      <c r="CX73" s="99"/>
      <c r="CY73" s="99"/>
      <c r="CZ73" s="99"/>
      <c r="DA73" s="96"/>
      <c r="DB73" s="96"/>
      <c r="DC73" s="96"/>
      <c r="DD73" s="96"/>
      <c r="DE73" s="96"/>
      <c r="DF73" s="96"/>
      <c r="DG73" s="96"/>
      <c r="DH73" s="96"/>
      <c r="DI73" s="96"/>
      <c r="DJ73" s="96"/>
      <c r="DK73" s="96"/>
      <c r="DL73" s="96"/>
      <c r="DM73" s="96"/>
      <c r="DN73" s="96"/>
      <c r="DO73" s="96"/>
      <c r="DP73" s="96"/>
      <c r="DQ73" s="96"/>
      <c r="DR73" s="96"/>
      <c r="DS73" s="96"/>
      <c r="DT73" s="96"/>
      <c r="DU73" s="96"/>
      <c r="DV73" s="96"/>
      <c r="DW73" s="96"/>
      <c r="DX73" s="96"/>
      <c r="DY73" s="96"/>
      <c r="DZ73" s="96"/>
      <c r="EA73" s="99"/>
      <c r="EB73" s="99"/>
      <c r="EC73" s="99"/>
      <c r="ED73" s="99"/>
      <c r="EE73" s="99"/>
      <c r="EF73" s="99"/>
      <c r="EG73" s="99"/>
      <c r="EH73" s="99"/>
      <c r="EI73" s="99"/>
      <c r="EJ73" s="99"/>
      <c r="EK73" s="99"/>
      <c r="EL73" s="99"/>
      <c r="EM73" s="99"/>
      <c r="EN73" s="99"/>
      <c r="EO73" s="99"/>
      <c r="EP73" s="99"/>
      <c r="EQ73" s="99"/>
      <c r="ER73" s="99"/>
      <c r="ES73" s="99"/>
      <c r="ET73" s="99"/>
      <c r="EU73" s="99"/>
      <c r="EV73" s="99"/>
      <c r="EW73" s="99"/>
      <c r="EX73" s="99"/>
      <c r="EY73" s="99"/>
      <c r="EZ73" s="99"/>
      <c r="FA73" s="99"/>
      <c r="FB73" s="99"/>
      <c r="FC73" s="99"/>
      <c r="FD73" s="99"/>
      <c r="FE73" s="99"/>
      <c r="FF73" s="99"/>
      <c r="FG73" s="99"/>
      <c r="FH73" s="99"/>
      <c r="FI73" s="99"/>
      <c r="FJ73" s="99"/>
      <c r="FK73" s="99"/>
      <c r="FL73" s="99"/>
      <c r="FM73" s="99"/>
      <c r="FN73" s="99"/>
    </row>
    <row r="74" spans="1:170" s="18" customFormat="1" ht="18" customHeight="1">
      <c r="A74" s="1808"/>
      <c r="B74" s="416">
        <v>127</v>
      </c>
      <c r="C74" s="493" t="str">
        <f>VLOOKUP(B74,Begriffe!$A$6:$E$442,Begriffe!$D$1+2)</f>
        <v>Jährliche Volllaststunden der Geräte</v>
      </c>
      <c r="D74" s="21"/>
      <c r="E74" s="21"/>
      <c r="F74" s="21"/>
      <c r="G74" s="21"/>
      <c r="H74" s="21"/>
      <c r="I74" s="178" t="s">
        <v>665</v>
      </c>
      <c r="J74" s="188" t="s">
        <v>17</v>
      </c>
      <c r="K74" s="188"/>
      <c r="L74" s="1166"/>
      <c r="M74" s="1017">
        <f>ROUND(Profile!$L$291,-1)</f>
        <v>2990</v>
      </c>
      <c r="N74" s="1017">
        <f>M74</f>
        <v>2990</v>
      </c>
      <c r="O74" s="1017">
        <f>M74</f>
        <v>2990</v>
      </c>
      <c r="P74" s="921">
        <v>1</v>
      </c>
      <c r="Q74" s="994">
        <v>1</v>
      </c>
      <c r="R74" s="921">
        <v>0</v>
      </c>
      <c r="S74" s="36"/>
      <c r="T74" s="298"/>
      <c r="U74" s="298"/>
      <c r="V74" s="150"/>
      <c r="W74" s="299"/>
      <c r="X74" s="299"/>
      <c r="Y74" s="150"/>
      <c r="Z74" s="299"/>
      <c r="AA74" s="299"/>
      <c r="AB74" s="131"/>
      <c r="AC74" s="298"/>
      <c r="AD74" s="298"/>
      <c r="AE74" s="13"/>
      <c r="AF74" s="13"/>
      <c r="AG74" s="13"/>
      <c r="AH74" s="13"/>
      <c r="AI74" s="13"/>
      <c r="AJ74" s="13"/>
      <c r="AK74" s="13"/>
      <c r="AL74" s="13"/>
      <c r="AM74" s="13"/>
      <c r="AN74" s="161"/>
      <c r="AO74" s="161"/>
      <c r="AR74" s="99"/>
      <c r="AS74" s="99"/>
      <c r="AT74" s="99"/>
      <c r="AU74" s="99"/>
      <c r="AV74" s="99"/>
      <c r="AW74" s="99"/>
      <c r="AX74" s="99"/>
      <c r="AY74" s="99"/>
      <c r="AZ74" s="99"/>
      <c r="BA74" s="99"/>
      <c r="BB74" s="99"/>
      <c r="BC74" s="99"/>
      <c r="BD74" s="99"/>
      <c r="BE74" s="99"/>
      <c r="BF74" s="99"/>
      <c r="BG74" s="99"/>
      <c r="BH74" s="99"/>
      <c r="BI74" s="99"/>
      <c r="BJ74" s="99"/>
      <c r="BK74" s="99"/>
      <c r="BL74" s="99"/>
      <c r="BM74" s="99"/>
      <c r="BN74" s="99"/>
      <c r="BO74" s="99"/>
      <c r="BP74" s="99"/>
      <c r="BQ74" s="99"/>
      <c r="BR74" s="99"/>
      <c r="BS74" s="99"/>
      <c r="BT74" s="99"/>
      <c r="BU74" s="99"/>
      <c r="BV74" s="99"/>
      <c r="BW74" s="99"/>
      <c r="BX74" s="99"/>
      <c r="BY74" s="99"/>
      <c r="BZ74" s="99"/>
      <c r="CA74" s="99"/>
      <c r="CB74" s="99"/>
      <c r="CC74" s="99"/>
      <c r="CD74" s="99"/>
      <c r="CE74" s="99"/>
      <c r="CF74" s="99"/>
      <c r="CG74" s="99"/>
      <c r="CH74" s="99"/>
      <c r="CI74" s="99"/>
      <c r="CJ74" s="99"/>
      <c r="CK74" s="99"/>
      <c r="CL74" s="99"/>
      <c r="CM74" s="99"/>
      <c r="CN74" s="99"/>
      <c r="CO74" s="99"/>
      <c r="CP74" s="99"/>
      <c r="CQ74" s="99"/>
      <c r="CR74" s="99"/>
      <c r="CS74" s="99"/>
      <c r="CT74" s="99"/>
      <c r="CU74" s="99"/>
      <c r="CV74" s="99"/>
      <c r="CW74" s="99"/>
      <c r="CX74" s="99"/>
      <c r="CY74" s="99"/>
      <c r="CZ74" s="99"/>
      <c r="DA74" s="96"/>
      <c r="DB74" s="96"/>
      <c r="DC74" s="96"/>
      <c r="DD74" s="96"/>
      <c r="DE74" s="96"/>
      <c r="DF74" s="96"/>
      <c r="DG74" s="96"/>
      <c r="DH74" s="96"/>
      <c r="DI74" s="96"/>
      <c r="DJ74" s="96"/>
      <c r="DK74" s="96"/>
      <c r="DL74" s="96"/>
      <c r="DM74" s="96"/>
      <c r="DN74" s="96"/>
      <c r="DO74" s="96"/>
      <c r="DP74" s="96"/>
      <c r="DQ74" s="96"/>
      <c r="DR74" s="96"/>
      <c r="DS74" s="96"/>
      <c r="DT74" s="96"/>
      <c r="DU74" s="96"/>
      <c r="DV74" s="96"/>
      <c r="DW74" s="96"/>
      <c r="DX74" s="96"/>
      <c r="DY74" s="96"/>
      <c r="DZ74" s="96"/>
      <c r="EA74" s="99"/>
      <c r="EB74" s="99"/>
      <c r="EC74" s="99"/>
      <c r="ED74" s="99"/>
      <c r="EE74" s="99"/>
      <c r="EF74" s="99"/>
      <c r="EG74" s="99"/>
      <c r="EH74" s="99"/>
      <c r="EI74" s="99"/>
      <c r="EJ74" s="99"/>
      <c r="EK74" s="99"/>
      <c r="EL74" s="99"/>
      <c r="EM74" s="99"/>
      <c r="EN74" s="99"/>
      <c r="EO74" s="99"/>
      <c r="EP74" s="99"/>
      <c r="EQ74" s="99"/>
      <c r="ER74" s="99"/>
      <c r="ES74" s="99"/>
      <c r="ET74" s="99"/>
      <c r="EU74" s="99"/>
      <c r="EV74" s="99"/>
      <c r="EW74" s="99"/>
      <c r="EX74" s="99"/>
      <c r="EY74" s="99"/>
      <c r="EZ74" s="99"/>
      <c r="FA74" s="99"/>
      <c r="FB74" s="99"/>
      <c r="FC74" s="99"/>
      <c r="FD74" s="99"/>
      <c r="FE74" s="99"/>
      <c r="FF74" s="99"/>
      <c r="FG74" s="99"/>
      <c r="FH74" s="99"/>
      <c r="FI74" s="99"/>
      <c r="FJ74" s="99"/>
      <c r="FK74" s="99"/>
      <c r="FL74" s="99"/>
      <c r="FM74" s="99"/>
      <c r="FN74" s="99"/>
    </row>
    <row r="75" spans="1:170" s="18" customFormat="1" ht="18" customHeight="1">
      <c r="A75" s="1809"/>
      <c r="B75" s="416">
        <v>134</v>
      </c>
      <c r="C75" s="21" t="str">
        <f>VLOOKUP(B75,Begriffe!$A$6:$E$442,Begriffe!$D$1+2)</f>
        <v>Jährlicher Elektrizitätsbedarf der Geräte</v>
      </c>
      <c r="D75" s="179"/>
      <c r="E75" s="179"/>
      <c r="F75" s="179"/>
      <c r="G75" s="179"/>
      <c r="H75" s="344"/>
      <c r="I75" s="271" t="s">
        <v>669</v>
      </c>
      <c r="J75" s="272" t="s">
        <v>77</v>
      </c>
      <c r="K75" s="272"/>
      <c r="L75" s="1169"/>
      <c r="M75" s="1023">
        <f>M70*M74/1000</f>
        <v>20.93</v>
      </c>
      <c r="N75" s="1023">
        <f>N70*N74/1000</f>
        <v>8.9700000000000006</v>
      </c>
      <c r="O75" s="1023">
        <f>O70*O74/1000</f>
        <v>44.85</v>
      </c>
      <c r="P75" s="921">
        <v>1</v>
      </c>
      <c r="Q75" s="989">
        <v>1</v>
      </c>
      <c r="R75" s="921">
        <v>0</v>
      </c>
      <c r="S75" s="131"/>
      <c r="T75" s="298"/>
      <c r="U75" s="298"/>
      <c r="V75" s="150"/>
      <c r="W75" s="299"/>
      <c r="X75" s="299"/>
      <c r="Y75" s="150"/>
      <c r="Z75" s="299"/>
      <c r="AA75" s="299"/>
      <c r="AB75" s="131"/>
      <c r="AC75" s="298"/>
      <c r="AD75" s="298"/>
      <c r="AE75" s="13"/>
      <c r="AF75" s="13"/>
      <c r="AG75" s="13"/>
      <c r="AH75" s="13"/>
      <c r="AI75" s="13"/>
      <c r="AJ75" s="13"/>
      <c r="AK75" s="13"/>
      <c r="AL75" s="13"/>
      <c r="AM75" s="13"/>
      <c r="AN75" s="161"/>
      <c r="AO75" s="161"/>
      <c r="AR75" s="99"/>
      <c r="AS75" s="99"/>
      <c r="AT75" s="99"/>
      <c r="AU75" s="99"/>
      <c r="AV75" s="99"/>
      <c r="AW75" s="99"/>
      <c r="AX75" s="99"/>
      <c r="AY75" s="99"/>
      <c r="AZ75" s="99"/>
      <c r="BA75" s="99"/>
      <c r="BB75" s="99"/>
      <c r="BC75" s="99"/>
      <c r="BD75" s="99"/>
      <c r="BE75" s="99"/>
      <c r="BF75" s="99"/>
      <c r="BG75" s="99"/>
      <c r="BH75" s="99"/>
      <c r="BI75" s="99"/>
      <c r="BJ75" s="99"/>
      <c r="BK75" s="99"/>
      <c r="BL75" s="99"/>
      <c r="BM75" s="99"/>
      <c r="BN75" s="99"/>
      <c r="BO75" s="99"/>
      <c r="BP75" s="99"/>
      <c r="BQ75" s="99"/>
      <c r="BR75" s="99"/>
      <c r="BS75" s="99"/>
      <c r="BT75" s="99"/>
      <c r="BU75" s="99"/>
      <c r="BV75" s="99"/>
      <c r="BW75" s="99"/>
      <c r="BX75" s="99"/>
      <c r="BY75" s="99"/>
      <c r="BZ75" s="99"/>
      <c r="CA75" s="99"/>
      <c r="CB75" s="99"/>
      <c r="CC75" s="99"/>
      <c r="CD75" s="99"/>
      <c r="CE75" s="99"/>
      <c r="CF75" s="99"/>
      <c r="CG75" s="99"/>
      <c r="CH75" s="99"/>
      <c r="CI75" s="99"/>
      <c r="CJ75" s="99"/>
      <c r="CK75" s="99"/>
      <c r="CL75" s="99"/>
      <c r="CM75" s="99"/>
      <c r="CN75" s="99"/>
      <c r="CO75" s="99"/>
      <c r="CP75" s="99"/>
      <c r="CQ75" s="99"/>
      <c r="CR75" s="99"/>
      <c r="CS75" s="99"/>
      <c r="CT75" s="99"/>
      <c r="CU75" s="99"/>
      <c r="CV75" s="99"/>
      <c r="CW75" s="99"/>
      <c r="CX75" s="99"/>
      <c r="CY75" s="99"/>
      <c r="CZ75" s="99"/>
      <c r="DA75" s="96"/>
      <c r="DB75" s="96"/>
      <c r="DC75" s="96"/>
      <c r="DD75" s="96"/>
      <c r="DE75" s="96"/>
      <c r="DF75" s="96"/>
      <c r="DG75" s="96"/>
      <c r="DH75" s="96"/>
      <c r="DI75" s="96"/>
      <c r="DJ75" s="96"/>
      <c r="DK75" s="96"/>
      <c r="DL75" s="96"/>
      <c r="DM75" s="96"/>
      <c r="DN75" s="96"/>
      <c r="DO75" s="96"/>
      <c r="DP75" s="96"/>
      <c r="DQ75" s="96"/>
      <c r="DR75" s="96"/>
      <c r="DS75" s="96"/>
      <c r="DT75" s="96"/>
      <c r="DU75" s="96"/>
      <c r="DV75" s="96"/>
      <c r="DW75" s="96"/>
      <c r="DX75" s="96"/>
      <c r="DY75" s="96"/>
      <c r="DZ75" s="96"/>
      <c r="EA75" s="99"/>
      <c r="EB75" s="99"/>
      <c r="EC75" s="99"/>
      <c r="ED75" s="99"/>
      <c r="EE75" s="99"/>
      <c r="EF75" s="99"/>
      <c r="EG75" s="99"/>
      <c r="EH75" s="99"/>
      <c r="EI75" s="99"/>
      <c r="EJ75" s="99"/>
      <c r="EK75" s="99"/>
      <c r="EL75" s="99"/>
      <c r="EM75" s="99"/>
      <c r="EN75" s="99"/>
      <c r="EO75" s="99"/>
      <c r="EP75" s="99"/>
      <c r="EQ75" s="99"/>
      <c r="ER75" s="99"/>
      <c r="ES75" s="99"/>
      <c r="ET75" s="99"/>
      <c r="EU75" s="99"/>
      <c r="EV75" s="99"/>
      <c r="EW75" s="99"/>
      <c r="EX75" s="99"/>
      <c r="EY75" s="99"/>
      <c r="EZ75" s="99"/>
      <c r="FA75" s="99"/>
      <c r="FB75" s="99"/>
      <c r="FC75" s="99"/>
      <c r="FD75" s="99"/>
      <c r="FE75" s="99"/>
      <c r="FF75" s="99"/>
      <c r="FG75" s="99"/>
      <c r="FH75" s="99"/>
      <c r="FI75" s="99"/>
      <c r="FJ75" s="99"/>
      <c r="FK75" s="99"/>
      <c r="FL75" s="99"/>
      <c r="FM75" s="99"/>
      <c r="FN75" s="99"/>
    </row>
    <row r="76" spans="1:170" s="12" customFormat="1" ht="2.1" customHeight="1">
      <c r="A76" s="198"/>
      <c r="B76" s="1142"/>
      <c r="C76" s="200"/>
      <c r="D76" s="200"/>
      <c r="E76" s="200"/>
      <c r="F76" s="200"/>
      <c r="G76" s="200"/>
      <c r="H76" s="200"/>
      <c r="I76" s="206"/>
      <c r="J76" s="207"/>
      <c r="K76" s="207"/>
      <c r="L76" s="206"/>
      <c r="M76" s="208"/>
      <c r="N76" s="997"/>
      <c r="O76" s="997"/>
      <c r="P76" s="921">
        <v>0</v>
      </c>
      <c r="Q76" s="994">
        <v>1</v>
      </c>
      <c r="R76" s="921">
        <v>0</v>
      </c>
      <c r="S76" s="82"/>
      <c r="T76" s="255"/>
      <c r="U76" s="255"/>
      <c r="V76" s="36"/>
      <c r="W76" s="232"/>
      <c r="X76" s="232"/>
      <c r="Y76" s="36"/>
      <c r="Z76" s="232"/>
      <c r="AA76" s="232"/>
      <c r="AB76" s="82"/>
      <c r="AC76" s="255"/>
      <c r="AD76" s="255"/>
      <c r="AE76" s="82"/>
      <c r="AF76" s="82"/>
      <c r="AG76" s="82"/>
      <c r="AH76" s="82"/>
      <c r="AI76" s="82"/>
      <c r="AJ76" s="82"/>
      <c r="AK76" s="82"/>
      <c r="AL76" s="82"/>
      <c r="AM76" s="82"/>
      <c r="AN76" s="156"/>
      <c r="AO76" s="156"/>
      <c r="AP76" s="157"/>
      <c r="AQ76" s="157"/>
      <c r="AR76" s="106"/>
      <c r="AS76" s="106"/>
      <c r="AT76" s="106"/>
      <c r="AU76" s="106"/>
      <c r="AV76" s="106"/>
      <c r="AW76" s="106"/>
      <c r="AX76" s="106"/>
      <c r="AY76" s="106"/>
      <c r="AZ76" s="106"/>
      <c r="BA76" s="106"/>
      <c r="BB76" s="106"/>
      <c r="BC76" s="106"/>
      <c r="BD76" s="106"/>
      <c r="BE76" s="106"/>
      <c r="BF76" s="106"/>
      <c r="BG76" s="106"/>
      <c r="BH76" s="106"/>
      <c r="BI76" s="106"/>
      <c r="BJ76" s="106"/>
      <c r="BK76" s="106"/>
      <c r="BL76" s="106"/>
      <c r="BM76" s="106"/>
      <c r="BN76" s="106"/>
      <c r="BO76" s="106"/>
      <c r="BP76" s="106"/>
      <c r="BQ76" s="106"/>
      <c r="BR76" s="106"/>
      <c r="BS76" s="106"/>
      <c r="BT76" s="106"/>
      <c r="BU76" s="106"/>
      <c r="BV76" s="106"/>
      <c r="BW76" s="106"/>
      <c r="BX76" s="106"/>
      <c r="BY76" s="106"/>
      <c r="BZ76" s="106"/>
      <c r="CA76" s="106"/>
      <c r="CB76" s="106"/>
      <c r="CC76" s="106"/>
      <c r="CD76" s="106"/>
      <c r="CE76" s="106"/>
      <c r="CF76" s="106"/>
      <c r="CG76" s="106"/>
      <c r="CH76" s="106"/>
      <c r="CI76" s="106"/>
      <c r="CJ76" s="106"/>
      <c r="CK76" s="106"/>
      <c r="CL76" s="106"/>
      <c r="CM76" s="106"/>
      <c r="CN76" s="106"/>
      <c r="CO76" s="106"/>
      <c r="CP76" s="106"/>
      <c r="CQ76" s="106"/>
      <c r="CR76" s="106"/>
      <c r="CS76" s="106"/>
      <c r="CT76" s="106"/>
      <c r="CU76" s="106"/>
      <c r="CV76" s="107"/>
      <c r="CW76" s="107"/>
      <c r="CX76" s="107"/>
      <c r="CY76" s="107"/>
      <c r="CZ76" s="107"/>
      <c r="DA76" s="107"/>
      <c r="DB76" s="107"/>
      <c r="DC76" s="107"/>
      <c r="DD76" s="107"/>
      <c r="DE76" s="107"/>
      <c r="DF76" s="107"/>
      <c r="DG76" s="107"/>
      <c r="DH76" s="107"/>
      <c r="DI76" s="107"/>
      <c r="DJ76" s="107"/>
      <c r="DK76" s="107"/>
      <c r="DL76" s="107"/>
      <c r="DM76" s="107"/>
      <c r="DN76" s="107"/>
      <c r="DO76" s="107"/>
      <c r="DP76" s="107"/>
      <c r="DQ76" s="107"/>
      <c r="DR76" s="107"/>
      <c r="DS76" s="107"/>
      <c r="DT76" s="107"/>
      <c r="DU76" s="107"/>
      <c r="DV76" s="107"/>
      <c r="DW76" s="107"/>
      <c r="DX76" s="107"/>
      <c r="DY76" s="107"/>
      <c r="DZ76" s="107"/>
      <c r="EA76" s="107"/>
      <c r="EB76" s="107"/>
      <c r="EC76" s="107"/>
      <c r="ED76" s="107"/>
      <c r="EE76" s="105"/>
      <c r="EF76" s="105"/>
      <c r="EG76" s="105"/>
      <c r="EH76" s="105"/>
      <c r="EI76" s="105"/>
      <c r="EJ76" s="105"/>
      <c r="EK76" s="105"/>
      <c r="EL76" s="105"/>
      <c r="EM76" s="105"/>
      <c r="EN76" s="105"/>
      <c r="EO76" s="105"/>
      <c r="EP76" s="105"/>
      <c r="EQ76" s="105"/>
      <c r="ER76" s="105"/>
      <c r="ES76" s="105"/>
      <c r="ET76" s="105"/>
      <c r="EU76" s="105"/>
      <c r="EV76" s="105"/>
      <c r="EW76" s="105"/>
      <c r="EX76" s="105"/>
      <c r="EY76" s="105"/>
      <c r="EZ76" s="105"/>
      <c r="FA76" s="105"/>
      <c r="FB76" s="105"/>
      <c r="FC76" s="105"/>
      <c r="FD76" s="105"/>
      <c r="FE76" s="105"/>
      <c r="FF76" s="105"/>
      <c r="FG76" s="105"/>
      <c r="FH76" s="105"/>
      <c r="FI76" s="105"/>
      <c r="FJ76" s="105"/>
      <c r="FK76" s="105"/>
      <c r="FL76" s="105"/>
      <c r="FM76" s="105"/>
      <c r="FN76" s="105"/>
    </row>
    <row r="77" spans="1:170" s="18" customFormat="1" ht="18" customHeight="1">
      <c r="A77" s="1810" t="str">
        <f>Begriffe!F203</f>
        <v>Beleuchtung</v>
      </c>
      <c r="B77" s="416">
        <v>107</v>
      </c>
      <c r="C77" s="21" t="str">
        <f>VLOOKUP(B77,Begriffe!$A$6:$E$442,Begriffe!$D$1+2)</f>
        <v>Beleuchtungsstärke</v>
      </c>
      <c r="D77" s="21"/>
      <c r="E77" s="21"/>
      <c r="F77" s="21" t="str">
        <f>Begriffe!F320</f>
        <v>Wartungswert</v>
      </c>
      <c r="G77" s="21"/>
      <c r="H77" s="21"/>
      <c r="I77" s="209" t="s">
        <v>86</v>
      </c>
      <c r="J77" s="210" t="s">
        <v>21</v>
      </c>
      <c r="K77" s="16"/>
      <c r="L77" s="1171"/>
      <c r="M77" s="983">
        <f>IF(L77&lt;&gt;"",L77,INDEX(Eingabedaten!$D$10:$CY$54,nutzid,MATCH($C77,Eingabedaten!$D$7:$CY$7,0)))</f>
        <v>500</v>
      </c>
      <c r="N77" s="1021"/>
      <c r="O77" s="1021"/>
      <c r="P77" s="493">
        <v>0</v>
      </c>
      <c r="Q77" s="989">
        <v>1</v>
      </c>
      <c r="R77" s="493">
        <v>0</v>
      </c>
      <c r="S77" s="131"/>
      <c r="T77" s="298"/>
      <c r="U77" s="298"/>
      <c r="V77" s="150"/>
      <c r="W77" s="299"/>
      <c r="X77" s="1252"/>
      <c r="Y77" s="150"/>
      <c r="Z77" s="299"/>
      <c r="AA77" s="299"/>
      <c r="AB77" s="131"/>
      <c r="AC77" s="298"/>
      <c r="AD77" s="298"/>
      <c r="AE77" s="13"/>
      <c r="AF77" s="13"/>
      <c r="AG77" s="13"/>
      <c r="AH77" s="13"/>
      <c r="AI77" s="13"/>
      <c r="AJ77" s="13"/>
      <c r="AK77" s="13"/>
      <c r="AL77" s="13"/>
      <c r="AM77" s="13"/>
      <c r="AN77" s="161"/>
      <c r="AO77" s="161"/>
      <c r="AR77" s="99"/>
      <c r="AS77" s="99"/>
      <c r="AT77" s="99"/>
      <c r="AU77" s="99"/>
      <c r="AV77" s="99"/>
      <c r="AW77" s="99"/>
      <c r="AX77" s="99"/>
      <c r="AY77" s="99"/>
      <c r="AZ77" s="99"/>
      <c r="BA77" s="99"/>
      <c r="BB77" s="99"/>
      <c r="BC77" s="99"/>
      <c r="BD77" s="99"/>
      <c r="BE77" s="99"/>
      <c r="BF77" s="99"/>
      <c r="BG77" s="99"/>
      <c r="BH77" s="99"/>
      <c r="BI77" s="99"/>
      <c r="BJ77" s="99"/>
      <c r="BK77" s="99"/>
      <c r="BL77" s="99"/>
      <c r="BM77" s="99"/>
      <c r="BN77" s="99"/>
      <c r="BO77" s="99"/>
      <c r="BP77" s="99"/>
      <c r="BQ77" s="99"/>
      <c r="BR77" s="99"/>
      <c r="BS77" s="99"/>
      <c r="BT77" s="99"/>
      <c r="BU77" s="99"/>
      <c r="BV77" s="99"/>
      <c r="BW77" s="99"/>
      <c r="BX77" s="99"/>
      <c r="BY77" s="99"/>
      <c r="BZ77" s="99"/>
      <c r="CA77" s="99"/>
      <c r="CB77" s="99"/>
      <c r="CC77" s="99"/>
      <c r="CD77" s="99"/>
      <c r="CE77" s="99"/>
      <c r="CF77" s="99"/>
      <c r="CG77" s="99"/>
      <c r="CH77" s="99"/>
      <c r="CI77" s="99"/>
      <c r="CJ77" s="99"/>
      <c r="CK77" s="99"/>
      <c r="CL77" s="99"/>
      <c r="CM77" s="99"/>
      <c r="CN77" s="99"/>
      <c r="CO77" s="99"/>
      <c r="CP77" s="99"/>
      <c r="CQ77" s="99"/>
      <c r="CR77" s="99"/>
      <c r="CS77" s="99"/>
      <c r="CT77" s="99"/>
      <c r="CU77" s="99"/>
      <c r="CV77" s="99"/>
      <c r="CW77" s="99"/>
      <c r="CX77" s="99"/>
      <c r="CY77" s="99"/>
      <c r="CZ77" s="99"/>
      <c r="DA77" s="99"/>
      <c r="DB77" s="99"/>
      <c r="DC77" s="99"/>
      <c r="DD77" s="99"/>
      <c r="DE77" s="96"/>
      <c r="DF77" s="96"/>
      <c r="DG77" s="96"/>
      <c r="DH77" s="96"/>
      <c r="DI77" s="96"/>
      <c r="DJ77" s="96"/>
      <c r="DK77" s="96"/>
      <c r="DL77" s="96"/>
      <c r="DM77" s="96"/>
      <c r="DN77" s="96"/>
      <c r="DO77" s="96"/>
      <c r="DP77" s="96"/>
      <c r="DQ77" s="96"/>
      <c r="DR77" s="96"/>
      <c r="DS77" s="96"/>
      <c r="DT77" s="96"/>
      <c r="DU77" s="96"/>
      <c r="DV77" s="96"/>
      <c r="DW77" s="96"/>
      <c r="DX77" s="96"/>
      <c r="DY77" s="96"/>
      <c r="DZ77" s="96"/>
      <c r="EA77" s="96"/>
      <c r="EB77" s="96"/>
      <c r="EC77" s="96"/>
      <c r="ED77" s="96"/>
      <c r="EE77" s="99"/>
      <c r="EF77" s="99"/>
      <c r="EG77" s="99"/>
      <c r="EH77" s="99"/>
      <c r="EI77" s="99"/>
      <c r="EJ77" s="99"/>
      <c r="EK77" s="99"/>
      <c r="EL77" s="99"/>
      <c r="EM77" s="99"/>
      <c r="EN77" s="99"/>
      <c r="EO77" s="99"/>
      <c r="EP77" s="99"/>
      <c r="EQ77" s="99"/>
      <c r="ER77" s="99"/>
      <c r="ES77" s="99"/>
      <c r="ET77" s="99"/>
      <c r="EU77" s="99"/>
      <c r="EV77" s="99"/>
      <c r="EW77" s="99"/>
      <c r="EX77" s="99"/>
      <c r="EY77" s="99"/>
      <c r="EZ77" s="99"/>
      <c r="FA77" s="99"/>
      <c r="FB77" s="99"/>
      <c r="FC77" s="99"/>
      <c r="FD77" s="99"/>
      <c r="FE77" s="99"/>
      <c r="FF77" s="99"/>
      <c r="FG77" s="99"/>
      <c r="FH77" s="99"/>
      <c r="FI77" s="99"/>
      <c r="FJ77" s="99"/>
      <c r="FK77" s="99"/>
      <c r="FL77" s="99"/>
      <c r="FM77" s="99"/>
      <c r="FN77" s="99"/>
    </row>
    <row r="78" spans="1:170" s="18" customFormat="1" ht="18" customHeight="1">
      <c r="A78" s="1808"/>
      <c r="B78" s="416">
        <v>121</v>
      </c>
      <c r="C78" s="493" t="str">
        <f>VLOOKUP(B78,Begriffe!$A$6:$E$442,Begriffe!$D$1+2)</f>
        <v>Glasflächenzahl</v>
      </c>
      <c r="D78" s="21"/>
      <c r="E78" s="179"/>
      <c r="F78" s="21"/>
      <c r="G78" s="21"/>
      <c r="H78" s="21"/>
      <c r="I78" s="180" t="s">
        <v>271</v>
      </c>
      <c r="J78" s="188" t="s">
        <v>272</v>
      </c>
      <c r="K78" s="188"/>
      <c r="L78" s="188"/>
      <c r="M78" s="314">
        <f>M20%/M13*$M8*$M10/(M11)</f>
        <v>0.50420168067226889</v>
      </c>
      <c r="N78" s="314"/>
      <c r="O78" s="314"/>
      <c r="P78" s="493">
        <v>1</v>
      </c>
      <c r="Q78" s="989">
        <v>1</v>
      </c>
      <c r="R78" s="493">
        <v>0</v>
      </c>
      <c r="S78" s="131"/>
      <c r="T78" s="298"/>
      <c r="U78" s="298"/>
      <c r="V78" s="150"/>
      <c r="W78" s="299"/>
      <c r="X78" s="1252"/>
      <c r="Y78" s="150"/>
      <c r="Z78" s="299"/>
      <c r="AA78" s="299"/>
      <c r="AB78" s="131"/>
      <c r="AC78" s="298"/>
      <c r="AD78" s="298"/>
      <c r="AE78" s="13"/>
      <c r="AF78" s="13"/>
      <c r="AG78" s="13"/>
      <c r="AH78" s="13"/>
      <c r="AI78" s="13"/>
      <c r="AJ78" s="13"/>
      <c r="AK78" s="13"/>
      <c r="AL78" s="13"/>
      <c r="AM78" s="13"/>
      <c r="AN78" s="161"/>
      <c r="AO78" s="161"/>
      <c r="AR78" s="99"/>
      <c r="AS78" s="99"/>
      <c r="AT78" s="99"/>
      <c r="AU78" s="99"/>
      <c r="AV78" s="99"/>
      <c r="AW78" s="99"/>
      <c r="AX78" s="99"/>
      <c r="AY78" s="99"/>
      <c r="AZ78" s="99"/>
      <c r="BA78" s="99"/>
      <c r="BB78" s="99"/>
      <c r="BC78" s="99"/>
      <c r="BD78" s="99"/>
      <c r="BE78" s="99"/>
      <c r="BF78" s="99"/>
      <c r="BG78" s="99"/>
      <c r="BH78" s="99"/>
      <c r="BI78" s="99"/>
      <c r="BJ78" s="99"/>
      <c r="BK78" s="99"/>
      <c r="BL78" s="99"/>
      <c r="BM78" s="99"/>
      <c r="BN78" s="99"/>
      <c r="BO78" s="99"/>
      <c r="BP78" s="99"/>
      <c r="BQ78" s="99"/>
      <c r="BR78" s="99"/>
      <c r="BS78" s="99"/>
      <c r="BT78" s="99"/>
      <c r="BU78" s="99"/>
      <c r="BV78" s="99"/>
      <c r="BW78" s="99"/>
      <c r="BX78" s="99"/>
      <c r="BY78" s="99"/>
      <c r="BZ78" s="99"/>
      <c r="CA78" s="99"/>
      <c r="CB78" s="99"/>
      <c r="CC78" s="99"/>
      <c r="CD78" s="99"/>
      <c r="CE78" s="99"/>
      <c r="CF78" s="99"/>
      <c r="CG78" s="99"/>
      <c r="CH78" s="99"/>
      <c r="CI78" s="99"/>
      <c r="CJ78" s="99"/>
      <c r="CK78" s="99"/>
      <c r="CL78" s="99"/>
      <c r="CM78" s="99"/>
      <c r="CN78" s="99"/>
      <c r="CO78" s="99"/>
      <c r="CP78" s="99"/>
      <c r="CQ78" s="99"/>
      <c r="CR78" s="99"/>
      <c r="CS78" s="99"/>
      <c r="CT78" s="99"/>
      <c r="CU78" s="99"/>
      <c r="CV78" s="99"/>
      <c r="CW78" s="99"/>
      <c r="CX78" s="99"/>
      <c r="CY78" s="99"/>
      <c r="CZ78" s="99"/>
      <c r="DA78" s="99"/>
      <c r="DB78" s="99"/>
      <c r="DC78" s="99"/>
      <c r="DD78" s="99"/>
      <c r="DE78" s="96"/>
      <c r="DF78" s="96"/>
      <c r="DG78" s="96"/>
      <c r="DH78" s="96"/>
      <c r="DI78" s="96"/>
      <c r="DJ78" s="96"/>
      <c r="DK78" s="96"/>
      <c r="DL78" s="96"/>
      <c r="DM78" s="96"/>
      <c r="DN78" s="96"/>
      <c r="DO78" s="96"/>
      <c r="DP78" s="96"/>
      <c r="DQ78" s="96"/>
      <c r="DR78" s="96"/>
      <c r="DS78" s="96"/>
      <c r="DT78" s="96"/>
      <c r="DU78" s="96"/>
      <c r="DV78" s="96"/>
      <c r="DW78" s="96"/>
      <c r="DX78" s="96"/>
      <c r="DY78" s="96"/>
      <c r="DZ78" s="96"/>
      <c r="EA78" s="96"/>
      <c r="EB78" s="96"/>
      <c r="EC78" s="96"/>
      <c r="ED78" s="96"/>
      <c r="EE78" s="99"/>
      <c r="EF78" s="99"/>
      <c r="EG78" s="99"/>
      <c r="EH78" s="99"/>
      <c r="EI78" s="99"/>
      <c r="EJ78" s="99"/>
      <c r="EK78" s="99"/>
      <c r="EL78" s="99"/>
      <c r="EM78" s="99"/>
      <c r="EN78" s="99"/>
      <c r="EO78" s="99"/>
      <c r="EP78" s="99"/>
      <c r="EQ78" s="99"/>
      <c r="ER78" s="99"/>
      <c r="ES78" s="99"/>
      <c r="ET78" s="99"/>
      <c r="EU78" s="99"/>
      <c r="EV78" s="99"/>
      <c r="EW78" s="99"/>
      <c r="EX78" s="99"/>
      <c r="EY78" s="99"/>
      <c r="EZ78" s="99"/>
      <c r="FA78" s="99"/>
      <c r="FB78" s="99"/>
      <c r="FC78" s="99"/>
      <c r="FD78" s="99"/>
      <c r="FE78" s="99"/>
      <c r="FF78" s="99"/>
      <c r="FG78" s="99"/>
      <c r="FH78" s="99"/>
      <c r="FI78" s="99"/>
      <c r="FJ78" s="99"/>
      <c r="FK78" s="99"/>
      <c r="FL78" s="99"/>
      <c r="FM78" s="99"/>
      <c r="FN78" s="99"/>
    </row>
    <row r="79" spans="1:170" s="18" customFormat="1" ht="18" customHeight="1">
      <c r="A79" s="1808"/>
      <c r="B79" s="416">
        <v>109</v>
      </c>
      <c r="C79" s="493" t="str">
        <f>VLOOKUP(B79,Begriffe!$A$6:$E$442,Begriffe!$D$1+2)</f>
        <v>Bewertungsebene</v>
      </c>
      <c r="D79" s="177"/>
      <c r="E79" s="177"/>
      <c r="F79" s="21" t="str">
        <f>Begriffe!F321</f>
        <v>Höhe = 0.75 m oder 0.05 m</v>
      </c>
      <c r="G79" s="177"/>
      <c r="H79" s="177"/>
      <c r="I79" s="178" t="s">
        <v>204</v>
      </c>
      <c r="J79" s="188" t="s">
        <v>35</v>
      </c>
      <c r="K79" s="188"/>
      <c r="L79" s="173"/>
      <c r="M79" s="986">
        <f>INDEX(Eingabedaten!$D$10:$CY$54,nutzid,MATCH($C79,Eingabedaten!$D$7:$CY$7,0))</f>
        <v>0.75</v>
      </c>
      <c r="N79" s="345"/>
      <c r="O79" s="345"/>
      <c r="P79" s="493">
        <v>0</v>
      </c>
      <c r="Q79" s="989">
        <v>1</v>
      </c>
      <c r="R79" s="493">
        <v>0</v>
      </c>
      <c r="S79" s="131"/>
      <c r="T79" s="298"/>
      <c r="U79" s="298"/>
      <c r="V79" s="150"/>
      <c r="W79" s="299"/>
      <c r="X79" s="1252"/>
      <c r="Y79" s="150"/>
      <c r="Z79" s="299"/>
      <c r="AA79" s="299"/>
      <c r="AB79" s="131"/>
      <c r="AC79" s="298"/>
      <c r="AD79" s="298"/>
      <c r="AE79" s="13"/>
      <c r="AF79" s="13"/>
      <c r="AG79" s="13"/>
      <c r="AH79" s="13"/>
      <c r="AI79" s="13"/>
      <c r="AJ79" s="13"/>
      <c r="AK79" s="13"/>
      <c r="AL79" s="13"/>
      <c r="AM79" s="13"/>
      <c r="AN79" s="161"/>
      <c r="AO79" s="161"/>
      <c r="AR79" s="99"/>
      <c r="AS79" s="99"/>
      <c r="AT79" s="99"/>
      <c r="AU79" s="99"/>
      <c r="AV79" s="99"/>
      <c r="AW79" s="99"/>
      <c r="AX79" s="99"/>
      <c r="AY79" s="99"/>
      <c r="AZ79" s="99"/>
      <c r="BA79" s="99"/>
      <c r="BB79" s="99"/>
      <c r="BC79" s="99"/>
      <c r="BD79" s="99"/>
      <c r="BE79" s="99"/>
      <c r="BF79" s="99"/>
      <c r="BG79" s="99"/>
      <c r="BH79" s="99"/>
      <c r="BI79" s="99"/>
      <c r="BJ79" s="99"/>
      <c r="BK79" s="99"/>
      <c r="BL79" s="99"/>
      <c r="BM79" s="99"/>
      <c r="BN79" s="99"/>
      <c r="BO79" s="99"/>
      <c r="BP79" s="99"/>
      <c r="BQ79" s="99"/>
      <c r="BR79" s="99"/>
      <c r="BS79" s="99"/>
      <c r="BT79" s="99"/>
      <c r="BU79" s="99"/>
      <c r="BV79" s="99"/>
      <c r="BW79" s="99"/>
      <c r="BX79" s="99"/>
      <c r="BY79" s="99"/>
      <c r="BZ79" s="99"/>
      <c r="CA79" s="99"/>
      <c r="CB79" s="99"/>
      <c r="CC79" s="99"/>
      <c r="CD79" s="99"/>
      <c r="CE79" s="99"/>
      <c r="CF79" s="99"/>
      <c r="CG79" s="99"/>
      <c r="CH79" s="99"/>
      <c r="CI79" s="99"/>
      <c r="CJ79" s="99"/>
      <c r="CK79" s="99"/>
      <c r="CL79" s="99"/>
      <c r="CM79" s="99"/>
      <c r="CN79" s="99"/>
      <c r="CO79" s="99"/>
      <c r="CP79" s="99"/>
      <c r="CQ79" s="99"/>
      <c r="CR79" s="99"/>
      <c r="CS79" s="99"/>
      <c r="CT79" s="99"/>
      <c r="CU79" s="99"/>
      <c r="CV79" s="99"/>
      <c r="CW79" s="99"/>
      <c r="CX79" s="99"/>
      <c r="CY79" s="99"/>
      <c r="CZ79" s="99"/>
      <c r="DA79" s="99"/>
      <c r="DB79" s="99"/>
      <c r="DC79" s="99"/>
      <c r="DD79" s="99"/>
      <c r="DE79" s="96"/>
      <c r="DF79" s="96"/>
      <c r="DG79" s="96"/>
      <c r="DH79" s="96"/>
      <c r="DI79" s="96"/>
      <c r="DJ79" s="96"/>
      <c r="DK79" s="96"/>
      <c r="DL79" s="96"/>
      <c r="DM79" s="96"/>
      <c r="DN79" s="96"/>
      <c r="DO79" s="96"/>
      <c r="DP79" s="96"/>
      <c r="DQ79" s="96"/>
      <c r="DR79" s="96"/>
      <c r="DS79" s="96"/>
      <c r="DT79" s="96"/>
      <c r="DU79" s="96"/>
      <c r="DV79" s="96"/>
      <c r="DW79" s="96"/>
      <c r="DX79" s="96"/>
      <c r="DY79" s="96"/>
      <c r="DZ79" s="96"/>
      <c r="EA79" s="96"/>
      <c r="EB79" s="96"/>
      <c r="EC79" s="96"/>
      <c r="ED79" s="96"/>
      <c r="EE79" s="99"/>
      <c r="EF79" s="99"/>
      <c r="EG79" s="99"/>
      <c r="EH79" s="99"/>
      <c r="EI79" s="99"/>
      <c r="EJ79" s="99"/>
      <c r="EK79" s="99"/>
      <c r="EL79" s="99"/>
      <c r="EM79" s="99"/>
      <c r="EN79" s="99"/>
      <c r="EO79" s="99"/>
      <c r="EP79" s="99"/>
      <c r="EQ79" s="99"/>
      <c r="ER79" s="99"/>
      <c r="ES79" s="99"/>
      <c r="ET79" s="99"/>
      <c r="EU79" s="99"/>
      <c r="EV79" s="99"/>
      <c r="EW79" s="99"/>
      <c r="EX79" s="99"/>
      <c r="EY79" s="99"/>
      <c r="EZ79" s="99"/>
      <c r="FA79" s="99"/>
      <c r="FB79" s="99"/>
      <c r="FC79" s="99"/>
      <c r="FD79" s="99"/>
      <c r="FE79" s="99"/>
      <c r="FF79" s="99"/>
      <c r="FG79" s="99"/>
      <c r="FH79" s="99"/>
      <c r="FI79" s="99"/>
      <c r="FJ79" s="99"/>
      <c r="FK79" s="99"/>
      <c r="FL79" s="99"/>
      <c r="FM79" s="99"/>
      <c r="FN79" s="99"/>
    </row>
    <row r="80" spans="1:170" s="19" customFormat="1" ht="18" customHeight="1">
      <c r="A80" s="1808"/>
      <c r="B80" s="416">
        <v>159</v>
      </c>
      <c r="C80" s="493" t="str">
        <f>VLOOKUP(B80,Begriffe!$A$6:$E$442,Begriffe!$D$1+2)</f>
        <v>Raumindex</v>
      </c>
      <c r="D80" s="177"/>
      <c r="E80" s="177"/>
      <c r="F80" s="177"/>
      <c r="G80" s="177"/>
      <c r="H80" s="177"/>
      <c r="I80" s="180" t="s">
        <v>209</v>
      </c>
      <c r="J80" s="188" t="s">
        <v>272</v>
      </c>
      <c r="K80" s="188"/>
      <c r="L80" s="173"/>
      <c r="M80" s="183">
        <f>(M8*M9)/((M10-M79)*(M8+M9))</f>
        <v>1.2962962962962963</v>
      </c>
      <c r="N80" s="871"/>
      <c r="O80" s="871"/>
      <c r="P80" s="493">
        <v>1</v>
      </c>
      <c r="Q80" s="989">
        <v>1</v>
      </c>
      <c r="R80" s="493">
        <v>0</v>
      </c>
      <c r="S80" s="131"/>
      <c r="T80" s="298"/>
      <c r="U80" s="298"/>
      <c r="V80" s="150"/>
      <c r="W80" s="299"/>
      <c r="X80" s="299"/>
      <c r="Y80" s="150"/>
      <c r="Z80" s="299"/>
      <c r="AA80" s="299"/>
      <c r="AB80" s="131"/>
      <c r="AC80" s="298"/>
      <c r="AD80" s="298"/>
      <c r="AE80" s="13"/>
      <c r="AF80" s="13"/>
      <c r="AG80" s="13"/>
      <c r="AH80" s="13"/>
      <c r="AI80" s="13"/>
      <c r="AJ80" s="13"/>
      <c r="AK80" s="13"/>
      <c r="AL80" s="13"/>
      <c r="AM80" s="13"/>
      <c r="AN80" s="13"/>
      <c r="AO80" s="13"/>
      <c r="AP80" s="155"/>
      <c r="AQ80" s="155"/>
      <c r="AR80" s="102"/>
      <c r="AS80" s="102"/>
      <c r="AT80" s="102"/>
      <c r="AU80" s="102"/>
      <c r="AV80" s="102"/>
      <c r="AW80" s="102"/>
      <c r="AX80" s="102"/>
      <c r="AY80" s="102"/>
      <c r="AZ80" s="102"/>
      <c r="BA80" s="102"/>
      <c r="BB80" s="102"/>
      <c r="BC80" s="102"/>
      <c r="BD80" s="102"/>
      <c r="BE80" s="102"/>
      <c r="BF80" s="102"/>
      <c r="BG80" s="102"/>
      <c r="BH80" s="102"/>
      <c r="BI80" s="102"/>
      <c r="BJ80" s="102"/>
      <c r="BK80" s="102"/>
      <c r="BL80" s="102"/>
      <c r="BM80" s="102"/>
      <c r="BN80" s="102"/>
      <c r="BO80" s="102"/>
      <c r="BP80" s="102"/>
      <c r="BQ80" s="102"/>
      <c r="BR80" s="102"/>
      <c r="BS80" s="102"/>
      <c r="BT80" s="102"/>
      <c r="BU80" s="102"/>
      <c r="BV80" s="102"/>
      <c r="BW80" s="102"/>
      <c r="BX80" s="102"/>
      <c r="BY80" s="102"/>
      <c r="BZ80" s="102"/>
      <c r="CA80" s="102"/>
      <c r="CB80" s="102"/>
      <c r="CC80" s="102"/>
      <c r="CD80" s="102"/>
      <c r="CE80" s="102"/>
      <c r="CF80" s="102"/>
      <c r="CG80" s="102"/>
      <c r="CH80" s="102"/>
      <c r="CI80" s="102"/>
      <c r="CJ80" s="102"/>
      <c r="CK80" s="102"/>
      <c r="CL80" s="102"/>
      <c r="CM80" s="102"/>
      <c r="CN80" s="102"/>
      <c r="CO80" s="102"/>
      <c r="CP80" s="102"/>
      <c r="CQ80" s="102"/>
      <c r="CR80" s="102"/>
      <c r="CS80" s="102"/>
      <c r="CT80" s="102"/>
      <c r="CU80" s="102"/>
      <c r="CV80" s="102"/>
      <c r="CW80" s="102"/>
      <c r="CX80" s="102"/>
      <c r="CY80" s="102"/>
      <c r="CZ80" s="102"/>
      <c r="DA80" s="102"/>
      <c r="DB80" s="102"/>
      <c r="DC80" s="102"/>
      <c r="DD80" s="102"/>
      <c r="DE80" s="101"/>
      <c r="DF80" s="101"/>
      <c r="DG80" s="101"/>
      <c r="DH80" s="101"/>
      <c r="DI80" s="101"/>
      <c r="DJ80" s="101"/>
      <c r="DK80" s="101"/>
      <c r="DL80" s="101"/>
      <c r="DM80" s="101"/>
      <c r="DN80" s="101"/>
      <c r="DO80" s="101"/>
      <c r="DP80" s="101"/>
      <c r="DQ80" s="101"/>
      <c r="DR80" s="101"/>
      <c r="DS80" s="101"/>
      <c r="DT80" s="101"/>
      <c r="DU80" s="101"/>
      <c r="DV80" s="101"/>
      <c r="DW80" s="101"/>
      <c r="DX80" s="101"/>
      <c r="DY80" s="101"/>
      <c r="DZ80" s="101"/>
      <c r="EA80" s="101"/>
      <c r="EB80" s="101"/>
      <c r="EC80" s="101"/>
      <c r="ED80" s="101"/>
      <c r="EE80" s="102"/>
      <c r="EF80" s="102"/>
      <c r="EG80" s="102"/>
      <c r="EH80" s="102"/>
      <c r="EI80" s="102"/>
      <c r="EJ80" s="102"/>
      <c r="EK80" s="102"/>
      <c r="EL80" s="102"/>
      <c r="EM80" s="102"/>
      <c r="EN80" s="102"/>
      <c r="EO80" s="102"/>
      <c r="EP80" s="102"/>
      <c r="EQ80" s="102"/>
      <c r="ER80" s="102"/>
      <c r="ES80" s="102"/>
      <c r="ET80" s="102"/>
      <c r="EU80" s="102"/>
      <c r="EV80" s="102"/>
      <c r="EW80" s="102"/>
      <c r="EX80" s="102"/>
      <c r="EY80" s="102"/>
      <c r="EZ80" s="102"/>
      <c r="FA80" s="102"/>
      <c r="FB80" s="102"/>
      <c r="FC80" s="102"/>
      <c r="FD80" s="102"/>
      <c r="FE80" s="102"/>
      <c r="FF80" s="102"/>
      <c r="FG80" s="102"/>
      <c r="FH80" s="102"/>
      <c r="FI80" s="102"/>
      <c r="FJ80" s="102"/>
      <c r="FK80" s="102"/>
      <c r="FL80" s="102"/>
      <c r="FM80" s="102"/>
      <c r="FN80" s="102"/>
    </row>
    <row r="81" spans="1:170" s="19" customFormat="1" ht="18" hidden="1" customHeight="1">
      <c r="A81" s="1808"/>
      <c r="B81" s="171"/>
      <c r="C81" s="26" t="s">
        <v>85</v>
      </c>
      <c r="D81" s="32"/>
      <c r="E81" s="32"/>
      <c r="F81" s="32"/>
      <c r="G81" s="32"/>
      <c r="H81" s="32"/>
      <c r="I81" s="27" t="s">
        <v>20</v>
      </c>
      <c r="J81" s="33" t="s">
        <v>18</v>
      </c>
      <c r="K81" s="33"/>
      <c r="L81" s="25"/>
      <c r="M81" s="1027">
        <v>1.25</v>
      </c>
      <c r="N81" s="1027">
        <v>1.25</v>
      </c>
      <c r="O81" s="1027">
        <v>1.25</v>
      </c>
      <c r="P81" s="493">
        <v>0</v>
      </c>
      <c r="Q81" s="989">
        <v>0</v>
      </c>
      <c r="R81" s="493">
        <v>0</v>
      </c>
      <c r="S81" s="131"/>
      <c r="T81" s="298"/>
      <c r="U81" s="298"/>
      <c r="V81" s="150"/>
      <c r="W81" s="299"/>
      <c r="X81" s="299"/>
      <c r="Y81" s="150"/>
      <c r="Z81" s="299"/>
      <c r="AA81" s="299"/>
      <c r="AB81" s="131"/>
      <c r="AC81" s="298"/>
      <c r="AD81" s="298"/>
      <c r="AE81" s="13"/>
      <c r="AF81" s="13"/>
      <c r="AG81" s="13"/>
      <c r="AH81" s="13"/>
      <c r="AI81" s="13"/>
      <c r="AJ81" s="13"/>
      <c r="AK81" s="13"/>
      <c r="AL81" s="13"/>
      <c r="AM81" s="13"/>
      <c r="AN81" s="13"/>
      <c r="AO81" s="13"/>
      <c r="AP81" s="155"/>
      <c r="AQ81" s="155"/>
      <c r="AR81" s="102"/>
      <c r="AS81" s="102"/>
      <c r="AT81" s="102"/>
      <c r="AU81" s="102"/>
      <c r="AV81" s="102"/>
      <c r="AW81" s="102"/>
      <c r="AX81" s="102"/>
      <c r="AY81" s="102"/>
      <c r="AZ81" s="102"/>
      <c r="BA81" s="102"/>
      <c r="BB81" s="102"/>
      <c r="BC81" s="102"/>
      <c r="BD81" s="102"/>
      <c r="BE81" s="102"/>
      <c r="BF81" s="102"/>
      <c r="BG81" s="102"/>
      <c r="BH81" s="102"/>
      <c r="BI81" s="102"/>
      <c r="BJ81" s="102"/>
      <c r="BK81" s="102"/>
      <c r="BL81" s="102"/>
      <c r="BM81" s="102"/>
      <c r="BN81" s="102"/>
      <c r="BO81" s="102"/>
      <c r="BP81" s="102"/>
      <c r="BQ81" s="102"/>
      <c r="BR81" s="102"/>
      <c r="BS81" s="102"/>
      <c r="BT81" s="102"/>
      <c r="BU81" s="102"/>
      <c r="BV81" s="102"/>
      <c r="BW81" s="102"/>
      <c r="BX81" s="102"/>
      <c r="BY81" s="102"/>
      <c r="BZ81" s="102"/>
      <c r="CA81" s="102"/>
      <c r="CB81" s="102"/>
      <c r="CC81" s="102"/>
      <c r="CD81" s="102"/>
      <c r="CE81" s="102"/>
      <c r="CF81" s="102"/>
      <c r="CG81" s="102"/>
      <c r="CH81" s="102"/>
      <c r="CI81" s="102"/>
      <c r="CJ81" s="102"/>
      <c r="CK81" s="102"/>
      <c r="CL81" s="102"/>
      <c r="CM81" s="102"/>
      <c r="CN81" s="102"/>
      <c r="CO81" s="102"/>
      <c r="CP81" s="102"/>
      <c r="CQ81" s="102"/>
      <c r="CR81" s="102"/>
      <c r="CS81" s="102"/>
      <c r="CT81" s="102"/>
      <c r="CU81" s="102"/>
      <c r="CV81" s="102"/>
      <c r="CW81" s="102"/>
      <c r="CX81" s="102"/>
      <c r="CY81" s="102"/>
      <c r="CZ81" s="102"/>
      <c r="DA81" s="102"/>
      <c r="DB81" s="102"/>
      <c r="DC81" s="102"/>
      <c r="DD81" s="102"/>
      <c r="DE81" s="101"/>
      <c r="DF81" s="101"/>
      <c r="DG81" s="101"/>
      <c r="DH81" s="101"/>
      <c r="DI81" s="101"/>
      <c r="DJ81" s="101"/>
      <c r="DK81" s="101"/>
      <c r="DL81" s="101"/>
      <c r="DM81" s="101"/>
      <c r="DN81" s="101"/>
      <c r="DO81" s="101"/>
      <c r="DP81" s="101"/>
      <c r="DQ81" s="101"/>
      <c r="DR81" s="101"/>
      <c r="DS81" s="101"/>
      <c r="DT81" s="101"/>
      <c r="DU81" s="101"/>
      <c r="DV81" s="101"/>
      <c r="DW81" s="101"/>
      <c r="DX81" s="101"/>
      <c r="DY81" s="101"/>
      <c r="DZ81" s="101"/>
      <c r="EA81" s="101"/>
      <c r="EB81" s="101"/>
      <c r="EC81" s="101"/>
      <c r="ED81" s="101"/>
      <c r="EE81" s="102"/>
      <c r="EF81" s="102"/>
      <c r="EG81" s="102"/>
      <c r="EH81" s="102"/>
      <c r="EI81" s="102"/>
      <c r="EJ81" s="102"/>
      <c r="EK81" s="102"/>
      <c r="EL81" s="102"/>
      <c r="EM81" s="102"/>
      <c r="EN81" s="102"/>
      <c r="EO81" s="102"/>
      <c r="EP81" s="102"/>
      <c r="EQ81" s="102"/>
      <c r="ER81" s="102"/>
      <c r="ES81" s="102"/>
      <c r="ET81" s="102"/>
      <c r="EU81" s="102"/>
      <c r="EV81" s="102"/>
      <c r="EW81" s="102"/>
      <c r="EX81" s="102"/>
      <c r="EY81" s="102"/>
      <c r="EZ81" s="102"/>
      <c r="FA81" s="102"/>
      <c r="FB81" s="102"/>
      <c r="FC81" s="102"/>
      <c r="FD81" s="102"/>
      <c r="FE81" s="102"/>
      <c r="FF81" s="102"/>
      <c r="FG81" s="102"/>
      <c r="FH81" s="102"/>
      <c r="FI81" s="102"/>
      <c r="FJ81" s="102"/>
      <c r="FK81" s="102"/>
      <c r="FL81" s="102"/>
      <c r="FM81" s="102"/>
      <c r="FN81" s="102"/>
    </row>
    <row r="82" spans="1:170" s="19" customFormat="1" ht="18" customHeight="1">
      <c r="A82" s="1808"/>
      <c r="B82" s="416">
        <v>145</v>
      </c>
      <c r="C82" s="493" t="str">
        <f>VLOOKUP(B82,Begriffe!$A$6:$E$442,Begriffe!$D$1+2)</f>
        <v>Leuchten-Lichtausbeute</v>
      </c>
      <c r="D82" s="21"/>
      <c r="E82" s="179"/>
      <c r="F82" s="21"/>
      <c r="G82" s="21"/>
      <c r="H82" s="21"/>
      <c r="I82" s="239" t="s">
        <v>200</v>
      </c>
      <c r="J82" s="188" t="s">
        <v>97</v>
      </c>
      <c r="K82" s="188"/>
      <c r="L82" s="1173"/>
      <c r="M82" s="187">
        <f>IF(L82&lt;&gt;"",L82,(0.7*(43+M77/14)))</f>
        <v>55.1</v>
      </c>
      <c r="N82" s="187">
        <f>0.7*(64+M77/14)</f>
        <v>69.8</v>
      </c>
      <c r="O82" s="187">
        <f>M82</f>
        <v>55.1</v>
      </c>
      <c r="P82" s="493">
        <v>1</v>
      </c>
      <c r="Q82" s="989">
        <v>1</v>
      </c>
      <c r="R82" s="493">
        <v>0</v>
      </c>
      <c r="S82" s="131"/>
      <c r="T82" s="298"/>
      <c r="U82" s="298"/>
      <c r="V82" s="150"/>
      <c r="W82" s="299"/>
      <c r="X82" s="299"/>
      <c r="Y82" s="150"/>
      <c r="Z82" s="299"/>
      <c r="AA82" s="299"/>
      <c r="AB82" s="131"/>
      <c r="AC82" s="298"/>
      <c r="AD82" s="298"/>
      <c r="AE82" s="13"/>
      <c r="AF82" s="13"/>
      <c r="AG82" s="13"/>
      <c r="AH82" s="13"/>
      <c r="AI82" s="13"/>
      <c r="AJ82" s="13"/>
      <c r="AK82" s="13"/>
      <c r="AL82" s="13"/>
      <c r="AM82" s="13"/>
      <c r="AN82" s="13"/>
      <c r="AO82" s="13"/>
      <c r="AP82" s="155"/>
      <c r="AQ82" s="155"/>
      <c r="AR82" s="102"/>
      <c r="AS82" s="102"/>
      <c r="AT82" s="102"/>
      <c r="AU82" s="102"/>
      <c r="AV82" s="102"/>
      <c r="AW82" s="102"/>
      <c r="AX82" s="102"/>
      <c r="AY82" s="102"/>
      <c r="AZ82" s="102"/>
      <c r="BA82" s="102"/>
      <c r="BB82" s="102"/>
      <c r="BC82" s="102"/>
      <c r="BD82" s="102"/>
      <c r="BE82" s="102"/>
      <c r="BF82" s="102"/>
      <c r="BG82" s="102"/>
      <c r="BH82" s="102"/>
      <c r="BI82" s="102"/>
      <c r="BJ82" s="102"/>
      <c r="BK82" s="102"/>
      <c r="BL82" s="102"/>
      <c r="BM82" s="102"/>
      <c r="BN82" s="102"/>
      <c r="BO82" s="102"/>
      <c r="BP82" s="102"/>
      <c r="BQ82" s="102"/>
      <c r="BR82" s="102"/>
      <c r="BS82" s="102"/>
      <c r="BT82" s="102"/>
      <c r="BU82" s="102"/>
      <c r="BV82" s="102"/>
      <c r="BW82" s="102"/>
      <c r="BX82" s="102"/>
      <c r="BY82" s="102"/>
      <c r="BZ82" s="102"/>
      <c r="CA82" s="102"/>
      <c r="CB82" s="102"/>
      <c r="CC82" s="102"/>
      <c r="CD82" s="102"/>
      <c r="CE82" s="102"/>
      <c r="CF82" s="102"/>
      <c r="CG82" s="102"/>
      <c r="CH82" s="102"/>
      <c r="CI82" s="102"/>
      <c r="CJ82" s="102"/>
      <c r="CK82" s="102"/>
      <c r="CL82" s="102"/>
      <c r="CM82" s="102"/>
      <c r="CN82" s="102"/>
      <c r="CO82" s="102"/>
      <c r="CP82" s="102"/>
      <c r="CQ82" s="102"/>
      <c r="CR82" s="102"/>
      <c r="CS82" s="102"/>
      <c r="CT82" s="102"/>
      <c r="CU82" s="102"/>
      <c r="CV82" s="102"/>
      <c r="CW82" s="102"/>
      <c r="CX82" s="102"/>
      <c r="CY82" s="102"/>
      <c r="CZ82" s="102"/>
      <c r="DA82" s="102"/>
      <c r="DB82" s="102"/>
      <c r="DC82" s="102"/>
      <c r="DD82" s="102"/>
      <c r="DE82" s="101"/>
      <c r="DF82" s="101"/>
      <c r="DG82" s="101"/>
      <c r="DH82" s="101"/>
      <c r="DI82" s="101"/>
      <c r="DJ82" s="101"/>
      <c r="DK82" s="101"/>
      <c r="DL82" s="101"/>
      <c r="DM82" s="101"/>
      <c r="DN82" s="101"/>
      <c r="DO82" s="101"/>
      <c r="DP82" s="101"/>
      <c r="DQ82" s="101"/>
      <c r="DR82" s="101"/>
      <c r="DS82" s="101"/>
      <c r="DT82" s="101"/>
      <c r="DU82" s="101"/>
      <c r="DV82" s="101"/>
      <c r="DW82" s="101"/>
      <c r="DX82" s="101"/>
      <c r="DY82" s="101"/>
      <c r="DZ82" s="101"/>
      <c r="EA82" s="101"/>
      <c r="EB82" s="101"/>
      <c r="EC82" s="101"/>
      <c r="ED82" s="101"/>
      <c r="EE82" s="102"/>
      <c r="EF82" s="102"/>
      <c r="EG82" s="102"/>
      <c r="EH82" s="102"/>
      <c r="EI82" s="102"/>
      <c r="EJ82" s="102"/>
      <c r="EK82" s="102"/>
      <c r="EL82" s="102"/>
      <c r="EM82" s="102"/>
      <c r="EN82" s="102"/>
      <c r="EO82" s="102"/>
      <c r="EP82" s="102"/>
      <c r="EQ82" s="102"/>
      <c r="ER82" s="102"/>
      <c r="ES82" s="102"/>
      <c r="ET82" s="102"/>
      <c r="EU82" s="102"/>
      <c r="EV82" s="102"/>
      <c r="EW82" s="102"/>
      <c r="EX82" s="102"/>
      <c r="EY82" s="102"/>
      <c r="EZ82" s="102"/>
      <c r="FA82" s="102"/>
      <c r="FB82" s="102"/>
      <c r="FC82" s="102"/>
      <c r="FD82" s="102"/>
      <c r="FE82" s="102"/>
      <c r="FF82" s="102"/>
      <c r="FG82" s="102"/>
      <c r="FH82" s="102"/>
      <c r="FI82" s="102"/>
      <c r="FJ82" s="102"/>
      <c r="FK82" s="102"/>
      <c r="FL82" s="102"/>
      <c r="FM82" s="102"/>
      <c r="FN82" s="102"/>
    </row>
    <row r="83" spans="1:170" s="19" customFormat="1" ht="18" customHeight="1">
      <c r="A83" s="1808"/>
      <c r="B83" s="416">
        <v>161</v>
      </c>
      <c r="C83" s="493" t="str">
        <f>VLOOKUP(B83,Begriffe!$A$6:$E$442,Begriffe!$D$1+2)</f>
        <v>Raumwirkungsgrad</v>
      </c>
      <c r="D83" s="21"/>
      <c r="E83" s="179"/>
      <c r="F83" s="21"/>
      <c r="G83" s="21"/>
      <c r="H83" s="21"/>
      <c r="I83" s="261" t="s">
        <v>203</v>
      </c>
      <c r="J83" s="188" t="s">
        <v>272</v>
      </c>
      <c r="K83" s="188"/>
      <c r="L83" s="173"/>
      <c r="M83" s="314">
        <f>1.25*((1/1)-(1/($M80+1)))</f>
        <v>0.70564516129032251</v>
      </c>
      <c r="N83" s="314">
        <f>1.35*((1/1)-(1/(M80+1)))</f>
        <v>0.76209677419354838</v>
      </c>
      <c r="O83" s="314">
        <f>M83</f>
        <v>0.70564516129032251</v>
      </c>
      <c r="P83" s="493">
        <v>1</v>
      </c>
      <c r="Q83" s="989">
        <v>1</v>
      </c>
      <c r="R83" s="493">
        <v>0</v>
      </c>
      <c r="S83" s="131" t="s">
        <v>192</v>
      </c>
      <c r="T83" s="298"/>
      <c r="U83" s="298"/>
      <c r="V83" s="150"/>
      <c r="W83" s="299"/>
      <c r="X83" s="299"/>
      <c r="Y83" s="150"/>
      <c r="Z83" s="299"/>
      <c r="AA83" s="299"/>
      <c r="AB83" s="131"/>
      <c r="AC83" s="298"/>
      <c r="AD83" s="298"/>
      <c r="AE83" s="13"/>
      <c r="AF83" s="13"/>
      <c r="AG83" s="13"/>
      <c r="AH83" s="13"/>
      <c r="AI83" s="13"/>
      <c r="AJ83" s="13"/>
      <c r="AK83" s="13"/>
      <c r="AL83" s="13"/>
      <c r="AM83" s="13"/>
      <c r="AN83" s="13"/>
      <c r="AO83" s="13"/>
      <c r="AP83" s="155"/>
      <c r="AQ83" s="155"/>
      <c r="AR83" s="102"/>
      <c r="AS83" s="102"/>
      <c r="AT83" s="102"/>
      <c r="AU83" s="102"/>
      <c r="AV83" s="102"/>
      <c r="AW83" s="102"/>
      <c r="AX83" s="102"/>
      <c r="AY83" s="102"/>
      <c r="AZ83" s="102"/>
      <c r="BA83" s="102"/>
      <c r="BB83" s="102"/>
      <c r="BC83" s="102"/>
      <c r="BD83" s="102"/>
      <c r="BE83" s="102"/>
      <c r="BF83" s="102"/>
      <c r="BG83" s="102"/>
      <c r="BH83" s="102"/>
      <c r="BI83" s="102"/>
      <c r="BJ83" s="102"/>
      <c r="BK83" s="102"/>
      <c r="BL83" s="102"/>
      <c r="BM83" s="102"/>
      <c r="BN83" s="102"/>
      <c r="BO83" s="102"/>
      <c r="BP83" s="102"/>
      <c r="BQ83" s="102"/>
      <c r="BR83" s="102"/>
      <c r="BS83" s="102"/>
      <c r="BT83" s="102"/>
      <c r="BU83" s="102"/>
      <c r="BV83" s="102"/>
      <c r="BW83" s="102"/>
      <c r="BX83" s="102"/>
      <c r="BY83" s="102"/>
      <c r="BZ83" s="102"/>
      <c r="CA83" s="102"/>
      <c r="CB83" s="102"/>
      <c r="CC83" s="102"/>
      <c r="CD83" s="102"/>
      <c r="CE83" s="102"/>
      <c r="CF83" s="102"/>
      <c r="CG83" s="102"/>
      <c r="CH83" s="102"/>
      <c r="CI83" s="102"/>
      <c r="CJ83" s="102"/>
      <c r="CK83" s="102"/>
      <c r="CL83" s="102"/>
      <c r="CM83" s="102"/>
      <c r="CN83" s="102"/>
      <c r="CO83" s="102"/>
      <c r="CP83" s="102"/>
      <c r="CQ83" s="102"/>
      <c r="CR83" s="102"/>
      <c r="CS83" s="102"/>
      <c r="CT83" s="102"/>
      <c r="CU83" s="102"/>
      <c r="CV83" s="102"/>
      <c r="CW83" s="102"/>
      <c r="CX83" s="102"/>
      <c r="CY83" s="102"/>
      <c r="CZ83" s="102"/>
      <c r="DA83" s="102"/>
      <c r="DB83" s="102"/>
      <c r="DC83" s="102"/>
      <c r="DD83" s="102"/>
      <c r="DE83" s="101"/>
      <c r="DF83" s="101"/>
      <c r="DG83" s="101"/>
      <c r="DH83" s="101"/>
      <c r="DI83" s="101"/>
      <c r="DJ83" s="101"/>
      <c r="DK83" s="101"/>
      <c r="DL83" s="101"/>
      <c r="DM83" s="101"/>
      <c r="DN83" s="101"/>
      <c r="DO83" s="101"/>
      <c r="DP83" s="101"/>
      <c r="DQ83" s="101"/>
      <c r="DR83" s="101"/>
      <c r="DS83" s="101"/>
      <c r="DT83" s="101"/>
      <c r="DU83" s="101"/>
      <c r="DV83" s="101"/>
      <c r="DW83" s="101"/>
      <c r="DX83" s="101"/>
      <c r="DY83" s="101"/>
      <c r="DZ83" s="101"/>
      <c r="EA83" s="101"/>
      <c r="EB83" s="101"/>
      <c r="EC83" s="101"/>
      <c r="ED83" s="101"/>
      <c r="EE83" s="102"/>
      <c r="EF83" s="102"/>
      <c r="EG83" s="102"/>
      <c r="EH83" s="102"/>
      <c r="EI83" s="102"/>
      <c r="EJ83" s="102"/>
      <c r="EK83" s="102"/>
      <c r="EL83" s="102"/>
      <c r="EM83" s="102"/>
      <c r="EN83" s="102"/>
      <c r="EO83" s="102"/>
      <c r="EP83" s="102"/>
      <c r="EQ83" s="102"/>
      <c r="ER83" s="102"/>
      <c r="ES83" s="102"/>
      <c r="ET83" s="102"/>
      <c r="EU83" s="102"/>
      <c r="EV83" s="102"/>
      <c r="EW83" s="102"/>
      <c r="EX83" s="102"/>
      <c r="EY83" s="102"/>
      <c r="EZ83" s="102"/>
      <c r="FA83" s="102"/>
      <c r="FB83" s="102"/>
      <c r="FC83" s="102"/>
      <c r="FD83" s="102"/>
      <c r="FE83" s="102"/>
      <c r="FF83" s="102"/>
      <c r="FG83" s="102"/>
      <c r="FH83" s="102"/>
      <c r="FI83" s="102"/>
      <c r="FJ83" s="102"/>
      <c r="FK83" s="102"/>
      <c r="FL83" s="102"/>
      <c r="FM83" s="102"/>
      <c r="FN83" s="102"/>
    </row>
    <row r="84" spans="1:170" s="19" customFormat="1" ht="18" customHeight="1">
      <c r="A84" s="1808"/>
      <c r="B84" s="416">
        <v>152</v>
      </c>
      <c r="C84" s="493" t="str">
        <f>VLOOKUP(B84,Begriffe!$A$6:$E$442,Begriffe!$D$1+2)</f>
        <v>Nutzungsstunden pro Tag</v>
      </c>
      <c r="D84" s="21"/>
      <c r="E84" s="177"/>
      <c r="F84" s="21" t="s">
        <v>757</v>
      </c>
      <c r="G84" s="177"/>
      <c r="H84" s="177"/>
      <c r="I84" s="178" t="s">
        <v>235</v>
      </c>
      <c r="J84" s="188" t="s">
        <v>17</v>
      </c>
      <c r="K84" s="188"/>
      <c r="L84" s="1172"/>
      <c r="M84" s="931">
        <f>IF(L84&lt;&gt;"",L84,INDEX(Eingabedaten!$D$10:$FU$54,nutzid,MATCH($C84,Eingabedaten!$D$7:$FU$7,0)))</f>
        <v>11</v>
      </c>
      <c r="N84" s="183"/>
      <c r="O84" s="183"/>
      <c r="P84" s="493">
        <v>0</v>
      </c>
      <c r="Q84" s="989">
        <v>1</v>
      </c>
      <c r="R84" s="493">
        <v>0</v>
      </c>
      <c r="S84" s="131"/>
      <c r="T84" s="298"/>
      <c r="U84" s="298"/>
      <c r="V84" s="150"/>
      <c r="W84" s="299"/>
      <c r="X84" s="1252"/>
      <c r="Y84" s="150"/>
      <c r="Z84" s="299"/>
      <c r="AA84" s="299"/>
      <c r="AB84" s="131"/>
      <c r="AC84" s="298"/>
      <c r="AD84" s="298"/>
      <c r="AE84" s="13"/>
      <c r="AF84" s="13"/>
      <c r="AG84" s="13"/>
      <c r="AH84" s="13"/>
      <c r="AI84" s="13"/>
      <c r="AJ84" s="13"/>
      <c r="AK84" s="13"/>
      <c r="AL84" s="13"/>
      <c r="AM84" s="13"/>
      <c r="AN84" s="13"/>
      <c r="AO84" s="13"/>
      <c r="AP84" s="155"/>
      <c r="AQ84" s="155"/>
      <c r="AR84" s="102"/>
      <c r="AS84" s="102"/>
      <c r="AT84" s="102"/>
      <c r="AU84" s="102"/>
      <c r="AV84" s="102"/>
      <c r="AW84" s="102"/>
      <c r="AX84" s="102"/>
      <c r="AY84" s="102"/>
      <c r="AZ84" s="102"/>
      <c r="BA84" s="102"/>
      <c r="BB84" s="102"/>
      <c r="BC84" s="102"/>
      <c r="BD84" s="102"/>
      <c r="BE84" s="102"/>
      <c r="BF84" s="102"/>
      <c r="BG84" s="102"/>
      <c r="BH84" s="102"/>
      <c r="BI84" s="102"/>
      <c r="BJ84" s="102"/>
      <c r="BK84" s="102"/>
      <c r="BL84" s="102"/>
      <c r="BM84" s="102"/>
      <c r="BN84" s="102"/>
      <c r="BO84" s="102"/>
      <c r="BP84" s="102"/>
      <c r="BQ84" s="102"/>
      <c r="BR84" s="102"/>
      <c r="BS84" s="102"/>
      <c r="BT84" s="102"/>
      <c r="BU84" s="102"/>
      <c r="BV84" s="102"/>
      <c r="BW84" s="102"/>
      <c r="BX84" s="102"/>
      <c r="BY84" s="102"/>
      <c r="BZ84" s="102"/>
      <c r="CA84" s="102"/>
      <c r="CB84" s="102"/>
      <c r="CC84" s="102"/>
      <c r="CD84" s="102"/>
      <c r="CE84" s="102"/>
      <c r="CF84" s="102"/>
      <c r="CG84" s="102"/>
      <c r="CH84" s="102"/>
      <c r="CI84" s="102"/>
      <c r="CJ84" s="102"/>
      <c r="CK84" s="102"/>
      <c r="CL84" s="102"/>
      <c r="CM84" s="102"/>
      <c r="CN84" s="102"/>
      <c r="CO84" s="102"/>
      <c r="CP84" s="102"/>
      <c r="CQ84" s="102"/>
      <c r="CR84" s="102"/>
      <c r="CS84" s="102"/>
      <c r="CT84" s="102"/>
      <c r="CU84" s="102"/>
      <c r="CV84" s="102"/>
      <c r="CW84" s="102"/>
      <c r="CX84" s="102"/>
      <c r="CY84" s="102"/>
      <c r="CZ84" s="102"/>
      <c r="DA84" s="102"/>
      <c r="DB84" s="102"/>
      <c r="DC84" s="102"/>
      <c r="DD84" s="102"/>
      <c r="DE84" s="101"/>
      <c r="DF84" s="101"/>
      <c r="DG84" s="101"/>
      <c r="DH84" s="101"/>
      <c r="DI84" s="101"/>
      <c r="DJ84" s="101"/>
      <c r="DK84" s="101"/>
      <c r="DL84" s="101"/>
      <c r="DM84" s="101"/>
      <c r="DN84" s="101"/>
      <c r="DO84" s="101"/>
      <c r="DP84" s="101"/>
      <c r="DQ84" s="101"/>
      <c r="DR84" s="101"/>
      <c r="DS84" s="101"/>
      <c r="DT84" s="101"/>
      <c r="DU84" s="101"/>
      <c r="DV84" s="101"/>
      <c r="DW84" s="101"/>
      <c r="DX84" s="101"/>
      <c r="DY84" s="101"/>
      <c r="DZ84" s="101"/>
      <c r="EA84" s="101"/>
      <c r="EB84" s="101"/>
      <c r="EC84" s="101"/>
      <c r="ED84" s="101"/>
      <c r="EE84" s="102"/>
      <c r="EF84" s="102"/>
      <c r="EG84" s="102"/>
      <c r="EH84" s="102"/>
      <c r="EI84" s="102"/>
      <c r="EJ84" s="102"/>
      <c r="EK84" s="102"/>
      <c r="EL84" s="102"/>
      <c r="EM84" s="102"/>
      <c r="EN84" s="102"/>
      <c r="EO84" s="102"/>
      <c r="EP84" s="102"/>
      <c r="EQ84" s="102"/>
      <c r="ER84" s="102"/>
      <c r="ES84" s="102"/>
      <c r="ET84" s="102"/>
      <c r="EU84" s="102"/>
      <c r="EV84" s="102"/>
      <c r="EW84" s="102"/>
      <c r="EX84" s="102"/>
      <c r="EY84" s="102"/>
      <c r="EZ84" s="102"/>
      <c r="FA84" s="102"/>
      <c r="FB84" s="102"/>
      <c r="FC84" s="102"/>
      <c r="FD84" s="102"/>
      <c r="FE84" s="102"/>
      <c r="FF84" s="102"/>
      <c r="FG84" s="102"/>
      <c r="FH84" s="102"/>
      <c r="FI84" s="102"/>
      <c r="FJ84" s="102"/>
      <c r="FK84" s="102"/>
      <c r="FL84" s="102"/>
      <c r="FM84" s="102"/>
      <c r="FN84" s="102"/>
    </row>
    <row r="85" spans="1:170" s="19" customFormat="1" ht="18" customHeight="1">
      <c r="A85" s="1808"/>
      <c r="B85" s="416">
        <v>334</v>
      </c>
      <c r="C85" s="493" t="str">
        <f>VLOOKUP(B85,Begriffe!$A$6:$E$442,Begriffe!$D$1+2)</f>
        <v>Nutzungsstunden pro Nacht</v>
      </c>
      <c r="D85" s="21"/>
      <c r="E85" s="177"/>
      <c r="F85" s="21" t="s">
        <v>756</v>
      </c>
      <c r="G85" s="177"/>
      <c r="H85" s="177"/>
      <c r="I85" s="178" t="s">
        <v>236</v>
      </c>
      <c r="J85" s="188" t="s">
        <v>17</v>
      </c>
      <c r="K85" s="188"/>
      <c r="L85" s="1172"/>
      <c r="M85" s="931">
        <f>IF(L85&lt;&gt;"",L85,INDEX(Eingabedaten!$D$10:$FU$54,nutzid,MATCH($C85,Eingabedaten!$D$7:$FU$7,0)))</f>
        <v>0</v>
      </c>
      <c r="N85" s="183"/>
      <c r="O85" s="183"/>
      <c r="P85" s="493">
        <v>0</v>
      </c>
      <c r="Q85" s="989">
        <v>1</v>
      </c>
      <c r="R85" s="493">
        <v>1</v>
      </c>
      <c r="S85" s="131"/>
      <c r="T85" s="298"/>
      <c r="U85" s="298"/>
      <c r="V85" s="150"/>
      <c r="W85" s="299"/>
      <c r="X85" s="1252"/>
      <c r="Y85" s="150"/>
      <c r="Z85" s="299"/>
      <c r="AA85" s="299"/>
      <c r="AB85" s="131"/>
      <c r="AC85" s="298"/>
      <c r="AD85" s="298"/>
      <c r="AE85" s="13"/>
      <c r="AF85" s="13"/>
      <c r="AG85" s="13"/>
      <c r="AH85" s="13"/>
      <c r="AI85" s="13"/>
      <c r="AJ85" s="13"/>
      <c r="AK85" s="13"/>
      <c r="AL85" s="13"/>
      <c r="AM85" s="13"/>
      <c r="AN85" s="13"/>
      <c r="AO85" s="13"/>
      <c r="AP85" s="155"/>
      <c r="AQ85" s="155"/>
      <c r="AR85" s="102"/>
      <c r="AS85" s="102"/>
      <c r="AT85" s="102"/>
      <c r="AU85" s="102"/>
      <c r="AV85" s="102"/>
      <c r="AW85" s="102"/>
      <c r="AX85" s="102"/>
      <c r="AY85" s="102"/>
      <c r="AZ85" s="102"/>
      <c r="BA85" s="102"/>
      <c r="BB85" s="102"/>
      <c r="BC85" s="102"/>
      <c r="BD85" s="102"/>
      <c r="BE85" s="102"/>
      <c r="BF85" s="102"/>
      <c r="BG85" s="102"/>
      <c r="BH85" s="102"/>
      <c r="BI85" s="102"/>
      <c r="BJ85" s="102"/>
      <c r="BK85" s="102"/>
      <c r="BL85" s="102"/>
      <c r="BM85" s="102"/>
      <c r="BN85" s="102"/>
      <c r="BO85" s="102"/>
      <c r="BP85" s="102"/>
      <c r="BQ85" s="102"/>
      <c r="BR85" s="102"/>
      <c r="BS85" s="102"/>
      <c r="BT85" s="102"/>
      <c r="BU85" s="102"/>
      <c r="BV85" s="102"/>
      <c r="BW85" s="102"/>
      <c r="BX85" s="102"/>
      <c r="BY85" s="102"/>
      <c r="BZ85" s="102"/>
      <c r="CA85" s="102"/>
      <c r="CB85" s="102"/>
      <c r="CC85" s="102"/>
      <c r="CD85" s="102"/>
      <c r="CE85" s="102"/>
      <c r="CF85" s="102"/>
      <c r="CG85" s="102"/>
      <c r="CH85" s="102"/>
      <c r="CI85" s="102"/>
      <c r="CJ85" s="102"/>
      <c r="CK85" s="102"/>
      <c r="CL85" s="102"/>
      <c r="CM85" s="102"/>
      <c r="CN85" s="102"/>
      <c r="CO85" s="102"/>
      <c r="CP85" s="102"/>
      <c r="CQ85" s="102"/>
      <c r="CR85" s="102"/>
      <c r="CS85" s="102"/>
      <c r="CT85" s="102"/>
      <c r="CU85" s="102"/>
      <c r="CV85" s="102"/>
      <c r="CW85" s="102"/>
      <c r="CX85" s="102"/>
      <c r="CY85" s="102"/>
      <c r="CZ85" s="102"/>
      <c r="DA85" s="102"/>
      <c r="DB85" s="102"/>
      <c r="DC85" s="102"/>
      <c r="DD85" s="102"/>
      <c r="DE85" s="101"/>
      <c r="DF85" s="101"/>
      <c r="DG85" s="101"/>
      <c r="DH85" s="101"/>
      <c r="DI85" s="101"/>
      <c r="DJ85" s="101"/>
      <c r="DK85" s="101"/>
      <c r="DL85" s="101"/>
      <c r="DM85" s="101"/>
      <c r="DN85" s="101"/>
      <c r="DO85" s="101"/>
      <c r="DP85" s="101"/>
      <c r="DQ85" s="101"/>
      <c r="DR85" s="101"/>
      <c r="DS85" s="101"/>
      <c r="DT85" s="101"/>
      <c r="DU85" s="101"/>
      <c r="DV85" s="101"/>
      <c r="DW85" s="101"/>
      <c r="DX85" s="101"/>
      <c r="DY85" s="101"/>
      <c r="DZ85" s="101"/>
      <c r="EA85" s="101"/>
      <c r="EB85" s="101"/>
      <c r="EC85" s="101"/>
      <c r="ED85" s="101"/>
      <c r="EE85" s="102"/>
      <c r="EF85" s="102"/>
      <c r="EG85" s="102"/>
      <c r="EH85" s="102"/>
      <c r="EI85" s="102"/>
      <c r="EJ85" s="102"/>
      <c r="EK85" s="102"/>
      <c r="EL85" s="102"/>
      <c r="EM85" s="102"/>
      <c r="EN85" s="102"/>
      <c r="EO85" s="102"/>
      <c r="EP85" s="102"/>
      <c r="EQ85" s="102"/>
      <c r="ER85" s="102"/>
      <c r="ES85" s="102"/>
      <c r="ET85" s="102"/>
      <c r="EU85" s="102"/>
      <c r="EV85" s="102"/>
      <c r="EW85" s="102"/>
      <c r="EX85" s="102"/>
      <c r="EY85" s="102"/>
      <c r="EZ85" s="102"/>
      <c r="FA85" s="102"/>
      <c r="FB85" s="102"/>
      <c r="FC85" s="102"/>
      <c r="FD85" s="102"/>
      <c r="FE85" s="102"/>
      <c r="FF85" s="102"/>
      <c r="FG85" s="102"/>
      <c r="FH85" s="102"/>
      <c r="FI85" s="102"/>
      <c r="FJ85" s="102"/>
      <c r="FK85" s="102"/>
      <c r="FL85" s="102"/>
      <c r="FM85" s="102"/>
      <c r="FN85" s="102"/>
    </row>
    <row r="86" spans="1:170" s="13" customFormat="1" ht="18" hidden="1" customHeight="1">
      <c r="A86" s="1808"/>
      <c r="B86" s="30"/>
      <c r="C86" s="26" t="s">
        <v>81</v>
      </c>
      <c r="D86" s="26"/>
      <c r="E86" s="32"/>
      <c r="F86" s="26"/>
      <c r="G86" s="32"/>
      <c r="H86" s="32"/>
      <c r="I86" s="27"/>
      <c r="J86" s="33"/>
      <c r="K86" s="33"/>
      <c r="L86" s="25"/>
      <c r="M86" s="1028">
        <v>1</v>
      </c>
      <c r="N86" s="1028">
        <v>1</v>
      </c>
      <c r="O86" s="1028">
        <v>1</v>
      </c>
      <c r="P86" s="493">
        <v>0</v>
      </c>
      <c r="Q86" s="989">
        <v>0</v>
      </c>
      <c r="R86" s="493">
        <v>0</v>
      </c>
      <c r="S86" s="131"/>
      <c r="T86" s="298"/>
      <c r="U86" s="298"/>
      <c r="V86" s="150"/>
      <c r="W86" s="299"/>
      <c r="X86" s="1252"/>
      <c r="Y86" s="150"/>
      <c r="Z86" s="299"/>
      <c r="AA86" s="299"/>
      <c r="AB86" s="131"/>
      <c r="AC86" s="298"/>
      <c r="AD86" s="29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88"/>
      <c r="BW86" s="88"/>
      <c r="BX86" s="88"/>
      <c r="BY86" s="88"/>
      <c r="BZ86" s="88"/>
      <c r="CA86" s="88"/>
      <c r="CB86" s="88"/>
      <c r="CC86" s="88"/>
      <c r="CD86" s="88"/>
      <c r="CE86" s="88"/>
      <c r="CF86" s="88"/>
      <c r="CG86" s="88"/>
      <c r="CH86" s="88"/>
      <c r="CI86" s="88"/>
      <c r="CJ86" s="88"/>
      <c r="CK86" s="88"/>
      <c r="CL86" s="88"/>
      <c r="CM86" s="88"/>
      <c r="CN86" s="88"/>
      <c r="CO86" s="88"/>
      <c r="CP86" s="88"/>
      <c r="CQ86" s="88"/>
      <c r="CR86" s="88"/>
      <c r="CS86" s="88"/>
      <c r="CT86" s="88"/>
      <c r="CU86" s="88"/>
      <c r="CV86" s="88"/>
      <c r="CW86" s="88"/>
      <c r="CX86" s="88"/>
      <c r="CY86" s="88"/>
      <c r="CZ86" s="88"/>
      <c r="DA86" s="88"/>
      <c r="DB86" s="88"/>
      <c r="DC86" s="88"/>
      <c r="DD86" s="88"/>
      <c r="DE86" s="103"/>
      <c r="DF86" s="103"/>
      <c r="DG86" s="103"/>
      <c r="DH86" s="103"/>
      <c r="DI86" s="103"/>
      <c r="DJ86" s="103"/>
      <c r="DK86" s="103"/>
      <c r="DL86" s="103"/>
      <c r="DM86" s="103"/>
      <c r="DN86" s="103"/>
      <c r="DO86" s="103"/>
      <c r="DP86" s="103"/>
      <c r="DQ86" s="103"/>
      <c r="DR86" s="103"/>
      <c r="DS86" s="103"/>
      <c r="DT86" s="103"/>
      <c r="DU86" s="103"/>
      <c r="DV86" s="103"/>
      <c r="DW86" s="103"/>
      <c r="DX86" s="103"/>
      <c r="DY86" s="103"/>
      <c r="DZ86" s="103"/>
      <c r="EA86" s="103"/>
      <c r="EB86" s="103"/>
      <c r="EC86" s="103"/>
      <c r="ED86" s="103"/>
      <c r="EE86" s="88"/>
      <c r="EF86" s="88"/>
      <c r="EG86" s="88"/>
      <c r="EH86" s="88"/>
      <c r="EI86" s="88"/>
      <c r="EJ86" s="88"/>
      <c r="EK86" s="88"/>
      <c r="EL86" s="88"/>
      <c r="EM86" s="88"/>
      <c r="EN86" s="88"/>
      <c r="EO86" s="88"/>
      <c r="EP86" s="88"/>
      <c r="EQ86" s="88"/>
      <c r="ER86" s="88"/>
      <c r="ES86" s="88"/>
      <c r="ET86" s="88"/>
      <c r="EU86" s="88"/>
      <c r="EV86" s="88"/>
      <c r="EW86" s="88"/>
      <c r="EX86" s="88"/>
      <c r="EY86" s="88"/>
      <c r="EZ86" s="88"/>
      <c r="FA86" s="88"/>
      <c r="FB86" s="88"/>
      <c r="FC86" s="88"/>
      <c r="FD86" s="88"/>
      <c r="FE86" s="88"/>
      <c r="FF86" s="88"/>
      <c r="FG86" s="88"/>
      <c r="FH86" s="88"/>
      <c r="FI86" s="88"/>
      <c r="FJ86" s="88"/>
      <c r="FK86" s="88"/>
      <c r="FL86" s="88"/>
      <c r="FM86" s="88"/>
      <c r="FN86" s="88"/>
    </row>
    <row r="87" spans="1:170" s="19" customFormat="1" ht="18" hidden="1" customHeight="1">
      <c r="A87" s="1808"/>
      <c r="B87" s="30"/>
      <c r="C87" s="26" t="s">
        <v>38</v>
      </c>
      <c r="D87" s="26"/>
      <c r="E87" s="346"/>
      <c r="F87" s="26" t="s">
        <v>36</v>
      </c>
      <c r="G87" s="26"/>
      <c r="H87" s="26"/>
      <c r="I87" s="27" t="s">
        <v>87</v>
      </c>
      <c r="J87" s="33"/>
      <c r="K87" s="33"/>
      <c r="L87" s="25"/>
      <c r="M87" s="347">
        <f>MAX(0.175,0.35*(0.375+($M$77/800))*M86)</f>
        <v>0.35</v>
      </c>
      <c r="N87" s="347">
        <f>MAX(0.175,0.35*(0.375+($M$77/800))*N86)</f>
        <v>0.35</v>
      </c>
      <c r="O87" s="347">
        <f>MAX(0.175,0.35*(0.375+($M$77/800))*O86)</f>
        <v>0.35</v>
      </c>
      <c r="P87" s="493">
        <v>0</v>
      </c>
      <c r="Q87" s="989">
        <v>0</v>
      </c>
      <c r="R87" s="493">
        <v>0</v>
      </c>
      <c r="S87" s="131"/>
      <c r="T87" s="298"/>
      <c r="U87" s="298"/>
      <c r="V87" s="150"/>
      <c r="W87" s="299"/>
      <c r="X87" s="1252"/>
      <c r="Y87" s="150"/>
      <c r="Z87" s="299"/>
      <c r="AA87" s="299"/>
      <c r="AB87" s="131"/>
      <c r="AC87" s="298"/>
      <c r="AD87" s="298"/>
      <c r="AE87" s="13"/>
      <c r="AF87" s="13"/>
      <c r="AG87" s="13"/>
      <c r="AH87" s="13"/>
      <c r="AI87" s="13"/>
      <c r="AJ87" s="13"/>
      <c r="AK87" s="13"/>
      <c r="AL87" s="13"/>
      <c r="AM87" s="13"/>
      <c r="AN87" s="13"/>
      <c r="AO87" s="13"/>
      <c r="AP87" s="155"/>
      <c r="AQ87" s="155"/>
      <c r="AR87" s="102"/>
      <c r="AS87" s="102"/>
      <c r="AT87" s="102"/>
      <c r="AU87" s="102"/>
      <c r="AV87" s="102"/>
      <c r="AW87" s="102"/>
      <c r="AX87" s="102"/>
      <c r="AY87" s="102"/>
      <c r="AZ87" s="102"/>
      <c r="BA87" s="102"/>
      <c r="BB87" s="102"/>
      <c r="BC87" s="102"/>
      <c r="BD87" s="102"/>
      <c r="BE87" s="102"/>
      <c r="BF87" s="102"/>
      <c r="BG87" s="102"/>
      <c r="BH87" s="102"/>
      <c r="BI87" s="102"/>
      <c r="BJ87" s="102"/>
      <c r="BK87" s="102"/>
      <c r="BL87" s="102"/>
      <c r="BM87" s="102"/>
      <c r="BN87" s="102"/>
      <c r="BO87" s="102"/>
      <c r="BP87" s="102"/>
      <c r="BQ87" s="102"/>
      <c r="BR87" s="102"/>
      <c r="BS87" s="102"/>
      <c r="BT87" s="102"/>
      <c r="BU87" s="102"/>
      <c r="BV87" s="102"/>
      <c r="BW87" s="102"/>
      <c r="BX87" s="102"/>
      <c r="BY87" s="102"/>
      <c r="BZ87" s="102"/>
      <c r="CA87" s="102"/>
      <c r="CB87" s="102"/>
      <c r="CC87" s="102"/>
      <c r="CD87" s="102"/>
      <c r="CE87" s="102"/>
      <c r="CF87" s="102"/>
      <c r="CG87" s="102"/>
      <c r="CH87" s="102"/>
      <c r="CI87" s="102"/>
      <c r="CJ87" s="102"/>
      <c r="CK87" s="102"/>
      <c r="CL87" s="102"/>
      <c r="CM87" s="102"/>
      <c r="CN87" s="102"/>
      <c r="CO87" s="102"/>
      <c r="CP87" s="102"/>
      <c r="CQ87" s="102"/>
      <c r="CR87" s="102"/>
      <c r="CS87" s="102"/>
      <c r="CT87" s="102"/>
      <c r="CU87" s="102"/>
      <c r="CV87" s="102"/>
      <c r="CW87" s="102"/>
      <c r="CX87" s="102"/>
      <c r="CY87" s="102"/>
      <c r="CZ87" s="102"/>
      <c r="DA87" s="102"/>
      <c r="DB87" s="102"/>
      <c r="DC87" s="102"/>
      <c r="DD87" s="102"/>
      <c r="DE87" s="101"/>
      <c r="DF87" s="101"/>
      <c r="DG87" s="101"/>
      <c r="DH87" s="101"/>
      <c r="DI87" s="101"/>
      <c r="DJ87" s="101"/>
      <c r="DK87" s="101"/>
      <c r="DL87" s="101"/>
      <c r="DM87" s="101"/>
      <c r="DN87" s="101"/>
      <c r="DO87" s="101"/>
      <c r="DP87" s="101"/>
      <c r="DQ87" s="101"/>
      <c r="DR87" s="101"/>
      <c r="DS87" s="101"/>
      <c r="DT87" s="101"/>
      <c r="DU87" s="101"/>
      <c r="DV87" s="101"/>
      <c r="DW87" s="101"/>
      <c r="DX87" s="101"/>
      <c r="DY87" s="101"/>
      <c r="DZ87" s="101"/>
      <c r="EA87" s="101"/>
      <c r="EB87" s="101"/>
      <c r="EC87" s="101"/>
      <c r="ED87" s="101"/>
      <c r="EE87" s="102"/>
      <c r="EF87" s="102"/>
      <c r="EG87" s="102"/>
      <c r="EH87" s="102"/>
      <c r="EI87" s="102"/>
      <c r="EJ87" s="102"/>
      <c r="EK87" s="102"/>
      <c r="EL87" s="102"/>
      <c r="EM87" s="102"/>
      <c r="EN87" s="102"/>
      <c r="EO87" s="102"/>
      <c r="EP87" s="102"/>
      <c r="EQ87" s="102"/>
      <c r="ER87" s="102"/>
      <c r="ES87" s="102"/>
      <c r="ET87" s="102"/>
      <c r="EU87" s="102"/>
      <c r="EV87" s="102"/>
      <c r="EW87" s="102"/>
      <c r="EX87" s="102"/>
      <c r="EY87" s="102"/>
      <c r="EZ87" s="102"/>
      <c r="FA87" s="102"/>
      <c r="FB87" s="102"/>
      <c r="FC87" s="102"/>
      <c r="FD87" s="102"/>
      <c r="FE87" s="102"/>
      <c r="FF87" s="102"/>
      <c r="FG87" s="102"/>
      <c r="FH87" s="102"/>
      <c r="FI87" s="102"/>
      <c r="FJ87" s="102"/>
      <c r="FK87" s="102"/>
      <c r="FL87" s="102"/>
      <c r="FM87" s="102"/>
      <c r="FN87" s="102"/>
    </row>
    <row r="88" spans="1:170" s="19" customFormat="1" ht="18" hidden="1" customHeight="1">
      <c r="A88" s="1808"/>
      <c r="B88" s="30"/>
      <c r="C88" s="26" t="s">
        <v>37</v>
      </c>
      <c r="D88" s="26"/>
      <c r="E88" s="346"/>
      <c r="F88" s="26"/>
      <c r="G88" s="26"/>
      <c r="H88" s="26"/>
      <c r="I88" s="27" t="s">
        <v>88</v>
      </c>
      <c r="J88" s="33"/>
      <c r="K88" s="33"/>
      <c r="L88" s="348"/>
      <c r="M88" s="1028">
        <v>2</v>
      </c>
      <c r="N88" s="1028">
        <v>1</v>
      </c>
      <c r="O88" s="1028">
        <v>2</v>
      </c>
      <c r="P88" s="493">
        <v>0</v>
      </c>
      <c r="Q88" s="989">
        <v>0</v>
      </c>
      <c r="R88" s="493">
        <v>0</v>
      </c>
      <c r="S88" s="131"/>
      <c r="T88" s="298"/>
      <c r="U88" s="298"/>
      <c r="V88" s="150"/>
      <c r="W88" s="299"/>
      <c r="X88" s="299"/>
      <c r="Y88" s="150"/>
      <c r="Z88" s="299"/>
      <c r="AA88" s="299"/>
      <c r="AB88" s="131"/>
      <c r="AC88" s="298"/>
      <c r="AD88" s="298"/>
      <c r="AE88" s="13"/>
      <c r="AF88" s="13"/>
      <c r="AG88" s="13"/>
      <c r="AH88" s="13"/>
      <c r="AI88" s="13"/>
      <c r="AJ88" s="13"/>
      <c r="AK88" s="13"/>
      <c r="AL88" s="13"/>
      <c r="AM88" s="13"/>
      <c r="AN88" s="13"/>
      <c r="AO88" s="13"/>
      <c r="AP88" s="155"/>
      <c r="AQ88" s="155"/>
      <c r="AR88" s="102"/>
      <c r="AS88" s="102"/>
      <c r="AT88" s="102"/>
      <c r="AU88" s="102"/>
      <c r="AV88" s="102"/>
      <c r="AW88" s="102"/>
      <c r="AX88" s="102"/>
      <c r="AY88" s="102"/>
      <c r="AZ88" s="102"/>
      <c r="BA88" s="102"/>
      <c r="BB88" s="102"/>
      <c r="BC88" s="102"/>
      <c r="BD88" s="102"/>
      <c r="BE88" s="102"/>
      <c r="BF88" s="102"/>
      <c r="BG88" s="102"/>
      <c r="BH88" s="102"/>
      <c r="BI88" s="102"/>
      <c r="BJ88" s="102"/>
      <c r="BK88" s="102"/>
      <c r="BL88" s="102"/>
      <c r="BM88" s="102"/>
      <c r="BN88" s="102"/>
      <c r="BO88" s="102"/>
      <c r="BP88" s="102"/>
      <c r="BQ88" s="102"/>
      <c r="BR88" s="102"/>
      <c r="BS88" s="102"/>
      <c r="BT88" s="102"/>
      <c r="BU88" s="102"/>
      <c r="BV88" s="102"/>
      <c r="BW88" s="102"/>
      <c r="BX88" s="102"/>
      <c r="BY88" s="102"/>
      <c r="BZ88" s="102"/>
      <c r="CA88" s="102"/>
      <c r="CB88" s="102"/>
      <c r="CC88" s="102"/>
      <c r="CD88" s="102"/>
      <c r="CE88" s="102"/>
      <c r="CF88" s="102"/>
      <c r="CG88" s="102"/>
      <c r="CH88" s="102"/>
      <c r="CI88" s="102"/>
      <c r="CJ88" s="102"/>
      <c r="CK88" s="102"/>
      <c r="CL88" s="102"/>
      <c r="CM88" s="102"/>
      <c r="CN88" s="102"/>
      <c r="CO88" s="102"/>
      <c r="CP88" s="102"/>
      <c r="CQ88" s="102"/>
      <c r="CR88" s="102"/>
      <c r="CS88" s="102"/>
      <c r="CT88" s="102"/>
      <c r="CU88" s="102"/>
      <c r="CV88" s="102"/>
      <c r="CW88" s="102"/>
      <c r="CX88" s="102"/>
      <c r="CY88" s="102"/>
      <c r="CZ88" s="102"/>
      <c r="DA88" s="102"/>
      <c r="DB88" s="102"/>
      <c r="DC88" s="102"/>
      <c r="DD88" s="102"/>
      <c r="DE88" s="101"/>
      <c r="DF88" s="101"/>
      <c r="DG88" s="101"/>
      <c r="DH88" s="101"/>
      <c r="DI88" s="101"/>
      <c r="DJ88" s="101"/>
      <c r="DK88" s="101"/>
      <c r="DL88" s="101"/>
      <c r="DM88" s="101"/>
      <c r="DN88" s="101"/>
      <c r="DO88" s="101"/>
      <c r="DP88" s="101"/>
      <c r="DQ88" s="101"/>
      <c r="DR88" s="101"/>
      <c r="DS88" s="101"/>
      <c r="DT88" s="101"/>
      <c r="DU88" s="101"/>
      <c r="DV88" s="101"/>
      <c r="DW88" s="101"/>
      <c r="DX88" s="101"/>
      <c r="DY88" s="101"/>
      <c r="DZ88" s="101"/>
      <c r="EA88" s="101"/>
      <c r="EB88" s="101"/>
      <c r="EC88" s="101"/>
      <c r="ED88" s="101"/>
      <c r="EE88" s="102"/>
      <c r="EF88" s="102"/>
      <c r="EG88" s="102"/>
      <c r="EH88" s="102"/>
      <c r="EI88" s="102"/>
      <c r="EJ88" s="102"/>
      <c r="EK88" s="102"/>
      <c r="EL88" s="102"/>
      <c r="EM88" s="102"/>
      <c r="EN88" s="102"/>
      <c r="EO88" s="102"/>
      <c r="EP88" s="102"/>
      <c r="EQ88" s="102"/>
      <c r="ER88" s="102"/>
      <c r="ES88" s="102"/>
      <c r="ET88" s="102"/>
      <c r="EU88" s="102"/>
      <c r="EV88" s="102"/>
      <c r="EW88" s="102"/>
      <c r="EX88" s="102"/>
      <c r="EY88" s="102"/>
      <c r="EZ88" s="102"/>
      <c r="FA88" s="102"/>
      <c r="FB88" s="102"/>
      <c r="FC88" s="102"/>
      <c r="FD88" s="102"/>
      <c r="FE88" s="102"/>
      <c r="FF88" s="102"/>
      <c r="FG88" s="102"/>
      <c r="FH88" s="102"/>
      <c r="FI88" s="102"/>
      <c r="FJ88" s="102"/>
      <c r="FK88" s="102"/>
      <c r="FL88" s="102"/>
      <c r="FM88" s="102"/>
      <c r="FN88" s="102"/>
    </row>
    <row r="89" spans="1:170" s="19" customFormat="1" ht="18" hidden="1" customHeight="1">
      <c r="A89" s="1808"/>
      <c r="B89" s="30"/>
      <c r="C89" s="26" t="s">
        <v>82</v>
      </c>
      <c r="D89" s="26"/>
      <c r="E89" s="346"/>
      <c r="F89" s="26"/>
      <c r="G89" s="26"/>
      <c r="H89" s="26"/>
      <c r="I89" s="27" t="s">
        <v>18</v>
      </c>
      <c r="J89" s="33" t="s">
        <v>18</v>
      </c>
      <c r="K89" s="33"/>
      <c r="L89" s="348"/>
      <c r="M89" s="28" t="str">
        <f>IF(M88=1,"geregelt","gesteuert")</f>
        <v>gesteuert</v>
      </c>
      <c r="N89" s="28" t="str">
        <f>IF(N88=1,"geregelt","gesteuert")</f>
        <v>geregelt</v>
      </c>
      <c r="O89" s="28" t="str">
        <f>IF(O88=1,"geregelt","gesteuert")</f>
        <v>gesteuert</v>
      </c>
      <c r="P89" s="493">
        <v>0</v>
      </c>
      <c r="Q89" s="989">
        <v>0</v>
      </c>
      <c r="R89" s="493">
        <v>0</v>
      </c>
      <c r="S89" s="131"/>
      <c r="T89" s="298"/>
      <c r="U89" s="298"/>
      <c r="V89" s="150"/>
      <c r="W89" s="299"/>
      <c r="X89" s="299"/>
      <c r="Y89" s="150"/>
      <c r="Z89" s="299"/>
      <c r="AA89" s="299"/>
      <c r="AB89" s="131"/>
      <c r="AC89" s="298"/>
      <c r="AD89" s="298"/>
      <c r="AE89" s="13"/>
      <c r="AF89" s="13"/>
      <c r="AG89" s="13"/>
      <c r="AH89" s="13"/>
      <c r="AI89" s="13"/>
      <c r="AJ89" s="13"/>
      <c r="AK89" s="13"/>
      <c r="AL89" s="13"/>
      <c r="AM89" s="13"/>
      <c r="AN89" s="13"/>
      <c r="AO89" s="13"/>
      <c r="AP89" s="155"/>
      <c r="AQ89" s="155"/>
      <c r="AR89" s="102"/>
      <c r="AS89" s="102"/>
      <c r="AT89" s="102"/>
      <c r="AU89" s="102"/>
      <c r="AV89" s="102"/>
      <c r="AW89" s="102"/>
      <c r="AX89" s="102"/>
      <c r="AY89" s="102"/>
      <c r="AZ89" s="102"/>
      <c r="BA89" s="102"/>
      <c r="BB89" s="102"/>
      <c r="BC89" s="102"/>
      <c r="BD89" s="102"/>
      <c r="BE89" s="102"/>
      <c r="BF89" s="102"/>
      <c r="BG89" s="102"/>
      <c r="BH89" s="102"/>
      <c r="BI89" s="102"/>
      <c r="BJ89" s="102"/>
      <c r="BK89" s="102"/>
      <c r="BL89" s="102"/>
      <c r="BM89" s="102"/>
      <c r="BN89" s="102"/>
      <c r="BO89" s="102"/>
      <c r="BP89" s="102"/>
      <c r="BQ89" s="102"/>
      <c r="BR89" s="102"/>
      <c r="BS89" s="102"/>
      <c r="BT89" s="102"/>
      <c r="BU89" s="102"/>
      <c r="BV89" s="102"/>
      <c r="BW89" s="102"/>
      <c r="BX89" s="102"/>
      <c r="BY89" s="102"/>
      <c r="BZ89" s="102"/>
      <c r="CA89" s="102"/>
      <c r="CB89" s="102"/>
      <c r="CC89" s="102"/>
      <c r="CD89" s="102"/>
      <c r="CE89" s="102"/>
      <c r="CF89" s="102"/>
      <c r="CG89" s="102"/>
      <c r="CH89" s="102"/>
      <c r="CI89" s="102"/>
      <c r="CJ89" s="102"/>
      <c r="CK89" s="102"/>
      <c r="CL89" s="102"/>
      <c r="CM89" s="102"/>
      <c r="CN89" s="102"/>
      <c r="CO89" s="102"/>
      <c r="CP89" s="102"/>
      <c r="CQ89" s="102"/>
      <c r="CR89" s="102"/>
      <c r="CS89" s="102"/>
      <c r="CT89" s="102"/>
      <c r="CU89" s="102"/>
      <c r="CV89" s="102"/>
      <c r="CW89" s="102"/>
      <c r="CX89" s="102"/>
      <c r="CY89" s="102"/>
      <c r="CZ89" s="102"/>
      <c r="DA89" s="102"/>
      <c r="DB89" s="102"/>
      <c r="DC89" s="102"/>
      <c r="DD89" s="102"/>
      <c r="DE89" s="101"/>
      <c r="DF89" s="101"/>
      <c r="DG89" s="101"/>
      <c r="DH89" s="101"/>
      <c r="DI89" s="101"/>
      <c r="DJ89" s="101"/>
      <c r="DK89" s="101"/>
      <c r="DL89" s="101"/>
      <c r="DM89" s="101"/>
      <c r="DN89" s="101"/>
      <c r="DO89" s="101"/>
      <c r="DP89" s="101"/>
      <c r="DQ89" s="101"/>
      <c r="DR89" s="101"/>
      <c r="DS89" s="101"/>
      <c r="DT89" s="101"/>
      <c r="DU89" s="101"/>
      <c r="DV89" s="101"/>
      <c r="DW89" s="101"/>
      <c r="DX89" s="101"/>
      <c r="DY89" s="101"/>
      <c r="DZ89" s="101"/>
      <c r="EA89" s="101"/>
      <c r="EB89" s="101"/>
      <c r="EC89" s="101"/>
      <c r="ED89" s="101"/>
      <c r="EE89" s="102"/>
      <c r="EF89" s="102"/>
      <c r="EG89" s="102"/>
      <c r="EH89" s="102"/>
      <c r="EI89" s="102"/>
      <c r="EJ89" s="102"/>
      <c r="EK89" s="102"/>
      <c r="EL89" s="102"/>
      <c r="EM89" s="102"/>
      <c r="EN89" s="102"/>
      <c r="EO89" s="102"/>
      <c r="EP89" s="102"/>
      <c r="EQ89" s="102"/>
      <c r="ER89" s="102"/>
      <c r="ES89" s="102"/>
      <c r="ET89" s="102"/>
      <c r="EU89" s="102"/>
      <c r="EV89" s="102"/>
      <c r="EW89" s="102"/>
      <c r="EX89" s="102"/>
      <c r="EY89" s="102"/>
      <c r="EZ89" s="102"/>
      <c r="FA89" s="102"/>
      <c r="FB89" s="102"/>
      <c r="FC89" s="102"/>
      <c r="FD89" s="102"/>
      <c r="FE89" s="102"/>
      <c r="FF89" s="102"/>
      <c r="FG89" s="102"/>
      <c r="FH89" s="102"/>
      <c r="FI89" s="102"/>
      <c r="FJ89" s="102"/>
      <c r="FK89" s="102"/>
      <c r="FL89" s="102"/>
      <c r="FM89" s="102"/>
      <c r="FN89" s="102"/>
    </row>
    <row r="90" spans="1:170" s="19" customFormat="1" ht="18" hidden="1" customHeight="1">
      <c r="A90" s="1808"/>
      <c r="B90" s="30"/>
      <c r="C90" s="26" t="s">
        <v>39</v>
      </c>
      <c r="D90" s="26"/>
      <c r="E90" s="346"/>
      <c r="F90" s="26"/>
      <c r="G90" s="26"/>
      <c r="H90" s="26"/>
      <c r="I90" s="27" t="s">
        <v>89</v>
      </c>
      <c r="J90" s="33"/>
      <c r="K90" s="33"/>
      <c r="L90" s="348"/>
      <c r="M90" s="1028">
        <v>1.1000000000000001</v>
      </c>
      <c r="N90" s="1028">
        <v>1</v>
      </c>
      <c r="O90" s="1028">
        <v>1.1000000000000001</v>
      </c>
      <c r="P90" s="493">
        <v>0</v>
      </c>
      <c r="Q90" s="989">
        <v>0</v>
      </c>
      <c r="R90" s="493">
        <v>0</v>
      </c>
      <c r="S90" s="131"/>
      <c r="T90" s="298"/>
      <c r="U90" s="298"/>
      <c r="V90" s="150"/>
      <c r="W90" s="299"/>
      <c r="X90" s="299"/>
      <c r="Y90" s="150"/>
      <c r="Z90" s="299"/>
      <c r="AA90" s="299"/>
      <c r="AB90" s="131"/>
      <c r="AC90" s="298"/>
      <c r="AD90" s="298"/>
      <c r="AE90" s="13"/>
      <c r="AF90" s="13"/>
      <c r="AG90" s="13"/>
      <c r="AH90" s="13"/>
      <c r="AI90" s="13"/>
      <c r="AJ90" s="13"/>
      <c r="AK90" s="13"/>
      <c r="AL90" s="13"/>
      <c r="AM90" s="13"/>
      <c r="AN90" s="13"/>
      <c r="AO90" s="13"/>
      <c r="AP90" s="155"/>
      <c r="AQ90" s="155"/>
      <c r="AR90" s="102"/>
      <c r="AS90" s="102"/>
      <c r="AT90" s="102"/>
      <c r="AU90" s="102"/>
      <c r="AV90" s="102"/>
      <c r="AW90" s="102"/>
      <c r="AX90" s="102"/>
      <c r="AY90" s="102"/>
      <c r="AZ90" s="102"/>
      <c r="BA90" s="102"/>
      <c r="BB90" s="102"/>
      <c r="BC90" s="102"/>
      <c r="BD90" s="102"/>
      <c r="BE90" s="102"/>
      <c r="BF90" s="102"/>
      <c r="BG90" s="102"/>
      <c r="BH90" s="102"/>
      <c r="BI90" s="102"/>
      <c r="BJ90" s="102"/>
      <c r="BK90" s="102"/>
      <c r="BL90" s="102"/>
      <c r="BM90" s="102"/>
      <c r="BN90" s="102"/>
      <c r="BO90" s="102"/>
      <c r="BP90" s="102"/>
      <c r="BQ90" s="102"/>
      <c r="BR90" s="102"/>
      <c r="BS90" s="102"/>
      <c r="BT90" s="102"/>
      <c r="BU90" s="102"/>
      <c r="BV90" s="102"/>
      <c r="BW90" s="102"/>
      <c r="BX90" s="102"/>
      <c r="BY90" s="102"/>
      <c r="BZ90" s="102"/>
      <c r="CA90" s="102"/>
      <c r="CB90" s="102"/>
      <c r="CC90" s="102"/>
      <c r="CD90" s="102"/>
      <c r="CE90" s="102"/>
      <c r="CF90" s="102"/>
      <c r="CG90" s="102"/>
      <c r="CH90" s="102"/>
      <c r="CI90" s="102"/>
      <c r="CJ90" s="102"/>
      <c r="CK90" s="102"/>
      <c r="CL90" s="102"/>
      <c r="CM90" s="102"/>
      <c r="CN90" s="102"/>
      <c r="CO90" s="102"/>
      <c r="CP90" s="102"/>
      <c r="CQ90" s="102"/>
      <c r="CR90" s="102"/>
      <c r="CS90" s="102"/>
      <c r="CT90" s="102"/>
      <c r="CU90" s="102"/>
      <c r="CV90" s="102"/>
      <c r="CW90" s="102"/>
      <c r="CX90" s="102"/>
      <c r="CY90" s="102"/>
      <c r="CZ90" s="102"/>
      <c r="DA90" s="102"/>
      <c r="DB90" s="102"/>
      <c r="DC90" s="102"/>
      <c r="DD90" s="102"/>
      <c r="DE90" s="101"/>
      <c r="DF90" s="101"/>
      <c r="DG90" s="101"/>
      <c r="DH90" s="101"/>
      <c r="DI90" s="101"/>
      <c r="DJ90" s="101"/>
      <c r="DK90" s="101"/>
      <c r="DL90" s="101"/>
      <c r="DM90" s="101"/>
      <c r="DN90" s="101"/>
      <c r="DO90" s="101"/>
      <c r="DP90" s="101"/>
      <c r="DQ90" s="101"/>
      <c r="DR90" s="101"/>
      <c r="DS90" s="101"/>
      <c r="DT90" s="101"/>
      <c r="DU90" s="101"/>
      <c r="DV90" s="101"/>
      <c r="DW90" s="101"/>
      <c r="DX90" s="101"/>
      <c r="DY90" s="101"/>
      <c r="DZ90" s="101"/>
      <c r="EA90" s="101"/>
      <c r="EB90" s="101"/>
      <c r="EC90" s="101"/>
      <c r="ED90" s="101"/>
      <c r="EE90" s="102"/>
      <c r="EF90" s="102"/>
      <c r="EG90" s="102"/>
      <c r="EH90" s="102"/>
      <c r="EI90" s="102"/>
      <c r="EJ90" s="102"/>
      <c r="EK90" s="102"/>
      <c r="EL90" s="102"/>
      <c r="EM90" s="102"/>
      <c r="EN90" s="102"/>
      <c r="EO90" s="102"/>
      <c r="EP90" s="102"/>
      <c r="EQ90" s="102"/>
      <c r="ER90" s="102"/>
      <c r="ES90" s="102"/>
      <c r="ET90" s="102"/>
      <c r="EU90" s="102"/>
      <c r="EV90" s="102"/>
      <c r="EW90" s="102"/>
      <c r="EX90" s="102"/>
      <c r="EY90" s="102"/>
      <c r="EZ90" s="102"/>
      <c r="FA90" s="102"/>
      <c r="FB90" s="102"/>
      <c r="FC90" s="102"/>
      <c r="FD90" s="102"/>
      <c r="FE90" s="102"/>
      <c r="FF90" s="102"/>
      <c r="FG90" s="102"/>
      <c r="FH90" s="102"/>
      <c r="FI90" s="102"/>
      <c r="FJ90" s="102"/>
      <c r="FK90" s="102"/>
      <c r="FL90" s="102"/>
      <c r="FM90" s="102"/>
      <c r="FN90" s="102"/>
    </row>
    <row r="91" spans="1:170" s="19" customFormat="1" ht="18" hidden="1" customHeight="1">
      <c r="A91" s="1808"/>
      <c r="B91" s="30">
        <v>146</v>
      </c>
      <c r="C91" s="26" t="str">
        <f>VLOOKUP(B91,Begriffe!$A$6:$E$442,Begriffe!$D$1+2)</f>
        <v>Lichttransmissionsgrad</v>
      </c>
      <c r="D91" s="32"/>
      <c r="E91" s="32"/>
      <c r="F91" s="32"/>
      <c r="G91" s="32"/>
      <c r="H91" s="32"/>
      <c r="I91" s="27"/>
      <c r="J91" s="33" t="s">
        <v>18</v>
      </c>
      <c r="K91" s="33"/>
      <c r="L91" s="28"/>
      <c r="M91" s="1028">
        <f>INDEX(Eingabedaten!$D$10:$CY$54,nutzid,MATCH($C91,Eingabedaten!$D$7:$CY$7,0))</f>
        <v>0.7</v>
      </c>
      <c r="N91" s="1028">
        <f>INDEX(Eingabedaten!$D$10:$CY$54,nutzid,MATCH($C91,Eingabedaten!$D$7:$CY$7,0))</f>
        <v>0.7</v>
      </c>
      <c r="O91" s="1028">
        <f>INDEX(Eingabedaten!$D$10:$CY$54,nutzid,MATCH($C91,Eingabedaten!$D$7:$CY$7,0))</f>
        <v>0.7</v>
      </c>
      <c r="P91" s="493">
        <v>0</v>
      </c>
      <c r="Q91" s="989">
        <v>0</v>
      </c>
      <c r="R91" s="493">
        <v>0</v>
      </c>
      <c r="S91" s="131"/>
      <c r="T91" s="298"/>
      <c r="U91" s="298"/>
      <c r="V91" s="150"/>
      <c r="W91" s="299"/>
      <c r="X91" s="299"/>
      <c r="Y91" s="150"/>
      <c r="Z91" s="299"/>
      <c r="AA91" s="299"/>
      <c r="AB91" s="131"/>
      <c r="AC91" s="298"/>
      <c r="AD91" s="298"/>
      <c r="AE91" s="13"/>
      <c r="AF91" s="13"/>
      <c r="AG91" s="13"/>
      <c r="AH91" s="13"/>
      <c r="AI91" s="13"/>
      <c r="AJ91" s="13"/>
      <c r="AK91" s="13"/>
      <c r="AL91" s="13"/>
      <c r="AM91" s="13"/>
      <c r="AN91" s="13"/>
      <c r="AO91" s="13"/>
      <c r="AP91" s="155"/>
      <c r="AQ91" s="155"/>
      <c r="AR91" s="102"/>
      <c r="AS91" s="102"/>
      <c r="AT91" s="102"/>
      <c r="AU91" s="102"/>
      <c r="AV91" s="102"/>
      <c r="AW91" s="102"/>
      <c r="AX91" s="102"/>
      <c r="AY91" s="102"/>
      <c r="AZ91" s="102"/>
      <c r="BA91" s="102"/>
      <c r="BB91" s="102"/>
      <c r="BC91" s="102"/>
      <c r="BD91" s="102"/>
      <c r="BE91" s="102"/>
      <c r="BF91" s="102"/>
      <c r="BG91" s="102"/>
      <c r="BH91" s="102"/>
      <c r="BI91" s="102"/>
      <c r="BJ91" s="102"/>
      <c r="BK91" s="102"/>
      <c r="BL91" s="102"/>
      <c r="BM91" s="102"/>
      <c r="BN91" s="102"/>
      <c r="BO91" s="102"/>
      <c r="BP91" s="102"/>
      <c r="BQ91" s="102"/>
      <c r="BR91" s="102"/>
      <c r="BS91" s="102"/>
      <c r="BT91" s="102"/>
      <c r="BU91" s="102"/>
      <c r="BV91" s="102"/>
      <c r="BW91" s="102"/>
      <c r="BX91" s="102"/>
      <c r="BY91" s="102"/>
      <c r="BZ91" s="102"/>
      <c r="CA91" s="102"/>
      <c r="CB91" s="102"/>
      <c r="CC91" s="102"/>
      <c r="CD91" s="102"/>
      <c r="CE91" s="102"/>
      <c r="CF91" s="102"/>
      <c r="CG91" s="102"/>
      <c r="CH91" s="102"/>
      <c r="CI91" s="102"/>
      <c r="CJ91" s="102"/>
      <c r="CK91" s="102"/>
      <c r="CL91" s="102"/>
      <c r="CM91" s="102"/>
      <c r="CN91" s="102"/>
      <c r="CO91" s="102"/>
      <c r="CP91" s="102"/>
      <c r="CQ91" s="102"/>
      <c r="CR91" s="102"/>
      <c r="CS91" s="102"/>
      <c r="CT91" s="102"/>
      <c r="CU91" s="102"/>
      <c r="CV91" s="102"/>
      <c r="CW91" s="102"/>
      <c r="CX91" s="102"/>
      <c r="CY91" s="102"/>
      <c r="CZ91" s="102"/>
      <c r="DA91" s="102"/>
      <c r="DB91" s="102"/>
      <c r="DC91" s="102"/>
      <c r="DD91" s="102"/>
      <c r="DE91" s="101"/>
      <c r="DF91" s="101"/>
      <c r="DG91" s="101"/>
      <c r="DH91" s="101"/>
      <c r="DI91" s="101"/>
      <c r="DJ91" s="101"/>
      <c r="DK91" s="101"/>
      <c r="DL91" s="101"/>
      <c r="DM91" s="101"/>
      <c r="DN91" s="101"/>
      <c r="DO91" s="101"/>
      <c r="DP91" s="101"/>
      <c r="DQ91" s="101"/>
      <c r="DR91" s="101"/>
      <c r="DS91" s="101"/>
      <c r="DT91" s="101"/>
      <c r="DU91" s="101"/>
      <c r="DV91" s="101"/>
      <c r="DW91" s="101"/>
      <c r="DX91" s="101"/>
      <c r="DY91" s="101"/>
      <c r="DZ91" s="101"/>
      <c r="EA91" s="101"/>
      <c r="EB91" s="101"/>
      <c r="EC91" s="101"/>
      <c r="ED91" s="101"/>
      <c r="EE91" s="102"/>
      <c r="EF91" s="102"/>
      <c r="EG91" s="102"/>
      <c r="EH91" s="102"/>
      <c r="EI91" s="102"/>
      <c r="EJ91" s="102"/>
      <c r="EK91" s="102"/>
      <c r="EL91" s="102"/>
      <c r="EM91" s="102"/>
      <c r="EN91" s="102"/>
      <c r="EO91" s="102"/>
      <c r="EP91" s="102"/>
      <c r="EQ91" s="102"/>
      <c r="ER91" s="102"/>
      <c r="ES91" s="102"/>
      <c r="ET91" s="102"/>
      <c r="EU91" s="102"/>
      <c r="EV91" s="102"/>
      <c r="EW91" s="102"/>
      <c r="EX91" s="102"/>
      <c r="EY91" s="102"/>
      <c r="EZ91" s="102"/>
      <c r="FA91" s="102"/>
      <c r="FB91" s="102"/>
      <c r="FC91" s="102"/>
      <c r="FD91" s="102"/>
      <c r="FE91" s="102"/>
      <c r="FF91" s="102"/>
      <c r="FG91" s="102"/>
      <c r="FH91" s="102"/>
      <c r="FI91" s="102"/>
      <c r="FJ91" s="102"/>
      <c r="FK91" s="102"/>
      <c r="FL91" s="102"/>
      <c r="FM91" s="102"/>
      <c r="FN91" s="102"/>
    </row>
    <row r="92" spans="1:170" s="42" customFormat="1" ht="18" hidden="1" customHeight="1">
      <c r="A92" s="1808"/>
      <c r="B92" s="30">
        <v>141</v>
      </c>
      <c r="C92" s="26" t="str">
        <f>VLOOKUP(B92,Begriffe!$A$6:$E$442,Begriffe!$D$1+2)</f>
        <v>Korrekturfaktor für Präsenzregelung</v>
      </c>
      <c r="D92" s="26"/>
      <c r="E92" s="346"/>
      <c r="F92" s="26"/>
      <c r="G92" s="26"/>
      <c r="H92" s="26"/>
      <c r="I92" s="27" t="s">
        <v>90</v>
      </c>
      <c r="J92" s="33"/>
      <c r="K92" s="33"/>
      <c r="L92" s="25"/>
      <c r="M92" s="1028">
        <f>0.7/M91</f>
        <v>1</v>
      </c>
      <c r="N92" s="1028">
        <f>0.7/N91</f>
        <v>1</v>
      </c>
      <c r="O92" s="1028">
        <f>0.7/O91</f>
        <v>1</v>
      </c>
      <c r="P92" s="493">
        <v>0</v>
      </c>
      <c r="Q92" s="989">
        <v>0</v>
      </c>
      <c r="R92" s="493">
        <v>0</v>
      </c>
      <c r="S92" s="131"/>
      <c r="T92" s="298"/>
      <c r="U92" s="298"/>
      <c r="V92" s="150"/>
      <c r="W92" s="299"/>
      <c r="X92" s="299"/>
      <c r="Y92" s="150"/>
      <c r="Z92" s="299"/>
      <c r="AA92" s="299"/>
      <c r="AB92" s="131"/>
      <c r="AC92" s="298"/>
      <c r="AD92" s="298"/>
      <c r="AE92" s="13"/>
      <c r="AF92" s="13"/>
      <c r="AG92" s="13"/>
      <c r="AH92" s="13"/>
      <c r="AI92" s="13"/>
      <c r="AJ92" s="13"/>
      <c r="AK92" s="13"/>
      <c r="AL92" s="13"/>
      <c r="AM92" s="13"/>
      <c r="AN92" s="13"/>
      <c r="AO92" s="13"/>
      <c r="AP92" s="13"/>
      <c r="AQ92" s="13"/>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88"/>
      <c r="BZ92" s="88"/>
      <c r="CA92" s="88"/>
      <c r="CB92" s="88"/>
      <c r="CC92" s="88"/>
      <c r="CD92" s="88"/>
      <c r="CE92" s="88"/>
      <c r="CF92" s="88"/>
      <c r="CG92" s="88"/>
      <c r="CH92" s="88"/>
      <c r="CI92" s="88"/>
      <c r="CJ92" s="88"/>
      <c r="CK92" s="88"/>
      <c r="CL92" s="88"/>
      <c r="CM92" s="88"/>
      <c r="CN92" s="88"/>
      <c r="CO92" s="88"/>
      <c r="CP92" s="88"/>
      <c r="CQ92" s="88"/>
      <c r="CR92" s="88"/>
      <c r="CS92" s="88"/>
      <c r="CT92" s="88"/>
      <c r="CU92" s="88"/>
      <c r="CV92" s="88"/>
      <c r="CW92" s="88"/>
      <c r="CX92" s="88"/>
      <c r="CY92" s="88"/>
      <c r="CZ92" s="88"/>
      <c r="DA92" s="88"/>
      <c r="DB92" s="88"/>
      <c r="DC92" s="88"/>
      <c r="DD92" s="88"/>
      <c r="DE92" s="103"/>
      <c r="DF92" s="103"/>
      <c r="DG92" s="103"/>
      <c r="DH92" s="103"/>
      <c r="DI92" s="103"/>
      <c r="DJ92" s="103"/>
      <c r="DK92" s="103"/>
      <c r="DL92" s="103"/>
      <c r="DM92" s="103"/>
      <c r="DN92" s="103"/>
      <c r="DO92" s="103"/>
      <c r="DP92" s="103"/>
      <c r="DQ92" s="103"/>
      <c r="DR92" s="103"/>
      <c r="DS92" s="103"/>
      <c r="DT92" s="103"/>
      <c r="DU92" s="103"/>
      <c r="DV92" s="103"/>
      <c r="DW92" s="103"/>
      <c r="DX92" s="103"/>
      <c r="DY92" s="103"/>
      <c r="DZ92" s="103"/>
      <c r="EA92" s="103"/>
      <c r="EB92" s="103"/>
      <c r="EC92" s="103"/>
      <c r="ED92" s="103"/>
      <c r="EE92" s="88"/>
      <c r="EF92" s="88"/>
      <c r="EG92" s="88"/>
      <c r="EH92" s="88"/>
      <c r="EI92" s="88"/>
      <c r="EJ92" s="88"/>
      <c r="EK92" s="88"/>
      <c r="EL92" s="88"/>
      <c r="EM92" s="88"/>
      <c r="EN92" s="88"/>
      <c r="EO92" s="88"/>
      <c r="EP92" s="88"/>
      <c r="EQ92" s="88"/>
      <c r="ER92" s="88"/>
      <c r="ES92" s="88"/>
      <c r="ET92" s="88"/>
      <c r="EU92" s="88"/>
      <c r="EV92" s="88"/>
      <c r="EW92" s="88"/>
      <c r="EX92" s="88"/>
      <c r="EY92" s="88"/>
      <c r="EZ92" s="88"/>
      <c r="FA92" s="88"/>
      <c r="FB92" s="88"/>
      <c r="FC92" s="88"/>
      <c r="FD92" s="88"/>
      <c r="FE92" s="88"/>
      <c r="FF92" s="88"/>
      <c r="FG92" s="88"/>
      <c r="FH92" s="88"/>
      <c r="FI92" s="88"/>
      <c r="FJ92" s="88"/>
      <c r="FK92" s="88"/>
      <c r="FL92" s="88"/>
      <c r="FM92" s="88"/>
      <c r="FN92" s="88"/>
    </row>
    <row r="93" spans="1:170" s="42" customFormat="1" ht="18" hidden="1" customHeight="1">
      <c r="A93" s="1808"/>
      <c r="B93" s="30"/>
      <c r="C93" s="26" t="s">
        <v>40</v>
      </c>
      <c r="D93" s="26"/>
      <c r="E93" s="346"/>
      <c r="F93" s="26"/>
      <c r="G93" s="26"/>
      <c r="H93" s="26"/>
      <c r="I93" s="27" t="s">
        <v>91</v>
      </c>
      <c r="J93" s="33"/>
      <c r="K93" s="33"/>
      <c r="L93" s="25"/>
      <c r="M93" s="1027">
        <f>1/(1-(0.2*0.55))</f>
        <v>1.1235955056179776</v>
      </c>
      <c r="N93" s="1027">
        <f>1/(1-(0.2*0.55))</f>
        <v>1.1235955056179776</v>
      </c>
      <c r="O93" s="1027">
        <f>1/(1-(0.2*0.55))</f>
        <v>1.1235955056179776</v>
      </c>
      <c r="P93" s="493">
        <v>0</v>
      </c>
      <c r="Q93" s="989">
        <v>0</v>
      </c>
      <c r="R93" s="493">
        <v>0</v>
      </c>
      <c r="S93" s="131"/>
      <c r="T93" s="298"/>
      <c r="U93" s="298"/>
      <c r="V93" s="150"/>
      <c r="W93" s="299"/>
      <c r="X93" s="299"/>
      <c r="Y93" s="150"/>
      <c r="Z93" s="299"/>
      <c r="AA93" s="299"/>
      <c r="AB93" s="131"/>
      <c r="AC93" s="298"/>
      <c r="AD93" s="298"/>
      <c r="AE93" s="13"/>
      <c r="AF93" s="13"/>
      <c r="AG93" s="13"/>
      <c r="AH93" s="13"/>
      <c r="AI93" s="13"/>
      <c r="AJ93" s="13"/>
      <c r="AK93" s="13"/>
      <c r="AL93" s="13"/>
      <c r="AM93" s="13"/>
      <c r="AN93" s="13"/>
      <c r="AO93" s="13"/>
      <c r="AP93" s="13"/>
      <c r="AQ93" s="13"/>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88"/>
      <c r="BZ93" s="88"/>
      <c r="CA93" s="88"/>
      <c r="CB93" s="88"/>
      <c r="CC93" s="88"/>
      <c r="CD93" s="88"/>
      <c r="CE93" s="88"/>
      <c r="CF93" s="88"/>
      <c r="CG93" s="88"/>
      <c r="CH93" s="88"/>
      <c r="CI93" s="88"/>
      <c r="CJ93" s="88"/>
      <c r="CK93" s="88"/>
      <c r="CL93" s="88"/>
      <c r="CM93" s="88"/>
      <c r="CN93" s="88"/>
      <c r="CO93" s="88"/>
      <c r="CP93" s="88"/>
      <c r="CQ93" s="88"/>
      <c r="CR93" s="88"/>
      <c r="CS93" s="88"/>
      <c r="CT93" s="88"/>
      <c r="CU93" s="88"/>
      <c r="CV93" s="88"/>
      <c r="CW93" s="88"/>
      <c r="CX93" s="88"/>
      <c r="CY93" s="88"/>
      <c r="CZ93" s="88"/>
      <c r="DA93" s="88"/>
      <c r="DB93" s="88"/>
      <c r="DC93" s="88"/>
      <c r="DD93" s="88"/>
      <c r="DE93" s="103"/>
      <c r="DF93" s="103"/>
      <c r="DG93" s="103"/>
      <c r="DH93" s="103"/>
      <c r="DI93" s="103"/>
      <c r="DJ93" s="103"/>
      <c r="DK93" s="103"/>
      <c r="DL93" s="103"/>
      <c r="DM93" s="103"/>
      <c r="DN93" s="103"/>
      <c r="DO93" s="103"/>
      <c r="DP93" s="103"/>
      <c r="DQ93" s="103"/>
      <c r="DR93" s="103"/>
      <c r="DS93" s="103"/>
      <c r="DT93" s="103"/>
      <c r="DU93" s="103"/>
      <c r="DV93" s="103"/>
      <c r="DW93" s="103"/>
      <c r="DX93" s="103"/>
      <c r="DY93" s="103"/>
      <c r="DZ93" s="103"/>
      <c r="EA93" s="103"/>
      <c r="EB93" s="103"/>
      <c r="EC93" s="103"/>
      <c r="ED93" s="103"/>
      <c r="EE93" s="88"/>
      <c r="EF93" s="88"/>
      <c r="EG93" s="88"/>
      <c r="EH93" s="88"/>
      <c r="EI93" s="88"/>
      <c r="EJ93" s="88"/>
      <c r="EK93" s="88"/>
      <c r="EL93" s="88"/>
      <c r="EM93" s="88"/>
      <c r="EN93" s="88"/>
      <c r="EO93" s="88"/>
      <c r="EP93" s="88"/>
      <c r="EQ93" s="88"/>
      <c r="ER93" s="88"/>
      <c r="ES93" s="88"/>
      <c r="ET93" s="88"/>
      <c r="EU93" s="88"/>
      <c r="EV93" s="88"/>
      <c r="EW93" s="88"/>
      <c r="EX93" s="88"/>
      <c r="EY93" s="88"/>
      <c r="EZ93" s="88"/>
      <c r="FA93" s="88"/>
      <c r="FB93" s="88"/>
      <c r="FC93" s="88"/>
      <c r="FD93" s="88"/>
      <c r="FE93" s="88"/>
      <c r="FF93" s="88"/>
      <c r="FG93" s="88"/>
      <c r="FH93" s="88"/>
      <c r="FI93" s="88"/>
      <c r="FJ93" s="88"/>
      <c r="FK93" s="88"/>
      <c r="FL93" s="88"/>
      <c r="FM93" s="88"/>
      <c r="FN93" s="88"/>
    </row>
    <row r="94" spans="1:170" s="42" customFormat="1" ht="18" hidden="1" customHeight="1">
      <c r="A94" s="1808"/>
      <c r="B94" s="30"/>
      <c r="C94" s="26" t="s">
        <v>41</v>
      </c>
      <c r="D94" s="26"/>
      <c r="E94" s="346"/>
      <c r="F94" s="26"/>
      <c r="G94" s="26"/>
      <c r="H94" s="26"/>
      <c r="I94" s="27" t="s">
        <v>92</v>
      </c>
      <c r="J94" s="33"/>
      <c r="K94" s="33"/>
      <c r="L94" s="350"/>
      <c r="M94" s="1028">
        <v>1.1000000000000001</v>
      </c>
      <c r="N94" s="1028">
        <v>1</v>
      </c>
      <c r="O94" s="1028">
        <v>1.1000000000000001</v>
      </c>
      <c r="P94" s="493">
        <v>0</v>
      </c>
      <c r="Q94" s="989">
        <v>0</v>
      </c>
      <c r="R94" s="493">
        <v>0</v>
      </c>
      <c r="S94" s="131"/>
      <c r="T94" s="298"/>
      <c r="U94" s="298"/>
      <c r="V94" s="150"/>
      <c r="W94" s="299"/>
      <c r="X94" s="299"/>
      <c r="Y94" s="150"/>
      <c r="Z94" s="299"/>
      <c r="AA94" s="299"/>
      <c r="AB94" s="131"/>
      <c r="AC94" s="298"/>
      <c r="AD94" s="298"/>
      <c r="AE94" s="13"/>
      <c r="AF94" s="13"/>
      <c r="AG94" s="13"/>
      <c r="AH94" s="13"/>
      <c r="AI94" s="13"/>
      <c r="AJ94" s="13"/>
      <c r="AK94" s="13"/>
      <c r="AL94" s="13"/>
      <c r="AM94" s="13"/>
      <c r="AN94" s="13"/>
      <c r="AO94" s="13"/>
      <c r="AP94" s="13"/>
      <c r="AQ94" s="13"/>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88"/>
      <c r="BZ94" s="88"/>
      <c r="CA94" s="88"/>
      <c r="CB94" s="88"/>
      <c r="CC94" s="88"/>
      <c r="CD94" s="88"/>
      <c r="CE94" s="88"/>
      <c r="CF94" s="88"/>
      <c r="CG94" s="88"/>
      <c r="CH94" s="88"/>
      <c r="CI94" s="88"/>
      <c r="CJ94" s="88"/>
      <c r="CK94" s="88"/>
      <c r="CL94" s="88"/>
      <c r="CM94" s="88"/>
      <c r="CN94" s="88"/>
      <c r="CO94" s="88"/>
      <c r="CP94" s="88"/>
      <c r="CQ94" s="88"/>
      <c r="CR94" s="88"/>
      <c r="CS94" s="88"/>
      <c r="CT94" s="88"/>
      <c r="CU94" s="88"/>
      <c r="CV94" s="88"/>
      <c r="CW94" s="88"/>
      <c r="CX94" s="88"/>
      <c r="CY94" s="88"/>
      <c r="CZ94" s="88"/>
      <c r="DA94" s="88"/>
      <c r="DB94" s="88"/>
      <c r="DC94" s="88"/>
      <c r="DD94" s="88"/>
      <c r="DE94" s="103"/>
      <c r="DF94" s="103"/>
      <c r="DG94" s="103"/>
      <c r="DH94" s="103"/>
      <c r="DI94" s="103"/>
      <c r="DJ94" s="103"/>
      <c r="DK94" s="103"/>
      <c r="DL94" s="103"/>
      <c r="DM94" s="103"/>
      <c r="DN94" s="103"/>
      <c r="DO94" s="103"/>
      <c r="DP94" s="103"/>
      <c r="DQ94" s="103"/>
      <c r="DR94" s="103"/>
      <c r="DS94" s="103"/>
      <c r="DT94" s="103"/>
      <c r="DU94" s="103"/>
      <c r="DV94" s="103"/>
      <c r="DW94" s="103"/>
      <c r="DX94" s="103"/>
      <c r="DY94" s="103"/>
      <c r="DZ94" s="103"/>
      <c r="EA94" s="103"/>
      <c r="EB94" s="103"/>
      <c r="EC94" s="103"/>
      <c r="ED94" s="103"/>
      <c r="EE94" s="88"/>
      <c r="EF94" s="88"/>
      <c r="EG94" s="88"/>
      <c r="EH94" s="88"/>
      <c r="EI94" s="88"/>
      <c r="EJ94" s="88"/>
      <c r="EK94" s="88"/>
      <c r="EL94" s="88"/>
      <c r="EM94" s="88"/>
      <c r="EN94" s="88"/>
      <c r="EO94" s="88"/>
      <c r="EP94" s="88"/>
      <c r="EQ94" s="88"/>
      <c r="ER94" s="88"/>
      <c r="ES94" s="88"/>
      <c r="ET94" s="88"/>
      <c r="EU94" s="88"/>
      <c r="EV94" s="88"/>
      <c r="EW94" s="88"/>
      <c r="EX94" s="88"/>
      <c r="EY94" s="88"/>
      <c r="EZ94" s="88"/>
      <c r="FA94" s="88"/>
      <c r="FB94" s="88"/>
      <c r="FC94" s="88"/>
      <c r="FD94" s="88"/>
      <c r="FE94" s="88"/>
      <c r="FF94" s="88"/>
      <c r="FG94" s="88"/>
      <c r="FH94" s="88"/>
      <c r="FI94" s="88"/>
      <c r="FJ94" s="88"/>
      <c r="FK94" s="88"/>
      <c r="FL94" s="88"/>
      <c r="FM94" s="88"/>
      <c r="FN94" s="88"/>
    </row>
    <row r="95" spans="1:170" s="20" customFormat="1" ht="18" hidden="1" customHeight="1">
      <c r="A95" s="1808"/>
      <c r="B95" s="30"/>
      <c r="C95" s="26" t="s">
        <v>44</v>
      </c>
      <c r="D95" s="26"/>
      <c r="E95" s="346"/>
      <c r="F95" s="26"/>
      <c r="G95" s="26"/>
      <c r="H95" s="26"/>
      <c r="I95" s="27" t="s">
        <v>93</v>
      </c>
      <c r="J95" s="33" t="s">
        <v>35</v>
      </c>
      <c r="K95" s="33"/>
      <c r="L95" s="350"/>
      <c r="M95" s="1028">
        <v>0</v>
      </c>
      <c r="N95" s="1028">
        <v>0</v>
      </c>
      <c r="O95" s="1028">
        <v>0</v>
      </c>
      <c r="P95" s="493">
        <v>0</v>
      </c>
      <c r="Q95" s="989">
        <v>0</v>
      </c>
      <c r="R95" s="493">
        <v>0</v>
      </c>
      <c r="S95" s="131"/>
      <c r="T95" s="298"/>
      <c r="U95" s="298"/>
      <c r="V95" s="150"/>
      <c r="W95" s="299"/>
      <c r="X95" s="299"/>
      <c r="Y95" s="150"/>
      <c r="Z95" s="299"/>
      <c r="AA95" s="299"/>
      <c r="AB95" s="131"/>
      <c r="AC95" s="298"/>
      <c r="AD95" s="298"/>
      <c r="AE95" s="13"/>
      <c r="AF95" s="13"/>
      <c r="AG95" s="13"/>
      <c r="AH95" s="13"/>
      <c r="AI95" s="13"/>
      <c r="AJ95" s="13"/>
      <c r="AK95" s="13"/>
      <c r="AL95" s="13"/>
      <c r="AM95" s="13"/>
      <c r="AN95" s="13"/>
      <c r="AO95" s="13"/>
      <c r="AP95" s="13"/>
      <c r="AQ95" s="13"/>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88"/>
      <c r="BZ95" s="88"/>
      <c r="CA95" s="88"/>
      <c r="CB95" s="88"/>
      <c r="CC95" s="88"/>
      <c r="CD95" s="88"/>
      <c r="CE95" s="88"/>
      <c r="CF95" s="88"/>
      <c r="CG95" s="88"/>
      <c r="CH95" s="88"/>
      <c r="CI95" s="88"/>
      <c r="CJ95" s="88"/>
      <c r="CK95" s="88"/>
      <c r="CL95" s="88"/>
      <c r="CM95" s="88"/>
      <c r="CN95" s="88"/>
      <c r="CO95" s="88"/>
      <c r="CP95" s="88"/>
      <c r="CQ95" s="88"/>
      <c r="CR95" s="88"/>
      <c r="CS95" s="88"/>
      <c r="CT95" s="88"/>
      <c r="CU95" s="88"/>
      <c r="CV95" s="88"/>
      <c r="CW95" s="88"/>
      <c r="CX95" s="88"/>
      <c r="CY95" s="88"/>
      <c r="CZ95" s="88"/>
      <c r="DA95" s="88"/>
      <c r="DB95" s="88"/>
      <c r="DC95" s="88"/>
      <c r="DD95" s="88"/>
      <c r="DE95" s="103"/>
      <c r="DF95" s="103"/>
      <c r="DG95" s="103"/>
      <c r="DH95" s="103"/>
      <c r="DI95" s="103"/>
      <c r="DJ95" s="103"/>
      <c r="DK95" s="103"/>
      <c r="DL95" s="103"/>
      <c r="DM95" s="103"/>
      <c r="DN95" s="103"/>
      <c r="DO95" s="103"/>
      <c r="DP95" s="103"/>
      <c r="DQ95" s="103"/>
      <c r="DR95" s="103"/>
      <c r="DS95" s="103"/>
      <c r="DT95" s="103"/>
      <c r="DU95" s="103"/>
      <c r="DV95" s="103"/>
      <c r="DW95" s="103"/>
      <c r="DX95" s="103"/>
      <c r="DY95" s="103"/>
      <c r="DZ95" s="103"/>
      <c r="EA95" s="103"/>
      <c r="EB95" s="103"/>
      <c r="EC95" s="103"/>
      <c r="ED95" s="103"/>
      <c r="EE95" s="88"/>
      <c r="EF95" s="88"/>
      <c r="EG95" s="88"/>
      <c r="EH95" s="88"/>
      <c r="EI95" s="88"/>
      <c r="EJ95" s="88"/>
      <c r="EK95" s="88"/>
      <c r="EL95" s="88"/>
      <c r="EM95" s="88"/>
      <c r="EN95" s="88"/>
      <c r="EO95" s="88"/>
      <c r="EP95" s="88"/>
      <c r="EQ95" s="88"/>
      <c r="ER95" s="88"/>
      <c r="ES95" s="88"/>
      <c r="ET95" s="88"/>
      <c r="EU95" s="88"/>
      <c r="EV95" s="88"/>
      <c r="EW95" s="88"/>
      <c r="EX95" s="88"/>
      <c r="EY95" s="88"/>
      <c r="EZ95" s="88"/>
      <c r="FA95" s="88"/>
      <c r="FB95" s="88"/>
      <c r="FC95" s="88"/>
      <c r="FD95" s="88"/>
      <c r="FE95" s="88"/>
      <c r="FF95" s="88"/>
      <c r="FG95" s="88"/>
      <c r="FH95" s="88"/>
      <c r="FI95" s="88"/>
      <c r="FJ95" s="88"/>
      <c r="FK95" s="88"/>
      <c r="FL95" s="88"/>
      <c r="FM95" s="88"/>
      <c r="FN95" s="88"/>
    </row>
    <row r="96" spans="1:170" s="19" customFormat="1" ht="18" hidden="1" customHeight="1">
      <c r="A96" s="1808"/>
      <c r="B96" s="30"/>
      <c r="C96" s="26" t="s">
        <v>42</v>
      </c>
      <c r="D96" s="26"/>
      <c r="E96" s="346"/>
      <c r="F96" s="26"/>
      <c r="G96" s="26"/>
      <c r="H96" s="26"/>
      <c r="I96" s="27" t="s">
        <v>94</v>
      </c>
      <c r="J96" s="33"/>
      <c r="K96" s="33"/>
      <c r="L96" s="25"/>
      <c r="M96" s="1028">
        <f>1/(1-(0.25*M95))</f>
        <v>1</v>
      </c>
      <c r="N96" s="1028">
        <f>1/(1-(0.25*N95))</f>
        <v>1</v>
      </c>
      <c r="O96" s="1028">
        <f>1/(1-(0.25*O95))</f>
        <v>1</v>
      </c>
      <c r="P96" s="493">
        <v>0</v>
      </c>
      <c r="Q96" s="989">
        <v>0</v>
      </c>
      <c r="R96" s="493">
        <v>0</v>
      </c>
      <c r="S96" s="131"/>
      <c r="T96" s="298"/>
      <c r="U96" s="298"/>
      <c r="V96" s="150"/>
      <c r="W96" s="299"/>
      <c r="X96" s="299"/>
      <c r="Y96" s="150"/>
      <c r="Z96" s="299"/>
      <c r="AA96" s="299"/>
      <c r="AB96" s="131"/>
      <c r="AC96" s="298"/>
      <c r="AD96" s="298"/>
      <c r="AE96" s="13"/>
      <c r="AF96" s="13"/>
      <c r="AG96" s="13"/>
      <c r="AH96" s="13"/>
      <c r="AI96" s="13"/>
      <c r="AJ96" s="13"/>
      <c r="AK96" s="13"/>
      <c r="AL96" s="13"/>
      <c r="AM96" s="13"/>
      <c r="AN96" s="13"/>
      <c r="AO96" s="13"/>
      <c r="AP96" s="155"/>
      <c r="AQ96" s="155"/>
      <c r="AR96" s="102"/>
      <c r="AS96" s="102"/>
      <c r="AT96" s="102"/>
      <c r="AU96" s="102"/>
      <c r="AV96" s="102"/>
      <c r="AW96" s="102"/>
      <c r="AX96" s="102"/>
      <c r="AY96" s="102"/>
      <c r="AZ96" s="102"/>
      <c r="BA96" s="102"/>
      <c r="BB96" s="102"/>
      <c r="BC96" s="102"/>
      <c r="BD96" s="102"/>
      <c r="BE96" s="102"/>
      <c r="BF96" s="102"/>
      <c r="BG96" s="102"/>
      <c r="BH96" s="102"/>
      <c r="BI96" s="102"/>
      <c r="BJ96" s="102"/>
      <c r="BK96" s="102"/>
      <c r="BL96" s="102"/>
      <c r="BM96" s="102"/>
      <c r="BN96" s="102"/>
      <c r="BO96" s="102"/>
      <c r="BP96" s="102"/>
      <c r="BQ96" s="102"/>
      <c r="BR96" s="102"/>
      <c r="BS96" s="102"/>
      <c r="BT96" s="102"/>
      <c r="BU96" s="102"/>
      <c r="BV96" s="102"/>
      <c r="BW96" s="102"/>
      <c r="BX96" s="102"/>
      <c r="BY96" s="102"/>
      <c r="BZ96" s="102"/>
      <c r="CA96" s="102"/>
      <c r="CB96" s="102"/>
      <c r="CC96" s="102"/>
      <c r="CD96" s="102"/>
      <c r="CE96" s="102"/>
      <c r="CF96" s="102"/>
      <c r="CG96" s="102"/>
      <c r="CH96" s="102"/>
      <c r="CI96" s="102"/>
      <c r="CJ96" s="102"/>
      <c r="CK96" s="102"/>
      <c r="CL96" s="102"/>
      <c r="CM96" s="102"/>
      <c r="CN96" s="102"/>
      <c r="CO96" s="102"/>
      <c r="CP96" s="102"/>
      <c r="CQ96" s="102"/>
      <c r="CR96" s="102"/>
      <c r="CS96" s="102"/>
      <c r="CT96" s="102"/>
      <c r="CU96" s="102"/>
      <c r="CV96" s="102"/>
      <c r="CW96" s="102"/>
      <c r="CX96" s="102"/>
      <c r="CY96" s="102"/>
      <c r="CZ96" s="102"/>
      <c r="DA96" s="102"/>
      <c r="DB96" s="102"/>
      <c r="DC96" s="102"/>
      <c r="DD96" s="102"/>
      <c r="DE96" s="101"/>
      <c r="DF96" s="101"/>
      <c r="DG96" s="101"/>
      <c r="DH96" s="101"/>
      <c r="DI96" s="101"/>
      <c r="DJ96" s="101"/>
      <c r="DK96" s="101"/>
      <c r="DL96" s="101"/>
      <c r="DM96" s="101"/>
      <c r="DN96" s="101"/>
      <c r="DO96" s="101"/>
      <c r="DP96" s="101"/>
      <c r="DQ96" s="101"/>
      <c r="DR96" s="101"/>
      <c r="DS96" s="101"/>
      <c r="DT96" s="101"/>
      <c r="DU96" s="101"/>
      <c r="DV96" s="101"/>
      <c r="DW96" s="101"/>
      <c r="DX96" s="101"/>
      <c r="DY96" s="101"/>
      <c r="DZ96" s="101"/>
      <c r="EA96" s="101"/>
      <c r="EB96" s="101"/>
      <c r="EC96" s="101"/>
      <c r="ED96" s="101"/>
      <c r="EE96" s="102"/>
      <c r="EF96" s="102"/>
      <c r="EG96" s="102"/>
      <c r="EH96" s="102"/>
      <c r="EI96" s="102"/>
      <c r="EJ96" s="102"/>
      <c r="EK96" s="102"/>
      <c r="EL96" s="102"/>
      <c r="EM96" s="102"/>
      <c r="EN96" s="102"/>
      <c r="EO96" s="102"/>
      <c r="EP96" s="102"/>
      <c r="EQ96" s="102"/>
      <c r="ER96" s="102"/>
      <c r="ES96" s="102"/>
      <c r="ET96" s="102"/>
      <c r="EU96" s="102"/>
      <c r="EV96" s="102"/>
      <c r="EW96" s="102"/>
      <c r="EX96" s="102"/>
      <c r="EY96" s="102"/>
      <c r="EZ96" s="102"/>
      <c r="FA96" s="102"/>
      <c r="FB96" s="102"/>
      <c r="FC96" s="102"/>
      <c r="FD96" s="102"/>
      <c r="FE96" s="102"/>
      <c r="FF96" s="102"/>
      <c r="FG96" s="102"/>
      <c r="FH96" s="102"/>
      <c r="FI96" s="102"/>
      <c r="FJ96" s="102"/>
      <c r="FK96" s="102"/>
      <c r="FL96" s="102"/>
      <c r="FM96" s="102"/>
      <c r="FN96" s="102"/>
    </row>
    <row r="97" spans="1:170" s="19" customFormat="1" ht="18" hidden="1" customHeight="1">
      <c r="A97" s="1808"/>
      <c r="B97" s="30"/>
      <c r="C97" s="26" t="s">
        <v>45</v>
      </c>
      <c r="D97" s="26"/>
      <c r="E97" s="346"/>
      <c r="F97" s="26"/>
      <c r="G97" s="26"/>
      <c r="H97" s="26"/>
      <c r="I97" s="27" t="s">
        <v>47</v>
      </c>
      <c r="J97" s="33" t="s">
        <v>35</v>
      </c>
      <c r="K97" s="33"/>
      <c r="L97" s="25"/>
      <c r="M97" s="1028">
        <v>0</v>
      </c>
      <c r="N97" s="1028">
        <v>0</v>
      </c>
      <c r="O97" s="1028">
        <v>0</v>
      </c>
      <c r="P97" s="493">
        <v>0</v>
      </c>
      <c r="Q97" s="989">
        <v>0</v>
      </c>
      <c r="R97" s="493">
        <v>0</v>
      </c>
      <c r="S97" s="131"/>
      <c r="T97" s="298"/>
      <c r="U97" s="298"/>
      <c r="V97" s="150"/>
      <c r="W97" s="299"/>
      <c r="X97" s="299"/>
      <c r="Y97" s="150"/>
      <c r="Z97" s="299"/>
      <c r="AA97" s="299"/>
      <c r="AB97" s="131"/>
      <c r="AC97" s="298"/>
      <c r="AD97" s="298"/>
      <c r="AE97" s="13"/>
      <c r="AF97" s="13"/>
      <c r="AG97" s="13"/>
      <c r="AH97" s="13"/>
      <c r="AI97" s="13"/>
      <c r="AJ97" s="13"/>
      <c r="AK97" s="13"/>
      <c r="AL97" s="13"/>
      <c r="AM97" s="13"/>
      <c r="AN97" s="13"/>
      <c r="AO97" s="13"/>
      <c r="AP97" s="155"/>
      <c r="AQ97" s="155"/>
      <c r="AR97" s="102"/>
      <c r="AS97" s="102"/>
      <c r="AT97" s="102"/>
      <c r="AU97" s="102"/>
      <c r="AV97" s="102"/>
      <c r="AW97" s="102"/>
      <c r="AX97" s="102"/>
      <c r="AY97" s="102"/>
      <c r="AZ97" s="102"/>
      <c r="BA97" s="102"/>
      <c r="BB97" s="102"/>
      <c r="BC97" s="102"/>
      <c r="BD97" s="102"/>
      <c r="BE97" s="102"/>
      <c r="BF97" s="102"/>
      <c r="BG97" s="102"/>
      <c r="BH97" s="102"/>
      <c r="BI97" s="102"/>
      <c r="BJ97" s="102"/>
      <c r="BK97" s="102"/>
      <c r="BL97" s="102"/>
      <c r="BM97" s="102"/>
      <c r="BN97" s="102"/>
      <c r="BO97" s="102"/>
      <c r="BP97" s="102"/>
      <c r="BQ97" s="102"/>
      <c r="BR97" s="102"/>
      <c r="BS97" s="102"/>
      <c r="BT97" s="102"/>
      <c r="BU97" s="102"/>
      <c r="BV97" s="102"/>
      <c r="BW97" s="102"/>
      <c r="BX97" s="102"/>
      <c r="BY97" s="102"/>
      <c r="BZ97" s="102"/>
      <c r="CA97" s="102"/>
      <c r="CB97" s="102"/>
      <c r="CC97" s="102"/>
      <c r="CD97" s="102"/>
      <c r="CE97" s="102"/>
      <c r="CF97" s="102"/>
      <c r="CG97" s="102"/>
      <c r="CH97" s="102"/>
      <c r="CI97" s="102"/>
      <c r="CJ97" s="102"/>
      <c r="CK97" s="102"/>
      <c r="CL97" s="102"/>
      <c r="CM97" s="102"/>
      <c r="CN97" s="102"/>
      <c r="CO97" s="102"/>
      <c r="CP97" s="102"/>
      <c r="CQ97" s="102"/>
      <c r="CR97" s="102"/>
      <c r="CS97" s="102"/>
      <c r="CT97" s="102"/>
      <c r="CU97" s="102"/>
      <c r="CV97" s="102"/>
      <c r="CW97" s="102"/>
      <c r="CX97" s="102"/>
      <c r="CY97" s="102"/>
      <c r="CZ97" s="102"/>
      <c r="DA97" s="102"/>
      <c r="DB97" s="102"/>
      <c r="DC97" s="102"/>
      <c r="DD97" s="102"/>
      <c r="DE97" s="101"/>
      <c r="DF97" s="101"/>
      <c r="DG97" s="101"/>
      <c r="DH97" s="101"/>
      <c r="DI97" s="101"/>
      <c r="DJ97" s="101"/>
      <c r="DK97" s="101"/>
      <c r="DL97" s="101"/>
      <c r="DM97" s="101"/>
      <c r="DN97" s="101"/>
      <c r="DO97" s="101"/>
      <c r="DP97" s="101"/>
      <c r="DQ97" s="101"/>
      <c r="DR97" s="101"/>
      <c r="DS97" s="101"/>
      <c r="DT97" s="101"/>
      <c r="DU97" s="101"/>
      <c r="DV97" s="101"/>
      <c r="DW97" s="101"/>
      <c r="DX97" s="101"/>
      <c r="DY97" s="101"/>
      <c r="DZ97" s="101"/>
      <c r="EA97" s="101"/>
      <c r="EB97" s="101"/>
      <c r="EC97" s="101"/>
      <c r="ED97" s="101"/>
      <c r="EE97" s="102"/>
      <c r="EF97" s="102"/>
      <c r="EG97" s="102"/>
      <c r="EH97" s="102"/>
      <c r="EI97" s="102"/>
      <c r="EJ97" s="102"/>
      <c r="EK97" s="102"/>
      <c r="EL97" s="102"/>
      <c r="EM97" s="102"/>
      <c r="EN97" s="102"/>
      <c r="EO97" s="102"/>
      <c r="EP97" s="102"/>
      <c r="EQ97" s="102"/>
      <c r="ER97" s="102"/>
      <c r="ES97" s="102"/>
      <c r="ET97" s="102"/>
      <c r="EU97" s="102"/>
      <c r="EV97" s="102"/>
      <c r="EW97" s="102"/>
      <c r="EX97" s="102"/>
      <c r="EY97" s="102"/>
      <c r="EZ97" s="102"/>
      <c r="FA97" s="102"/>
      <c r="FB97" s="102"/>
      <c r="FC97" s="102"/>
      <c r="FD97" s="102"/>
      <c r="FE97" s="102"/>
      <c r="FF97" s="102"/>
      <c r="FG97" s="102"/>
      <c r="FH97" s="102"/>
      <c r="FI97" s="102"/>
      <c r="FJ97" s="102"/>
      <c r="FK97" s="102"/>
      <c r="FL97" s="102"/>
      <c r="FM97" s="102"/>
      <c r="FN97" s="102"/>
    </row>
    <row r="98" spans="1:170" s="20" customFormat="1" ht="18" hidden="1" customHeight="1">
      <c r="A98" s="1808"/>
      <c r="B98" s="30"/>
      <c r="C98" s="26" t="s">
        <v>46</v>
      </c>
      <c r="D98" s="26"/>
      <c r="E98" s="346"/>
      <c r="F98" s="26"/>
      <c r="G98" s="26"/>
      <c r="H98" s="26"/>
      <c r="I98" s="27" t="s">
        <v>48</v>
      </c>
      <c r="J98" s="33" t="s">
        <v>35</v>
      </c>
      <c r="K98" s="33"/>
      <c r="L98" s="25"/>
      <c r="M98" s="1028">
        <v>1</v>
      </c>
      <c r="N98" s="1028">
        <v>1</v>
      </c>
      <c r="O98" s="1028">
        <v>1</v>
      </c>
      <c r="P98" s="493">
        <v>0</v>
      </c>
      <c r="Q98" s="989">
        <v>0</v>
      </c>
      <c r="R98" s="493">
        <v>0</v>
      </c>
      <c r="S98" s="131"/>
      <c r="T98" s="298"/>
      <c r="U98" s="298"/>
      <c r="V98" s="150"/>
      <c r="W98" s="299"/>
      <c r="X98" s="299"/>
      <c r="Y98" s="150"/>
      <c r="Z98" s="299"/>
      <c r="AA98" s="299"/>
      <c r="AB98" s="131"/>
      <c r="AC98" s="298"/>
      <c r="AD98" s="298"/>
      <c r="AE98" s="13"/>
      <c r="AF98" s="13"/>
      <c r="AG98" s="13"/>
      <c r="AH98" s="13"/>
      <c r="AI98" s="13"/>
      <c r="AJ98" s="13"/>
      <c r="AK98" s="13"/>
      <c r="AL98" s="13"/>
      <c r="AM98" s="13"/>
      <c r="AN98" s="13"/>
      <c r="AO98" s="13"/>
      <c r="AP98" s="13"/>
      <c r="AQ98" s="13"/>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88"/>
      <c r="BZ98" s="88"/>
      <c r="CA98" s="88"/>
      <c r="CB98" s="88"/>
      <c r="CC98" s="88"/>
      <c r="CD98" s="88"/>
      <c r="CE98" s="88"/>
      <c r="CF98" s="88"/>
      <c r="CG98" s="88"/>
      <c r="CH98" s="88"/>
      <c r="CI98" s="88"/>
      <c r="CJ98" s="88"/>
      <c r="CK98" s="88"/>
      <c r="CL98" s="88"/>
      <c r="CM98" s="88"/>
      <c r="CN98" s="88"/>
      <c r="CO98" s="88"/>
      <c r="CP98" s="88"/>
      <c r="CQ98" s="88"/>
      <c r="CR98" s="88"/>
      <c r="CS98" s="88"/>
      <c r="CT98" s="88"/>
      <c r="CU98" s="88"/>
      <c r="CV98" s="88"/>
      <c r="CW98" s="88"/>
      <c r="CX98" s="88"/>
      <c r="CY98" s="88"/>
      <c r="CZ98" s="88"/>
      <c r="DA98" s="88"/>
      <c r="DB98" s="88"/>
      <c r="DC98" s="88"/>
      <c r="DD98" s="88"/>
      <c r="DE98" s="103"/>
      <c r="DF98" s="103"/>
      <c r="DG98" s="103"/>
      <c r="DH98" s="103"/>
      <c r="DI98" s="103"/>
      <c r="DJ98" s="103"/>
      <c r="DK98" s="103"/>
      <c r="DL98" s="103"/>
      <c r="DM98" s="103"/>
      <c r="DN98" s="103"/>
      <c r="DO98" s="103"/>
      <c r="DP98" s="103"/>
      <c r="DQ98" s="103"/>
      <c r="DR98" s="103"/>
      <c r="DS98" s="103"/>
      <c r="DT98" s="103"/>
      <c r="DU98" s="103"/>
      <c r="DV98" s="103"/>
      <c r="DW98" s="103"/>
      <c r="DX98" s="103"/>
      <c r="DY98" s="103"/>
      <c r="DZ98" s="103"/>
      <c r="EA98" s="103"/>
      <c r="EB98" s="103"/>
      <c r="EC98" s="103"/>
      <c r="ED98" s="103"/>
      <c r="EE98" s="88"/>
      <c r="EF98" s="88"/>
      <c r="EG98" s="88"/>
      <c r="EH98" s="88"/>
      <c r="EI98" s="88"/>
      <c r="EJ98" s="88"/>
      <c r="EK98" s="88"/>
      <c r="EL98" s="88"/>
      <c r="EM98" s="88"/>
      <c r="EN98" s="88"/>
      <c r="EO98" s="88"/>
      <c r="EP98" s="88"/>
      <c r="EQ98" s="88"/>
      <c r="ER98" s="88"/>
      <c r="ES98" s="88"/>
      <c r="ET98" s="88"/>
      <c r="EU98" s="88"/>
      <c r="EV98" s="88"/>
      <c r="EW98" s="88"/>
      <c r="EX98" s="88"/>
      <c r="EY98" s="88"/>
      <c r="EZ98" s="88"/>
      <c r="FA98" s="88"/>
      <c r="FB98" s="88"/>
      <c r="FC98" s="88"/>
      <c r="FD98" s="88"/>
      <c r="FE98" s="88"/>
      <c r="FF98" s="88"/>
      <c r="FG98" s="88"/>
      <c r="FH98" s="88"/>
      <c r="FI98" s="88"/>
      <c r="FJ98" s="88"/>
      <c r="FK98" s="88"/>
      <c r="FL98" s="88"/>
      <c r="FM98" s="88"/>
      <c r="FN98" s="88"/>
    </row>
    <row r="99" spans="1:170" s="20" customFormat="1" ht="18" hidden="1" customHeight="1">
      <c r="A99" s="1808"/>
      <c r="B99" s="30"/>
      <c r="C99" s="26" t="s">
        <v>43</v>
      </c>
      <c r="D99" s="26"/>
      <c r="E99" s="346"/>
      <c r="F99" s="26"/>
      <c r="G99" s="26"/>
      <c r="H99" s="26"/>
      <c r="I99" s="27" t="s">
        <v>95</v>
      </c>
      <c r="J99" s="33"/>
      <c r="K99" s="33"/>
      <c r="L99" s="25"/>
      <c r="M99" s="25">
        <f>1/(1-(0.35*M97/M98))</f>
        <v>1</v>
      </c>
      <c r="N99" s="25">
        <f>1/(1-(0.35*N97/N98))</f>
        <v>1</v>
      </c>
      <c r="O99" s="25">
        <f>1/(1-(0.35*O97/O98))</f>
        <v>1</v>
      </c>
      <c r="P99" s="493">
        <v>0</v>
      </c>
      <c r="Q99" s="989">
        <v>0</v>
      </c>
      <c r="R99" s="493">
        <v>0</v>
      </c>
      <c r="S99" s="131"/>
      <c r="T99" s="298"/>
      <c r="U99" s="298"/>
      <c r="V99" s="150"/>
      <c r="W99" s="299"/>
      <c r="X99" s="299"/>
      <c r="Y99" s="150"/>
      <c r="Z99" s="299"/>
      <c r="AA99" s="299"/>
      <c r="AB99" s="131"/>
      <c r="AC99" s="298"/>
      <c r="AD99" s="298"/>
      <c r="AE99" s="13"/>
      <c r="AF99" s="13"/>
      <c r="AG99" s="13"/>
      <c r="AH99" s="13"/>
      <c r="AI99" s="13"/>
      <c r="AJ99" s="13"/>
      <c r="AK99" s="13"/>
      <c r="AL99" s="13"/>
      <c r="AM99" s="13"/>
      <c r="AN99" s="13"/>
      <c r="AO99" s="13"/>
      <c r="AP99" s="13"/>
      <c r="AQ99" s="13"/>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88"/>
      <c r="BZ99" s="88"/>
      <c r="CA99" s="88"/>
      <c r="CB99" s="88"/>
      <c r="CC99" s="88"/>
      <c r="CD99" s="88"/>
      <c r="CE99" s="88"/>
      <c r="CF99" s="88"/>
      <c r="CG99" s="88"/>
      <c r="CH99" s="88"/>
      <c r="CI99" s="88"/>
      <c r="CJ99" s="88"/>
      <c r="CK99" s="88"/>
      <c r="CL99" s="88"/>
      <c r="CM99" s="88"/>
      <c r="CN99" s="88"/>
      <c r="CO99" s="88"/>
      <c r="CP99" s="88"/>
      <c r="CQ99" s="88"/>
      <c r="CR99" s="88"/>
      <c r="CS99" s="88"/>
      <c r="CT99" s="88"/>
      <c r="CU99" s="88"/>
      <c r="CV99" s="88"/>
      <c r="CW99" s="88"/>
      <c r="CX99" s="88"/>
      <c r="CY99" s="88"/>
      <c r="CZ99" s="88"/>
      <c r="DA99" s="88"/>
      <c r="DB99" s="88"/>
      <c r="DC99" s="88"/>
      <c r="DD99" s="88"/>
      <c r="DE99" s="103"/>
      <c r="DF99" s="103"/>
      <c r="DG99" s="103"/>
      <c r="DH99" s="103"/>
      <c r="DI99" s="103"/>
      <c r="DJ99" s="103"/>
      <c r="DK99" s="103"/>
      <c r="DL99" s="103"/>
      <c r="DM99" s="103"/>
      <c r="DN99" s="103"/>
      <c r="DO99" s="103"/>
      <c r="DP99" s="103"/>
      <c r="DQ99" s="103"/>
      <c r="DR99" s="103"/>
      <c r="DS99" s="103"/>
      <c r="DT99" s="103"/>
      <c r="DU99" s="103"/>
      <c r="DV99" s="103"/>
      <c r="DW99" s="103"/>
      <c r="DX99" s="103"/>
      <c r="DY99" s="103"/>
      <c r="DZ99" s="103"/>
      <c r="EA99" s="103"/>
      <c r="EB99" s="103"/>
      <c r="EC99" s="103"/>
      <c r="ED99" s="103"/>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row>
    <row r="100" spans="1:170" s="19" customFormat="1" ht="18" hidden="1" customHeight="1">
      <c r="A100" s="1808"/>
      <c r="B100" s="30"/>
      <c r="C100" s="26" t="s">
        <v>834</v>
      </c>
      <c r="D100" s="26"/>
      <c r="E100" s="346"/>
      <c r="F100" s="26"/>
      <c r="G100" s="26"/>
      <c r="H100" s="26"/>
      <c r="I100" s="27" t="s">
        <v>833</v>
      </c>
      <c r="J100" s="33" t="s">
        <v>17</v>
      </c>
      <c r="K100" s="33"/>
      <c r="L100" s="25"/>
      <c r="M100" s="349">
        <f>MIN(11,2*M88*M90*M92*M93*M94*M96*M99)</f>
        <v>5.4382022471910121</v>
      </c>
      <c r="N100" s="349">
        <f>MIN(11,2*N88*N90*N92*N93*N94*N96*N99)</f>
        <v>2.2471910112359552</v>
      </c>
      <c r="O100" s="349">
        <f>MIN(11,2*O88*O90*O92*O93*O94*O96*O99)</f>
        <v>5.4382022471910121</v>
      </c>
      <c r="P100" s="493">
        <v>0</v>
      </c>
      <c r="Q100" s="989">
        <v>0</v>
      </c>
      <c r="R100" s="493">
        <v>0</v>
      </c>
      <c r="S100" s="131"/>
      <c r="T100" s="298"/>
      <c r="U100" s="298"/>
      <c r="V100" s="150"/>
      <c r="W100" s="299"/>
      <c r="X100" s="299"/>
      <c r="Y100" s="150"/>
      <c r="Z100" s="299"/>
      <c r="AA100" s="299"/>
      <c r="AB100" s="131"/>
      <c r="AC100" s="298"/>
      <c r="AD100" s="298"/>
      <c r="AE100" s="13"/>
      <c r="AF100" s="13"/>
      <c r="AG100" s="13"/>
      <c r="AH100" s="13"/>
      <c r="AI100" s="13"/>
      <c r="AJ100" s="13"/>
      <c r="AK100" s="13"/>
      <c r="AL100" s="13"/>
      <c r="AM100" s="13"/>
      <c r="AN100" s="13"/>
      <c r="AO100" s="13"/>
      <c r="AP100" s="155"/>
      <c r="AQ100" s="155"/>
      <c r="AR100" s="102"/>
      <c r="AS100" s="102"/>
      <c r="AT100" s="102"/>
      <c r="AU100" s="102"/>
      <c r="AV100" s="102"/>
      <c r="AW100" s="102"/>
      <c r="AX100" s="102"/>
      <c r="AY100" s="102"/>
      <c r="AZ100" s="102"/>
      <c r="BA100" s="102"/>
      <c r="BB100" s="102"/>
      <c r="BC100" s="102"/>
      <c r="BD100" s="102"/>
      <c r="BE100" s="102"/>
      <c r="BF100" s="102"/>
      <c r="BG100" s="102"/>
      <c r="BH100" s="102"/>
      <c r="BI100" s="102"/>
      <c r="BJ100" s="102"/>
      <c r="BK100" s="102"/>
      <c r="BL100" s="102"/>
      <c r="BM100" s="102"/>
      <c r="BN100" s="102"/>
      <c r="BO100" s="102"/>
      <c r="BP100" s="102"/>
      <c r="BQ100" s="102"/>
      <c r="BR100" s="102"/>
      <c r="BS100" s="102"/>
      <c r="BT100" s="102"/>
      <c r="BU100" s="102"/>
      <c r="BV100" s="102"/>
      <c r="BW100" s="102"/>
      <c r="BX100" s="102"/>
      <c r="BY100" s="102"/>
      <c r="BZ100" s="102"/>
      <c r="CA100" s="102"/>
      <c r="CB100" s="102"/>
      <c r="CC100" s="102"/>
      <c r="CD100" s="102"/>
      <c r="CE100" s="102"/>
      <c r="CF100" s="102"/>
      <c r="CG100" s="102"/>
      <c r="CH100" s="102"/>
      <c r="CI100" s="102"/>
      <c r="CJ100" s="102"/>
      <c r="CK100" s="102"/>
      <c r="CL100" s="102"/>
      <c r="CM100" s="102"/>
      <c r="CN100" s="102"/>
      <c r="CO100" s="102"/>
      <c r="CP100" s="102"/>
      <c r="CQ100" s="102"/>
      <c r="CR100" s="102"/>
      <c r="CS100" s="102"/>
      <c r="CT100" s="102"/>
      <c r="CU100" s="102"/>
      <c r="CV100" s="102"/>
      <c r="CW100" s="102"/>
      <c r="CX100" s="102"/>
      <c r="CY100" s="102"/>
      <c r="CZ100" s="102"/>
      <c r="DA100" s="102"/>
      <c r="DB100" s="102"/>
      <c r="DC100" s="102"/>
      <c r="DD100" s="102"/>
      <c r="DE100" s="101"/>
      <c r="DF100" s="101"/>
      <c r="DG100" s="101"/>
      <c r="DH100" s="101"/>
      <c r="DI100" s="101"/>
      <c r="DJ100" s="101"/>
      <c r="DK100" s="101"/>
      <c r="DL100" s="101"/>
      <c r="DM100" s="101"/>
      <c r="DN100" s="101"/>
      <c r="DO100" s="101"/>
      <c r="DP100" s="101"/>
      <c r="DQ100" s="101"/>
      <c r="DR100" s="101"/>
      <c r="DS100" s="101"/>
      <c r="DT100" s="101"/>
      <c r="DU100" s="101"/>
      <c r="DV100" s="101"/>
      <c r="DW100" s="101"/>
      <c r="DX100" s="101"/>
      <c r="DY100" s="101"/>
      <c r="DZ100" s="101"/>
      <c r="EA100" s="101"/>
      <c r="EB100" s="101"/>
      <c r="EC100" s="101"/>
      <c r="ED100" s="101"/>
      <c r="EE100" s="102"/>
      <c r="EF100" s="102"/>
      <c r="EG100" s="102"/>
      <c r="EH100" s="102"/>
      <c r="EI100" s="102"/>
      <c r="EJ100" s="102"/>
      <c r="EK100" s="102"/>
      <c r="EL100" s="102"/>
      <c r="EM100" s="102"/>
      <c r="EN100" s="102"/>
      <c r="EO100" s="102"/>
      <c r="EP100" s="102"/>
      <c r="EQ100" s="102"/>
      <c r="ER100" s="102"/>
      <c r="ES100" s="102"/>
      <c r="ET100" s="102"/>
      <c r="EU100" s="102"/>
      <c r="EV100" s="102"/>
      <c r="EW100" s="102"/>
      <c r="EX100" s="102"/>
      <c r="EY100" s="102"/>
      <c r="EZ100" s="102"/>
      <c r="FA100" s="102"/>
      <c r="FB100" s="102"/>
      <c r="FC100" s="102"/>
      <c r="FD100" s="102"/>
      <c r="FE100" s="102"/>
      <c r="FF100" s="102"/>
      <c r="FG100" s="102"/>
      <c r="FH100" s="102"/>
      <c r="FI100" s="102"/>
      <c r="FJ100" s="102"/>
      <c r="FK100" s="102"/>
      <c r="FL100" s="102"/>
      <c r="FM100" s="102"/>
      <c r="FN100" s="102"/>
    </row>
    <row r="101" spans="1:170" s="19" customFormat="1" ht="18" hidden="1" customHeight="1">
      <c r="A101" s="1808"/>
      <c r="B101" s="30"/>
      <c r="C101" s="26" t="s">
        <v>835</v>
      </c>
      <c r="D101" s="26"/>
      <c r="E101" s="346"/>
      <c r="F101" s="26"/>
      <c r="G101" s="26"/>
      <c r="H101" s="26"/>
      <c r="I101" s="27" t="s">
        <v>836</v>
      </c>
      <c r="J101" s="33" t="s">
        <v>17</v>
      </c>
      <c r="K101" s="33"/>
      <c r="L101" s="25"/>
      <c r="M101" s="349">
        <f>MIN(11,0*M88*M90*M92*M93*M94*M96*M99)</f>
        <v>0</v>
      </c>
      <c r="N101" s="349">
        <f>MIN(11,0*N88*N90*N92*N93*N94*N96*N99)</f>
        <v>0</v>
      </c>
      <c r="O101" s="349">
        <f>MIN(11,0*O88*O90*O92*O93*O94*O96*O99)</f>
        <v>0</v>
      </c>
      <c r="P101" s="493">
        <v>0</v>
      </c>
      <c r="Q101" s="989">
        <v>0</v>
      </c>
      <c r="R101" s="493">
        <v>0</v>
      </c>
      <c r="S101" s="131"/>
      <c r="T101" s="298"/>
      <c r="U101" s="298"/>
      <c r="V101" s="150"/>
      <c r="W101" s="299"/>
      <c r="X101" s="299"/>
      <c r="Y101" s="150"/>
      <c r="Z101" s="299"/>
      <c r="AA101" s="299"/>
      <c r="AB101" s="131"/>
      <c r="AC101" s="298"/>
      <c r="AD101" s="298"/>
      <c r="AE101" s="13"/>
      <c r="AF101" s="13"/>
      <c r="AG101" s="13"/>
      <c r="AH101" s="13"/>
      <c r="AI101" s="13"/>
      <c r="AJ101" s="13"/>
      <c r="AK101" s="13"/>
      <c r="AL101" s="13"/>
      <c r="AM101" s="13"/>
      <c r="AN101" s="13"/>
      <c r="AO101" s="13"/>
      <c r="AP101" s="155"/>
      <c r="AQ101" s="155"/>
      <c r="AR101" s="102"/>
      <c r="AS101" s="102"/>
      <c r="AT101" s="102"/>
      <c r="AU101" s="102"/>
      <c r="AV101" s="102"/>
      <c r="AW101" s="102"/>
      <c r="AX101" s="102"/>
      <c r="AY101" s="102"/>
      <c r="AZ101" s="102"/>
      <c r="BA101" s="102"/>
      <c r="BB101" s="102"/>
      <c r="BC101" s="102"/>
      <c r="BD101" s="102"/>
      <c r="BE101" s="102"/>
      <c r="BF101" s="102"/>
      <c r="BG101" s="102"/>
      <c r="BH101" s="102"/>
      <c r="BI101" s="102"/>
      <c r="BJ101" s="102"/>
      <c r="BK101" s="102"/>
      <c r="BL101" s="102"/>
      <c r="BM101" s="102"/>
      <c r="BN101" s="102"/>
      <c r="BO101" s="102"/>
      <c r="BP101" s="102"/>
      <c r="BQ101" s="102"/>
      <c r="BR101" s="102"/>
      <c r="BS101" s="102"/>
      <c r="BT101" s="102"/>
      <c r="BU101" s="102"/>
      <c r="BV101" s="102"/>
      <c r="BW101" s="102"/>
      <c r="BX101" s="102"/>
      <c r="BY101" s="102"/>
      <c r="BZ101" s="102"/>
      <c r="CA101" s="102"/>
      <c r="CB101" s="102"/>
      <c r="CC101" s="102"/>
      <c r="CD101" s="102"/>
      <c r="CE101" s="102"/>
      <c r="CF101" s="102"/>
      <c r="CG101" s="102"/>
      <c r="CH101" s="102"/>
      <c r="CI101" s="102"/>
      <c r="CJ101" s="102"/>
      <c r="CK101" s="102"/>
      <c r="CL101" s="102"/>
      <c r="CM101" s="102"/>
      <c r="CN101" s="102"/>
      <c r="CO101" s="102"/>
      <c r="CP101" s="102"/>
      <c r="CQ101" s="102"/>
      <c r="CR101" s="102"/>
      <c r="CS101" s="102"/>
      <c r="CT101" s="102"/>
      <c r="CU101" s="102"/>
      <c r="CV101" s="102"/>
      <c r="CW101" s="102"/>
      <c r="CX101" s="102"/>
      <c r="CY101" s="102"/>
      <c r="CZ101" s="102"/>
      <c r="DA101" s="102"/>
      <c r="DB101" s="102"/>
      <c r="DC101" s="102"/>
      <c r="DD101" s="102"/>
      <c r="DE101" s="101"/>
      <c r="DF101" s="101"/>
      <c r="DG101" s="101"/>
      <c r="DH101" s="101"/>
      <c r="DI101" s="101"/>
      <c r="DJ101" s="101"/>
      <c r="DK101" s="101"/>
      <c r="DL101" s="101"/>
      <c r="DM101" s="101"/>
      <c r="DN101" s="101"/>
      <c r="DO101" s="101"/>
      <c r="DP101" s="101"/>
      <c r="DQ101" s="101"/>
      <c r="DR101" s="101"/>
      <c r="DS101" s="101"/>
      <c r="DT101" s="101"/>
      <c r="DU101" s="101"/>
      <c r="DV101" s="101"/>
      <c r="DW101" s="101"/>
      <c r="DX101" s="101"/>
      <c r="DY101" s="101"/>
      <c r="DZ101" s="101"/>
      <c r="EA101" s="101"/>
      <c r="EB101" s="101"/>
      <c r="EC101" s="101"/>
      <c r="ED101" s="101"/>
      <c r="EE101" s="102"/>
      <c r="EF101" s="102"/>
      <c r="EG101" s="102"/>
      <c r="EH101" s="102"/>
      <c r="EI101" s="102"/>
      <c r="EJ101" s="102"/>
      <c r="EK101" s="102"/>
      <c r="EL101" s="102"/>
      <c r="EM101" s="102"/>
      <c r="EN101" s="102"/>
      <c r="EO101" s="102"/>
      <c r="EP101" s="102"/>
      <c r="EQ101" s="102"/>
      <c r="ER101" s="102"/>
      <c r="ES101" s="102"/>
      <c r="ET101" s="102"/>
      <c r="EU101" s="102"/>
      <c r="EV101" s="102"/>
      <c r="EW101" s="102"/>
      <c r="EX101" s="102"/>
      <c r="EY101" s="102"/>
      <c r="EZ101" s="102"/>
      <c r="FA101" s="102"/>
      <c r="FB101" s="102"/>
      <c r="FC101" s="102"/>
      <c r="FD101" s="102"/>
      <c r="FE101" s="102"/>
      <c r="FF101" s="102"/>
      <c r="FG101" s="102"/>
      <c r="FH101" s="102"/>
      <c r="FI101" s="102"/>
      <c r="FJ101" s="102"/>
      <c r="FK101" s="102"/>
      <c r="FL101" s="102"/>
      <c r="FM101" s="102"/>
      <c r="FN101" s="102"/>
    </row>
    <row r="102" spans="1:170" s="19" customFormat="1" ht="18" hidden="1" customHeight="1">
      <c r="A102" s="1808"/>
      <c r="B102" s="171"/>
      <c r="C102" s="26" t="s">
        <v>194</v>
      </c>
      <c r="D102" s="26"/>
      <c r="E102" s="346"/>
      <c r="F102" s="26" t="s">
        <v>28</v>
      </c>
      <c r="G102" s="26"/>
      <c r="H102" s="26"/>
      <c r="I102" s="1098" t="s">
        <v>810</v>
      </c>
      <c r="J102" s="33" t="s">
        <v>16</v>
      </c>
      <c r="K102" s="33"/>
      <c r="L102" s="25"/>
      <c r="M102" s="25">
        <f>0.5*((11-M100)*COS(3.14*$M78/M87)+(11+M100))</f>
        <v>7.6966904261520543</v>
      </c>
      <c r="N102" s="25">
        <f>0.5*((11-N100)*COS(3.14*$M78/N87)+(11+N100))</f>
        <v>5.8014582666110099</v>
      </c>
      <c r="O102" s="25">
        <f>0.5*((11-O100)*COS(3.14*$M78/O87)+(11+O100))</f>
        <v>7.6966904261520543</v>
      </c>
      <c r="P102" s="493">
        <v>0</v>
      </c>
      <c r="Q102" s="989">
        <v>0</v>
      </c>
      <c r="R102" s="493">
        <v>0</v>
      </c>
      <c r="S102" s="131"/>
      <c r="T102" s="298"/>
      <c r="U102" s="298"/>
      <c r="V102" s="150"/>
      <c r="W102" s="299"/>
      <c r="X102" s="299"/>
      <c r="Y102" s="150"/>
      <c r="Z102" s="299"/>
      <c r="AA102" s="299"/>
      <c r="AB102" s="131"/>
      <c r="AC102" s="298"/>
      <c r="AD102" s="298"/>
      <c r="AE102" s="13"/>
      <c r="AF102" s="13"/>
      <c r="AG102" s="13"/>
      <c r="AH102" s="13"/>
      <c r="AI102" s="13"/>
      <c r="AJ102" s="13"/>
      <c r="AK102" s="13"/>
      <c r="AL102" s="13"/>
      <c r="AM102" s="13"/>
      <c r="AN102" s="13"/>
      <c r="AO102" s="13"/>
      <c r="AP102" s="155"/>
      <c r="AQ102" s="155"/>
      <c r="AR102" s="102"/>
      <c r="AS102" s="102"/>
      <c r="AT102" s="102"/>
      <c r="AU102" s="102"/>
      <c r="AV102" s="102"/>
      <c r="AW102" s="102"/>
      <c r="AX102" s="102"/>
      <c r="AY102" s="102"/>
      <c r="AZ102" s="102"/>
      <c r="BA102" s="102"/>
      <c r="BB102" s="102"/>
      <c r="BC102" s="102"/>
      <c r="BD102" s="102"/>
      <c r="BE102" s="102"/>
      <c r="BF102" s="102"/>
      <c r="BG102" s="102"/>
      <c r="BH102" s="102"/>
      <c r="BI102" s="102"/>
      <c r="BJ102" s="102"/>
      <c r="BK102" s="102"/>
      <c r="BL102" s="102"/>
      <c r="BM102" s="102"/>
      <c r="BN102" s="102"/>
      <c r="BO102" s="102"/>
      <c r="BP102" s="102"/>
      <c r="BQ102" s="102"/>
      <c r="BR102" s="102"/>
      <c r="BS102" s="102"/>
      <c r="BT102" s="102"/>
      <c r="BU102" s="102"/>
      <c r="BV102" s="102"/>
      <c r="BW102" s="102"/>
      <c r="BX102" s="102"/>
      <c r="BY102" s="102"/>
      <c r="BZ102" s="102"/>
      <c r="CA102" s="102"/>
      <c r="CB102" s="102"/>
      <c r="CC102" s="102"/>
      <c r="CD102" s="102"/>
      <c r="CE102" s="102"/>
      <c r="CF102" s="102"/>
      <c r="CG102" s="102"/>
      <c r="CH102" s="102"/>
      <c r="CI102" s="102"/>
      <c r="CJ102" s="102"/>
      <c r="CK102" s="102"/>
      <c r="CL102" s="102"/>
      <c r="CM102" s="102"/>
      <c r="CN102" s="102"/>
      <c r="CO102" s="102"/>
      <c r="CP102" s="102"/>
      <c r="CQ102" s="102"/>
      <c r="CR102" s="102"/>
      <c r="CS102" s="102"/>
      <c r="CT102" s="102"/>
      <c r="CU102" s="102"/>
      <c r="CV102" s="102"/>
      <c r="CW102" s="102"/>
      <c r="CX102" s="102"/>
      <c r="CY102" s="102"/>
      <c r="CZ102" s="102"/>
      <c r="DA102" s="102"/>
      <c r="DB102" s="102"/>
      <c r="DC102" s="102"/>
      <c r="DD102" s="102"/>
      <c r="DE102" s="101"/>
      <c r="DF102" s="101"/>
      <c r="DG102" s="101"/>
      <c r="DH102" s="101"/>
      <c r="DI102" s="101"/>
      <c r="DJ102" s="101"/>
      <c r="DK102" s="101"/>
      <c r="DL102" s="101"/>
      <c r="DM102" s="101"/>
      <c r="DN102" s="101"/>
      <c r="DO102" s="101"/>
      <c r="DP102" s="101"/>
      <c r="DQ102" s="101"/>
      <c r="DR102" s="101"/>
      <c r="DS102" s="101"/>
      <c r="DT102" s="101"/>
      <c r="DU102" s="101"/>
      <c r="DV102" s="101"/>
      <c r="DW102" s="101"/>
      <c r="DX102" s="101"/>
      <c r="DY102" s="101"/>
      <c r="DZ102" s="101"/>
      <c r="EA102" s="101"/>
      <c r="EB102" s="101"/>
      <c r="EC102" s="101"/>
      <c r="ED102" s="101"/>
      <c r="EE102" s="102"/>
      <c r="EF102" s="102"/>
      <c r="EG102" s="102"/>
      <c r="EH102" s="102"/>
      <c r="EI102" s="102"/>
      <c r="EJ102" s="102"/>
      <c r="EK102" s="102"/>
      <c r="EL102" s="102"/>
      <c r="EM102" s="102"/>
      <c r="EN102" s="102"/>
      <c r="EO102" s="102"/>
      <c r="EP102" s="102"/>
      <c r="EQ102" s="102"/>
      <c r="ER102" s="102"/>
      <c r="ES102" s="102"/>
      <c r="ET102" s="102"/>
      <c r="EU102" s="102"/>
      <c r="EV102" s="102"/>
      <c r="EW102" s="102"/>
      <c r="EX102" s="102"/>
      <c r="EY102" s="102"/>
      <c r="EZ102" s="102"/>
      <c r="FA102" s="102"/>
      <c r="FB102" s="102"/>
      <c r="FC102" s="102"/>
      <c r="FD102" s="102"/>
      <c r="FE102" s="102"/>
      <c r="FF102" s="102"/>
      <c r="FG102" s="102"/>
      <c r="FH102" s="102"/>
      <c r="FI102" s="102"/>
      <c r="FJ102" s="102"/>
      <c r="FK102" s="102"/>
      <c r="FL102" s="102"/>
      <c r="FM102" s="102"/>
      <c r="FN102" s="102"/>
    </row>
    <row r="103" spans="1:170" s="19" customFormat="1" ht="18" hidden="1" customHeight="1">
      <c r="A103" s="1808"/>
      <c r="B103" s="171"/>
      <c r="C103" s="26" t="s">
        <v>837</v>
      </c>
      <c r="D103" s="26"/>
      <c r="E103" s="346"/>
      <c r="F103" s="26" t="s">
        <v>28</v>
      </c>
      <c r="G103" s="26"/>
      <c r="H103" s="26"/>
      <c r="I103" s="1098" t="s">
        <v>838</v>
      </c>
      <c r="J103" s="33" t="s">
        <v>16</v>
      </c>
      <c r="K103" s="33"/>
      <c r="L103" s="25"/>
      <c r="M103" s="25">
        <f>0.5*((11-M101)*COS(3.14*M78/M87)+(11+M101))</f>
        <v>4.4667877317229507</v>
      </c>
      <c r="N103" s="25">
        <f>0.5*((11-M101)*COS(3.14*M78/M87)+(11+M101))</f>
        <v>4.4667877317229507</v>
      </c>
      <c r="O103" s="25">
        <f>0.5*((11-M101)*COS(3.14*M78/M87)+(11+M101))</f>
        <v>4.4667877317229507</v>
      </c>
      <c r="P103" s="493">
        <v>0</v>
      </c>
      <c r="Q103" s="989">
        <v>0</v>
      </c>
      <c r="R103" s="493">
        <v>0</v>
      </c>
      <c r="S103" s="131"/>
      <c r="T103" s="298"/>
      <c r="U103" s="298"/>
      <c r="V103" s="150"/>
      <c r="W103" s="299"/>
      <c r="X103" s="299"/>
      <c r="Y103" s="150"/>
      <c r="Z103" s="299"/>
      <c r="AA103" s="299"/>
      <c r="AB103" s="131"/>
      <c r="AC103" s="298"/>
      <c r="AD103" s="298"/>
      <c r="AE103" s="13"/>
      <c r="AF103" s="13"/>
      <c r="AG103" s="13"/>
      <c r="AH103" s="13"/>
      <c r="AI103" s="13"/>
      <c r="AJ103" s="13"/>
      <c r="AK103" s="13"/>
      <c r="AL103" s="13"/>
      <c r="AM103" s="13"/>
      <c r="AN103" s="13"/>
      <c r="AO103" s="13"/>
      <c r="AP103" s="155"/>
      <c r="AQ103" s="155"/>
      <c r="AR103" s="102"/>
      <c r="AS103" s="102"/>
      <c r="AT103" s="102"/>
      <c r="AU103" s="102"/>
      <c r="AV103" s="102"/>
      <c r="AW103" s="102"/>
      <c r="AX103" s="102"/>
      <c r="AY103" s="102"/>
      <c r="AZ103" s="102"/>
      <c r="BA103" s="102"/>
      <c r="BB103" s="102"/>
      <c r="BC103" s="102"/>
      <c r="BD103" s="102"/>
      <c r="BE103" s="102"/>
      <c r="BF103" s="102"/>
      <c r="BG103" s="102"/>
      <c r="BH103" s="102"/>
      <c r="BI103" s="102"/>
      <c r="BJ103" s="102"/>
      <c r="BK103" s="102"/>
      <c r="BL103" s="102"/>
      <c r="BM103" s="102"/>
      <c r="BN103" s="102"/>
      <c r="BO103" s="102"/>
      <c r="BP103" s="102"/>
      <c r="BQ103" s="102"/>
      <c r="BR103" s="102"/>
      <c r="BS103" s="102"/>
      <c r="BT103" s="102"/>
      <c r="BU103" s="102"/>
      <c r="BV103" s="102"/>
      <c r="BW103" s="102"/>
      <c r="BX103" s="102"/>
      <c r="BY103" s="102"/>
      <c r="BZ103" s="102"/>
      <c r="CA103" s="102"/>
      <c r="CB103" s="102"/>
      <c r="CC103" s="102"/>
      <c r="CD103" s="102"/>
      <c r="CE103" s="102"/>
      <c r="CF103" s="102"/>
      <c r="CG103" s="102"/>
      <c r="CH103" s="102"/>
      <c r="CI103" s="102"/>
      <c r="CJ103" s="102"/>
      <c r="CK103" s="102"/>
      <c r="CL103" s="102"/>
      <c r="CM103" s="102"/>
      <c r="CN103" s="102"/>
      <c r="CO103" s="102"/>
      <c r="CP103" s="102"/>
      <c r="CQ103" s="102"/>
      <c r="CR103" s="102"/>
      <c r="CS103" s="102"/>
      <c r="CT103" s="102"/>
      <c r="CU103" s="102"/>
      <c r="CV103" s="102"/>
      <c r="CW103" s="102"/>
      <c r="CX103" s="102"/>
      <c r="CY103" s="102"/>
      <c r="CZ103" s="102"/>
      <c r="DA103" s="102"/>
      <c r="DB103" s="102"/>
      <c r="DC103" s="102"/>
      <c r="DD103" s="102"/>
      <c r="DE103" s="101"/>
      <c r="DF103" s="101"/>
      <c r="DG103" s="101"/>
      <c r="DH103" s="101"/>
      <c r="DI103" s="101"/>
      <c r="DJ103" s="101"/>
      <c r="DK103" s="101"/>
      <c r="DL103" s="101"/>
      <c r="DM103" s="101"/>
      <c r="DN103" s="101"/>
      <c r="DO103" s="101"/>
      <c r="DP103" s="101"/>
      <c r="DQ103" s="101"/>
      <c r="DR103" s="101"/>
      <c r="DS103" s="101"/>
      <c r="DT103" s="101"/>
      <c r="DU103" s="101"/>
      <c r="DV103" s="101"/>
      <c r="DW103" s="101"/>
      <c r="DX103" s="101"/>
      <c r="DY103" s="101"/>
      <c r="DZ103" s="101"/>
      <c r="EA103" s="101"/>
      <c r="EB103" s="101"/>
      <c r="EC103" s="101"/>
      <c r="ED103" s="101"/>
      <c r="EE103" s="102"/>
      <c r="EF103" s="102"/>
      <c r="EG103" s="102"/>
      <c r="EH103" s="102"/>
      <c r="EI103" s="102"/>
      <c r="EJ103" s="102"/>
      <c r="EK103" s="102"/>
      <c r="EL103" s="102"/>
      <c r="EM103" s="102"/>
      <c r="EN103" s="102"/>
      <c r="EO103" s="102"/>
      <c r="EP103" s="102"/>
      <c r="EQ103" s="102"/>
      <c r="ER103" s="102"/>
      <c r="ES103" s="102"/>
      <c r="ET103" s="102"/>
      <c r="EU103" s="102"/>
      <c r="EV103" s="102"/>
      <c r="EW103" s="102"/>
      <c r="EX103" s="102"/>
      <c r="EY103" s="102"/>
      <c r="EZ103" s="102"/>
      <c r="FA103" s="102"/>
      <c r="FB103" s="102"/>
      <c r="FC103" s="102"/>
      <c r="FD103" s="102"/>
      <c r="FE103" s="102"/>
      <c r="FF103" s="102"/>
      <c r="FG103" s="102"/>
      <c r="FH103" s="102"/>
      <c r="FI103" s="102"/>
      <c r="FJ103" s="102"/>
      <c r="FK103" s="102"/>
      <c r="FL103" s="102"/>
      <c r="FM103" s="102"/>
      <c r="FN103" s="102"/>
    </row>
    <row r="104" spans="1:170" s="19" customFormat="1" ht="18" hidden="1" customHeight="1">
      <c r="A104" s="1808"/>
      <c r="B104" s="171"/>
      <c r="C104" s="26" t="s">
        <v>83</v>
      </c>
      <c r="D104" s="26"/>
      <c r="E104" s="346"/>
      <c r="F104" s="26"/>
      <c r="G104" s="26"/>
      <c r="H104" s="26"/>
      <c r="I104" s="27" t="s">
        <v>96</v>
      </c>
      <c r="J104" s="33"/>
      <c r="K104" s="33"/>
      <c r="L104" s="25"/>
      <c r="M104" s="25" t="s">
        <v>84</v>
      </c>
      <c r="N104" s="25" t="s">
        <v>49</v>
      </c>
      <c r="O104" s="25" t="s">
        <v>84</v>
      </c>
      <c r="P104" s="493">
        <v>0</v>
      </c>
      <c r="Q104" s="989">
        <v>0</v>
      </c>
      <c r="R104" s="493">
        <v>0</v>
      </c>
      <c r="S104" s="131"/>
      <c r="T104" s="298"/>
      <c r="U104" s="298"/>
      <c r="V104" s="150"/>
      <c r="W104" s="299"/>
      <c r="X104" s="299"/>
      <c r="Y104" s="150"/>
      <c r="Z104" s="299"/>
      <c r="AA104" s="299"/>
      <c r="AB104" s="131"/>
      <c r="AC104" s="298"/>
      <c r="AD104" s="298"/>
      <c r="AE104" s="13"/>
      <c r="AF104" s="13"/>
      <c r="AG104" s="13"/>
      <c r="AH104" s="13"/>
      <c r="AI104" s="13"/>
      <c r="AJ104" s="13"/>
      <c r="AK104" s="13"/>
      <c r="AL104" s="13"/>
      <c r="AM104" s="13"/>
      <c r="AN104" s="13"/>
      <c r="AO104" s="13"/>
      <c r="AP104" s="155"/>
      <c r="AQ104" s="155"/>
      <c r="AR104" s="102"/>
      <c r="AS104" s="102"/>
      <c r="AT104" s="102"/>
      <c r="AU104" s="102"/>
      <c r="AV104" s="102"/>
      <c r="AW104" s="102"/>
      <c r="AX104" s="102"/>
      <c r="AY104" s="102"/>
      <c r="AZ104" s="102"/>
      <c r="BA104" s="102"/>
      <c r="BB104" s="102"/>
      <c r="BC104" s="102"/>
      <c r="BD104" s="102"/>
      <c r="BE104" s="102"/>
      <c r="BF104" s="102"/>
      <c r="BG104" s="102"/>
      <c r="BH104" s="102"/>
      <c r="BI104" s="102"/>
      <c r="BJ104" s="102"/>
      <c r="BK104" s="102"/>
      <c r="BL104" s="102"/>
      <c r="BM104" s="102"/>
      <c r="BN104" s="102"/>
      <c r="BO104" s="102"/>
      <c r="BP104" s="102"/>
      <c r="BQ104" s="102"/>
      <c r="BR104" s="102"/>
      <c r="BS104" s="102"/>
      <c r="BT104" s="102"/>
      <c r="BU104" s="102"/>
      <c r="BV104" s="102"/>
      <c r="BW104" s="102"/>
      <c r="BX104" s="102"/>
      <c r="BY104" s="102"/>
      <c r="BZ104" s="102"/>
      <c r="CA104" s="102"/>
      <c r="CB104" s="102"/>
      <c r="CC104" s="102"/>
      <c r="CD104" s="102"/>
      <c r="CE104" s="102"/>
      <c r="CF104" s="102"/>
      <c r="CG104" s="102"/>
      <c r="CH104" s="102"/>
      <c r="CI104" s="102"/>
      <c r="CJ104" s="102"/>
      <c r="CK104" s="102"/>
      <c r="CL104" s="102"/>
      <c r="CM104" s="102"/>
      <c r="CN104" s="102"/>
      <c r="CO104" s="102"/>
      <c r="CP104" s="102"/>
      <c r="CQ104" s="102"/>
      <c r="CR104" s="102"/>
      <c r="CS104" s="102"/>
      <c r="CT104" s="102"/>
      <c r="CU104" s="102"/>
      <c r="CV104" s="102"/>
      <c r="CW104" s="102"/>
      <c r="CX104" s="102"/>
      <c r="CY104" s="102"/>
      <c r="CZ104" s="102"/>
      <c r="DA104" s="102"/>
      <c r="DB104" s="102"/>
      <c r="DC104" s="102"/>
      <c r="DD104" s="102"/>
      <c r="DE104" s="101"/>
      <c r="DF104" s="101"/>
      <c r="DG104" s="101"/>
      <c r="DH104" s="101"/>
      <c r="DI104" s="101"/>
      <c r="DJ104" s="101"/>
      <c r="DK104" s="101"/>
      <c r="DL104" s="101"/>
      <c r="DM104" s="101"/>
      <c r="DN104" s="101"/>
      <c r="DO104" s="101"/>
      <c r="DP104" s="101"/>
      <c r="DQ104" s="101"/>
      <c r="DR104" s="101"/>
      <c r="DS104" s="101"/>
      <c r="DT104" s="101"/>
      <c r="DU104" s="101"/>
      <c r="DV104" s="101"/>
      <c r="DW104" s="101"/>
      <c r="DX104" s="101"/>
      <c r="DY104" s="101"/>
      <c r="DZ104" s="101"/>
      <c r="EA104" s="101"/>
      <c r="EB104" s="101"/>
      <c r="EC104" s="101"/>
      <c r="ED104" s="101"/>
      <c r="EE104" s="102"/>
      <c r="EF104" s="102"/>
      <c r="EG104" s="102"/>
      <c r="EH104" s="102"/>
      <c r="EI104" s="102"/>
      <c r="EJ104" s="102"/>
      <c r="EK104" s="102"/>
      <c r="EL104" s="102"/>
      <c r="EM104" s="102"/>
      <c r="EN104" s="102"/>
      <c r="EO104" s="102"/>
      <c r="EP104" s="102"/>
      <c r="EQ104" s="102"/>
      <c r="ER104" s="102"/>
      <c r="ES104" s="102"/>
      <c r="ET104" s="102"/>
      <c r="EU104" s="102"/>
      <c r="EV104" s="102"/>
      <c r="EW104" s="102"/>
      <c r="EX104" s="102"/>
      <c r="EY104" s="102"/>
      <c r="EZ104" s="102"/>
      <c r="FA104" s="102"/>
      <c r="FB104" s="102"/>
      <c r="FC104" s="102"/>
      <c r="FD104" s="102"/>
      <c r="FE104" s="102"/>
      <c r="FF104" s="102"/>
      <c r="FG104" s="102"/>
      <c r="FH104" s="102"/>
      <c r="FI104" s="102"/>
      <c r="FJ104" s="102"/>
      <c r="FK104" s="102"/>
      <c r="FL104" s="102"/>
      <c r="FM104" s="102"/>
      <c r="FN104" s="102"/>
    </row>
    <row r="105" spans="1:170" s="19" customFormat="1" ht="18" customHeight="1">
      <c r="A105" s="1808"/>
      <c r="B105" s="416">
        <v>141</v>
      </c>
      <c r="C105" s="493" t="str">
        <f>VLOOKUP(B105,Begriffe!$A$6:$E$442,Begriffe!$D$1+2)</f>
        <v>Korrekturfaktor für Präsenzregelung</v>
      </c>
      <c r="D105" s="493"/>
      <c r="E105" s="493"/>
      <c r="F105" s="21"/>
      <c r="G105" s="21"/>
      <c r="H105" s="21"/>
      <c r="I105" s="178" t="s">
        <v>96</v>
      </c>
      <c r="J105" s="188" t="s">
        <v>272</v>
      </c>
      <c r="K105" s="188"/>
      <c r="L105" s="1172"/>
      <c r="M105" s="931">
        <f>IF(L105&lt;&gt;"",L105,1)</f>
        <v>1</v>
      </c>
      <c r="N105" s="931">
        <f>INDEX(Eingabedaten!$D$10:$CY$54,nutzid,MATCH($C105,Eingabedaten!$D$7:$CY$7,0))</f>
        <v>0.8</v>
      </c>
      <c r="O105" s="931">
        <f>M105</f>
        <v>1</v>
      </c>
      <c r="P105" s="493">
        <v>0</v>
      </c>
      <c r="Q105" s="989">
        <v>1</v>
      </c>
      <c r="R105" s="493">
        <v>0</v>
      </c>
      <c r="S105" s="131"/>
      <c r="T105" s="298"/>
      <c r="U105" s="298"/>
      <c r="V105" s="150"/>
      <c r="W105" s="299"/>
      <c r="X105" s="299"/>
      <c r="Y105" s="150"/>
      <c r="Z105" s="299"/>
      <c r="AA105" s="299"/>
      <c r="AB105" s="131"/>
      <c r="AC105" s="298"/>
      <c r="AD105" s="298"/>
      <c r="AE105" s="13"/>
      <c r="AF105" s="13"/>
      <c r="AG105" s="13"/>
      <c r="AH105" s="13"/>
      <c r="AI105" s="13"/>
      <c r="AJ105" s="13"/>
      <c r="AK105" s="13"/>
      <c r="AL105" s="13"/>
      <c r="AM105" s="13"/>
      <c r="AN105" s="13"/>
      <c r="AO105" s="13"/>
      <c r="AP105" s="155"/>
      <c r="AQ105" s="155"/>
      <c r="AR105" s="102"/>
      <c r="AS105" s="102"/>
      <c r="AT105" s="102"/>
      <c r="AU105" s="102"/>
      <c r="AV105" s="102"/>
      <c r="AW105" s="102"/>
      <c r="AX105" s="102"/>
      <c r="AY105" s="102"/>
      <c r="AZ105" s="102"/>
      <c r="BA105" s="102"/>
      <c r="BB105" s="102"/>
      <c r="BC105" s="102"/>
      <c r="BD105" s="102"/>
      <c r="BE105" s="102"/>
      <c r="BF105" s="102"/>
      <c r="BG105" s="102"/>
      <c r="BH105" s="102"/>
      <c r="BI105" s="102"/>
      <c r="BJ105" s="102"/>
      <c r="BK105" s="102"/>
      <c r="BL105" s="102"/>
      <c r="BM105" s="102"/>
      <c r="BN105" s="102"/>
      <c r="BO105" s="102"/>
      <c r="BP105" s="102"/>
      <c r="BQ105" s="102"/>
      <c r="BR105" s="102"/>
      <c r="BS105" s="102"/>
      <c r="BT105" s="102"/>
      <c r="BU105" s="102"/>
      <c r="BV105" s="102"/>
      <c r="BW105" s="102"/>
      <c r="BX105" s="102"/>
      <c r="BY105" s="102"/>
      <c r="BZ105" s="102"/>
      <c r="CA105" s="102"/>
      <c r="CB105" s="102"/>
      <c r="CC105" s="102"/>
      <c r="CD105" s="102"/>
      <c r="CE105" s="102"/>
      <c r="CF105" s="102"/>
      <c r="CG105" s="102"/>
      <c r="CH105" s="102"/>
      <c r="CI105" s="102"/>
      <c r="CJ105" s="102"/>
      <c r="CK105" s="102"/>
      <c r="CL105" s="102"/>
      <c r="CM105" s="102"/>
      <c r="CN105" s="102"/>
      <c r="CO105" s="102"/>
      <c r="CP105" s="102"/>
      <c r="CQ105" s="102"/>
      <c r="CR105" s="102"/>
      <c r="CS105" s="102"/>
      <c r="CT105" s="102"/>
      <c r="CU105" s="102"/>
      <c r="CV105" s="102"/>
      <c r="CW105" s="102"/>
      <c r="CX105" s="102"/>
      <c r="CY105" s="102"/>
      <c r="CZ105" s="102"/>
      <c r="DA105" s="102"/>
      <c r="DB105" s="102"/>
      <c r="DC105" s="102"/>
      <c r="DD105" s="102"/>
      <c r="DE105" s="101"/>
      <c r="DF105" s="101"/>
      <c r="DG105" s="101"/>
      <c r="DH105" s="101"/>
      <c r="DI105" s="101"/>
      <c r="DJ105" s="101"/>
      <c r="DK105" s="101"/>
      <c r="DL105" s="101"/>
      <c r="DM105" s="101"/>
      <c r="DN105" s="101"/>
      <c r="DO105" s="101"/>
      <c r="DP105" s="101"/>
      <c r="DQ105" s="101"/>
      <c r="DR105" s="101"/>
      <c r="DS105" s="101"/>
      <c r="DT105" s="101"/>
      <c r="DU105" s="101"/>
      <c r="DV105" s="101"/>
      <c r="DW105" s="101"/>
      <c r="DX105" s="101"/>
      <c r="DY105" s="101"/>
      <c r="DZ105" s="101"/>
      <c r="EA105" s="101"/>
      <c r="EB105" s="101"/>
      <c r="EC105" s="101"/>
      <c r="ED105" s="101"/>
      <c r="EE105" s="102"/>
      <c r="EF105" s="102"/>
      <c r="EG105" s="102"/>
      <c r="EH105" s="102"/>
      <c r="EI105" s="102"/>
      <c r="EJ105" s="102"/>
      <c r="EK105" s="102"/>
      <c r="EL105" s="102"/>
      <c r="EM105" s="102"/>
      <c r="EN105" s="102"/>
      <c r="EO105" s="102"/>
      <c r="EP105" s="102"/>
      <c r="EQ105" s="102"/>
      <c r="ER105" s="102"/>
      <c r="ES105" s="102"/>
      <c r="ET105" s="102"/>
      <c r="EU105" s="102"/>
      <c r="EV105" s="102"/>
      <c r="EW105" s="102"/>
      <c r="EX105" s="102"/>
      <c r="EY105" s="102"/>
      <c r="EZ105" s="102"/>
      <c r="FA105" s="102"/>
      <c r="FB105" s="102"/>
      <c r="FC105" s="102"/>
      <c r="FD105" s="102"/>
      <c r="FE105" s="102"/>
      <c r="FF105" s="102"/>
      <c r="FG105" s="102"/>
      <c r="FH105" s="102"/>
      <c r="FI105" s="102"/>
      <c r="FJ105" s="102"/>
      <c r="FK105" s="102"/>
      <c r="FL105" s="102"/>
      <c r="FM105" s="102"/>
      <c r="FN105" s="102"/>
    </row>
    <row r="106" spans="1:170" s="19" customFormat="1" ht="18" hidden="1" customHeight="1">
      <c r="A106" s="1808"/>
      <c r="B106" s="30"/>
      <c r="C106" s="932" t="s">
        <v>193</v>
      </c>
      <c r="D106" s="932"/>
      <c r="E106" s="946"/>
      <c r="F106" s="932" t="s">
        <v>28</v>
      </c>
      <c r="G106" s="932"/>
      <c r="H106" s="932"/>
      <c r="I106" s="933" t="s">
        <v>885</v>
      </c>
      <c r="J106" s="934" t="s">
        <v>17</v>
      </c>
      <c r="K106" s="934"/>
      <c r="L106" s="938"/>
      <c r="M106" s="938">
        <f>M105*(M102*$M84/11+$M85)</f>
        <v>7.6966904261520543</v>
      </c>
      <c r="N106" s="938">
        <f>N105*(N102*$M84/11+$M85)</f>
        <v>4.6411666132888083</v>
      </c>
      <c r="O106" s="938">
        <f>O105*(O102*$M84/11+$M85)</f>
        <v>7.6966904261520543</v>
      </c>
      <c r="P106" s="493">
        <v>0</v>
      </c>
      <c r="Q106" s="989">
        <v>0</v>
      </c>
      <c r="R106" s="493">
        <v>1</v>
      </c>
      <c r="S106" s="131"/>
      <c r="T106" s="298"/>
      <c r="U106" s="298"/>
      <c r="V106" s="150"/>
      <c r="W106" s="299"/>
      <c r="X106" s="299"/>
      <c r="Y106" s="150"/>
      <c r="Z106" s="299"/>
      <c r="AA106" s="299"/>
      <c r="AB106" s="131"/>
      <c r="AC106" s="298"/>
      <c r="AD106" s="298"/>
      <c r="AE106" s="13"/>
      <c r="AF106" s="13"/>
      <c r="AG106" s="13"/>
      <c r="AH106" s="13"/>
      <c r="AI106" s="13"/>
      <c r="AJ106" s="13"/>
      <c r="AK106" s="13"/>
      <c r="AL106" s="13"/>
      <c r="AM106" s="13"/>
      <c r="AN106" s="13"/>
      <c r="AO106" s="13"/>
      <c r="AP106" s="155"/>
      <c r="AQ106" s="155"/>
      <c r="AR106" s="102"/>
      <c r="AS106" s="102"/>
      <c r="AT106" s="102"/>
      <c r="AU106" s="102"/>
      <c r="AV106" s="102"/>
      <c r="AW106" s="102"/>
      <c r="AX106" s="102"/>
      <c r="AY106" s="102"/>
      <c r="AZ106" s="102"/>
      <c r="BA106" s="102"/>
      <c r="BB106" s="102"/>
      <c r="BC106" s="102"/>
      <c r="BD106" s="102"/>
      <c r="BE106" s="102"/>
      <c r="BF106" s="102"/>
      <c r="BG106" s="102"/>
      <c r="BH106" s="102"/>
      <c r="BI106" s="102"/>
      <c r="BJ106" s="102"/>
      <c r="BK106" s="102"/>
      <c r="BL106" s="102"/>
      <c r="BM106" s="102"/>
      <c r="BN106" s="102"/>
      <c r="BO106" s="102"/>
      <c r="BP106" s="102"/>
      <c r="BQ106" s="102"/>
      <c r="BR106" s="102"/>
      <c r="BS106" s="102"/>
      <c r="BT106" s="102"/>
      <c r="BU106" s="102"/>
      <c r="BV106" s="102"/>
      <c r="BW106" s="102"/>
      <c r="BX106" s="102"/>
      <c r="BY106" s="102"/>
      <c r="BZ106" s="102"/>
      <c r="CA106" s="102"/>
      <c r="CB106" s="102"/>
      <c r="CC106" s="102"/>
      <c r="CD106" s="102"/>
      <c r="CE106" s="102"/>
      <c r="CF106" s="102"/>
      <c r="CG106" s="102"/>
      <c r="CH106" s="102"/>
      <c r="CI106" s="102"/>
      <c r="CJ106" s="102"/>
      <c r="CK106" s="102"/>
      <c r="CL106" s="102"/>
      <c r="CM106" s="102"/>
      <c r="CN106" s="102"/>
      <c r="CO106" s="102"/>
      <c r="CP106" s="102"/>
      <c r="CQ106" s="102"/>
      <c r="CR106" s="102"/>
      <c r="CS106" s="102"/>
      <c r="CT106" s="102"/>
      <c r="CU106" s="102"/>
      <c r="CV106" s="102"/>
      <c r="CW106" s="102"/>
      <c r="CX106" s="102"/>
      <c r="CY106" s="102"/>
      <c r="CZ106" s="102"/>
      <c r="DA106" s="102"/>
      <c r="DB106" s="102"/>
      <c r="DC106" s="102"/>
      <c r="DD106" s="102"/>
      <c r="DE106" s="101"/>
      <c r="DF106" s="101"/>
      <c r="DG106" s="101"/>
      <c r="DH106" s="101"/>
      <c r="DI106" s="101"/>
      <c r="DJ106" s="101"/>
      <c r="DK106" s="101"/>
      <c r="DL106" s="101"/>
      <c r="DM106" s="101"/>
      <c r="DN106" s="101"/>
      <c r="DO106" s="101"/>
      <c r="DP106" s="101"/>
      <c r="DQ106" s="101"/>
      <c r="DR106" s="101"/>
      <c r="DS106" s="101"/>
      <c r="DT106" s="101"/>
      <c r="DU106" s="101"/>
      <c r="DV106" s="101"/>
      <c r="DW106" s="101"/>
      <c r="DX106" s="101"/>
      <c r="DY106" s="101"/>
      <c r="DZ106" s="101"/>
      <c r="EA106" s="101"/>
      <c r="EB106" s="101"/>
      <c r="EC106" s="101"/>
      <c r="ED106" s="101"/>
      <c r="EE106" s="102"/>
      <c r="EF106" s="102"/>
      <c r="EG106" s="102"/>
      <c r="EH106" s="102"/>
      <c r="EI106" s="102"/>
      <c r="EJ106" s="102"/>
      <c r="EK106" s="102"/>
      <c r="EL106" s="102"/>
      <c r="EM106" s="102"/>
      <c r="EN106" s="102"/>
      <c r="EO106" s="102"/>
      <c r="EP106" s="102"/>
      <c r="EQ106" s="102"/>
      <c r="ER106" s="102"/>
      <c r="ES106" s="102"/>
      <c r="ET106" s="102"/>
      <c r="EU106" s="102"/>
      <c r="EV106" s="102"/>
      <c r="EW106" s="102"/>
      <c r="EX106" s="102"/>
      <c r="EY106" s="102"/>
      <c r="EZ106" s="102"/>
      <c r="FA106" s="102"/>
      <c r="FB106" s="102"/>
      <c r="FC106" s="102"/>
      <c r="FD106" s="102"/>
      <c r="FE106" s="102"/>
      <c r="FF106" s="102"/>
      <c r="FG106" s="102"/>
      <c r="FH106" s="102"/>
      <c r="FI106" s="102"/>
      <c r="FJ106" s="102"/>
      <c r="FK106" s="102"/>
      <c r="FL106" s="102"/>
      <c r="FM106" s="102"/>
      <c r="FN106" s="102"/>
    </row>
    <row r="107" spans="1:170" s="19" customFormat="1" ht="18" hidden="1" customHeight="1">
      <c r="A107" s="1808"/>
      <c r="B107" s="30"/>
      <c r="C107" s="932" t="s">
        <v>839</v>
      </c>
      <c r="D107" s="932"/>
      <c r="E107" s="946"/>
      <c r="F107" s="932" t="s">
        <v>28</v>
      </c>
      <c r="G107" s="932"/>
      <c r="H107" s="932"/>
      <c r="I107" s="933" t="s">
        <v>840</v>
      </c>
      <c r="J107" s="934" t="s">
        <v>16</v>
      </c>
      <c r="K107" s="934"/>
      <c r="L107" s="938"/>
      <c r="M107" s="938">
        <f>M105*(M103*($M84+2)/11+MAX($M85-2,0))</f>
        <v>5.2789309556725783</v>
      </c>
      <c r="N107" s="938">
        <f>N105*(N103*($M84+2)/11+MAX($M85-2,0))</f>
        <v>4.2231447645380626</v>
      </c>
      <c r="O107" s="938">
        <f>O105*(O103*($M84+2)/11+MAX($M85-2,0))</f>
        <v>5.2789309556725783</v>
      </c>
      <c r="P107" s="493">
        <v>0</v>
      </c>
      <c r="Q107" s="989">
        <v>0</v>
      </c>
      <c r="R107" s="493">
        <v>0</v>
      </c>
      <c r="S107" s="131"/>
      <c r="T107" s="298"/>
      <c r="U107" s="298"/>
      <c r="V107" s="150"/>
      <c r="W107" s="299"/>
      <c r="X107" s="299"/>
      <c r="Y107" s="150"/>
      <c r="Z107" s="299"/>
      <c r="AA107" s="299"/>
      <c r="AB107" s="131"/>
      <c r="AC107" s="298"/>
      <c r="AD107" s="298"/>
      <c r="AE107" s="13"/>
      <c r="AF107" s="13"/>
      <c r="AG107" s="13"/>
      <c r="AH107" s="13"/>
      <c r="AI107" s="13"/>
      <c r="AJ107" s="13"/>
      <c r="AK107" s="13"/>
      <c r="AL107" s="13"/>
      <c r="AM107" s="13"/>
      <c r="AN107" s="13"/>
      <c r="AO107" s="13"/>
      <c r="AP107" s="155"/>
      <c r="AQ107" s="155"/>
      <c r="AR107" s="102"/>
      <c r="AS107" s="102"/>
      <c r="AT107" s="102"/>
      <c r="AU107" s="102"/>
      <c r="AV107" s="102"/>
      <c r="AW107" s="102"/>
      <c r="AX107" s="102"/>
      <c r="AY107" s="102"/>
      <c r="AZ107" s="102"/>
      <c r="BA107" s="102"/>
      <c r="BB107" s="102"/>
      <c r="BC107" s="102"/>
      <c r="BD107" s="102"/>
      <c r="BE107" s="102"/>
      <c r="BF107" s="102"/>
      <c r="BG107" s="102"/>
      <c r="BH107" s="102"/>
      <c r="BI107" s="102"/>
      <c r="BJ107" s="102"/>
      <c r="BK107" s="102"/>
      <c r="BL107" s="102"/>
      <c r="BM107" s="102"/>
      <c r="BN107" s="102"/>
      <c r="BO107" s="102"/>
      <c r="BP107" s="102"/>
      <c r="BQ107" s="102"/>
      <c r="BR107" s="102"/>
      <c r="BS107" s="102"/>
      <c r="BT107" s="102"/>
      <c r="BU107" s="102"/>
      <c r="BV107" s="102"/>
      <c r="BW107" s="102"/>
      <c r="BX107" s="102"/>
      <c r="BY107" s="102"/>
      <c r="BZ107" s="102"/>
      <c r="CA107" s="102"/>
      <c r="CB107" s="102"/>
      <c r="CC107" s="102"/>
      <c r="CD107" s="102"/>
      <c r="CE107" s="102"/>
      <c r="CF107" s="102"/>
      <c r="CG107" s="102"/>
      <c r="CH107" s="102"/>
      <c r="CI107" s="102"/>
      <c r="CJ107" s="102"/>
      <c r="CK107" s="102"/>
      <c r="CL107" s="102"/>
      <c r="CM107" s="102"/>
      <c r="CN107" s="102"/>
      <c r="CO107" s="102"/>
      <c r="CP107" s="102"/>
      <c r="CQ107" s="102"/>
      <c r="CR107" s="102"/>
      <c r="CS107" s="102"/>
      <c r="CT107" s="102"/>
      <c r="CU107" s="102"/>
      <c r="CV107" s="102"/>
      <c r="CW107" s="102"/>
      <c r="CX107" s="102"/>
      <c r="CY107" s="102"/>
      <c r="CZ107" s="102"/>
      <c r="DA107" s="102"/>
      <c r="DB107" s="102"/>
      <c r="DC107" s="102"/>
      <c r="DD107" s="102"/>
      <c r="DE107" s="101"/>
      <c r="DF107" s="101"/>
      <c r="DG107" s="101"/>
      <c r="DH107" s="101"/>
      <c r="DI107" s="101"/>
      <c r="DJ107" s="101"/>
      <c r="DK107" s="101"/>
      <c r="DL107" s="101"/>
      <c r="DM107" s="101"/>
      <c r="DN107" s="101"/>
      <c r="DO107" s="101"/>
      <c r="DP107" s="101"/>
      <c r="DQ107" s="101"/>
      <c r="DR107" s="101"/>
      <c r="DS107" s="101"/>
      <c r="DT107" s="101"/>
      <c r="DU107" s="101"/>
      <c r="DV107" s="101"/>
      <c r="DW107" s="101"/>
      <c r="DX107" s="101"/>
      <c r="DY107" s="101"/>
      <c r="DZ107" s="101"/>
      <c r="EA107" s="101"/>
      <c r="EB107" s="101"/>
      <c r="EC107" s="101"/>
      <c r="ED107" s="101"/>
      <c r="EE107" s="102"/>
      <c r="EF107" s="102"/>
      <c r="EG107" s="102"/>
      <c r="EH107" s="102"/>
      <c r="EI107" s="102"/>
      <c r="EJ107" s="102"/>
      <c r="EK107" s="102"/>
      <c r="EL107" s="102"/>
      <c r="EM107" s="102"/>
      <c r="EN107" s="102"/>
      <c r="EO107" s="102"/>
      <c r="EP107" s="102"/>
      <c r="EQ107" s="102"/>
      <c r="ER107" s="102"/>
      <c r="ES107" s="102"/>
      <c r="ET107" s="102"/>
      <c r="EU107" s="102"/>
      <c r="EV107" s="102"/>
      <c r="EW107" s="102"/>
      <c r="EX107" s="102"/>
      <c r="EY107" s="102"/>
      <c r="EZ107" s="102"/>
      <c r="FA107" s="102"/>
      <c r="FB107" s="102"/>
      <c r="FC107" s="102"/>
      <c r="FD107" s="102"/>
      <c r="FE107" s="102"/>
      <c r="FF107" s="102"/>
      <c r="FG107" s="102"/>
      <c r="FH107" s="102"/>
      <c r="FI107" s="102"/>
      <c r="FJ107" s="102"/>
      <c r="FK107" s="102"/>
      <c r="FL107" s="102"/>
      <c r="FM107" s="102"/>
      <c r="FN107" s="102"/>
    </row>
    <row r="108" spans="1:170" s="19" customFormat="1" ht="18" hidden="1" customHeight="1">
      <c r="A108" s="1808"/>
      <c r="B108" s="30"/>
      <c r="C108" s="932" t="s">
        <v>809</v>
      </c>
      <c r="D108" s="932"/>
      <c r="E108" s="946"/>
      <c r="F108" s="932" t="s">
        <v>28</v>
      </c>
      <c r="G108" s="932"/>
      <c r="H108" s="932"/>
      <c r="I108" s="933" t="s">
        <v>811</v>
      </c>
      <c r="J108" s="934" t="s">
        <v>16</v>
      </c>
      <c r="K108" s="934"/>
      <c r="L108" s="938"/>
      <c r="M108" s="938">
        <f>$M$85*M105</f>
        <v>0</v>
      </c>
      <c r="N108" s="938">
        <f>$M$85*N105</f>
        <v>0</v>
      </c>
      <c r="O108" s="938">
        <f>$M$85*O105</f>
        <v>0</v>
      </c>
      <c r="P108" s="493">
        <v>0</v>
      </c>
      <c r="Q108" s="989">
        <v>0</v>
      </c>
      <c r="R108" s="493">
        <v>0</v>
      </c>
      <c r="S108" s="131"/>
      <c r="T108" s="298"/>
      <c r="U108" s="298"/>
      <c r="V108" s="150"/>
      <c r="W108" s="299"/>
      <c r="X108" s="299"/>
      <c r="Y108" s="150"/>
      <c r="Z108" s="299"/>
      <c r="AA108" s="299"/>
      <c r="AB108" s="131"/>
      <c r="AC108" s="298"/>
      <c r="AD108" s="298"/>
      <c r="AE108" s="13"/>
      <c r="AF108" s="13"/>
      <c r="AG108" s="13"/>
      <c r="AH108" s="13"/>
      <c r="AI108" s="13"/>
      <c r="AJ108" s="13"/>
      <c r="AK108" s="13"/>
      <c r="AL108" s="13"/>
      <c r="AM108" s="13"/>
      <c r="AN108" s="13"/>
      <c r="AO108" s="13"/>
      <c r="AP108" s="155"/>
      <c r="AQ108" s="155"/>
      <c r="AR108" s="102"/>
      <c r="AS108" s="102"/>
      <c r="AT108" s="102"/>
      <c r="AU108" s="102"/>
      <c r="AV108" s="102"/>
      <c r="AW108" s="102"/>
      <c r="AX108" s="102"/>
      <c r="AY108" s="102"/>
      <c r="AZ108" s="102"/>
      <c r="BA108" s="102"/>
      <c r="BB108" s="102"/>
      <c r="BC108" s="102"/>
      <c r="BD108" s="102"/>
      <c r="BE108" s="102"/>
      <c r="BF108" s="102"/>
      <c r="BG108" s="102"/>
      <c r="BH108" s="102"/>
      <c r="BI108" s="102"/>
      <c r="BJ108" s="102"/>
      <c r="BK108" s="102"/>
      <c r="BL108" s="102"/>
      <c r="BM108" s="102"/>
      <c r="BN108" s="102"/>
      <c r="BO108" s="102"/>
      <c r="BP108" s="102"/>
      <c r="BQ108" s="102"/>
      <c r="BR108" s="102"/>
      <c r="BS108" s="102"/>
      <c r="BT108" s="102"/>
      <c r="BU108" s="102"/>
      <c r="BV108" s="102"/>
      <c r="BW108" s="102"/>
      <c r="BX108" s="102"/>
      <c r="BY108" s="102"/>
      <c r="BZ108" s="102"/>
      <c r="CA108" s="102"/>
      <c r="CB108" s="102"/>
      <c r="CC108" s="102"/>
      <c r="CD108" s="102"/>
      <c r="CE108" s="102"/>
      <c r="CF108" s="102"/>
      <c r="CG108" s="102"/>
      <c r="CH108" s="102"/>
      <c r="CI108" s="102"/>
      <c r="CJ108" s="102"/>
      <c r="CK108" s="102"/>
      <c r="CL108" s="102"/>
      <c r="CM108" s="102"/>
      <c r="CN108" s="102"/>
      <c r="CO108" s="102"/>
      <c r="CP108" s="102"/>
      <c r="CQ108" s="102"/>
      <c r="CR108" s="102"/>
      <c r="CS108" s="102"/>
      <c r="CT108" s="102"/>
      <c r="CU108" s="102"/>
      <c r="CV108" s="102"/>
      <c r="CW108" s="102"/>
      <c r="CX108" s="102"/>
      <c r="CY108" s="102"/>
      <c r="CZ108" s="102"/>
      <c r="DA108" s="102"/>
      <c r="DB108" s="102"/>
      <c r="DC108" s="102"/>
      <c r="DD108" s="102"/>
      <c r="DE108" s="101"/>
      <c r="DF108" s="101"/>
      <c r="DG108" s="101"/>
      <c r="DH108" s="101"/>
      <c r="DI108" s="101"/>
      <c r="DJ108" s="101"/>
      <c r="DK108" s="101"/>
      <c r="DL108" s="101"/>
      <c r="DM108" s="101"/>
      <c r="DN108" s="101"/>
      <c r="DO108" s="101"/>
      <c r="DP108" s="101"/>
      <c r="DQ108" s="101"/>
      <c r="DR108" s="101"/>
      <c r="DS108" s="101"/>
      <c r="DT108" s="101"/>
      <c r="DU108" s="101"/>
      <c r="DV108" s="101"/>
      <c r="DW108" s="101"/>
      <c r="DX108" s="101"/>
      <c r="DY108" s="101"/>
      <c r="DZ108" s="101"/>
      <c r="EA108" s="101"/>
      <c r="EB108" s="101"/>
      <c r="EC108" s="101"/>
      <c r="ED108" s="101"/>
      <c r="EE108" s="102"/>
      <c r="EF108" s="102"/>
      <c r="EG108" s="102"/>
      <c r="EH108" s="102"/>
      <c r="EI108" s="102"/>
      <c r="EJ108" s="102"/>
      <c r="EK108" s="102"/>
      <c r="EL108" s="102"/>
      <c r="EM108" s="102"/>
      <c r="EN108" s="102"/>
      <c r="EO108" s="102"/>
      <c r="EP108" s="102"/>
      <c r="EQ108" s="102"/>
      <c r="ER108" s="102"/>
      <c r="ES108" s="102"/>
      <c r="ET108" s="102"/>
      <c r="EU108" s="102"/>
      <c r="EV108" s="102"/>
      <c r="EW108" s="102"/>
      <c r="EX108" s="102"/>
      <c r="EY108" s="102"/>
      <c r="EZ108" s="102"/>
      <c r="FA108" s="102"/>
      <c r="FB108" s="102"/>
      <c r="FC108" s="102"/>
      <c r="FD108" s="102"/>
      <c r="FE108" s="102"/>
      <c r="FF108" s="102"/>
      <c r="FG108" s="102"/>
      <c r="FH108" s="102"/>
      <c r="FI108" s="102"/>
      <c r="FJ108" s="102"/>
      <c r="FK108" s="102"/>
      <c r="FL108" s="102"/>
      <c r="FM108" s="102"/>
      <c r="FN108" s="102"/>
    </row>
    <row r="109" spans="1:170" s="19" customFormat="1" ht="18" customHeight="1">
      <c r="A109" s="1808"/>
      <c r="B109" s="416">
        <v>112</v>
      </c>
      <c r="C109" s="493" t="str">
        <f>VLOOKUP(B109,Begriffe!$A$6:$E$442,Begriffe!$D$1+2)</f>
        <v>Elektrische Leistung der Raumbeleuchtung</v>
      </c>
      <c r="D109" s="21"/>
      <c r="E109" s="179"/>
      <c r="F109" s="21"/>
      <c r="G109" s="21"/>
      <c r="H109" s="21"/>
      <c r="I109" s="180" t="s">
        <v>662</v>
      </c>
      <c r="J109" s="188" t="s">
        <v>68</v>
      </c>
      <c r="K109" s="188"/>
      <c r="L109" s="1173"/>
      <c r="M109" s="265">
        <f>IF(L109&lt;&gt;"",L109,($M77*M81)/(M82*M83))</f>
        <v>16.074669432201194</v>
      </c>
      <c r="N109" s="265">
        <f>($M77*N81)/(N82*N83)</f>
        <v>11.749367050226651</v>
      </c>
      <c r="O109" s="265">
        <f>($M77*O81)/(O82*O83)</f>
        <v>16.074669432201194</v>
      </c>
      <c r="P109" s="493">
        <v>1</v>
      </c>
      <c r="Q109" s="989">
        <v>1</v>
      </c>
      <c r="R109" s="493">
        <v>0</v>
      </c>
      <c r="S109" s="131" t="s">
        <v>191</v>
      </c>
      <c r="T109" s="298"/>
      <c r="U109" s="298"/>
      <c r="V109" s="150"/>
      <c r="W109" s="299"/>
      <c r="X109" s="299"/>
      <c r="Y109" s="150"/>
      <c r="Z109" s="299"/>
      <c r="AA109" s="299"/>
      <c r="AB109" s="131"/>
      <c r="AC109" s="298"/>
      <c r="AD109" s="298"/>
      <c r="AE109" s="13"/>
      <c r="AF109" s="13"/>
      <c r="AG109" s="13"/>
      <c r="AH109" s="13"/>
      <c r="AI109" s="13"/>
      <c r="AJ109" s="13"/>
      <c r="AK109" s="13"/>
      <c r="AL109" s="13"/>
      <c r="AM109" s="13"/>
      <c r="AN109" s="13"/>
      <c r="AO109" s="13"/>
      <c r="AP109" s="155"/>
      <c r="AQ109" s="155"/>
      <c r="AR109" s="102"/>
      <c r="AS109" s="102"/>
      <c r="AT109" s="102"/>
      <c r="AU109" s="102"/>
      <c r="AV109" s="102"/>
      <c r="AW109" s="102"/>
      <c r="AX109" s="102"/>
      <c r="AY109" s="102"/>
      <c r="AZ109" s="102"/>
      <c r="BA109" s="102"/>
      <c r="BB109" s="102"/>
      <c r="BC109" s="102"/>
      <c r="BD109" s="102"/>
      <c r="BE109" s="102"/>
      <c r="BF109" s="102"/>
      <c r="BG109" s="102"/>
      <c r="BH109" s="102"/>
      <c r="BI109" s="102"/>
      <c r="BJ109" s="102"/>
      <c r="BK109" s="102"/>
      <c r="BL109" s="102"/>
      <c r="BM109" s="102"/>
      <c r="BN109" s="102"/>
      <c r="BO109" s="102"/>
      <c r="BP109" s="102"/>
      <c r="BQ109" s="102"/>
      <c r="BR109" s="102"/>
      <c r="BS109" s="102"/>
      <c r="BT109" s="102"/>
      <c r="BU109" s="102"/>
      <c r="BV109" s="102"/>
      <c r="BW109" s="102"/>
      <c r="BX109" s="102"/>
      <c r="BY109" s="102"/>
      <c r="BZ109" s="102"/>
      <c r="CA109" s="102"/>
      <c r="CB109" s="102"/>
      <c r="CC109" s="102"/>
      <c r="CD109" s="102"/>
      <c r="CE109" s="102"/>
      <c r="CF109" s="102"/>
      <c r="CG109" s="102"/>
      <c r="CH109" s="102"/>
      <c r="CI109" s="102"/>
      <c r="CJ109" s="102"/>
      <c r="CK109" s="102"/>
      <c r="CL109" s="102"/>
      <c r="CM109" s="102"/>
      <c r="CN109" s="102"/>
      <c r="CO109" s="102"/>
      <c r="CP109" s="102"/>
      <c r="CQ109" s="102"/>
      <c r="CR109" s="102"/>
      <c r="CS109" s="102"/>
      <c r="CT109" s="102"/>
      <c r="CU109" s="102"/>
      <c r="CV109" s="102"/>
      <c r="CW109" s="102"/>
      <c r="CX109" s="102"/>
      <c r="CY109" s="102"/>
      <c r="CZ109" s="102"/>
      <c r="DA109" s="102"/>
      <c r="DB109" s="102"/>
      <c r="DC109" s="102"/>
      <c r="DD109" s="102"/>
      <c r="DE109" s="101"/>
      <c r="DF109" s="101"/>
      <c r="DG109" s="101"/>
      <c r="DH109" s="101"/>
      <c r="DI109" s="101"/>
      <c r="DJ109" s="101"/>
      <c r="DK109" s="101"/>
      <c r="DL109" s="101"/>
      <c r="DM109" s="101"/>
      <c r="DN109" s="101"/>
      <c r="DO109" s="101"/>
      <c r="DP109" s="101"/>
      <c r="DQ109" s="101"/>
      <c r="DR109" s="101"/>
      <c r="DS109" s="101"/>
      <c r="DT109" s="101"/>
      <c r="DU109" s="101"/>
      <c r="DV109" s="101"/>
      <c r="DW109" s="101"/>
      <c r="DX109" s="101"/>
      <c r="DY109" s="101"/>
      <c r="DZ109" s="101"/>
      <c r="EA109" s="101"/>
      <c r="EB109" s="101"/>
      <c r="EC109" s="101"/>
      <c r="ED109" s="101"/>
      <c r="EE109" s="102"/>
      <c r="EF109" s="102"/>
      <c r="EG109" s="102"/>
      <c r="EH109" s="102"/>
      <c r="EI109" s="102"/>
      <c r="EJ109" s="102"/>
      <c r="EK109" s="102"/>
      <c r="EL109" s="102"/>
      <c r="EM109" s="102"/>
      <c r="EN109" s="102"/>
      <c r="EO109" s="102"/>
      <c r="EP109" s="102"/>
      <c r="EQ109" s="102"/>
      <c r="ER109" s="102"/>
      <c r="ES109" s="102"/>
      <c r="ET109" s="102"/>
      <c r="EU109" s="102"/>
      <c r="EV109" s="102"/>
      <c r="EW109" s="102"/>
      <c r="EX109" s="102"/>
      <c r="EY109" s="102"/>
      <c r="EZ109" s="102"/>
      <c r="FA109" s="102"/>
      <c r="FB109" s="102"/>
      <c r="FC109" s="102"/>
      <c r="FD109" s="102"/>
      <c r="FE109" s="102"/>
      <c r="FF109" s="102"/>
      <c r="FG109" s="102"/>
      <c r="FH109" s="102"/>
      <c r="FI109" s="102"/>
      <c r="FJ109" s="102"/>
      <c r="FK109" s="102"/>
      <c r="FL109" s="102"/>
      <c r="FM109" s="102"/>
      <c r="FN109" s="102"/>
    </row>
    <row r="110" spans="1:170" s="19" customFormat="1" ht="18" customHeight="1">
      <c r="A110" s="1808"/>
      <c r="B110" s="416">
        <v>182</v>
      </c>
      <c r="C110" s="493" t="str">
        <f>VLOOKUP(B110,Begriffe!$A$6:$E$442,Begriffe!$D$1+2)</f>
        <v>Wärmeeintragsleistung der Raumbeleuchtung</v>
      </c>
      <c r="D110" s="493"/>
      <c r="E110" s="493"/>
      <c r="F110" s="21"/>
      <c r="G110" s="21"/>
      <c r="H110" s="21"/>
      <c r="I110" s="262" t="s">
        <v>807</v>
      </c>
      <c r="J110" s="188" t="s">
        <v>68</v>
      </c>
      <c r="K110" s="188"/>
      <c r="L110" s="1166"/>
      <c r="M110" s="931">
        <f>M109</f>
        <v>16.074669432201194</v>
      </c>
      <c r="N110" s="931">
        <f>N109</f>
        <v>11.749367050226651</v>
      </c>
      <c r="O110" s="931">
        <f>O109</f>
        <v>16.074669432201194</v>
      </c>
      <c r="P110" s="493">
        <v>0</v>
      </c>
      <c r="Q110" s="989">
        <v>1</v>
      </c>
      <c r="R110" s="493">
        <v>0</v>
      </c>
      <c r="S110" s="131"/>
      <c r="T110" s="298"/>
      <c r="U110" s="298"/>
      <c r="V110" s="150"/>
      <c r="W110" s="299"/>
      <c r="X110" s="299"/>
      <c r="Y110" s="150"/>
      <c r="Z110" s="299"/>
      <c r="AA110" s="299"/>
      <c r="AB110" s="131"/>
      <c r="AC110" s="298"/>
      <c r="AD110" s="298"/>
      <c r="AE110" s="13"/>
      <c r="AF110" s="13"/>
      <c r="AG110" s="13"/>
      <c r="AH110" s="13"/>
      <c r="AI110" s="13"/>
      <c r="AJ110" s="13"/>
      <c r="AK110" s="13"/>
      <c r="AL110" s="13"/>
      <c r="AM110" s="13"/>
      <c r="AN110" s="13"/>
      <c r="AO110" s="13"/>
      <c r="AP110" s="155"/>
      <c r="AQ110" s="155"/>
      <c r="AR110" s="102"/>
      <c r="AS110" s="102"/>
      <c r="AT110" s="102"/>
      <c r="AU110" s="102"/>
      <c r="AV110" s="102"/>
      <c r="AW110" s="102"/>
      <c r="AX110" s="102"/>
      <c r="AY110" s="102"/>
      <c r="AZ110" s="102"/>
      <c r="BA110" s="102"/>
      <c r="BB110" s="102"/>
      <c r="BC110" s="102"/>
      <c r="BD110" s="102"/>
      <c r="BE110" s="102"/>
      <c r="BF110" s="102"/>
      <c r="BG110" s="102"/>
      <c r="BH110" s="102"/>
      <c r="BI110" s="102"/>
      <c r="BJ110" s="102"/>
      <c r="BK110" s="102"/>
      <c r="BL110" s="102"/>
      <c r="BM110" s="102"/>
      <c r="BN110" s="102"/>
      <c r="BO110" s="102"/>
      <c r="BP110" s="102"/>
      <c r="BQ110" s="102"/>
      <c r="BR110" s="102"/>
      <c r="BS110" s="102"/>
      <c r="BT110" s="102"/>
      <c r="BU110" s="102"/>
      <c r="BV110" s="102"/>
      <c r="BW110" s="102"/>
      <c r="BX110" s="102"/>
      <c r="BY110" s="102"/>
      <c r="BZ110" s="102"/>
      <c r="CA110" s="102"/>
      <c r="CB110" s="102"/>
      <c r="CC110" s="102"/>
      <c r="CD110" s="102"/>
      <c r="CE110" s="102"/>
      <c r="CF110" s="102"/>
      <c r="CG110" s="102"/>
      <c r="CH110" s="102"/>
      <c r="CI110" s="102"/>
      <c r="CJ110" s="102"/>
      <c r="CK110" s="102"/>
      <c r="CL110" s="102"/>
      <c r="CM110" s="102"/>
      <c r="CN110" s="102"/>
      <c r="CO110" s="102"/>
      <c r="CP110" s="102"/>
      <c r="CQ110" s="102"/>
      <c r="CR110" s="102"/>
      <c r="CS110" s="102"/>
      <c r="CT110" s="102"/>
      <c r="CU110" s="102"/>
      <c r="CV110" s="102"/>
      <c r="CW110" s="102"/>
      <c r="CX110" s="102"/>
      <c r="CY110" s="102"/>
      <c r="CZ110" s="102"/>
      <c r="DA110" s="102"/>
      <c r="DB110" s="102"/>
      <c r="DC110" s="102"/>
      <c r="DD110" s="102"/>
      <c r="DE110" s="101"/>
      <c r="DF110" s="101"/>
      <c r="DG110" s="101"/>
      <c r="DH110" s="101"/>
      <c r="DI110" s="101"/>
      <c r="DJ110" s="101"/>
      <c r="DK110" s="101"/>
      <c r="DL110" s="101"/>
      <c r="DM110" s="101"/>
      <c r="DN110" s="101"/>
      <c r="DO110" s="101"/>
      <c r="DP110" s="101"/>
      <c r="DQ110" s="101"/>
      <c r="DR110" s="101"/>
      <c r="DS110" s="101"/>
      <c r="DT110" s="101"/>
      <c r="DU110" s="101"/>
      <c r="DV110" s="101"/>
      <c r="DW110" s="101"/>
      <c r="DX110" s="101"/>
      <c r="DY110" s="101"/>
      <c r="DZ110" s="101"/>
      <c r="EA110" s="101"/>
      <c r="EB110" s="101"/>
      <c r="EC110" s="101"/>
      <c r="ED110" s="101"/>
      <c r="EE110" s="102"/>
      <c r="EF110" s="102"/>
      <c r="EG110" s="102"/>
      <c r="EH110" s="102"/>
      <c r="EI110" s="102"/>
      <c r="EJ110" s="102"/>
      <c r="EK110" s="102"/>
      <c r="EL110" s="102"/>
      <c r="EM110" s="102"/>
      <c r="EN110" s="102"/>
      <c r="EO110" s="102"/>
      <c r="EP110" s="102"/>
      <c r="EQ110" s="102"/>
      <c r="ER110" s="102"/>
      <c r="ES110" s="102"/>
      <c r="ET110" s="102"/>
      <c r="EU110" s="102"/>
      <c r="EV110" s="102"/>
      <c r="EW110" s="102"/>
      <c r="EX110" s="102"/>
      <c r="EY110" s="102"/>
      <c r="EZ110" s="102"/>
      <c r="FA110" s="102"/>
      <c r="FB110" s="102"/>
      <c r="FC110" s="102"/>
      <c r="FD110" s="102"/>
      <c r="FE110" s="102"/>
      <c r="FF110" s="102"/>
      <c r="FG110" s="102"/>
      <c r="FH110" s="102"/>
      <c r="FI110" s="102"/>
      <c r="FJ110" s="102"/>
      <c r="FK110" s="102"/>
      <c r="FL110" s="102"/>
      <c r="FM110" s="102"/>
      <c r="FN110" s="102"/>
    </row>
    <row r="111" spans="1:170" s="19" customFormat="1" ht="18" hidden="1" customHeight="1">
      <c r="A111" s="1808"/>
      <c r="B111" s="30"/>
      <c r="C111" s="932" t="s">
        <v>812</v>
      </c>
      <c r="D111" s="932"/>
      <c r="E111" s="946"/>
      <c r="F111" s="932"/>
      <c r="G111" s="932"/>
      <c r="H111" s="932"/>
      <c r="I111" s="1108" t="s">
        <v>808</v>
      </c>
      <c r="J111" s="934" t="s">
        <v>804</v>
      </c>
      <c r="K111" s="934"/>
      <c r="L111" s="1109"/>
      <c r="M111" s="1110">
        <f>M109*M107</f>
        <v>84.857070067850628</v>
      </c>
      <c r="N111" s="1110">
        <f>N109*N107</f>
        <v>49.6192779448007</v>
      </c>
      <c r="O111" s="1110">
        <f>O109*O107</f>
        <v>84.857070067850628</v>
      </c>
      <c r="P111" s="493">
        <v>0</v>
      </c>
      <c r="Q111" s="989">
        <v>0</v>
      </c>
      <c r="R111" s="493">
        <v>0</v>
      </c>
      <c r="S111" s="131"/>
      <c r="T111" s="298"/>
      <c r="U111" s="298"/>
      <c r="V111" s="150"/>
      <c r="W111" s="299"/>
      <c r="X111" s="299"/>
      <c r="Y111" s="150"/>
      <c r="Z111" s="299"/>
      <c r="AA111" s="299"/>
      <c r="AB111" s="131"/>
      <c r="AC111" s="298"/>
      <c r="AD111" s="298"/>
      <c r="AE111" s="13"/>
      <c r="AF111" s="13"/>
      <c r="AG111" s="13"/>
      <c r="AH111" s="13"/>
      <c r="AI111" s="13"/>
      <c r="AJ111" s="13"/>
      <c r="AK111" s="13"/>
      <c r="AL111" s="13"/>
      <c r="AM111" s="13"/>
      <c r="AN111" s="13"/>
      <c r="AO111" s="13"/>
      <c r="AP111" s="155"/>
      <c r="AQ111" s="155"/>
      <c r="AR111" s="102"/>
      <c r="AS111" s="102"/>
      <c r="AT111" s="102"/>
      <c r="AU111" s="102"/>
      <c r="AV111" s="102"/>
      <c r="AW111" s="102"/>
      <c r="AX111" s="102"/>
      <c r="AY111" s="102"/>
      <c r="AZ111" s="102"/>
      <c r="BA111" s="102"/>
      <c r="BB111" s="102"/>
      <c r="BC111" s="102"/>
      <c r="BD111" s="102"/>
      <c r="BE111" s="102"/>
      <c r="BF111" s="102"/>
      <c r="BG111" s="102"/>
      <c r="BH111" s="102"/>
      <c r="BI111" s="102"/>
      <c r="BJ111" s="102"/>
      <c r="BK111" s="102"/>
      <c r="BL111" s="102"/>
      <c r="BM111" s="102"/>
      <c r="BN111" s="102"/>
      <c r="BO111" s="102"/>
      <c r="BP111" s="102"/>
      <c r="BQ111" s="102"/>
      <c r="BR111" s="102"/>
      <c r="BS111" s="102"/>
      <c r="BT111" s="102"/>
      <c r="BU111" s="102"/>
      <c r="BV111" s="102"/>
      <c r="BW111" s="102"/>
      <c r="BX111" s="102"/>
      <c r="BY111" s="102"/>
      <c r="BZ111" s="102"/>
      <c r="CA111" s="102"/>
      <c r="CB111" s="102"/>
      <c r="CC111" s="102"/>
      <c r="CD111" s="102"/>
      <c r="CE111" s="102"/>
      <c r="CF111" s="102"/>
      <c r="CG111" s="102"/>
      <c r="CH111" s="102"/>
      <c r="CI111" s="102"/>
      <c r="CJ111" s="102"/>
      <c r="CK111" s="102"/>
      <c r="CL111" s="102"/>
      <c r="CM111" s="102"/>
      <c r="CN111" s="102"/>
      <c r="CO111" s="102"/>
      <c r="CP111" s="102"/>
      <c r="CQ111" s="102"/>
      <c r="CR111" s="102"/>
      <c r="CS111" s="102"/>
      <c r="CT111" s="102"/>
      <c r="CU111" s="102"/>
      <c r="CV111" s="102"/>
      <c r="CW111" s="102"/>
      <c r="CX111" s="102"/>
      <c r="CY111" s="102"/>
      <c r="CZ111" s="102"/>
      <c r="DA111" s="102"/>
      <c r="DB111" s="102"/>
      <c r="DC111" s="102"/>
      <c r="DD111" s="102"/>
      <c r="DE111" s="101"/>
      <c r="DF111" s="101"/>
      <c r="DG111" s="101"/>
      <c r="DH111" s="101"/>
      <c r="DI111" s="101"/>
      <c r="DJ111" s="101"/>
      <c r="DK111" s="101"/>
      <c r="DL111" s="101"/>
      <c r="DM111" s="101"/>
      <c r="DN111" s="101"/>
      <c r="DO111" s="101"/>
      <c r="DP111" s="101"/>
      <c r="DQ111" s="101"/>
      <c r="DR111" s="101"/>
      <c r="DS111" s="101"/>
      <c r="DT111" s="101"/>
      <c r="DU111" s="101"/>
      <c r="DV111" s="101"/>
      <c r="DW111" s="101"/>
      <c r="DX111" s="101"/>
      <c r="DY111" s="101"/>
      <c r="DZ111" s="101"/>
      <c r="EA111" s="101"/>
      <c r="EB111" s="101"/>
      <c r="EC111" s="101"/>
      <c r="ED111" s="101"/>
      <c r="EE111" s="102"/>
      <c r="EF111" s="102"/>
      <c r="EG111" s="102"/>
      <c r="EH111" s="102"/>
      <c r="EI111" s="102"/>
      <c r="EJ111" s="102"/>
      <c r="EK111" s="102"/>
      <c r="EL111" s="102"/>
      <c r="EM111" s="102"/>
      <c r="EN111" s="102"/>
      <c r="EO111" s="102"/>
      <c r="EP111" s="102"/>
      <c r="EQ111" s="102"/>
      <c r="ER111" s="102"/>
      <c r="ES111" s="102"/>
      <c r="ET111" s="102"/>
      <c r="EU111" s="102"/>
      <c r="EV111" s="102"/>
      <c r="EW111" s="102"/>
      <c r="EX111" s="102"/>
      <c r="EY111" s="102"/>
      <c r="EZ111" s="102"/>
      <c r="FA111" s="102"/>
      <c r="FB111" s="102"/>
      <c r="FC111" s="102"/>
      <c r="FD111" s="102"/>
      <c r="FE111" s="102"/>
      <c r="FF111" s="102"/>
      <c r="FG111" s="102"/>
      <c r="FH111" s="102"/>
      <c r="FI111" s="102"/>
      <c r="FJ111" s="102"/>
      <c r="FK111" s="102"/>
      <c r="FL111" s="102"/>
      <c r="FM111" s="102"/>
      <c r="FN111" s="102"/>
    </row>
    <row r="112" spans="1:170" s="19" customFormat="1" ht="8.25" hidden="1" customHeight="1">
      <c r="A112" s="1808"/>
      <c r="B112" s="30"/>
      <c r="C112" s="26" t="s">
        <v>768</v>
      </c>
      <c r="D112" s="26"/>
      <c r="E112" s="26"/>
      <c r="F112" s="26" t="s">
        <v>28</v>
      </c>
      <c r="G112" s="26"/>
      <c r="H112" s="26"/>
      <c r="I112" s="31" t="s">
        <v>796</v>
      </c>
      <c r="J112" s="33" t="s">
        <v>77</v>
      </c>
      <c r="K112" s="33"/>
      <c r="L112" s="25"/>
      <c r="M112" s="29">
        <f>M109/1000*M118</f>
        <v>32.310085558724403</v>
      </c>
      <c r="N112" s="29">
        <f>N109/1000*N118</f>
        <v>14.216734130774247</v>
      </c>
      <c r="O112" s="29">
        <f>O109/1000*O118</f>
        <v>32.310085558724403</v>
      </c>
      <c r="P112" s="493">
        <v>0</v>
      </c>
      <c r="Q112" s="989">
        <v>0</v>
      </c>
      <c r="R112" s="493">
        <v>0</v>
      </c>
      <c r="S112" s="131"/>
      <c r="T112" s="298"/>
      <c r="U112" s="298"/>
      <c r="V112" s="150"/>
      <c r="W112" s="299"/>
      <c r="X112" s="299"/>
      <c r="Y112" s="150"/>
      <c r="Z112" s="299"/>
      <c r="AA112" s="299"/>
      <c r="AB112" s="131"/>
      <c r="AC112" s="298"/>
      <c r="AD112" s="298"/>
      <c r="AE112" s="13"/>
      <c r="AF112" s="13"/>
      <c r="AG112" s="13"/>
      <c r="AH112" s="13"/>
      <c r="AI112" s="13"/>
      <c r="AJ112" s="13"/>
      <c r="AK112" s="13"/>
      <c r="AL112" s="13"/>
      <c r="AM112" s="13"/>
      <c r="AN112" s="13"/>
      <c r="AO112" s="13"/>
      <c r="AP112" s="155"/>
      <c r="AQ112" s="155"/>
      <c r="AR112" s="102"/>
      <c r="AS112" s="102"/>
      <c r="AT112" s="102"/>
      <c r="AU112" s="102"/>
      <c r="AV112" s="102"/>
      <c r="AW112" s="102"/>
      <c r="AX112" s="102"/>
      <c r="AY112" s="102"/>
      <c r="AZ112" s="102"/>
      <c r="BA112" s="102"/>
      <c r="BB112" s="102"/>
      <c r="BC112" s="102"/>
      <c r="BD112" s="102"/>
      <c r="BE112" s="102"/>
      <c r="BF112" s="102"/>
      <c r="BG112" s="102"/>
      <c r="BH112" s="102"/>
      <c r="BI112" s="102"/>
      <c r="BJ112" s="102"/>
      <c r="BK112" s="102"/>
      <c r="BL112" s="102"/>
      <c r="BM112" s="102"/>
      <c r="BN112" s="102"/>
      <c r="BO112" s="102"/>
      <c r="BP112" s="102"/>
      <c r="BQ112" s="102"/>
      <c r="BR112" s="102"/>
      <c r="BS112" s="102"/>
      <c r="BT112" s="102"/>
      <c r="BU112" s="102"/>
      <c r="BV112" s="102"/>
      <c r="BW112" s="102"/>
      <c r="BX112" s="102"/>
      <c r="BY112" s="102"/>
      <c r="BZ112" s="102"/>
      <c r="CA112" s="102"/>
      <c r="CB112" s="102"/>
      <c r="CC112" s="102"/>
      <c r="CD112" s="102"/>
      <c r="CE112" s="102"/>
      <c r="CF112" s="102"/>
      <c r="CG112" s="102"/>
      <c r="CH112" s="102"/>
      <c r="CI112" s="102"/>
      <c r="CJ112" s="102"/>
      <c r="CK112" s="102"/>
      <c r="CL112" s="102"/>
      <c r="CM112" s="102"/>
      <c r="CN112" s="102"/>
      <c r="CO112" s="102"/>
      <c r="CP112" s="102"/>
      <c r="CQ112" s="102"/>
      <c r="CR112" s="102"/>
      <c r="CS112" s="102"/>
      <c r="CT112" s="102"/>
      <c r="CU112" s="102"/>
      <c r="CV112" s="102"/>
      <c r="CW112" s="102"/>
      <c r="CX112" s="102"/>
      <c r="CY112" s="102"/>
      <c r="CZ112" s="102"/>
      <c r="DA112" s="102"/>
      <c r="DB112" s="102"/>
      <c r="DC112" s="102"/>
      <c r="DD112" s="102"/>
      <c r="DE112" s="101"/>
      <c r="DF112" s="101"/>
      <c r="DG112" s="101"/>
      <c r="DH112" s="101"/>
      <c r="DI112" s="101"/>
      <c r="DJ112" s="101"/>
      <c r="DK112" s="101"/>
      <c r="DL112" s="101"/>
      <c r="DM112" s="101"/>
      <c r="DN112" s="101"/>
      <c r="DO112" s="101"/>
      <c r="DP112" s="101"/>
      <c r="DQ112" s="101"/>
      <c r="DR112" s="101"/>
      <c r="DS112" s="101"/>
      <c r="DT112" s="101"/>
      <c r="DU112" s="101"/>
      <c r="DV112" s="101"/>
      <c r="DW112" s="101"/>
      <c r="DX112" s="101"/>
      <c r="DY112" s="101"/>
      <c r="DZ112" s="101"/>
      <c r="EA112" s="101"/>
      <c r="EB112" s="101"/>
      <c r="EC112" s="101"/>
      <c r="ED112" s="101"/>
      <c r="EE112" s="102"/>
      <c r="EF112" s="102"/>
      <c r="EG112" s="102"/>
      <c r="EH112" s="102"/>
      <c r="EI112" s="102"/>
      <c r="EJ112" s="102"/>
      <c r="EK112" s="102"/>
      <c r="EL112" s="102"/>
      <c r="EM112" s="102"/>
      <c r="EN112" s="102"/>
      <c r="EO112" s="102"/>
      <c r="EP112" s="102"/>
      <c r="EQ112" s="102"/>
      <c r="ER112" s="102"/>
      <c r="ES112" s="102"/>
      <c r="ET112" s="102"/>
      <c r="EU112" s="102"/>
      <c r="EV112" s="102"/>
      <c r="EW112" s="102"/>
      <c r="EX112" s="102"/>
      <c r="EY112" s="102"/>
      <c r="EZ112" s="102"/>
      <c r="FA112" s="102"/>
      <c r="FB112" s="102"/>
      <c r="FC112" s="102"/>
      <c r="FD112" s="102"/>
      <c r="FE112" s="102"/>
      <c r="FF112" s="102"/>
      <c r="FG112" s="102"/>
      <c r="FH112" s="102"/>
      <c r="FI112" s="102"/>
      <c r="FJ112" s="102"/>
      <c r="FK112" s="102"/>
      <c r="FL112" s="102"/>
      <c r="FM112" s="102"/>
      <c r="FN112" s="102"/>
    </row>
    <row r="113" spans="1:170" s="19" customFormat="1" ht="18" customHeight="1">
      <c r="A113" s="1808"/>
      <c r="B113" s="416">
        <v>111</v>
      </c>
      <c r="C113" s="493" t="str">
        <f>VLOOKUP(B113,Begriffe!$A$6:$E$442,Begriffe!$D$1+2)</f>
        <v>Elektrische Leistung der Akzentbeleuchtung</v>
      </c>
      <c r="D113" s="21"/>
      <c r="E113" s="179"/>
      <c r="F113" s="21"/>
      <c r="G113" s="21"/>
      <c r="H113" s="21"/>
      <c r="I113" s="180" t="s">
        <v>918</v>
      </c>
      <c r="J113" s="188" t="s">
        <v>68</v>
      </c>
      <c r="K113" s="188"/>
      <c r="L113" s="1173"/>
      <c r="M113" s="931">
        <f>IF(L113&lt;&gt;"",L113,INDEX(Eingabedaten!$D$10:$FU$54,nutzid,MATCH($C113,Eingabedaten!$D$7:$FU$7,0)))</f>
        <v>0</v>
      </c>
      <c r="N113" s="265">
        <f>INDEX(Eingabedaten!$D$10:$CY$54,nutzid,MATCH($C113,Eingabedaten!$D$7:$CY$7,0)+1)</f>
        <v>0</v>
      </c>
      <c r="O113" s="265">
        <f>M113</f>
        <v>0</v>
      </c>
      <c r="P113" s="493">
        <v>1</v>
      </c>
      <c r="Q113" s="989">
        <v>1</v>
      </c>
      <c r="R113" s="493">
        <v>0</v>
      </c>
      <c r="S113" s="131"/>
      <c r="T113" s="298"/>
      <c r="U113" s="298"/>
      <c r="V113" s="150"/>
      <c r="W113" s="299"/>
      <c r="X113" s="299"/>
      <c r="Y113" s="150"/>
      <c r="Z113" s="299"/>
      <c r="AA113" s="299"/>
      <c r="AB113" s="131"/>
      <c r="AC113" s="298"/>
      <c r="AD113" s="298"/>
      <c r="AE113" s="13"/>
      <c r="AF113" s="13"/>
      <c r="AG113" s="13"/>
      <c r="AH113" s="13"/>
      <c r="AI113" s="13"/>
      <c r="AJ113" s="13"/>
      <c r="AK113" s="13"/>
      <c r="AL113" s="13"/>
      <c r="AM113" s="13"/>
      <c r="AN113" s="13"/>
      <c r="AO113" s="13"/>
      <c r="AP113" s="155"/>
      <c r="AQ113" s="155"/>
      <c r="AR113" s="102"/>
      <c r="AS113" s="102"/>
      <c r="AT113" s="102"/>
      <c r="AU113" s="102"/>
      <c r="AV113" s="102"/>
      <c r="AW113" s="102"/>
      <c r="AX113" s="102"/>
      <c r="AY113" s="102"/>
      <c r="AZ113" s="102"/>
      <c r="BA113" s="102"/>
      <c r="BB113" s="102"/>
      <c r="BC113" s="102"/>
      <c r="BD113" s="102"/>
      <c r="BE113" s="102"/>
      <c r="BF113" s="102"/>
      <c r="BG113" s="102"/>
      <c r="BH113" s="102"/>
      <c r="BI113" s="102"/>
      <c r="BJ113" s="102"/>
      <c r="BK113" s="102"/>
      <c r="BL113" s="102"/>
      <c r="BM113" s="102"/>
      <c r="BN113" s="102"/>
      <c r="BO113" s="102"/>
      <c r="BP113" s="102"/>
      <c r="BQ113" s="102"/>
      <c r="BR113" s="102"/>
      <c r="BS113" s="102"/>
      <c r="BT113" s="102"/>
      <c r="BU113" s="102"/>
      <c r="BV113" s="102"/>
      <c r="BW113" s="102"/>
      <c r="BX113" s="102"/>
      <c r="BY113" s="102"/>
      <c r="BZ113" s="102"/>
      <c r="CA113" s="102"/>
      <c r="CB113" s="102"/>
      <c r="CC113" s="102"/>
      <c r="CD113" s="102"/>
      <c r="CE113" s="102"/>
      <c r="CF113" s="102"/>
      <c r="CG113" s="102"/>
      <c r="CH113" s="102"/>
      <c r="CI113" s="102"/>
      <c r="CJ113" s="102"/>
      <c r="CK113" s="102"/>
      <c r="CL113" s="102"/>
      <c r="CM113" s="102"/>
      <c r="CN113" s="102"/>
      <c r="CO113" s="102"/>
      <c r="CP113" s="102"/>
      <c r="CQ113" s="102"/>
      <c r="CR113" s="102"/>
      <c r="CS113" s="102"/>
      <c r="CT113" s="102"/>
      <c r="CU113" s="102"/>
      <c r="CV113" s="102"/>
      <c r="CW113" s="102"/>
      <c r="CX113" s="102"/>
      <c r="CY113" s="102"/>
      <c r="CZ113" s="102"/>
      <c r="DA113" s="102"/>
      <c r="DB113" s="102"/>
      <c r="DC113" s="102"/>
      <c r="DD113" s="102"/>
      <c r="DE113" s="101"/>
      <c r="DF113" s="101"/>
      <c r="DG113" s="101"/>
      <c r="DH113" s="101"/>
      <c r="DI113" s="101"/>
      <c r="DJ113" s="101"/>
      <c r="DK113" s="101"/>
      <c r="DL113" s="101"/>
      <c r="DM113" s="101"/>
      <c r="DN113" s="101"/>
      <c r="DO113" s="101"/>
      <c r="DP113" s="101"/>
      <c r="DQ113" s="101"/>
      <c r="DR113" s="101"/>
      <c r="DS113" s="101"/>
      <c r="DT113" s="101"/>
      <c r="DU113" s="101"/>
      <c r="DV113" s="101"/>
      <c r="DW113" s="101"/>
      <c r="DX113" s="101"/>
      <c r="DY113" s="101"/>
      <c r="DZ113" s="101"/>
      <c r="EA113" s="101"/>
      <c r="EB113" s="101"/>
      <c r="EC113" s="101"/>
      <c r="ED113" s="101"/>
      <c r="EE113" s="102"/>
      <c r="EF113" s="102"/>
      <c r="EG113" s="102"/>
      <c r="EH113" s="102"/>
      <c r="EI113" s="102"/>
      <c r="EJ113" s="102"/>
      <c r="EK113" s="102"/>
      <c r="EL113" s="102"/>
      <c r="EM113" s="102"/>
      <c r="EN113" s="102"/>
      <c r="EO113" s="102"/>
      <c r="EP113" s="102"/>
      <c r="EQ113" s="102"/>
      <c r="ER113" s="102"/>
      <c r="ES113" s="102"/>
      <c r="ET113" s="102"/>
      <c r="EU113" s="102"/>
      <c r="EV113" s="102"/>
      <c r="EW113" s="102"/>
      <c r="EX113" s="102"/>
      <c r="EY113" s="102"/>
      <c r="EZ113" s="102"/>
      <c r="FA113" s="102"/>
      <c r="FB113" s="102"/>
      <c r="FC113" s="102"/>
      <c r="FD113" s="102"/>
      <c r="FE113" s="102"/>
      <c r="FF113" s="102"/>
      <c r="FG113" s="102"/>
      <c r="FH113" s="102"/>
      <c r="FI113" s="102"/>
      <c r="FJ113" s="102"/>
      <c r="FK113" s="102"/>
      <c r="FL113" s="102"/>
      <c r="FM113" s="102"/>
      <c r="FN113" s="102"/>
    </row>
    <row r="114" spans="1:170" s="19" customFormat="1" ht="18" customHeight="1">
      <c r="A114" s="1808"/>
      <c r="B114" s="416">
        <v>180</v>
      </c>
      <c r="C114" s="493" t="str">
        <f>VLOOKUP(B114,Begriffe!$A$6:$E$442,Begriffe!$D$1+2)</f>
        <v>Wärmeeintragsleistung der Akzentbeleuchtung</v>
      </c>
      <c r="D114" s="493"/>
      <c r="E114" s="493"/>
      <c r="F114" s="21"/>
      <c r="G114" s="21"/>
      <c r="H114" s="21"/>
      <c r="I114" s="262" t="s">
        <v>919</v>
      </c>
      <c r="J114" s="188" t="s">
        <v>68</v>
      </c>
      <c r="K114" s="188"/>
      <c r="L114" s="1166"/>
      <c r="M114" s="931">
        <f>M113</f>
        <v>0</v>
      </c>
      <c r="N114" s="931">
        <f>N113</f>
        <v>0</v>
      </c>
      <c r="O114" s="931">
        <f>O113</f>
        <v>0</v>
      </c>
      <c r="P114" s="493">
        <v>0</v>
      </c>
      <c r="Q114" s="989">
        <v>1</v>
      </c>
      <c r="R114" s="493">
        <v>0</v>
      </c>
      <c r="S114" s="131"/>
      <c r="T114" s="298"/>
      <c r="U114" s="298"/>
      <c r="V114" s="150"/>
      <c r="W114" s="299"/>
      <c r="X114" s="299"/>
      <c r="Y114" s="150"/>
      <c r="Z114" s="299"/>
      <c r="AA114" s="299"/>
      <c r="AB114" s="131"/>
      <c r="AC114" s="298"/>
      <c r="AD114" s="298"/>
      <c r="AE114" s="13"/>
      <c r="AF114" s="13"/>
      <c r="AG114" s="13"/>
      <c r="AH114" s="13"/>
      <c r="AI114" s="13"/>
      <c r="AJ114" s="13"/>
      <c r="AK114" s="13"/>
      <c r="AL114" s="13"/>
      <c r="AM114" s="13"/>
      <c r="AN114" s="13"/>
      <c r="AO114" s="13"/>
      <c r="AP114" s="155"/>
      <c r="AQ114" s="155"/>
      <c r="AR114" s="102"/>
      <c r="AS114" s="102"/>
      <c r="AT114" s="102"/>
      <c r="AU114" s="102"/>
      <c r="AV114" s="102"/>
      <c r="AW114" s="102"/>
      <c r="AX114" s="102"/>
      <c r="AY114" s="102"/>
      <c r="AZ114" s="102"/>
      <c r="BA114" s="102"/>
      <c r="BB114" s="102"/>
      <c r="BC114" s="102"/>
      <c r="BD114" s="102"/>
      <c r="BE114" s="102"/>
      <c r="BF114" s="102"/>
      <c r="BG114" s="102"/>
      <c r="BH114" s="102"/>
      <c r="BI114" s="102"/>
      <c r="BJ114" s="102"/>
      <c r="BK114" s="102"/>
      <c r="BL114" s="102"/>
      <c r="BM114" s="102"/>
      <c r="BN114" s="102"/>
      <c r="BO114" s="102"/>
      <c r="BP114" s="102"/>
      <c r="BQ114" s="102"/>
      <c r="BR114" s="102"/>
      <c r="BS114" s="102"/>
      <c r="BT114" s="102"/>
      <c r="BU114" s="102"/>
      <c r="BV114" s="102"/>
      <c r="BW114" s="102"/>
      <c r="BX114" s="102"/>
      <c r="BY114" s="102"/>
      <c r="BZ114" s="102"/>
      <c r="CA114" s="102"/>
      <c r="CB114" s="102"/>
      <c r="CC114" s="102"/>
      <c r="CD114" s="102"/>
      <c r="CE114" s="102"/>
      <c r="CF114" s="102"/>
      <c r="CG114" s="102"/>
      <c r="CH114" s="102"/>
      <c r="CI114" s="102"/>
      <c r="CJ114" s="102"/>
      <c r="CK114" s="102"/>
      <c r="CL114" s="102"/>
      <c r="CM114" s="102"/>
      <c r="CN114" s="102"/>
      <c r="CO114" s="102"/>
      <c r="CP114" s="102"/>
      <c r="CQ114" s="102"/>
      <c r="CR114" s="102"/>
      <c r="CS114" s="102"/>
      <c r="CT114" s="102"/>
      <c r="CU114" s="102"/>
      <c r="CV114" s="102"/>
      <c r="CW114" s="102"/>
      <c r="CX114" s="102"/>
      <c r="CY114" s="102"/>
      <c r="CZ114" s="102"/>
      <c r="DA114" s="102"/>
      <c r="DB114" s="102"/>
      <c r="DC114" s="102"/>
      <c r="DD114" s="102"/>
      <c r="DE114" s="101"/>
      <c r="DF114" s="101"/>
      <c r="DG114" s="101"/>
      <c r="DH114" s="101"/>
      <c r="DI114" s="101"/>
      <c r="DJ114" s="101"/>
      <c r="DK114" s="101"/>
      <c r="DL114" s="101"/>
      <c r="DM114" s="101"/>
      <c r="DN114" s="101"/>
      <c r="DO114" s="101"/>
      <c r="DP114" s="101"/>
      <c r="DQ114" s="101"/>
      <c r="DR114" s="101"/>
      <c r="DS114" s="101"/>
      <c r="DT114" s="101"/>
      <c r="DU114" s="101"/>
      <c r="DV114" s="101"/>
      <c r="DW114" s="101"/>
      <c r="DX114" s="101"/>
      <c r="DY114" s="101"/>
      <c r="DZ114" s="101"/>
      <c r="EA114" s="101"/>
      <c r="EB114" s="101"/>
      <c r="EC114" s="101"/>
      <c r="ED114" s="101"/>
      <c r="EE114" s="102"/>
      <c r="EF114" s="102"/>
      <c r="EG114" s="102"/>
      <c r="EH114" s="102"/>
      <c r="EI114" s="102"/>
      <c r="EJ114" s="102"/>
      <c r="EK114" s="102"/>
      <c r="EL114" s="102"/>
      <c r="EM114" s="102"/>
      <c r="EN114" s="102"/>
      <c r="EO114" s="102"/>
      <c r="EP114" s="102"/>
      <c r="EQ114" s="102"/>
      <c r="ER114" s="102"/>
      <c r="ES114" s="102"/>
      <c r="ET114" s="102"/>
      <c r="EU114" s="102"/>
      <c r="EV114" s="102"/>
      <c r="EW114" s="102"/>
      <c r="EX114" s="102"/>
      <c r="EY114" s="102"/>
      <c r="EZ114" s="102"/>
      <c r="FA114" s="102"/>
      <c r="FB114" s="102"/>
      <c r="FC114" s="102"/>
      <c r="FD114" s="102"/>
      <c r="FE114" s="102"/>
      <c r="FF114" s="102"/>
      <c r="FG114" s="102"/>
      <c r="FH114" s="102"/>
      <c r="FI114" s="102"/>
      <c r="FJ114" s="102"/>
      <c r="FK114" s="102"/>
      <c r="FL114" s="102"/>
      <c r="FM114" s="102"/>
      <c r="FN114" s="102"/>
    </row>
    <row r="115" spans="1:170" s="19" customFormat="1" ht="18" hidden="1" customHeight="1">
      <c r="A115" s="1808"/>
      <c r="B115" s="30"/>
      <c r="C115" s="932" t="s">
        <v>814</v>
      </c>
      <c r="D115" s="932"/>
      <c r="E115" s="946"/>
      <c r="F115" s="932"/>
      <c r="G115" s="932"/>
      <c r="H115" s="932"/>
      <c r="I115" s="1108" t="s">
        <v>813</v>
      </c>
      <c r="J115" s="934" t="s">
        <v>804</v>
      </c>
      <c r="K115" s="934"/>
      <c r="L115" s="1109"/>
      <c r="M115" s="1110">
        <f>M114*M48</f>
        <v>0</v>
      </c>
      <c r="N115" s="1110">
        <f>N114*M48</f>
        <v>0</v>
      </c>
      <c r="O115" s="1110">
        <f>O114*M48</f>
        <v>0</v>
      </c>
      <c r="P115" s="493">
        <v>0</v>
      </c>
      <c r="Q115" s="989">
        <v>0</v>
      </c>
      <c r="R115" s="493">
        <v>0</v>
      </c>
      <c r="S115" s="131"/>
      <c r="T115" s="298"/>
      <c r="U115" s="298"/>
      <c r="V115" s="150"/>
      <c r="W115" s="299"/>
      <c r="X115" s="299"/>
      <c r="Y115" s="150"/>
      <c r="Z115" s="299"/>
      <c r="AA115" s="299"/>
      <c r="AB115" s="131"/>
      <c r="AC115" s="298"/>
      <c r="AD115" s="298"/>
      <c r="AE115" s="13"/>
      <c r="AF115" s="13"/>
      <c r="AG115" s="13"/>
      <c r="AH115" s="13"/>
      <c r="AI115" s="13"/>
      <c r="AJ115" s="13"/>
      <c r="AK115" s="13"/>
      <c r="AL115" s="13"/>
      <c r="AM115" s="13"/>
      <c r="AN115" s="13"/>
      <c r="AO115" s="13"/>
      <c r="AP115" s="155"/>
      <c r="AQ115" s="155"/>
      <c r="AR115" s="102"/>
      <c r="AS115" s="102"/>
      <c r="AT115" s="102"/>
      <c r="AU115" s="102"/>
      <c r="AV115" s="102"/>
      <c r="AW115" s="102"/>
      <c r="AX115" s="102"/>
      <c r="AY115" s="102"/>
      <c r="AZ115" s="102"/>
      <c r="BA115" s="102"/>
      <c r="BB115" s="102"/>
      <c r="BC115" s="102"/>
      <c r="BD115" s="102"/>
      <c r="BE115" s="102"/>
      <c r="BF115" s="102"/>
      <c r="BG115" s="102"/>
      <c r="BH115" s="102"/>
      <c r="BI115" s="102"/>
      <c r="BJ115" s="102"/>
      <c r="BK115" s="102"/>
      <c r="BL115" s="102"/>
      <c r="BM115" s="102"/>
      <c r="BN115" s="102"/>
      <c r="BO115" s="102"/>
      <c r="BP115" s="102"/>
      <c r="BQ115" s="102"/>
      <c r="BR115" s="102"/>
      <c r="BS115" s="102"/>
      <c r="BT115" s="102"/>
      <c r="BU115" s="102"/>
      <c r="BV115" s="102"/>
      <c r="BW115" s="102"/>
      <c r="BX115" s="102"/>
      <c r="BY115" s="102"/>
      <c r="BZ115" s="102"/>
      <c r="CA115" s="102"/>
      <c r="CB115" s="102"/>
      <c r="CC115" s="102"/>
      <c r="CD115" s="102"/>
      <c r="CE115" s="102"/>
      <c r="CF115" s="102"/>
      <c r="CG115" s="102"/>
      <c r="CH115" s="102"/>
      <c r="CI115" s="102"/>
      <c r="CJ115" s="102"/>
      <c r="CK115" s="102"/>
      <c r="CL115" s="102"/>
      <c r="CM115" s="102"/>
      <c r="CN115" s="102"/>
      <c r="CO115" s="102"/>
      <c r="CP115" s="102"/>
      <c r="CQ115" s="102"/>
      <c r="CR115" s="102"/>
      <c r="CS115" s="102"/>
      <c r="CT115" s="102"/>
      <c r="CU115" s="102"/>
      <c r="CV115" s="102"/>
      <c r="CW115" s="102"/>
      <c r="CX115" s="102"/>
      <c r="CY115" s="102"/>
      <c r="CZ115" s="102"/>
      <c r="DA115" s="102"/>
      <c r="DB115" s="102"/>
      <c r="DC115" s="102"/>
      <c r="DD115" s="102"/>
      <c r="DE115" s="101"/>
      <c r="DF115" s="101"/>
      <c r="DG115" s="101"/>
      <c r="DH115" s="101"/>
      <c r="DI115" s="101"/>
      <c r="DJ115" s="101"/>
      <c r="DK115" s="101"/>
      <c r="DL115" s="101"/>
      <c r="DM115" s="101"/>
      <c r="DN115" s="101"/>
      <c r="DO115" s="101"/>
      <c r="DP115" s="101"/>
      <c r="DQ115" s="101"/>
      <c r="DR115" s="101"/>
      <c r="DS115" s="101"/>
      <c r="DT115" s="101"/>
      <c r="DU115" s="101"/>
      <c r="DV115" s="101"/>
      <c r="DW115" s="101"/>
      <c r="DX115" s="101"/>
      <c r="DY115" s="101"/>
      <c r="DZ115" s="101"/>
      <c r="EA115" s="101"/>
      <c r="EB115" s="101"/>
      <c r="EC115" s="101"/>
      <c r="ED115" s="101"/>
      <c r="EE115" s="102"/>
      <c r="EF115" s="102"/>
      <c r="EG115" s="102"/>
      <c r="EH115" s="102"/>
      <c r="EI115" s="102"/>
      <c r="EJ115" s="102"/>
      <c r="EK115" s="102"/>
      <c r="EL115" s="102"/>
      <c r="EM115" s="102"/>
      <c r="EN115" s="102"/>
      <c r="EO115" s="102"/>
      <c r="EP115" s="102"/>
      <c r="EQ115" s="102"/>
      <c r="ER115" s="102"/>
      <c r="ES115" s="102"/>
      <c r="ET115" s="102"/>
      <c r="EU115" s="102"/>
      <c r="EV115" s="102"/>
      <c r="EW115" s="102"/>
      <c r="EX115" s="102"/>
      <c r="EY115" s="102"/>
      <c r="EZ115" s="102"/>
      <c r="FA115" s="102"/>
      <c r="FB115" s="102"/>
      <c r="FC115" s="102"/>
      <c r="FD115" s="102"/>
      <c r="FE115" s="102"/>
      <c r="FF115" s="102"/>
      <c r="FG115" s="102"/>
      <c r="FH115" s="102"/>
      <c r="FI115" s="102"/>
      <c r="FJ115" s="102"/>
      <c r="FK115" s="102"/>
      <c r="FL115" s="102"/>
      <c r="FM115" s="102"/>
      <c r="FN115" s="102"/>
    </row>
    <row r="116" spans="1:170" s="19" customFormat="1" ht="18" hidden="1" customHeight="1">
      <c r="A116" s="1808"/>
      <c r="B116" s="30"/>
      <c r="C116" s="26" t="s">
        <v>768</v>
      </c>
      <c r="D116" s="26"/>
      <c r="E116" s="26"/>
      <c r="F116" s="26" t="s">
        <v>22</v>
      </c>
      <c r="G116" s="26"/>
      <c r="H116" s="26"/>
      <c r="I116" s="31" t="s">
        <v>797</v>
      </c>
      <c r="J116" s="33" t="s">
        <v>77</v>
      </c>
      <c r="K116" s="33"/>
      <c r="L116" s="25"/>
      <c r="M116" s="25">
        <f>M113*M119/1000</f>
        <v>0</v>
      </c>
      <c r="N116" s="25">
        <f>N113*N119/1000</f>
        <v>0</v>
      </c>
      <c r="O116" s="25">
        <f>O113*O119/1000</f>
        <v>0</v>
      </c>
      <c r="P116" s="493">
        <v>0</v>
      </c>
      <c r="Q116" s="989">
        <v>0</v>
      </c>
      <c r="R116" s="493">
        <v>0</v>
      </c>
      <c r="S116" s="131"/>
      <c r="T116" s="298"/>
      <c r="U116" s="298"/>
      <c r="V116" s="150"/>
      <c r="W116" s="299"/>
      <c r="X116" s="299"/>
      <c r="Y116" s="150"/>
      <c r="Z116" s="299"/>
      <c r="AA116" s="299"/>
      <c r="AB116" s="131"/>
      <c r="AC116" s="298"/>
      <c r="AD116" s="298"/>
      <c r="AE116" s="13"/>
      <c r="AF116" s="13"/>
      <c r="AG116" s="13"/>
      <c r="AH116" s="13"/>
      <c r="AI116" s="13"/>
      <c r="AJ116" s="13"/>
      <c r="AK116" s="13"/>
      <c r="AL116" s="13"/>
      <c r="AM116" s="13"/>
      <c r="AN116" s="13"/>
      <c r="AO116" s="13"/>
      <c r="AP116" s="155"/>
      <c r="AQ116" s="155"/>
      <c r="AR116" s="102"/>
      <c r="AS116" s="102"/>
      <c r="AT116" s="102"/>
      <c r="AU116" s="102"/>
      <c r="AV116" s="102"/>
      <c r="AW116" s="102"/>
      <c r="AX116" s="102"/>
      <c r="AY116" s="102"/>
      <c r="AZ116" s="102"/>
      <c r="BA116" s="102"/>
      <c r="BB116" s="102"/>
      <c r="BC116" s="102"/>
      <c r="BD116" s="102"/>
      <c r="BE116" s="102"/>
      <c r="BF116" s="102"/>
      <c r="BG116" s="102"/>
      <c r="BH116" s="102"/>
      <c r="BI116" s="102"/>
      <c r="BJ116" s="102"/>
      <c r="BK116" s="102"/>
      <c r="BL116" s="102"/>
      <c r="BM116" s="102"/>
      <c r="BN116" s="102"/>
      <c r="BO116" s="102"/>
      <c r="BP116" s="102"/>
      <c r="BQ116" s="102"/>
      <c r="BR116" s="102"/>
      <c r="BS116" s="102"/>
      <c r="BT116" s="102"/>
      <c r="BU116" s="102"/>
      <c r="BV116" s="102"/>
      <c r="BW116" s="102"/>
      <c r="BX116" s="102"/>
      <c r="BY116" s="102"/>
      <c r="BZ116" s="102"/>
      <c r="CA116" s="102"/>
      <c r="CB116" s="102"/>
      <c r="CC116" s="102"/>
      <c r="CD116" s="102"/>
      <c r="CE116" s="102"/>
      <c r="CF116" s="102"/>
      <c r="CG116" s="102"/>
      <c r="CH116" s="102"/>
      <c r="CI116" s="102"/>
      <c r="CJ116" s="102"/>
      <c r="CK116" s="102"/>
      <c r="CL116" s="102"/>
      <c r="CM116" s="102"/>
      <c r="CN116" s="102"/>
      <c r="CO116" s="102"/>
      <c r="CP116" s="102"/>
      <c r="CQ116" s="102"/>
      <c r="CR116" s="102"/>
      <c r="CS116" s="102"/>
      <c r="CT116" s="102"/>
      <c r="CU116" s="102"/>
      <c r="CV116" s="102"/>
      <c r="CW116" s="102"/>
      <c r="CX116" s="102"/>
      <c r="CY116" s="102"/>
      <c r="CZ116" s="102"/>
      <c r="DA116" s="102"/>
      <c r="DB116" s="102"/>
      <c r="DC116" s="102"/>
      <c r="DD116" s="102"/>
      <c r="DE116" s="101"/>
      <c r="DF116" s="101"/>
      <c r="DG116" s="101"/>
      <c r="DH116" s="101"/>
      <c r="DI116" s="101"/>
      <c r="DJ116" s="101"/>
      <c r="DK116" s="101"/>
      <c r="DL116" s="101"/>
      <c r="DM116" s="101"/>
      <c r="DN116" s="101"/>
      <c r="DO116" s="101"/>
      <c r="DP116" s="101"/>
      <c r="DQ116" s="101"/>
      <c r="DR116" s="101"/>
      <c r="DS116" s="101"/>
      <c r="DT116" s="101"/>
      <c r="DU116" s="101"/>
      <c r="DV116" s="101"/>
      <c r="DW116" s="101"/>
      <c r="DX116" s="101"/>
      <c r="DY116" s="101"/>
      <c r="DZ116" s="101"/>
      <c r="EA116" s="101"/>
      <c r="EB116" s="101"/>
      <c r="EC116" s="101"/>
      <c r="ED116" s="101"/>
      <c r="EE116" s="102"/>
      <c r="EF116" s="102"/>
      <c r="EG116" s="102"/>
      <c r="EH116" s="102"/>
      <c r="EI116" s="102"/>
      <c r="EJ116" s="102"/>
      <c r="EK116" s="102"/>
      <c r="EL116" s="102"/>
      <c r="EM116" s="102"/>
      <c r="EN116" s="102"/>
      <c r="EO116" s="102"/>
      <c r="EP116" s="102"/>
      <c r="EQ116" s="102"/>
      <c r="ER116" s="102"/>
      <c r="ES116" s="102"/>
      <c r="ET116" s="102"/>
      <c r="EU116" s="102"/>
      <c r="EV116" s="102"/>
      <c r="EW116" s="102"/>
      <c r="EX116" s="102"/>
      <c r="EY116" s="102"/>
      <c r="EZ116" s="102"/>
      <c r="FA116" s="102"/>
      <c r="FB116" s="102"/>
      <c r="FC116" s="102"/>
      <c r="FD116" s="102"/>
      <c r="FE116" s="102"/>
      <c r="FF116" s="102"/>
      <c r="FG116" s="102"/>
      <c r="FH116" s="102"/>
      <c r="FI116" s="102"/>
      <c r="FJ116" s="102"/>
      <c r="FK116" s="102"/>
      <c r="FL116" s="102"/>
      <c r="FM116" s="102"/>
      <c r="FN116" s="102"/>
    </row>
    <row r="117" spans="1:170" s="19" customFormat="1" ht="18" customHeight="1">
      <c r="A117" s="1808"/>
      <c r="B117" s="416"/>
      <c r="C117" s="493" t="str">
        <f>Begriffe!F302</f>
        <v>Elektrische Leistung Beleuchtung</v>
      </c>
      <c r="D117" s="21"/>
      <c r="E117" s="21"/>
      <c r="F117" s="21" t="str">
        <f>Begriffe!$F$322</f>
        <v>Raum- und Akzentbeleuchtung</v>
      </c>
      <c r="G117" s="21"/>
      <c r="H117" s="21"/>
      <c r="I117" s="180" t="s">
        <v>920</v>
      </c>
      <c r="J117" s="188" t="s">
        <v>68</v>
      </c>
      <c r="K117" s="188"/>
      <c r="L117" s="173"/>
      <c r="M117" s="183">
        <f>M109+M113</f>
        <v>16.074669432201194</v>
      </c>
      <c r="N117" s="183">
        <f>N109+N113</f>
        <v>11.749367050226651</v>
      </c>
      <c r="O117" s="183">
        <f>O109+O113</f>
        <v>16.074669432201194</v>
      </c>
      <c r="P117" s="493">
        <v>1</v>
      </c>
      <c r="Q117" s="989">
        <v>1</v>
      </c>
      <c r="R117" s="493">
        <v>1</v>
      </c>
      <c r="S117" s="131"/>
      <c r="T117" s="298"/>
      <c r="U117" s="298"/>
      <c r="V117" s="150"/>
      <c r="W117" s="299"/>
      <c r="X117" s="299"/>
      <c r="Y117" s="150"/>
      <c r="Z117" s="299"/>
      <c r="AA117" s="299"/>
      <c r="AB117" s="131"/>
      <c r="AC117" s="298"/>
      <c r="AD117" s="298"/>
      <c r="AE117" s="13"/>
      <c r="AF117" s="13"/>
      <c r="AG117" s="13"/>
      <c r="AH117" s="13"/>
      <c r="AI117" s="13"/>
      <c r="AJ117" s="13"/>
      <c r="AK117" s="13"/>
      <c r="AL117" s="13"/>
      <c r="AM117" s="13"/>
      <c r="AN117" s="13"/>
      <c r="AO117" s="13"/>
      <c r="AP117" s="155"/>
      <c r="AQ117" s="155"/>
      <c r="AR117" s="102"/>
      <c r="AS117" s="102"/>
      <c r="AT117" s="102"/>
      <c r="AU117" s="102"/>
      <c r="AV117" s="102"/>
      <c r="AW117" s="102"/>
      <c r="AX117" s="102"/>
      <c r="AY117" s="102"/>
      <c r="AZ117" s="102"/>
      <c r="BA117" s="102"/>
      <c r="BB117" s="102"/>
      <c r="BC117" s="102"/>
      <c r="BD117" s="102"/>
      <c r="BE117" s="102"/>
      <c r="BF117" s="102"/>
      <c r="BG117" s="102"/>
      <c r="BH117" s="102"/>
      <c r="BI117" s="102"/>
      <c r="BJ117" s="102"/>
      <c r="BK117" s="102"/>
      <c r="BL117" s="102"/>
      <c r="BM117" s="102"/>
      <c r="BN117" s="102"/>
      <c r="BO117" s="102"/>
      <c r="BP117" s="102"/>
      <c r="BQ117" s="102"/>
      <c r="BR117" s="102"/>
      <c r="BS117" s="102"/>
      <c r="BT117" s="102"/>
      <c r="BU117" s="102"/>
      <c r="BV117" s="102"/>
      <c r="BW117" s="102"/>
      <c r="BX117" s="102"/>
      <c r="BY117" s="102"/>
      <c r="BZ117" s="102"/>
      <c r="CA117" s="102"/>
      <c r="CB117" s="102"/>
      <c r="CC117" s="102"/>
      <c r="CD117" s="102"/>
      <c r="CE117" s="102"/>
      <c r="CF117" s="102"/>
      <c r="CG117" s="102"/>
      <c r="CH117" s="102"/>
      <c r="CI117" s="102"/>
      <c r="CJ117" s="102"/>
      <c r="CK117" s="102"/>
      <c r="CL117" s="102"/>
      <c r="CM117" s="102"/>
      <c r="CN117" s="102"/>
      <c r="CO117" s="102"/>
      <c r="CP117" s="102"/>
      <c r="CQ117" s="102"/>
      <c r="CR117" s="102"/>
      <c r="CS117" s="102"/>
      <c r="CT117" s="102"/>
      <c r="CU117" s="102"/>
      <c r="CV117" s="102"/>
      <c r="CW117" s="102"/>
      <c r="CX117" s="102"/>
      <c r="CY117" s="102"/>
      <c r="CZ117" s="102"/>
      <c r="DA117" s="102"/>
      <c r="DB117" s="102"/>
      <c r="DC117" s="102"/>
      <c r="DD117" s="102"/>
      <c r="DE117" s="101"/>
      <c r="DF117" s="101"/>
      <c r="DG117" s="101"/>
      <c r="DH117" s="101"/>
      <c r="DI117" s="101"/>
      <c r="DJ117" s="101"/>
      <c r="DK117" s="101"/>
      <c r="DL117" s="101"/>
      <c r="DM117" s="101"/>
      <c r="DN117" s="101"/>
      <c r="DO117" s="101"/>
      <c r="DP117" s="101"/>
      <c r="DQ117" s="101"/>
      <c r="DR117" s="101"/>
      <c r="DS117" s="101"/>
      <c r="DT117" s="101"/>
      <c r="DU117" s="101"/>
      <c r="DV117" s="101"/>
      <c r="DW117" s="101"/>
      <c r="DX117" s="101"/>
      <c r="DY117" s="101"/>
      <c r="DZ117" s="101"/>
      <c r="EA117" s="101"/>
      <c r="EB117" s="101"/>
      <c r="EC117" s="101"/>
      <c r="ED117" s="101"/>
      <c r="EE117" s="102"/>
      <c r="EF117" s="102"/>
      <c r="EG117" s="102"/>
      <c r="EH117" s="102"/>
      <c r="EI117" s="102"/>
      <c r="EJ117" s="102"/>
      <c r="EK117" s="102"/>
      <c r="EL117" s="102"/>
      <c r="EM117" s="102"/>
      <c r="EN117" s="102"/>
      <c r="EO117" s="102"/>
      <c r="EP117" s="102"/>
      <c r="EQ117" s="102"/>
      <c r="ER117" s="102"/>
      <c r="ES117" s="102"/>
      <c r="ET117" s="102"/>
      <c r="EU117" s="102"/>
      <c r="EV117" s="102"/>
      <c r="EW117" s="102"/>
      <c r="EX117" s="102"/>
      <c r="EY117" s="102"/>
      <c r="EZ117" s="102"/>
      <c r="FA117" s="102"/>
      <c r="FB117" s="102"/>
      <c r="FC117" s="102"/>
      <c r="FD117" s="102"/>
      <c r="FE117" s="102"/>
      <c r="FF117" s="102"/>
      <c r="FG117" s="102"/>
      <c r="FH117" s="102"/>
      <c r="FI117" s="102"/>
      <c r="FJ117" s="102"/>
      <c r="FK117" s="102"/>
      <c r="FL117" s="102"/>
      <c r="FM117" s="102"/>
      <c r="FN117" s="102"/>
    </row>
    <row r="118" spans="1:170" s="19" customFormat="1" ht="18" customHeight="1">
      <c r="A118" s="1808"/>
      <c r="B118" s="416">
        <v>131</v>
      </c>
      <c r="C118" s="493" t="str">
        <f>VLOOKUP(B118,Begriffe!$A$6:$E$442,Begriffe!$D$1+2)</f>
        <v xml:space="preserve">Jährliche Volllaststunden der Raumbeleuchtung </v>
      </c>
      <c r="D118" s="493"/>
      <c r="E118" s="493"/>
      <c r="F118" s="21"/>
      <c r="G118" s="21"/>
      <c r="H118" s="21"/>
      <c r="I118" s="180" t="s">
        <v>661</v>
      </c>
      <c r="J118" s="188" t="s">
        <v>17</v>
      </c>
      <c r="K118" s="188"/>
      <c r="L118" s="173"/>
      <c r="M118" s="1017">
        <f>ROUND((M106)*$M51*$M52,-1)</f>
        <v>2010</v>
      </c>
      <c r="N118" s="1017">
        <f>ROUND((N106)*$M51*$M52,-1)</f>
        <v>1210</v>
      </c>
      <c r="O118" s="1017">
        <f>ROUND((O106)*$M51*$M52,-1)</f>
        <v>2010</v>
      </c>
      <c r="P118" s="493">
        <v>1</v>
      </c>
      <c r="Q118" s="989">
        <v>1</v>
      </c>
      <c r="R118" s="493">
        <v>0</v>
      </c>
      <c r="S118" s="131" t="s">
        <v>170</v>
      </c>
      <c r="T118" s="298"/>
      <c r="U118" s="298"/>
      <c r="V118" s="150"/>
      <c r="W118" s="299"/>
      <c r="X118" s="299"/>
      <c r="Y118" s="150"/>
      <c r="Z118" s="299"/>
      <c r="AA118" s="299"/>
      <c r="AB118" s="131"/>
      <c r="AC118" s="298"/>
      <c r="AD118" s="298"/>
      <c r="AE118" s="13"/>
      <c r="AF118" s="13"/>
      <c r="AG118" s="13"/>
      <c r="AH118" s="13"/>
      <c r="AI118" s="13"/>
      <c r="AJ118" s="13"/>
      <c r="AK118" s="13"/>
      <c r="AL118" s="13"/>
      <c r="AM118" s="13"/>
      <c r="AN118" s="13"/>
      <c r="AO118" s="13"/>
      <c r="AP118" s="155"/>
      <c r="AQ118" s="155"/>
      <c r="AR118" s="102"/>
      <c r="AS118" s="102"/>
      <c r="AT118" s="102"/>
      <c r="AU118" s="102"/>
      <c r="AV118" s="102"/>
      <c r="AW118" s="102"/>
      <c r="AX118" s="102"/>
      <c r="AY118" s="102"/>
      <c r="AZ118" s="102"/>
      <c r="BA118" s="102"/>
      <c r="BB118" s="102"/>
      <c r="BC118" s="102"/>
      <c r="BD118" s="102"/>
      <c r="BE118" s="102"/>
      <c r="BF118" s="102"/>
      <c r="BG118" s="102"/>
      <c r="BH118" s="102"/>
      <c r="BI118" s="102"/>
      <c r="BJ118" s="102"/>
      <c r="BK118" s="102"/>
      <c r="BL118" s="102"/>
      <c r="BM118" s="102"/>
      <c r="BN118" s="102"/>
      <c r="BO118" s="102"/>
      <c r="BP118" s="102"/>
      <c r="BQ118" s="102"/>
      <c r="BR118" s="102"/>
      <c r="BS118" s="102"/>
      <c r="BT118" s="102"/>
      <c r="BU118" s="102"/>
      <c r="BV118" s="102"/>
      <c r="BW118" s="102"/>
      <c r="BX118" s="102"/>
      <c r="BY118" s="102"/>
      <c r="BZ118" s="102"/>
      <c r="CA118" s="102"/>
      <c r="CB118" s="102"/>
      <c r="CC118" s="102"/>
      <c r="CD118" s="102"/>
      <c r="CE118" s="102"/>
      <c r="CF118" s="102"/>
      <c r="CG118" s="102"/>
      <c r="CH118" s="102"/>
      <c r="CI118" s="102"/>
      <c r="CJ118" s="102"/>
      <c r="CK118" s="102"/>
      <c r="CL118" s="102"/>
      <c r="CM118" s="102"/>
      <c r="CN118" s="102"/>
      <c r="CO118" s="102"/>
      <c r="CP118" s="102"/>
      <c r="CQ118" s="102"/>
      <c r="CR118" s="102"/>
      <c r="CS118" s="102"/>
      <c r="CT118" s="102"/>
      <c r="CU118" s="102"/>
      <c r="CV118" s="102"/>
      <c r="CW118" s="102"/>
      <c r="CX118" s="102"/>
      <c r="CY118" s="102"/>
      <c r="CZ118" s="102"/>
      <c r="DA118" s="102"/>
      <c r="DB118" s="102"/>
      <c r="DC118" s="102"/>
      <c r="DD118" s="102"/>
      <c r="DE118" s="101"/>
      <c r="DF118" s="101"/>
      <c r="DG118" s="101"/>
      <c r="DH118" s="101"/>
      <c r="DI118" s="101"/>
      <c r="DJ118" s="101"/>
      <c r="DK118" s="101"/>
      <c r="DL118" s="101"/>
      <c r="DM118" s="101"/>
      <c r="DN118" s="101"/>
      <c r="DO118" s="101"/>
      <c r="DP118" s="101"/>
      <c r="DQ118" s="101"/>
      <c r="DR118" s="101"/>
      <c r="DS118" s="101"/>
      <c r="DT118" s="101"/>
      <c r="DU118" s="101"/>
      <c r="DV118" s="101"/>
      <c r="DW118" s="101"/>
      <c r="DX118" s="101"/>
      <c r="DY118" s="101"/>
      <c r="DZ118" s="101"/>
      <c r="EA118" s="101"/>
      <c r="EB118" s="101"/>
      <c r="EC118" s="101"/>
      <c r="ED118" s="101"/>
      <c r="EE118" s="102"/>
      <c r="EF118" s="102"/>
      <c r="EG118" s="102"/>
      <c r="EH118" s="102"/>
      <c r="EI118" s="102"/>
      <c r="EJ118" s="102"/>
      <c r="EK118" s="102"/>
      <c r="EL118" s="102"/>
      <c r="EM118" s="102"/>
      <c r="EN118" s="102"/>
      <c r="EO118" s="102"/>
      <c r="EP118" s="102"/>
      <c r="EQ118" s="102"/>
      <c r="ER118" s="102"/>
      <c r="ES118" s="102"/>
      <c r="ET118" s="102"/>
      <c r="EU118" s="102"/>
      <c r="EV118" s="102"/>
      <c r="EW118" s="102"/>
      <c r="EX118" s="102"/>
      <c r="EY118" s="102"/>
      <c r="EZ118" s="102"/>
      <c r="FA118" s="102"/>
      <c r="FB118" s="102"/>
      <c r="FC118" s="102"/>
      <c r="FD118" s="102"/>
      <c r="FE118" s="102"/>
      <c r="FF118" s="102"/>
      <c r="FG118" s="102"/>
      <c r="FH118" s="102"/>
      <c r="FI118" s="102"/>
      <c r="FJ118" s="102"/>
      <c r="FK118" s="102"/>
      <c r="FL118" s="102"/>
      <c r="FM118" s="102"/>
      <c r="FN118" s="102"/>
    </row>
    <row r="119" spans="1:170" s="19" customFormat="1" ht="18" customHeight="1">
      <c r="A119" s="1808"/>
      <c r="B119" s="416">
        <v>132</v>
      </c>
      <c r="C119" s="493" t="str">
        <f>VLOOKUP(B119,Begriffe!$A$6:$E$442,Begriffe!$D$1+2)</f>
        <v xml:space="preserve">Jährliche Volllaststunden der Akzentbeleuchtung </v>
      </c>
      <c r="D119" s="493"/>
      <c r="E119" s="493"/>
      <c r="F119" s="21"/>
      <c r="G119" s="21"/>
      <c r="H119" s="21"/>
      <c r="I119" s="180" t="s">
        <v>921</v>
      </c>
      <c r="J119" s="188" t="s">
        <v>17</v>
      </c>
      <c r="K119" s="188"/>
      <c r="L119" s="173"/>
      <c r="M119" s="1017">
        <f>IF(M113=0,0,ROUND($M48*($M51)*$M52,-1))</f>
        <v>0</v>
      </c>
      <c r="N119" s="1017">
        <f>IF(N113=0,0,ROUND($M48*($M51)*$M52,-1))</f>
        <v>0</v>
      </c>
      <c r="O119" s="1017">
        <f>IF(O113=0,0,ROUND($M48*($M51)*$M52,-1))</f>
        <v>0</v>
      </c>
      <c r="P119" s="493">
        <v>1</v>
      </c>
      <c r="Q119" s="989">
        <v>1</v>
      </c>
      <c r="R119" s="493">
        <v>0</v>
      </c>
      <c r="S119" s="131"/>
      <c r="T119" s="298"/>
      <c r="U119" s="298"/>
      <c r="V119" s="150"/>
      <c r="W119" s="299"/>
      <c r="X119" s="299"/>
      <c r="Y119" s="150"/>
      <c r="Z119" s="299"/>
      <c r="AA119" s="299"/>
      <c r="AB119" s="131"/>
      <c r="AC119" s="298"/>
      <c r="AD119" s="298"/>
      <c r="AE119" s="13"/>
      <c r="AF119" s="13"/>
      <c r="AG119" s="13"/>
      <c r="AH119" s="13"/>
      <c r="AI119" s="13"/>
      <c r="AJ119" s="13"/>
      <c r="AK119" s="13"/>
      <c r="AL119" s="13"/>
      <c r="AM119" s="13"/>
      <c r="AN119" s="13"/>
      <c r="AO119" s="13"/>
      <c r="AP119" s="155"/>
      <c r="AQ119" s="155"/>
      <c r="AR119" s="102"/>
      <c r="AS119" s="102"/>
      <c r="AT119" s="102"/>
      <c r="AU119" s="102"/>
      <c r="AV119" s="102"/>
      <c r="AW119" s="102"/>
      <c r="AX119" s="102"/>
      <c r="AY119" s="102"/>
      <c r="AZ119" s="102"/>
      <c r="BA119" s="102"/>
      <c r="BB119" s="102"/>
      <c r="BC119" s="102"/>
      <c r="BD119" s="102"/>
      <c r="BE119" s="102"/>
      <c r="BF119" s="102"/>
      <c r="BG119" s="102"/>
      <c r="BH119" s="102"/>
      <c r="BI119" s="102"/>
      <c r="BJ119" s="102"/>
      <c r="BK119" s="102"/>
      <c r="BL119" s="102"/>
      <c r="BM119" s="102"/>
      <c r="BN119" s="102"/>
      <c r="BO119" s="102"/>
      <c r="BP119" s="102"/>
      <c r="BQ119" s="102"/>
      <c r="BR119" s="102"/>
      <c r="BS119" s="102"/>
      <c r="BT119" s="102"/>
      <c r="BU119" s="102"/>
      <c r="BV119" s="102"/>
      <c r="BW119" s="102"/>
      <c r="BX119" s="102"/>
      <c r="BY119" s="102"/>
      <c r="BZ119" s="102"/>
      <c r="CA119" s="102"/>
      <c r="CB119" s="102"/>
      <c r="CC119" s="102"/>
      <c r="CD119" s="102"/>
      <c r="CE119" s="102"/>
      <c r="CF119" s="102"/>
      <c r="CG119" s="102"/>
      <c r="CH119" s="102"/>
      <c r="CI119" s="102"/>
      <c r="CJ119" s="102"/>
      <c r="CK119" s="102"/>
      <c r="CL119" s="102"/>
      <c r="CM119" s="102"/>
      <c r="CN119" s="102"/>
      <c r="CO119" s="102"/>
      <c r="CP119" s="102"/>
      <c r="CQ119" s="102"/>
      <c r="CR119" s="102"/>
      <c r="CS119" s="102"/>
      <c r="CT119" s="102"/>
      <c r="CU119" s="102"/>
      <c r="CV119" s="102"/>
      <c r="CW119" s="102"/>
      <c r="CX119" s="102"/>
      <c r="CY119" s="102"/>
      <c r="CZ119" s="102"/>
      <c r="DA119" s="102"/>
      <c r="DB119" s="102"/>
      <c r="DC119" s="102"/>
      <c r="DD119" s="102"/>
      <c r="DE119" s="101"/>
      <c r="DF119" s="101"/>
      <c r="DG119" s="101"/>
      <c r="DH119" s="101"/>
      <c r="DI119" s="101"/>
      <c r="DJ119" s="101"/>
      <c r="DK119" s="101"/>
      <c r="DL119" s="101"/>
      <c r="DM119" s="101"/>
      <c r="DN119" s="101"/>
      <c r="DO119" s="101"/>
      <c r="DP119" s="101"/>
      <c r="DQ119" s="101"/>
      <c r="DR119" s="101"/>
      <c r="DS119" s="101"/>
      <c r="DT119" s="101"/>
      <c r="DU119" s="101"/>
      <c r="DV119" s="101"/>
      <c r="DW119" s="101"/>
      <c r="DX119" s="101"/>
      <c r="DY119" s="101"/>
      <c r="DZ119" s="101"/>
      <c r="EA119" s="101"/>
      <c r="EB119" s="101"/>
      <c r="EC119" s="101"/>
      <c r="ED119" s="101"/>
      <c r="EE119" s="102"/>
      <c r="EF119" s="102"/>
      <c r="EG119" s="102"/>
      <c r="EH119" s="102"/>
      <c r="EI119" s="102"/>
      <c r="EJ119" s="102"/>
      <c r="EK119" s="102"/>
      <c r="EL119" s="102"/>
      <c r="EM119" s="102"/>
      <c r="EN119" s="102"/>
      <c r="EO119" s="102"/>
      <c r="EP119" s="102"/>
      <c r="EQ119" s="102"/>
      <c r="ER119" s="102"/>
      <c r="ES119" s="102"/>
      <c r="ET119" s="102"/>
      <c r="EU119" s="102"/>
      <c r="EV119" s="102"/>
      <c r="EW119" s="102"/>
      <c r="EX119" s="102"/>
      <c r="EY119" s="102"/>
      <c r="EZ119" s="102"/>
      <c r="FA119" s="102"/>
      <c r="FB119" s="102"/>
      <c r="FC119" s="102"/>
      <c r="FD119" s="102"/>
      <c r="FE119" s="102"/>
      <c r="FF119" s="102"/>
      <c r="FG119" s="102"/>
      <c r="FH119" s="102"/>
      <c r="FI119" s="102"/>
      <c r="FJ119" s="102"/>
      <c r="FK119" s="102"/>
      <c r="FL119" s="102"/>
      <c r="FM119" s="102"/>
      <c r="FN119" s="102"/>
    </row>
    <row r="120" spans="1:170" s="19" customFormat="1" ht="18" customHeight="1">
      <c r="A120" s="1809"/>
      <c r="B120" s="416">
        <v>133</v>
      </c>
      <c r="C120" s="1817" t="str">
        <f>VLOOKUP(B120,Begriffe!$A$6:$E$442,Begriffe!$D$1+2)</f>
        <v>Jährlicher Elektrizitätsbedarf Beleuchtung</v>
      </c>
      <c r="D120" s="1817"/>
      <c r="E120" s="1817"/>
      <c r="F120" s="21" t="str">
        <f>Begriffe!$F$322</f>
        <v>Raum- und Akzentbeleuchtung</v>
      </c>
      <c r="G120" s="21"/>
      <c r="H120" s="21"/>
      <c r="I120" s="215" t="s">
        <v>922</v>
      </c>
      <c r="J120" s="212" t="s">
        <v>77</v>
      </c>
      <c r="K120" s="212"/>
      <c r="L120" s="1170"/>
      <c r="M120" s="1022">
        <f>M116+M112</f>
        <v>32.310085558724403</v>
      </c>
      <c r="N120" s="1022">
        <f>N116+N112</f>
        <v>14.216734130774247</v>
      </c>
      <c r="O120" s="1022">
        <f>O116+O112</f>
        <v>32.310085558724403</v>
      </c>
      <c r="P120" s="493">
        <v>1</v>
      </c>
      <c r="Q120" s="989">
        <v>1</v>
      </c>
      <c r="R120" s="493">
        <v>0</v>
      </c>
      <c r="S120" s="131"/>
      <c r="T120" s="298"/>
      <c r="U120" s="299"/>
      <c r="V120" s="150"/>
      <c r="W120" s="299"/>
      <c r="X120" s="299"/>
      <c r="Y120" s="150"/>
      <c r="Z120" s="299"/>
      <c r="AA120" s="299"/>
      <c r="AB120" s="131"/>
      <c r="AC120" s="298"/>
      <c r="AD120" s="298"/>
      <c r="AE120" s="13"/>
      <c r="AF120" s="13"/>
      <c r="AG120" s="13"/>
      <c r="AH120" s="13"/>
      <c r="AI120" s="13"/>
      <c r="AJ120" s="13"/>
      <c r="AK120" s="13"/>
      <c r="AL120" s="13"/>
      <c r="AM120" s="13"/>
      <c r="AN120" s="13"/>
      <c r="AO120" s="155"/>
      <c r="AP120" s="155"/>
      <c r="AQ120" s="102"/>
      <c r="AR120" s="102"/>
      <c r="AS120" s="102"/>
      <c r="AT120" s="102"/>
      <c r="AU120" s="102"/>
      <c r="AV120" s="102"/>
      <c r="AW120" s="102"/>
      <c r="AX120" s="102"/>
      <c r="AY120" s="102"/>
      <c r="AZ120" s="102"/>
      <c r="BA120" s="102"/>
      <c r="BB120" s="102"/>
      <c r="BC120" s="102"/>
      <c r="BD120" s="102"/>
      <c r="BE120" s="102"/>
      <c r="BF120" s="102"/>
      <c r="BG120" s="102"/>
      <c r="BH120" s="102"/>
      <c r="BI120" s="102"/>
      <c r="BJ120" s="102"/>
      <c r="BK120" s="102"/>
      <c r="BL120" s="102"/>
      <c r="BM120" s="102"/>
      <c r="BN120" s="102"/>
      <c r="BO120" s="102"/>
      <c r="BP120" s="102"/>
      <c r="BQ120" s="102"/>
      <c r="BR120" s="102"/>
      <c r="BS120" s="102"/>
      <c r="BT120" s="102"/>
      <c r="BU120" s="102"/>
      <c r="BV120" s="102"/>
      <c r="BW120" s="102"/>
      <c r="BX120" s="102"/>
      <c r="BY120" s="102"/>
      <c r="BZ120" s="102"/>
      <c r="CA120" s="102"/>
      <c r="CB120" s="102"/>
      <c r="CC120" s="102"/>
      <c r="CD120" s="102"/>
      <c r="CE120" s="102"/>
      <c r="CF120" s="102"/>
      <c r="CG120" s="102"/>
      <c r="CH120" s="102"/>
      <c r="CI120" s="102"/>
      <c r="CJ120" s="102"/>
      <c r="CK120" s="102"/>
      <c r="CL120" s="102"/>
      <c r="CM120" s="102"/>
      <c r="CN120" s="102"/>
      <c r="CO120" s="102"/>
      <c r="CP120" s="102"/>
      <c r="CQ120" s="102"/>
      <c r="CR120" s="102"/>
      <c r="CS120" s="102"/>
      <c r="CT120" s="102"/>
      <c r="CU120" s="102"/>
      <c r="CV120" s="102"/>
      <c r="CW120" s="102"/>
      <c r="CX120" s="102"/>
      <c r="CY120" s="102"/>
      <c r="CZ120" s="102"/>
      <c r="DA120" s="102"/>
      <c r="DB120" s="102"/>
      <c r="DC120" s="102"/>
      <c r="DD120" s="101"/>
      <c r="DE120" s="101"/>
      <c r="DF120" s="101"/>
      <c r="DG120" s="101"/>
      <c r="DH120" s="101"/>
      <c r="DI120" s="101"/>
      <c r="DJ120" s="101"/>
      <c r="DK120" s="101"/>
      <c r="DL120" s="101"/>
      <c r="DM120" s="101"/>
      <c r="DN120" s="101"/>
      <c r="DO120" s="101"/>
      <c r="DP120" s="101"/>
      <c r="DQ120" s="101"/>
      <c r="DR120" s="101"/>
      <c r="DS120" s="101"/>
      <c r="DT120" s="101"/>
      <c r="DU120" s="101"/>
      <c r="DV120" s="101"/>
      <c r="DW120" s="101"/>
      <c r="DX120" s="101"/>
      <c r="DY120" s="101"/>
      <c r="DZ120" s="101"/>
      <c r="EA120" s="101"/>
      <c r="EB120" s="101"/>
      <c r="EC120" s="101"/>
      <c r="ED120" s="102"/>
      <c r="EE120" s="102"/>
      <c r="EF120" s="102"/>
      <c r="EG120" s="102"/>
      <c r="EH120" s="102"/>
      <c r="EI120" s="102"/>
      <c r="EJ120" s="102"/>
      <c r="EK120" s="102"/>
      <c r="EL120" s="102"/>
      <c r="EM120" s="102"/>
      <c r="EN120" s="102"/>
      <c r="EO120" s="102"/>
      <c r="EP120" s="102"/>
      <c r="EQ120" s="102"/>
      <c r="ER120" s="102"/>
      <c r="ES120" s="102"/>
      <c r="ET120" s="102"/>
      <c r="EU120" s="102"/>
      <c r="EV120" s="102"/>
      <c r="EW120" s="102"/>
      <c r="EX120" s="102"/>
      <c r="EY120" s="102"/>
      <c r="EZ120" s="102"/>
      <c r="FA120" s="102"/>
      <c r="FB120" s="102"/>
      <c r="FC120" s="102"/>
      <c r="FD120" s="102"/>
      <c r="FE120" s="102"/>
      <c r="FF120" s="102"/>
      <c r="FG120" s="102"/>
      <c r="FH120" s="102"/>
      <c r="FI120" s="102"/>
      <c r="FJ120" s="102"/>
      <c r="FK120" s="102"/>
      <c r="FL120" s="102"/>
      <c r="FM120" s="102"/>
    </row>
    <row r="121" spans="1:170" s="12" customFormat="1" ht="2.1" customHeight="1">
      <c r="A121" s="198"/>
      <c r="B121" s="1142"/>
      <c r="C121" s="200"/>
      <c r="D121" s="200"/>
      <c r="E121" s="200"/>
      <c r="F121" s="200"/>
      <c r="G121" s="200"/>
      <c r="H121" s="200"/>
      <c r="I121" s="277"/>
      <c r="J121" s="207"/>
      <c r="K121" s="207"/>
      <c r="L121" s="208"/>
      <c r="M121" s="208"/>
      <c r="N121" s="997"/>
      <c r="O121" s="997"/>
      <c r="P121" s="493">
        <v>0</v>
      </c>
      <c r="Q121" s="989">
        <v>1</v>
      </c>
      <c r="R121" s="493">
        <v>0</v>
      </c>
      <c r="S121" s="82"/>
      <c r="T121" s="255"/>
      <c r="U121" s="232"/>
      <c r="V121" s="36"/>
      <c r="W121" s="232"/>
      <c r="X121" s="232"/>
      <c r="Y121" s="36"/>
      <c r="Z121" s="232"/>
      <c r="AA121" s="232"/>
      <c r="AB121" s="82"/>
      <c r="AC121" s="255"/>
      <c r="AD121" s="255"/>
      <c r="AE121" s="82"/>
      <c r="AF121" s="82"/>
      <c r="AG121" s="82"/>
      <c r="AH121" s="82"/>
      <c r="AI121" s="82"/>
      <c r="AJ121" s="82"/>
      <c r="AK121" s="82"/>
      <c r="AL121" s="82"/>
      <c r="AM121" s="156"/>
      <c r="AN121" s="156"/>
      <c r="AO121" s="157"/>
      <c r="AP121" s="157"/>
      <c r="AQ121" s="106"/>
      <c r="AR121" s="106"/>
      <c r="AS121" s="106"/>
      <c r="AT121" s="106"/>
      <c r="AU121" s="106"/>
      <c r="AV121" s="106"/>
      <c r="AW121" s="106"/>
      <c r="AX121" s="106"/>
      <c r="AY121" s="106"/>
      <c r="AZ121" s="106"/>
      <c r="BA121" s="106"/>
      <c r="BB121" s="106"/>
      <c r="BC121" s="106"/>
      <c r="BD121" s="106"/>
      <c r="BE121" s="106"/>
      <c r="BF121" s="106"/>
      <c r="BG121" s="106"/>
      <c r="BH121" s="106"/>
      <c r="BI121" s="106"/>
      <c r="BJ121" s="106"/>
      <c r="BK121" s="106"/>
      <c r="BL121" s="106"/>
      <c r="BM121" s="106"/>
      <c r="BN121" s="106"/>
      <c r="BO121" s="106"/>
      <c r="BP121" s="106"/>
      <c r="BQ121" s="106"/>
      <c r="BR121" s="106"/>
      <c r="BS121" s="106"/>
      <c r="BT121" s="106"/>
      <c r="BU121" s="106"/>
      <c r="BV121" s="106"/>
      <c r="BW121" s="106"/>
      <c r="BX121" s="106"/>
      <c r="BY121" s="106"/>
      <c r="BZ121" s="106"/>
      <c r="CA121" s="106"/>
      <c r="CB121" s="106"/>
      <c r="CC121" s="106"/>
      <c r="CD121" s="106"/>
      <c r="CE121" s="106"/>
      <c r="CF121" s="106"/>
      <c r="CG121" s="106"/>
      <c r="CH121" s="106"/>
      <c r="CI121" s="106"/>
      <c r="CJ121" s="106"/>
      <c r="CK121" s="106"/>
      <c r="CL121" s="106"/>
      <c r="CM121" s="106"/>
      <c r="CN121" s="106"/>
      <c r="CO121" s="106"/>
      <c r="CP121" s="106"/>
      <c r="CQ121" s="106"/>
      <c r="CR121" s="106"/>
      <c r="CS121" s="106"/>
      <c r="CT121" s="106"/>
      <c r="CU121" s="107"/>
      <c r="CV121" s="107"/>
      <c r="CW121" s="107"/>
      <c r="CX121" s="107"/>
      <c r="CY121" s="107"/>
      <c r="CZ121" s="107"/>
      <c r="DA121" s="107"/>
      <c r="DB121" s="107"/>
      <c r="DC121" s="107"/>
      <c r="DD121" s="107"/>
      <c r="DE121" s="107"/>
      <c r="DF121" s="107"/>
      <c r="DG121" s="107"/>
      <c r="DH121" s="107"/>
      <c r="DI121" s="107"/>
      <c r="DJ121" s="107"/>
      <c r="DK121" s="107"/>
      <c r="DL121" s="107"/>
      <c r="DM121" s="107"/>
      <c r="DN121" s="107"/>
      <c r="DO121" s="107"/>
      <c r="DP121" s="107"/>
      <c r="DQ121" s="107"/>
      <c r="DR121" s="107"/>
      <c r="DS121" s="107"/>
      <c r="DT121" s="107"/>
      <c r="DU121" s="107"/>
      <c r="DV121" s="107"/>
      <c r="DW121" s="107"/>
      <c r="DX121" s="107"/>
      <c r="DY121" s="107"/>
      <c r="DZ121" s="107"/>
      <c r="EA121" s="107"/>
      <c r="EB121" s="107"/>
      <c r="EC121" s="107"/>
      <c r="ED121" s="105"/>
      <c r="EE121" s="105"/>
      <c r="EF121" s="105"/>
      <c r="EG121" s="105"/>
      <c r="EH121" s="105"/>
      <c r="EI121" s="105"/>
      <c r="EJ121" s="105"/>
      <c r="EK121" s="105"/>
      <c r="EL121" s="105"/>
      <c r="EM121" s="105"/>
      <c r="EN121" s="105"/>
      <c r="EO121" s="105"/>
      <c r="EP121" s="105"/>
      <c r="EQ121" s="105"/>
      <c r="ER121" s="105"/>
      <c r="ES121" s="105"/>
      <c r="ET121" s="105"/>
      <c r="EU121" s="105"/>
      <c r="EV121" s="105"/>
      <c r="EW121" s="105"/>
      <c r="EX121" s="105"/>
      <c r="EY121" s="105"/>
      <c r="EZ121" s="105"/>
      <c r="FA121" s="105"/>
      <c r="FB121" s="105"/>
      <c r="FC121" s="105"/>
      <c r="FD121" s="105"/>
      <c r="FE121" s="105"/>
      <c r="FF121" s="105"/>
      <c r="FG121" s="105"/>
      <c r="FH121" s="105"/>
      <c r="FI121" s="105"/>
      <c r="FJ121" s="105"/>
      <c r="FK121" s="105"/>
      <c r="FL121" s="105"/>
      <c r="FM121" s="105"/>
    </row>
    <row r="122" spans="1:170" s="12" customFormat="1" ht="18.75" customHeight="1">
      <c r="A122" s="189"/>
      <c r="B122" s="416"/>
      <c r="C122" s="189" t="str">
        <f>C2</f>
        <v>Bezeichnung</v>
      </c>
      <c r="D122" s="189"/>
      <c r="E122" s="189"/>
      <c r="F122" s="189"/>
      <c r="G122" s="189"/>
      <c r="H122" s="189"/>
      <c r="I122" s="190"/>
      <c r="J122" s="191"/>
      <c r="K122" s="191"/>
      <c r="L122" s="192"/>
      <c r="M122" s="192"/>
      <c r="N122" s="193"/>
      <c r="O122" s="194">
        <f>O2</f>
        <v>3.1</v>
      </c>
      <c r="P122" s="493">
        <v>0</v>
      </c>
      <c r="Q122" s="989">
        <v>1</v>
      </c>
      <c r="R122" s="493">
        <v>0</v>
      </c>
      <c r="S122" s="82"/>
      <c r="T122" s="255"/>
      <c r="U122" s="232"/>
      <c r="V122" s="36"/>
      <c r="W122" s="232"/>
      <c r="X122" s="232"/>
      <c r="Y122" s="36"/>
      <c r="Z122" s="232"/>
      <c r="AA122" s="232"/>
      <c r="AB122" s="82"/>
      <c r="AC122" s="255"/>
      <c r="AD122" s="255"/>
      <c r="AE122" s="82"/>
      <c r="AF122" s="82"/>
      <c r="AG122" s="82"/>
      <c r="AH122" s="82"/>
      <c r="AI122" s="82"/>
      <c r="AJ122" s="82"/>
      <c r="AK122" s="82"/>
      <c r="AL122" s="82"/>
      <c r="AM122" s="156"/>
      <c r="AN122" s="156"/>
      <c r="AO122" s="157"/>
      <c r="AP122" s="157"/>
      <c r="AQ122" s="106"/>
      <c r="AR122" s="106"/>
      <c r="AS122" s="106"/>
      <c r="AT122" s="106"/>
      <c r="AU122" s="106"/>
      <c r="AV122" s="106"/>
      <c r="AW122" s="106"/>
      <c r="AX122" s="106"/>
      <c r="AY122" s="106"/>
      <c r="AZ122" s="106"/>
      <c r="BA122" s="106"/>
      <c r="BB122" s="106"/>
      <c r="BC122" s="106"/>
      <c r="BD122" s="106"/>
      <c r="BE122" s="106"/>
      <c r="BF122" s="106"/>
      <c r="BG122" s="106"/>
      <c r="BH122" s="106"/>
      <c r="BI122" s="106"/>
      <c r="BJ122" s="106"/>
      <c r="BK122" s="106"/>
      <c r="BL122" s="106"/>
      <c r="BM122" s="106"/>
      <c r="BN122" s="106"/>
      <c r="BO122" s="106"/>
      <c r="BP122" s="106"/>
      <c r="BQ122" s="106"/>
      <c r="BR122" s="106"/>
      <c r="BS122" s="106"/>
      <c r="BT122" s="106"/>
      <c r="BU122" s="106"/>
      <c r="BV122" s="106"/>
      <c r="BW122" s="106"/>
      <c r="BX122" s="106"/>
      <c r="BY122" s="106"/>
      <c r="BZ122" s="106"/>
      <c r="CA122" s="106"/>
      <c r="CB122" s="106"/>
      <c r="CC122" s="106"/>
      <c r="CD122" s="106"/>
      <c r="CE122" s="106"/>
      <c r="CF122" s="106"/>
      <c r="CG122" s="106"/>
      <c r="CH122" s="106"/>
      <c r="CI122" s="106"/>
      <c r="CJ122" s="106"/>
      <c r="CK122" s="106"/>
      <c r="CL122" s="106"/>
      <c r="CM122" s="106"/>
      <c r="CN122" s="106"/>
      <c r="CO122" s="106"/>
      <c r="CP122" s="106"/>
      <c r="CQ122" s="106"/>
      <c r="CR122" s="106"/>
      <c r="CS122" s="106"/>
      <c r="CT122" s="106"/>
      <c r="CU122" s="107"/>
      <c r="CV122" s="107"/>
      <c r="CW122" s="107"/>
      <c r="CX122" s="107"/>
      <c r="CY122" s="107"/>
      <c r="CZ122" s="107"/>
      <c r="DA122" s="107"/>
      <c r="DB122" s="107"/>
      <c r="DC122" s="107"/>
      <c r="DD122" s="107"/>
      <c r="DE122" s="107"/>
      <c r="DF122" s="107"/>
      <c r="DG122" s="107"/>
      <c r="DH122" s="107"/>
      <c r="DI122" s="107"/>
      <c r="DJ122" s="107"/>
      <c r="DK122" s="107"/>
      <c r="DL122" s="107"/>
      <c r="DM122" s="107"/>
      <c r="DN122" s="107"/>
      <c r="DO122" s="107"/>
      <c r="DP122" s="107"/>
      <c r="DQ122" s="107"/>
      <c r="DR122" s="107"/>
      <c r="DS122" s="107"/>
      <c r="DT122" s="107"/>
      <c r="DU122" s="107"/>
      <c r="DV122" s="107"/>
      <c r="DW122" s="107"/>
      <c r="DX122" s="107"/>
      <c r="DY122" s="107"/>
      <c r="DZ122" s="107"/>
      <c r="EA122" s="107"/>
      <c r="EB122" s="107"/>
      <c r="EC122" s="107"/>
      <c r="ED122" s="105"/>
      <c r="EE122" s="105"/>
      <c r="EF122" s="105"/>
      <c r="EG122" s="105"/>
      <c r="EH122" s="105"/>
      <c r="EI122" s="105"/>
      <c r="EJ122" s="105"/>
      <c r="EK122" s="105"/>
      <c r="EL122" s="105"/>
      <c r="EM122" s="105"/>
      <c r="EN122" s="105"/>
      <c r="EO122" s="105"/>
      <c r="EP122" s="105"/>
      <c r="EQ122" s="105"/>
      <c r="ER122" s="105"/>
      <c r="ES122" s="105"/>
      <c r="ET122" s="105"/>
      <c r="EU122" s="105"/>
      <c r="EV122" s="105"/>
      <c r="EW122" s="105"/>
      <c r="EX122" s="105"/>
      <c r="EY122" s="105"/>
      <c r="EZ122" s="105"/>
      <c r="FA122" s="105"/>
      <c r="FB122" s="105"/>
      <c r="FC122" s="105"/>
      <c r="FD122" s="105"/>
      <c r="FE122" s="105"/>
      <c r="FF122" s="105"/>
      <c r="FG122" s="105"/>
      <c r="FH122" s="105"/>
      <c r="FI122" s="105"/>
      <c r="FJ122" s="105"/>
      <c r="FK122" s="105"/>
      <c r="FL122" s="105"/>
      <c r="FM122" s="105"/>
    </row>
    <row r="123" spans="1:170" s="12" customFormat="1" ht="1.5" customHeight="1">
      <c r="A123" s="189"/>
      <c r="B123" s="416"/>
      <c r="C123" s="195"/>
      <c r="D123" s="195"/>
      <c r="E123" s="195"/>
      <c r="F123" s="189"/>
      <c r="G123" s="189"/>
      <c r="H123" s="189"/>
      <c r="I123" s="190"/>
      <c r="J123" s="191"/>
      <c r="K123" s="191"/>
      <c r="L123" s="192"/>
      <c r="M123" s="192"/>
      <c r="N123" s="193"/>
      <c r="O123" s="194"/>
      <c r="P123" s="493">
        <v>0</v>
      </c>
      <c r="Q123" s="989">
        <v>1</v>
      </c>
      <c r="R123" s="493">
        <v>0</v>
      </c>
      <c r="S123" s="82"/>
      <c r="T123" s="255"/>
      <c r="U123" s="232"/>
      <c r="V123" s="36"/>
      <c r="W123" s="232"/>
      <c r="X123" s="232"/>
      <c r="Y123" s="36"/>
      <c r="Z123" s="232"/>
      <c r="AA123" s="232"/>
      <c r="AB123" s="82"/>
      <c r="AC123" s="255"/>
      <c r="AD123" s="255"/>
      <c r="AE123" s="82"/>
      <c r="AF123" s="82"/>
      <c r="AG123" s="82"/>
      <c r="AH123" s="82"/>
      <c r="AI123" s="82"/>
      <c r="AJ123" s="82"/>
      <c r="AK123" s="82"/>
      <c r="AL123" s="82"/>
      <c r="AM123" s="156"/>
      <c r="AN123" s="156"/>
      <c r="AO123" s="157"/>
      <c r="AP123" s="157"/>
      <c r="AQ123" s="106"/>
      <c r="AR123" s="106"/>
      <c r="AS123" s="106"/>
      <c r="AT123" s="106"/>
      <c r="AU123" s="106"/>
      <c r="AV123" s="106"/>
      <c r="AW123" s="106"/>
      <c r="AX123" s="106"/>
      <c r="AY123" s="106"/>
      <c r="AZ123" s="106"/>
      <c r="BA123" s="106"/>
      <c r="BB123" s="106"/>
      <c r="BC123" s="106"/>
      <c r="BD123" s="106"/>
      <c r="BE123" s="106"/>
      <c r="BF123" s="106"/>
      <c r="BG123" s="106"/>
      <c r="BH123" s="106"/>
      <c r="BI123" s="106"/>
      <c r="BJ123" s="106"/>
      <c r="BK123" s="106"/>
      <c r="BL123" s="106"/>
      <c r="BM123" s="106"/>
      <c r="BN123" s="106"/>
      <c r="BO123" s="106"/>
      <c r="BP123" s="106"/>
      <c r="BQ123" s="106"/>
      <c r="BR123" s="106"/>
      <c r="BS123" s="106"/>
      <c r="BT123" s="106"/>
      <c r="BU123" s="106"/>
      <c r="BV123" s="106"/>
      <c r="BW123" s="106"/>
      <c r="BX123" s="106"/>
      <c r="BY123" s="106"/>
      <c r="BZ123" s="106"/>
      <c r="CA123" s="106"/>
      <c r="CB123" s="106"/>
      <c r="CC123" s="106"/>
      <c r="CD123" s="106"/>
      <c r="CE123" s="106"/>
      <c r="CF123" s="106"/>
      <c r="CG123" s="106"/>
      <c r="CH123" s="106"/>
      <c r="CI123" s="106"/>
      <c r="CJ123" s="106"/>
      <c r="CK123" s="106"/>
      <c r="CL123" s="106"/>
      <c r="CM123" s="106"/>
      <c r="CN123" s="106"/>
      <c r="CO123" s="106"/>
      <c r="CP123" s="106"/>
      <c r="CQ123" s="106"/>
      <c r="CR123" s="106"/>
      <c r="CS123" s="106"/>
      <c r="CT123" s="106"/>
      <c r="CU123" s="107"/>
      <c r="CV123" s="107"/>
      <c r="CW123" s="107"/>
      <c r="CX123" s="107"/>
      <c r="CY123" s="107"/>
      <c r="CZ123" s="107"/>
      <c r="DA123" s="107"/>
      <c r="DB123" s="107"/>
      <c r="DC123" s="107"/>
      <c r="DD123" s="107"/>
      <c r="DE123" s="107"/>
      <c r="DF123" s="107"/>
      <c r="DG123" s="107"/>
      <c r="DH123" s="107"/>
      <c r="DI123" s="107"/>
      <c r="DJ123" s="107"/>
      <c r="DK123" s="107"/>
      <c r="DL123" s="107"/>
      <c r="DM123" s="107"/>
      <c r="DN123" s="107"/>
      <c r="DO123" s="107"/>
      <c r="DP123" s="107"/>
      <c r="DQ123" s="107"/>
      <c r="DR123" s="107"/>
      <c r="DS123" s="107"/>
      <c r="DT123" s="107"/>
      <c r="DU123" s="107"/>
      <c r="DV123" s="107"/>
      <c r="DW123" s="107"/>
      <c r="DX123" s="107"/>
      <c r="DY123" s="107"/>
      <c r="DZ123" s="107"/>
      <c r="EA123" s="107"/>
      <c r="EB123" s="107"/>
      <c r="EC123" s="107"/>
      <c r="ED123" s="105"/>
      <c r="EE123" s="105"/>
      <c r="EF123" s="105"/>
      <c r="EG123" s="105"/>
      <c r="EH123" s="105"/>
      <c r="EI123" s="105"/>
      <c r="EJ123" s="105"/>
      <c r="EK123" s="105"/>
      <c r="EL123" s="105"/>
      <c r="EM123" s="105"/>
      <c r="EN123" s="105"/>
      <c r="EO123" s="105"/>
      <c r="EP123" s="105"/>
      <c r="EQ123" s="105"/>
      <c r="ER123" s="105"/>
      <c r="ES123" s="105"/>
      <c r="ET123" s="105"/>
      <c r="EU123" s="105"/>
      <c r="EV123" s="105"/>
      <c r="EW123" s="105"/>
      <c r="EX123" s="105"/>
      <c r="EY123" s="105"/>
      <c r="EZ123" s="105"/>
      <c r="FA123" s="105"/>
      <c r="FB123" s="105"/>
      <c r="FC123" s="105"/>
      <c r="FD123" s="105"/>
      <c r="FE123" s="105"/>
      <c r="FF123" s="105"/>
      <c r="FG123" s="105"/>
      <c r="FH123" s="105"/>
      <c r="FI123" s="105"/>
      <c r="FJ123" s="105"/>
      <c r="FK123" s="105"/>
      <c r="FL123" s="105"/>
      <c r="FM123" s="105"/>
    </row>
    <row r="124" spans="1:170" s="12" customFormat="1" ht="18" customHeight="1">
      <c r="A124" s="203"/>
      <c r="B124" s="1144"/>
      <c r="C124" s="204"/>
      <c r="D124" s="204"/>
      <c r="E124" s="204"/>
      <c r="F124" s="204"/>
      <c r="G124" s="204"/>
      <c r="H124" s="204"/>
      <c r="I124" s="351" t="str">
        <f>I4</f>
        <v>Symbol</v>
      </c>
      <c r="J124" s="205" t="str">
        <f>J4</f>
        <v>Einheit</v>
      </c>
      <c r="K124" s="205"/>
      <c r="L124" s="574" t="str">
        <f>L4</f>
        <v>Projektwert</v>
      </c>
      <c r="M124" s="574" t="str">
        <f>M4</f>
        <v>Projektwert</v>
      </c>
      <c r="N124" s="574" t="str">
        <f>N4</f>
        <v>Zielwert</v>
      </c>
      <c r="O124" s="574" t="str">
        <f>O4</f>
        <v>Bestand</v>
      </c>
      <c r="P124" s="493">
        <v>0</v>
      </c>
      <c r="Q124" s="989">
        <v>1</v>
      </c>
      <c r="R124" s="493">
        <v>0</v>
      </c>
      <c r="S124" s="82"/>
      <c r="T124" s="255"/>
      <c r="U124" s="232"/>
      <c r="V124" s="36"/>
      <c r="W124" s="232"/>
      <c r="X124" s="232"/>
      <c r="Y124" s="36"/>
      <c r="Z124" s="232"/>
      <c r="AA124" s="232"/>
      <c r="AB124" s="82"/>
      <c r="AC124" s="255"/>
      <c r="AD124" s="255"/>
      <c r="AE124" s="82"/>
      <c r="AF124" s="82"/>
      <c r="AG124" s="82"/>
      <c r="AH124" s="82"/>
      <c r="AI124" s="82"/>
      <c r="AJ124" s="82"/>
      <c r="AK124" s="82"/>
      <c r="AL124" s="82"/>
      <c r="AM124" s="156"/>
      <c r="AN124" s="156"/>
      <c r="AO124" s="157"/>
      <c r="AP124" s="157"/>
      <c r="AQ124" s="106"/>
      <c r="AR124" s="106"/>
      <c r="AS124" s="106"/>
      <c r="AT124" s="106"/>
      <c r="AU124" s="106"/>
      <c r="AV124" s="106"/>
      <c r="AW124" s="106"/>
      <c r="AX124" s="106"/>
      <c r="AY124" s="106"/>
      <c r="AZ124" s="106"/>
      <c r="BA124" s="106"/>
      <c r="BB124" s="106"/>
      <c r="BC124" s="106"/>
      <c r="BD124" s="106"/>
      <c r="BE124" s="106"/>
      <c r="BF124" s="106"/>
      <c r="BG124" s="106"/>
      <c r="BH124" s="106"/>
      <c r="BI124" s="106"/>
      <c r="BJ124" s="106"/>
      <c r="BK124" s="106"/>
      <c r="BL124" s="106"/>
      <c r="BM124" s="106"/>
      <c r="BN124" s="106"/>
      <c r="BO124" s="106"/>
      <c r="BP124" s="106"/>
      <c r="BQ124" s="106"/>
      <c r="BR124" s="106"/>
      <c r="BS124" s="106"/>
      <c r="BT124" s="106"/>
      <c r="BU124" s="106"/>
      <c r="BV124" s="106"/>
      <c r="BW124" s="106"/>
      <c r="BX124" s="106"/>
      <c r="BY124" s="106"/>
      <c r="BZ124" s="106"/>
      <c r="CA124" s="106"/>
      <c r="CB124" s="106"/>
      <c r="CC124" s="106"/>
      <c r="CD124" s="106"/>
      <c r="CE124" s="106"/>
      <c r="CF124" s="106"/>
      <c r="CG124" s="106"/>
      <c r="CH124" s="106"/>
      <c r="CI124" s="106"/>
      <c r="CJ124" s="106"/>
      <c r="CK124" s="106"/>
      <c r="CL124" s="106"/>
      <c r="CM124" s="106"/>
      <c r="CN124" s="106"/>
      <c r="CO124" s="106"/>
      <c r="CP124" s="106"/>
      <c r="CQ124" s="106"/>
      <c r="CR124" s="106"/>
      <c r="CS124" s="106"/>
      <c r="CT124" s="106"/>
      <c r="CU124" s="107"/>
      <c r="CV124" s="107"/>
      <c r="CW124" s="107"/>
      <c r="CX124" s="107"/>
      <c r="CY124" s="107"/>
      <c r="CZ124" s="107"/>
      <c r="DA124" s="107"/>
      <c r="DB124" s="107"/>
      <c r="DC124" s="107"/>
      <c r="DD124" s="107"/>
      <c r="DE124" s="107"/>
      <c r="DF124" s="107"/>
      <c r="DG124" s="107"/>
      <c r="DH124" s="107"/>
      <c r="DI124" s="107"/>
      <c r="DJ124" s="107"/>
      <c r="DK124" s="107"/>
      <c r="DL124" s="107"/>
      <c r="DM124" s="107"/>
      <c r="DN124" s="107"/>
      <c r="DO124" s="107"/>
      <c r="DP124" s="107"/>
      <c r="DQ124" s="107"/>
      <c r="DR124" s="107"/>
      <c r="DS124" s="107"/>
      <c r="DT124" s="107"/>
      <c r="DU124" s="107"/>
      <c r="DV124" s="107"/>
      <c r="DW124" s="107"/>
      <c r="DX124" s="107"/>
      <c r="DY124" s="107"/>
      <c r="DZ124" s="107"/>
      <c r="EA124" s="107"/>
      <c r="EB124" s="107"/>
      <c r="EC124" s="107"/>
      <c r="ED124" s="105"/>
      <c r="EE124" s="105"/>
      <c r="EF124" s="105"/>
      <c r="EG124" s="105"/>
      <c r="EH124" s="105"/>
      <c r="EI124" s="105"/>
      <c r="EJ124" s="105"/>
      <c r="EK124" s="105"/>
      <c r="EL124" s="105"/>
      <c r="EM124" s="105"/>
      <c r="EN124" s="105"/>
      <c r="EO124" s="105"/>
      <c r="EP124" s="105"/>
      <c r="EQ124" s="105"/>
      <c r="ER124" s="105"/>
      <c r="ES124" s="105"/>
      <c r="ET124" s="105"/>
      <c r="EU124" s="105"/>
      <c r="EV124" s="105"/>
      <c r="EW124" s="105"/>
      <c r="EX124" s="105"/>
      <c r="EY124" s="105"/>
      <c r="EZ124" s="105"/>
      <c r="FA124" s="105"/>
      <c r="FB124" s="105"/>
      <c r="FC124" s="105"/>
      <c r="FD124" s="105"/>
      <c r="FE124" s="105"/>
      <c r="FF124" s="105"/>
      <c r="FG124" s="105"/>
      <c r="FH124" s="105"/>
      <c r="FI124" s="105"/>
      <c r="FJ124" s="105"/>
      <c r="FK124" s="105"/>
      <c r="FL124" s="105"/>
      <c r="FM124" s="105"/>
    </row>
    <row r="125" spans="1:170" s="19" customFormat="1" ht="18" customHeight="1">
      <c r="A125" s="1810" t="str">
        <f>Begriffe!F205</f>
        <v>Lüftung</v>
      </c>
      <c r="B125" s="416">
        <v>342</v>
      </c>
      <c r="C125" s="21" t="str">
        <f>VLOOKUP(B125,Begriffe!$A$6:$E$442,Begriffe!$D$1+2)</f>
        <v>Aussenluft-Volumenstrom pro Person</v>
      </c>
      <c r="D125" s="21"/>
      <c r="E125" s="179"/>
      <c r="F125" s="21" t="str">
        <f>Begriffe!$F$323</f>
        <v>Nichtraucher</v>
      </c>
      <c r="G125" s="21"/>
      <c r="H125" s="21"/>
      <c r="I125" s="180" t="s">
        <v>666</v>
      </c>
      <c r="J125" s="188" t="s">
        <v>821</v>
      </c>
      <c r="K125" s="16"/>
      <c r="L125" s="1174"/>
      <c r="M125" s="984">
        <f>IF(L125&lt;&gt;"",L125,INDEX(Eingabedaten!$D$10:$CY$54,nutzid,MATCH($C125,Eingabedaten!$D$7:$CY$7,0)))</f>
        <v>36</v>
      </c>
      <c r="N125" s="187"/>
      <c r="O125" s="187"/>
      <c r="P125" s="493">
        <v>0</v>
      </c>
      <c r="Q125" s="989">
        <v>1</v>
      </c>
      <c r="R125" s="493">
        <v>0</v>
      </c>
      <c r="S125" s="131"/>
      <c r="T125" s="298"/>
      <c r="U125" s="298"/>
      <c r="V125" s="150"/>
      <c r="W125" s="299" t="s">
        <v>71</v>
      </c>
      <c r="X125" s="299"/>
      <c r="Y125" s="150"/>
      <c r="Z125" s="299"/>
      <c r="AA125" s="299"/>
      <c r="AB125" s="131"/>
      <c r="AC125" s="298"/>
      <c r="AD125" s="298"/>
      <c r="AE125" s="13"/>
      <c r="AF125" s="13"/>
      <c r="AG125" s="13"/>
      <c r="AH125" s="13"/>
      <c r="AI125" s="13"/>
      <c r="AJ125" s="13"/>
      <c r="AK125" s="13"/>
      <c r="AL125" s="13"/>
      <c r="AM125" s="13"/>
      <c r="AN125" s="13"/>
      <c r="AO125" s="13"/>
      <c r="AP125" s="155"/>
      <c r="AQ125" s="155"/>
      <c r="AR125" s="102"/>
      <c r="AS125" s="102"/>
      <c r="AT125" s="102"/>
      <c r="AU125" s="102"/>
      <c r="AV125" s="102"/>
      <c r="AW125" s="102"/>
      <c r="AX125" s="102"/>
      <c r="AY125" s="102"/>
      <c r="AZ125" s="102"/>
      <c r="BA125" s="102"/>
      <c r="BB125" s="102"/>
      <c r="BC125" s="102"/>
      <c r="BD125" s="102"/>
      <c r="BE125" s="102"/>
      <c r="BF125" s="102"/>
      <c r="BG125" s="102"/>
      <c r="BH125" s="102"/>
      <c r="BI125" s="102"/>
      <c r="BJ125" s="102"/>
      <c r="BK125" s="102"/>
      <c r="BL125" s="102"/>
      <c r="BM125" s="102"/>
      <c r="BN125" s="102"/>
      <c r="BO125" s="102"/>
      <c r="BP125" s="102"/>
      <c r="BQ125" s="102"/>
      <c r="BR125" s="102"/>
      <c r="BS125" s="102"/>
      <c r="BT125" s="102"/>
      <c r="BU125" s="102"/>
      <c r="BV125" s="102"/>
      <c r="BW125" s="102"/>
      <c r="BX125" s="102"/>
      <c r="BY125" s="102"/>
      <c r="BZ125" s="102"/>
      <c r="CA125" s="102"/>
      <c r="CB125" s="102"/>
      <c r="CC125" s="102"/>
      <c r="CD125" s="102"/>
      <c r="CE125" s="102"/>
      <c r="CF125" s="102"/>
      <c r="CG125" s="102"/>
      <c r="CH125" s="102"/>
      <c r="CI125" s="102"/>
      <c r="CJ125" s="102"/>
      <c r="CK125" s="102"/>
      <c r="CL125" s="102"/>
      <c r="CM125" s="102"/>
      <c r="CN125" s="102"/>
      <c r="CO125" s="102"/>
      <c r="CP125" s="102"/>
      <c r="CQ125" s="102"/>
      <c r="CR125" s="102"/>
      <c r="CS125" s="102"/>
      <c r="CT125" s="102"/>
      <c r="CU125" s="102"/>
      <c r="CV125" s="102"/>
      <c r="CW125" s="102"/>
      <c r="CX125" s="102"/>
      <c r="CY125" s="102"/>
      <c r="CZ125" s="102"/>
      <c r="DA125" s="102"/>
      <c r="DB125" s="102"/>
      <c r="DC125" s="102"/>
      <c r="DD125" s="102"/>
      <c r="DE125" s="101"/>
      <c r="DF125" s="101"/>
      <c r="DG125" s="101"/>
      <c r="DH125" s="101"/>
      <c r="DI125" s="101"/>
      <c r="DJ125" s="101"/>
      <c r="DK125" s="101"/>
      <c r="DL125" s="101"/>
      <c r="DM125" s="101"/>
      <c r="DN125" s="101"/>
      <c r="DO125" s="101"/>
      <c r="DP125" s="101"/>
      <c r="DQ125" s="101"/>
      <c r="DR125" s="101"/>
      <c r="DS125" s="101"/>
      <c r="DT125" s="101"/>
      <c r="DU125" s="101"/>
      <c r="DV125" s="101"/>
      <c r="DW125" s="101"/>
      <c r="DX125" s="101"/>
      <c r="DY125" s="101"/>
      <c r="DZ125" s="101"/>
      <c r="EA125" s="101"/>
      <c r="EB125" s="101"/>
      <c r="EC125" s="101"/>
      <c r="ED125" s="101"/>
      <c r="EE125" s="102"/>
      <c r="EF125" s="102"/>
      <c r="EG125" s="102"/>
      <c r="EH125" s="102"/>
      <c r="EI125" s="102"/>
      <c r="EJ125" s="102"/>
      <c r="EK125" s="102"/>
      <c r="EL125" s="102"/>
      <c r="EM125" s="102"/>
      <c r="EN125" s="102"/>
      <c r="EO125" s="102"/>
      <c r="EP125" s="102"/>
      <c r="EQ125" s="102"/>
      <c r="ER125" s="102"/>
      <c r="ES125" s="102"/>
      <c r="ET125" s="102"/>
      <c r="EU125" s="102"/>
      <c r="EV125" s="102"/>
      <c r="EW125" s="102"/>
      <c r="EX125" s="102"/>
      <c r="EY125" s="102"/>
      <c r="EZ125" s="102"/>
      <c r="FA125" s="102"/>
      <c r="FB125" s="102"/>
      <c r="FC125" s="102"/>
      <c r="FD125" s="102"/>
      <c r="FE125" s="102"/>
      <c r="FF125" s="102"/>
      <c r="FG125" s="102"/>
      <c r="FH125" s="102"/>
      <c r="FI125" s="102"/>
      <c r="FJ125" s="102"/>
      <c r="FK125" s="102"/>
      <c r="FL125" s="102"/>
      <c r="FM125" s="102"/>
      <c r="FN125" s="102"/>
    </row>
    <row r="126" spans="1:170" s="19" customFormat="1" ht="18" hidden="1" customHeight="1">
      <c r="A126" s="1808"/>
      <c r="B126" s="30"/>
      <c r="C126" s="26" t="s">
        <v>69</v>
      </c>
      <c r="D126" s="26"/>
      <c r="E126" s="346"/>
      <c r="F126" s="26"/>
      <c r="G126" s="26"/>
      <c r="H126" s="26"/>
      <c r="I126" s="31" t="s">
        <v>18</v>
      </c>
      <c r="J126" s="33" t="s">
        <v>18</v>
      </c>
      <c r="K126" s="33"/>
      <c r="L126" s="28"/>
      <c r="M126" s="28" t="s">
        <v>49</v>
      </c>
      <c r="N126" s="29" t="s">
        <v>49</v>
      </c>
      <c r="O126" s="29" t="s">
        <v>49</v>
      </c>
      <c r="P126" s="493">
        <v>0</v>
      </c>
      <c r="Q126" s="989">
        <v>0</v>
      </c>
      <c r="R126" s="493">
        <v>0</v>
      </c>
      <c r="S126" s="131">
        <f>((M58*Profile!$I$291/1000))/365*1000</f>
        <v>39.549999999999912</v>
      </c>
      <c r="T126" s="298"/>
      <c r="U126" s="298"/>
      <c r="V126" s="150"/>
      <c r="W126" s="299"/>
      <c r="X126" s="299"/>
      <c r="Y126" s="150"/>
      <c r="Z126" s="299"/>
      <c r="AA126" s="299"/>
      <c r="AB126" s="131"/>
      <c r="AC126" s="298"/>
      <c r="AD126" s="298"/>
      <c r="AE126" s="13"/>
      <c r="AF126" s="13"/>
      <c r="AG126" s="13"/>
      <c r="AH126" s="13"/>
      <c r="AI126" s="13"/>
      <c r="AJ126" s="13"/>
      <c r="AK126" s="13"/>
      <c r="AL126" s="13"/>
      <c r="AM126" s="13"/>
      <c r="AN126" s="13"/>
      <c r="AO126" s="13"/>
      <c r="AP126" s="155"/>
      <c r="AQ126" s="155"/>
      <c r="AR126" s="102"/>
      <c r="AS126" s="102"/>
      <c r="AT126" s="102"/>
      <c r="AU126" s="102"/>
      <c r="AV126" s="102"/>
      <c r="AW126" s="102"/>
      <c r="AX126" s="102"/>
      <c r="AY126" s="102"/>
      <c r="AZ126" s="102"/>
      <c r="BA126" s="102"/>
      <c r="BB126" s="102"/>
      <c r="BC126" s="102"/>
      <c r="BD126" s="102"/>
      <c r="BE126" s="102"/>
      <c r="BF126" s="102"/>
      <c r="BG126" s="102"/>
      <c r="BH126" s="102"/>
      <c r="BI126" s="102"/>
      <c r="BJ126" s="102"/>
      <c r="BK126" s="102"/>
      <c r="BL126" s="102"/>
      <c r="BM126" s="102"/>
      <c r="BN126" s="102"/>
      <c r="BO126" s="102"/>
      <c r="BP126" s="102"/>
      <c r="BQ126" s="102"/>
      <c r="BR126" s="102"/>
      <c r="BS126" s="102"/>
      <c r="BT126" s="102"/>
      <c r="BU126" s="102"/>
      <c r="BV126" s="102"/>
      <c r="BW126" s="102"/>
      <c r="BX126" s="102"/>
      <c r="BY126" s="102"/>
      <c r="BZ126" s="102"/>
      <c r="CA126" s="102"/>
      <c r="CB126" s="102"/>
      <c r="CC126" s="102"/>
      <c r="CD126" s="102"/>
      <c r="CE126" s="102"/>
      <c r="CF126" s="102"/>
      <c r="CG126" s="102"/>
      <c r="CH126" s="102"/>
      <c r="CI126" s="102"/>
      <c r="CJ126" s="102"/>
      <c r="CK126" s="102"/>
      <c r="CL126" s="102"/>
      <c r="CM126" s="102"/>
      <c r="CN126" s="102"/>
      <c r="CO126" s="102"/>
      <c r="CP126" s="102"/>
      <c r="CQ126" s="102"/>
      <c r="CR126" s="102"/>
      <c r="CS126" s="102"/>
      <c r="CT126" s="102"/>
      <c r="CU126" s="102"/>
      <c r="CV126" s="102"/>
      <c r="CW126" s="102"/>
      <c r="CX126" s="102"/>
      <c r="CY126" s="102"/>
      <c r="CZ126" s="102"/>
      <c r="DA126" s="102"/>
      <c r="DB126" s="102"/>
      <c r="DC126" s="102"/>
      <c r="DD126" s="102"/>
      <c r="DE126" s="101"/>
      <c r="DF126" s="101"/>
      <c r="DG126" s="101"/>
      <c r="DH126" s="101"/>
      <c r="DI126" s="101"/>
      <c r="DJ126" s="101"/>
      <c r="DK126" s="101"/>
      <c r="DL126" s="101"/>
      <c r="DM126" s="101"/>
      <c r="DN126" s="101"/>
      <c r="DO126" s="101"/>
      <c r="DP126" s="101"/>
      <c r="DQ126" s="101"/>
      <c r="DR126" s="101"/>
      <c r="DS126" s="101"/>
      <c r="DT126" s="101"/>
      <c r="DU126" s="101"/>
      <c r="DV126" s="101"/>
      <c r="DW126" s="101"/>
      <c r="DX126" s="101"/>
      <c r="DY126" s="101"/>
      <c r="DZ126" s="101"/>
      <c r="EA126" s="101"/>
      <c r="EB126" s="101"/>
      <c r="EC126" s="101"/>
      <c r="ED126" s="101"/>
      <c r="EE126" s="102"/>
      <c r="EF126" s="102"/>
      <c r="EG126" s="102"/>
      <c r="EH126" s="102"/>
      <c r="EI126" s="102"/>
      <c r="EJ126" s="102"/>
      <c r="EK126" s="102"/>
      <c r="EL126" s="102"/>
      <c r="EM126" s="102"/>
      <c r="EN126" s="102"/>
      <c r="EO126" s="102"/>
      <c r="EP126" s="102"/>
      <c r="EQ126" s="102"/>
      <c r="ER126" s="102"/>
      <c r="ES126" s="102"/>
      <c r="ET126" s="102"/>
      <c r="EU126" s="102"/>
      <c r="EV126" s="102"/>
      <c r="EW126" s="102"/>
      <c r="EX126" s="102"/>
      <c r="EY126" s="102"/>
      <c r="EZ126" s="102"/>
      <c r="FA126" s="102"/>
      <c r="FB126" s="102"/>
      <c r="FC126" s="102"/>
      <c r="FD126" s="102"/>
      <c r="FE126" s="102"/>
      <c r="FF126" s="102"/>
      <c r="FG126" s="102"/>
      <c r="FH126" s="102"/>
      <c r="FI126" s="102"/>
      <c r="FJ126" s="102"/>
      <c r="FK126" s="102"/>
      <c r="FL126" s="102"/>
      <c r="FM126" s="102"/>
      <c r="FN126" s="102"/>
    </row>
    <row r="127" spans="1:170" s="19" customFormat="1" ht="18" hidden="1" customHeight="1">
      <c r="A127" s="1808"/>
      <c r="B127" s="30"/>
      <c r="C127" s="932" t="s">
        <v>355</v>
      </c>
      <c r="D127" s="26"/>
      <c r="E127" s="346"/>
      <c r="F127" s="26"/>
      <c r="G127" s="26"/>
      <c r="H127" s="26"/>
      <c r="I127" s="31" t="s">
        <v>667</v>
      </c>
      <c r="J127" s="33" t="s">
        <v>17</v>
      </c>
      <c r="K127" s="33"/>
      <c r="L127" s="28"/>
      <c r="M127" s="29">
        <f>IF(Raumnutzung_1!M130="1-stufig",Profile!$O291,IF(Raumnutzung_1!M130="2-stufig",Profile!$Q291,Profile!$S291))</f>
        <v>5620.9999999999809</v>
      </c>
      <c r="N127" s="29">
        <f>IF(Raumnutzung_1!N130="1-stufig",Profile!$O291,IF(Raumnutzung_1!N130="2-stufig",Profile!$Q291,Profile!$S291))</f>
        <v>4144.2099999999737</v>
      </c>
      <c r="O127" s="29">
        <f>IF(Raumnutzung_1!O130="1-stufig",Profile!$O291,IF(Raumnutzung_1!O130="2-stufig",Profile!$Q291,Profile!$S291))</f>
        <v>5620.9999999999809</v>
      </c>
      <c r="P127" s="493">
        <v>0</v>
      </c>
      <c r="Q127" s="989">
        <v>0</v>
      </c>
      <c r="R127" s="493">
        <v>0</v>
      </c>
      <c r="S127" s="131"/>
      <c r="T127" s="298"/>
      <c r="U127" s="298"/>
      <c r="V127" s="150"/>
      <c r="W127" s="299"/>
      <c r="X127" s="299"/>
      <c r="Y127" s="150"/>
      <c r="Z127" s="299"/>
      <c r="AA127" s="299"/>
      <c r="AB127" s="131"/>
      <c r="AC127" s="298"/>
      <c r="AD127" s="298"/>
      <c r="AE127" s="13"/>
      <c r="AF127" s="13"/>
      <c r="AG127" s="13"/>
      <c r="AH127" s="13"/>
      <c r="AI127" s="13"/>
      <c r="AJ127" s="13"/>
      <c r="AK127" s="13"/>
      <c r="AL127" s="13"/>
      <c r="AM127" s="13"/>
      <c r="AN127" s="13"/>
      <c r="AO127" s="13"/>
      <c r="AP127" s="155"/>
      <c r="AQ127" s="155"/>
      <c r="AR127" s="102"/>
      <c r="AS127" s="102"/>
      <c r="AT127" s="102"/>
      <c r="AU127" s="102"/>
      <c r="AV127" s="102"/>
      <c r="AW127" s="102"/>
      <c r="AX127" s="102"/>
      <c r="AY127" s="102"/>
      <c r="AZ127" s="102"/>
      <c r="BA127" s="102"/>
      <c r="BB127" s="102"/>
      <c r="BC127" s="102"/>
      <c r="BD127" s="102"/>
      <c r="BE127" s="102"/>
      <c r="BF127" s="102"/>
      <c r="BG127" s="102"/>
      <c r="BH127" s="102"/>
      <c r="BI127" s="102"/>
      <c r="BJ127" s="102"/>
      <c r="BK127" s="102"/>
      <c r="BL127" s="102"/>
      <c r="BM127" s="102"/>
      <c r="BN127" s="102"/>
      <c r="BO127" s="102"/>
      <c r="BP127" s="102"/>
      <c r="BQ127" s="102"/>
      <c r="BR127" s="102"/>
      <c r="BS127" s="102"/>
      <c r="BT127" s="102"/>
      <c r="BU127" s="102"/>
      <c r="BV127" s="102"/>
      <c r="BW127" s="102"/>
      <c r="BX127" s="102"/>
      <c r="BY127" s="102"/>
      <c r="BZ127" s="102"/>
      <c r="CA127" s="102"/>
      <c r="CB127" s="102"/>
      <c r="CC127" s="102"/>
      <c r="CD127" s="102"/>
      <c r="CE127" s="102"/>
      <c r="CF127" s="102"/>
      <c r="CG127" s="102"/>
      <c r="CH127" s="102"/>
      <c r="CI127" s="102"/>
      <c r="CJ127" s="102"/>
      <c r="CK127" s="102"/>
      <c r="CL127" s="102"/>
      <c r="CM127" s="102"/>
      <c r="CN127" s="102"/>
      <c r="CO127" s="102"/>
      <c r="CP127" s="102"/>
      <c r="CQ127" s="102"/>
      <c r="CR127" s="102"/>
      <c r="CS127" s="102"/>
      <c r="CT127" s="102"/>
      <c r="CU127" s="102"/>
      <c r="CV127" s="102"/>
      <c r="CW127" s="102"/>
      <c r="CX127" s="102"/>
      <c r="CY127" s="102"/>
      <c r="CZ127" s="102"/>
      <c r="DA127" s="102"/>
      <c r="DB127" s="102"/>
      <c r="DC127" s="102"/>
      <c r="DD127" s="102"/>
      <c r="DE127" s="101"/>
      <c r="DF127" s="101"/>
      <c r="DG127" s="101"/>
      <c r="DH127" s="101"/>
      <c r="DI127" s="101"/>
      <c r="DJ127" s="101"/>
      <c r="DK127" s="101"/>
      <c r="DL127" s="101"/>
      <c r="DM127" s="101"/>
      <c r="DN127" s="101"/>
      <c r="DO127" s="101"/>
      <c r="DP127" s="101"/>
      <c r="DQ127" s="101"/>
      <c r="DR127" s="101"/>
      <c r="DS127" s="101"/>
      <c r="DT127" s="101"/>
      <c r="DU127" s="101"/>
      <c r="DV127" s="101"/>
      <c r="DW127" s="101"/>
      <c r="DX127" s="101"/>
      <c r="DY127" s="101"/>
      <c r="DZ127" s="101"/>
      <c r="EA127" s="101"/>
      <c r="EB127" s="101"/>
      <c r="EC127" s="101"/>
      <c r="ED127" s="101"/>
      <c r="EE127" s="102"/>
      <c r="EF127" s="102"/>
      <c r="EG127" s="102"/>
      <c r="EH127" s="102"/>
      <c r="EI127" s="102"/>
      <c r="EJ127" s="102"/>
      <c r="EK127" s="102"/>
      <c r="EL127" s="102"/>
      <c r="EM127" s="102"/>
      <c r="EN127" s="102"/>
      <c r="EO127" s="102"/>
      <c r="EP127" s="102"/>
      <c r="EQ127" s="102"/>
      <c r="ER127" s="102"/>
      <c r="ES127" s="102"/>
      <c r="ET127" s="102"/>
      <c r="EU127" s="102"/>
      <c r="EV127" s="102"/>
      <c r="EW127" s="102"/>
      <c r="EX127" s="102"/>
      <c r="EY127" s="102"/>
      <c r="EZ127" s="102"/>
      <c r="FA127" s="102"/>
      <c r="FB127" s="102"/>
      <c r="FC127" s="102"/>
      <c r="FD127" s="102"/>
      <c r="FE127" s="102"/>
      <c r="FF127" s="102"/>
      <c r="FG127" s="102"/>
      <c r="FH127" s="102"/>
      <c r="FI127" s="102"/>
      <c r="FJ127" s="102"/>
      <c r="FK127" s="102"/>
      <c r="FL127" s="102"/>
      <c r="FM127" s="102"/>
      <c r="FN127" s="102"/>
    </row>
    <row r="128" spans="1:170" s="19" customFormat="1" ht="18" customHeight="1">
      <c r="A128" s="1808"/>
      <c r="B128" s="416">
        <v>104</v>
      </c>
      <c r="C128" s="21" t="str">
        <f>VLOOKUP(B128,Begriffe!$A$6:$E$442,Begriffe!$D$1+2)</f>
        <v>Aussenluft-Volumenstrom</v>
      </c>
      <c r="D128" s="21"/>
      <c r="E128" s="21"/>
      <c r="F128" s="21" t="str">
        <f>Begriffe!$F$324</f>
        <v>pro Nettogeschossfläche</v>
      </c>
      <c r="G128" s="21"/>
      <c r="H128" s="21"/>
      <c r="I128" s="180" t="s">
        <v>873</v>
      </c>
      <c r="J128" s="188" t="s">
        <v>240</v>
      </c>
      <c r="K128" s="188"/>
      <c r="L128" s="1175"/>
      <c r="M128" s="265">
        <f>IF(L128&lt;&gt;"",L128,INDEX(Eingabedaten!$D$10:$CY$54,nutzid,MATCH($C128,Eingabedaten!$D$7:$CY$7,0)))</f>
        <v>2.5714285714285716</v>
      </c>
      <c r="N128" s="1014">
        <f>M128</f>
        <v>2.5714285714285716</v>
      </c>
      <c r="O128" s="1014">
        <f>M128</f>
        <v>2.5714285714285716</v>
      </c>
      <c r="P128" s="493">
        <v>1</v>
      </c>
      <c r="Q128" s="989">
        <v>1</v>
      </c>
      <c r="R128" s="493">
        <v>0</v>
      </c>
      <c r="S128" s="131"/>
      <c r="T128" s="298"/>
      <c r="U128" s="298"/>
      <c r="V128" s="150"/>
      <c r="W128" s="299"/>
      <c r="X128" s="299"/>
      <c r="Y128" s="150"/>
      <c r="Z128" s="299"/>
      <c r="AA128" s="299"/>
      <c r="AB128" s="131"/>
      <c r="AC128" s="298"/>
      <c r="AD128" s="298"/>
      <c r="AE128" s="13"/>
      <c r="AF128" s="13"/>
      <c r="AG128" s="13"/>
      <c r="AH128" s="13"/>
      <c r="AI128" s="13"/>
      <c r="AJ128" s="13"/>
      <c r="AK128" s="13"/>
      <c r="AL128" s="13"/>
      <c r="AM128" s="13"/>
      <c r="AN128" s="13"/>
      <c r="AO128" s="13"/>
      <c r="AP128" s="155"/>
      <c r="AQ128" s="155"/>
      <c r="AR128" s="102"/>
      <c r="AS128" s="102"/>
      <c r="AT128" s="102"/>
      <c r="AU128" s="102"/>
      <c r="AV128" s="102"/>
      <c r="AW128" s="102"/>
      <c r="AX128" s="102"/>
      <c r="AY128" s="102"/>
      <c r="AZ128" s="102"/>
      <c r="BA128" s="102"/>
      <c r="BB128" s="102"/>
      <c r="BC128" s="102"/>
      <c r="BD128" s="102"/>
      <c r="BE128" s="102"/>
      <c r="BF128" s="102"/>
      <c r="BG128" s="102"/>
      <c r="BH128" s="102"/>
      <c r="BI128" s="102"/>
      <c r="BJ128" s="102"/>
      <c r="BK128" s="102"/>
      <c r="BL128" s="102"/>
      <c r="BM128" s="102"/>
      <c r="BN128" s="102"/>
      <c r="BO128" s="102"/>
      <c r="BP128" s="102"/>
      <c r="BQ128" s="102"/>
      <c r="BR128" s="102"/>
      <c r="BS128" s="102"/>
      <c r="BT128" s="102"/>
      <c r="BU128" s="102"/>
      <c r="BV128" s="102"/>
      <c r="BW128" s="102"/>
      <c r="BX128" s="102"/>
      <c r="BY128" s="102"/>
      <c r="BZ128" s="102"/>
      <c r="CA128" s="102"/>
      <c r="CB128" s="102"/>
      <c r="CC128" s="102"/>
      <c r="CD128" s="102"/>
      <c r="CE128" s="102"/>
      <c r="CF128" s="102"/>
      <c r="CG128" s="102"/>
      <c r="CH128" s="102"/>
      <c r="CI128" s="102"/>
      <c r="CJ128" s="102"/>
      <c r="CK128" s="102"/>
      <c r="CL128" s="102"/>
      <c r="CM128" s="102"/>
      <c r="CN128" s="102"/>
      <c r="CO128" s="102"/>
      <c r="CP128" s="102"/>
      <c r="CQ128" s="102"/>
      <c r="CR128" s="102"/>
      <c r="CS128" s="102"/>
      <c r="CT128" s="102"/>
      <c r="CU128" s="102"/>
      <c r="CV128" s="102"/>
      <c r="CW128" s="102"/>
      <c r="CX128" s="102"/>
      <c r="CY128" s="102"/>
      <c r="CZ128" s="102"/>
      <c r="DA128" s="102"/>
      <c r="DB128" s="102"/>
      <c r="DC128" s="102"/>
      <c r="DD128" s="102"/>
      <c r="DE128" s="101"/>
      <c r="DF128" s="101"/>
      <c r="DG128" s="101"/>
      <c r="DH128" s="101"/>
      <c r="DI128" s="101"/>
      <c r="DJ128" s="101"/>
      <c r="DK128" s="101"/>
      <c r="DL128" s="101"/>
      <c r="DM128" s="101"/>
      <c r="DN128" s="101"/>
      <c r="DO128" s="101"/>
      <c r="DP128" s="101"/>
      <c r="DQ128" s="101"/>
      <c r="DR128" s="101"/>
      <c r="DS128" s="101"/>
      <c r="DT128" s="101"/>
      <c r="DU128" s="101"/>
      <c r="DV128" s="101"/>
      <c r="DW128" s="101"/>
      <c r="DX128" s="101"/>
      <c r="DY128" s="101"/>
      <c r="DZ128" s="101"/>
      <c r="EA128" s="101"/>
      <c r="EB128" s="101"/>
      <c r="EC128" s="101"/>
      <c r="ED128" s="101"/>
      <c r="EE128" s="102"/>
      <c r="EF128" s="102"/>
      <c r="EG128" s="102"/>
      <c r="EH128" s="102"/>
      <c r="EI128" s="102"/>
      <c r="EJ128" s="102"/>
      <c r="EK128" s="102"/>
      <c r="EL128" s="102"/>
      <c r="EM128" s="102"/>
      <c r="EN128" s="102"/>
      <c r="EO128" s="102"/>
      <c r="EP128" s="102"/>
      <c r="EQ128" s="102"/>
      <c r="ER128" s="102"/>
      <c r="ES128" s="102"/>
      <c r="ET128" s="102"/>
      <c r="EU128" s="102"/>
      <c r="EV128" s="102"/>
      <c r="EW128" s="102"/>
      <c r="EX128" s="102"/>
      <c r="EY128" s="102"/>
      <c r="EZ128" s="102"/>
      <c r="FA128" s="102"/>
      <c r="FB128" s="102"/>
      <c r="FC128" s="102"/>
      <c r="FD128" s="102"/>
      <c r="FE128" s="102"/>
      <c r="FF128" s="102"/>
      <c r="FG128" s="102"/>
      <c r="FH128" s="102"/>
      <c r="FI128" s="102"/>
      <c r="FJ128" s="102"/>
      <c r="FK128" s="102"/>
      <c r="FL128" s="102"/>
      <c r="FM128" s="102"/>
      <c r="FN128" s="102"/>
    </row>
    <row r="129" spans="1:170" s="19" customFormat="1" ht="18" customHeight="1">
      <c r="A129" s="1808"/>
      <c r="B129" s="416">
        <v>105</v>
      </c>
      <c r="C129" s="21" t="str">
        <f>VLOOKUP(B129,Begriffe!$A$6:$E$442,Begriffe!$D$1+2)</f>
        <v>Aussenluft-Volumenstrom durch Infiltration</v>
      </c>
      <c r="D129" s="21"/>
      <c r="E129" s="21"/>
      <c r="F129" s="493"/>
      <c r="G129" s="21"/>
      <c r="H129" s="21"/>
      <c r="I129" s="180" t="s">
        <v>725</v>
      </c>
      <c r="J129" s="188" t="s">
        <v>240</v>
      </c>
      <c r="K129" s="188"/>
      <c r="L129" s="1176"/>
      <c r="M129" s="986">
        <f>IF(L129&lt;&gt;"",L129,INDEX(Eingabedaten!$D$10:$CY$54,nutzid,MATCH($C129,Eingabedaten!$D$7:$CY$7,0)))</f>
        <v>0.15</v>
      </c>
      <c r="N129" s="986">
        <f>M129</f>
        <v>0.15</v>
      </c>
      <c r="O129" s="986">
        <f>INDEX(Eingabedaten!$D$10:$CY$54,nutzid,MATCH($C129,Eingabedaten!$D$7:$CY$7,0)+1)</f>
        <v>0.3</v>
      </c>
      <c r="P129" s="493">
        <v>0</v>
      </c>
      <c r="Q129" s="989">
        <v>1</v>
      </c>
      <c r="R129" s="493">
        <v>0</v>
      </c>
      <c r="S129" s="131"/>
      <c r="T129" s="298"/>
      <c r="U129" s="298"/>
      <c r="V129" s="150"/>
      <c r="W129" s="299"/>
      <c r="X129" s="299"/>
      <c r="Y129" s="150"/>
      <c r="Z129" s="299"/>
      <c r="AA129" s="299"/>
      <c r="AB129" s="131"/>
      <c r="AC129" s="298"/>
      <c r="AD129" s="298"/>
      <c r="AE129" s="13"/>
      <c r="AF129" s="13"/>
      <c r="AG129" s="13"/>
      <c r="AH129" s="13"/>
      <c r="AI129" s="13"/>
      <c r="AJ129" s="13"/>
      <c r="AK129" s="13"/>
      <c r="AL129" s="13"/>
      <c r="AM129" s="13"/>
      <c r="AN129" s="13"/>
      <c r="AO129" s="13"/>
      <c r="AP129" s="155"/>
      <c r="AQ129" s="155"/>
      <c r="AR129" s="102"/>
      <c r="AS129" s="102"/>
      <c r="AT129" s="102"/>
      <c r="AU129" s="102"/>
      <c r="AV129" s="102"/>
      <c r="AW129" s="102"/>
      <c r="AX129" s="102"/>
      <c r="AY129" s="102"/>
      <c r="AZ129" s="102"/>
      <c r="BA129" s="102"/>
      <c r="BB129" s="102"/>
      <c r="BC129" s="102"/>
      <c r="BD129" s="102"/>
      <c r="BE129" s="102"/>
      <c r="BF129" s="102"/>
      <c r="BG129" s="102"/>
      <c r="BH129" s="102"/>
      <c r="BI129" s="102"/>
      <c r="BJ129" s="102"/>
      <c r="BK129" s="102"/>
      <c r="BL129" s="102"/>
      <c r="BM129" s="102"/>
      <c r="BN129" s="102"/>
      <c r="BO129" s="102"/>
      <c r="BP129" s="102"/>
      <c r="BQ129" s="102"/>
      <c r="BR129" s="102"/>
      <c r="BS129" s="102"/>
      <c r="BT129" s="102"/>
      <c r="BU129" s="102"/>
      <c r="BV129" s="102"/>
      <c r="BW129" s="102"/>
      <c r="BX129" s="102"/>
      <c r="BY129" s="102"/>
      <c r="BZ129" s="102"/>
      <c r="CA129" s="102"/>
      <c r="CB129" s="102"/>
      <c r="CC129" s="102"/>
      <c r="CD129" s="102"/>
      <c r="CE129" s="102"/>
      <c r="CF129" s="102"/>
      <c r="CG129" s="102"/>
      <c r="CH129" s="102"/>
      <c r="CI129" s="102"/>
      <c r="CJ129" s="102"/>
      <c r="CK129" s="102"/>
      <c r="CL129" s="102"/>
      <c r="CM129" s="102"/>
      <c r="CN129" s="102"/>
      <c r="CO129" s="102"/>
      <c r="CP129" s="102"/>
      <c r="CQ129" s="102"/>
      <c r="CR129" s="102"/>
      <c r="CS129" s="102"/>
      <c r="CT129" s="102"/>
      <c r="CU129" s="102"/>
      <c r="CV129" s="102"/>
      <c r="CW129" s="102"/>
      <c r="CX129" s="102"/>
      <c r="CY129" s="102"/>
      <c r="CZ129" s="102"/>
      <c r="DA129" s="102"/>
      <c r="DB129" s="102"/>
      <c r="DC129" s="102"/>
      <c r="DD129" s="102"/>
      <c r="DE129" s="101"/>
      <c r="DF129" s="101"/>
      <c r="DG129" s="101"/>
      <c r="DH129" s="101"/>
      <c r="DI129" s="101"/>
      <c r="DJ129" s="101"/>
      <c r="DK129" s="101"/>
      <c r="DL129" s="101"/>
      <c r="DM129" s="101"/>
      <c r="DN129" s="101"/>
      <c r="DO129" s="101"/>
      <c r="DP129" s="101"/>
      <c r="DQ129" s="101"/>
      <c r="DR129" s="101"/>
      <c r="DS129" s="101"/>
      <c r="DT129" s="101"/>
      <c r="DU129" s="101"/>
      <c r="DV129" s="101"/>
      <c r="DW129" s="101"/>
      <c r="DX129" s="101"/>
      <c r="DY129" s="101"/>
      <c r="DZ129" s="101"/>
      <c r="EA129" s="101"/>
      <c r="EB129" s="101"/>
      <c r="EC129" s="101"/>
      <c r="ED129" s="101"/>
      <c r="EE129" s="102"/>
      <c r="EF129" s="102"/>
      <c r="EG129" s="102"/>
      <c r="EH129" s="102"/>
      <c r="EI129" s="102"/>
      <c r="EJ129" s="102"/>
      <c r="EK129" s="102"/>
      <c r="EL129" s="102"/>
      <c r="EM129" s="102"/>
      <c r="EN129" s="102"/>
      <c r="EO129" s="102"/>
      <c r="EP129" s="102"/>
      <c r="EQ129" s="102"/>
      <c r="ER129" s="102"/>
      <c r="ES129" s="102"/>
      <c r="ET129" s="102"/>
      <c r="EU129" s="102"/>
      <c r="EV129" s="102"/>
      <c r="EW129" s="102"/>
      <c r="EX129" s="102"/>
      <c r="EY129" s="102"/>
      <c r="EZ129" s="102"/>
      <c r="FA129" s="102"/>
      <c r="FB129" s="102"/>
      <c r="FC129" s="102"/>
      <c r="FD129" s="102"/>
      <c r="FE129" s="102"/>
      <c r="FF129" s="102"/>
      <c r="FG129" s="102"/>
      <c r="FH129" s="102"/>
      <c r="FI129" s="102"/>
      <c r="FJ129" s="102"/>
      <c r="FK129" s="102"/>
      <c r="FL129" s="102"/>
      <c r="FM129" s="102"/>
      <c r="FN129" s="102"/>
    </row>
    <row r="130" spans="1:170" s="19" customFormat="1" ht="18" customHeight="1">
      <c r="A130" s="1808"/>
      <c r="B130" s="416">
        <v>166</v>
      </c>
      <c r="C130" s="21" t="str">
        <f>VLOOKUP(B130,Begriffe!$A$6:$E$442,Begriffe!$D$1+2)</f>
        <v>Steuerung und Regelung des Luftvolumenstroms (einstufig, zweistufig, stufenlos)</v>
      </c>
      <c r="D130" s="21"/>
      <c r="E130" s="21"/>
      <c r="F130" s="21"/>
      <c r="G130" s="21"/>
      <c r="H130" s="21"/>
      <c r="I130" s="180" t="s">
        <v>272</v>
      </c>
      <c r="J130" s="188" t="s">
        <v>272</v>
      </c>
      <c r="K130" s="188"/>
      <c r="L130" s="1176"/>
      <c r="M130" s="986" t="str">
        <f>IF(L130&lt;&gt;"",L130,INDEX(Eingabedaten!$D$10:$CY$54,nutzid,MATCH($C130,Eingabedaten!$D$7:$CY$7,0)))</f>
        <v>1-stufig</v>
      </c>
      <c r="N130" s="931" t="str">
        <f>INDEX(Eingabedaten!$D$10:$CY$54,nutzid,MATCH($C130,Eingabedaten!$D$7:$CY$7,0)+1)</f>
        <v>2-stufig</v>
      </c>
      <c r="O130" s="183" t="str">
        <f>INDEX(Eingabedaten!$D$10:$CY$54,nutzid,MATCH($C130,Eingabedaten!$D$7:$CY$7,0)+2)</f>
        <v>1-stufig</v>
      </c>
      <c r="P130" s="493">
        <v>0</v>
      </c>
      <c r="Q130" s="989">
        <v>1</v>
      </c>
      <c r="R130" s="493">
        <v>0</v>
      </c>
      <c r="S130" s="131"/>
      <c r="T130" s="298"/>
      <c r="U130" s="298"/>
      <c r="V130" s="150"/>
      <c r="W130" s="299"/>
      <c r="X130" s="299"/>
      <c r="Y130" s="150"/>
      <c r="Z130" s="299"/>
      <c r="AA130" s="299"/>
      <c r="AB130" s="131"/>
      <c r="AC130" s="298"/>
      <c r="AD130" s="298"/>
      <c r="AE130" s="13"/>
      <c r="AF130" s="13"/>
      <c r="AG130" s="13"/>
      <c r="AH130" s="13"/>
      <c r="AI130" s="13"/>
      <c r="AJ130" s="13"/>
      <c r="AK130" s="13"/>
      <c r="AL130" s="13"/>
      <c r="AM130" s="13"/>
      <c r="AN130" s="13"/>
      <c r="AO130" s="13"/>
      <c r="AP130" s="155"/>
      <c r="AQ130" s="155"/>
      <c r="AR130" s="102"/>
      <c r="AS130" s="102"/>
      <c r="AT130" s="102"/>
      <c r="AU130" s="102"/>
      <c r="AV130" s="102"/>
      <c r="AW130" s="102"/>
      <c r="AX130" s="102"/>
      <c r="AY130" s="102"/>
      <c r="AZ130" s="102"/>
      <c r="BA130" s="102"/>
      <c r="BB130" s="102"/>
      <c r="BC130" s="102"/>
      <c r="BD130" s="102"/>
      <c r="BE130" s="102"/>
      <c r="BF130" s="102"/>
      <c r="BG130" s="102"/>
      <c r="BH130" s="102"/>
      <c r="BI130" s="102"/>
      <c r="BJ130" s="102"/>
      <c r="BK130" s="102"/>
      <c r="BL130" s="102"/>
      <c r="BM130" s="102"/>
      <c r="BN130" s="102"/>
      <c r="BO130" s="102"/>
      <c r="BP130" s="102"/>
      <c r="BQ130" s="102"/>
      <c r="BR130" s="102"/>
      <c r="BS130" s="102"/>
      <c r="BT130" s="102"/>
      <c r="BU130" s="102"/>
      <c r="BV130" s="102"/>
      <c r="BW130" s="102"/>
      <c r="BX130" s="102"/>
      <c r="BY130" s="102"/>
      <c r="BZ130" s="102"/>
      <c r="CA130" s="102"/>
      <c r="CB130" s="102"/>
      <c r="CC130" s="102"/>
      <c r="CD130" s="102"/>
      <c r="CE130" s="102"/>
      <c r="CF130" s="102"/>
      <c r="CG130" s="102"/>
      <c r="CH130" s="102"/>
      <c r="CI130" s="102"/>
      <c r="CJ130" s="102"/>
      <c r="CK130" s="102"/>
      <c r="CL130" s="102"/>
      <c r="CM130" s="102"/>
      <c r="CN130" s="102"/>
      <c r="CO130" s="102"/>
      <c r="CP130" s="102"/>
      <c r="CQ130" s="102"/>
      <c r="CR130" s="102"/>
      <c r="CS130" s="102"/>
      <c r="CT130" s="102"/>
      <c r="CU130" s="102"/>
      <c r="CV130" s="102"/>
      <c r="CW130" s="102"/>
      <c r="CX130" s="102"/>
      <c r="CY130" s="102"/>
      <c r="CZ130" s="102"/>
      <c r="DA130" s="102"/>
      <c r="DB130" s="102"/>
      <c r="DC130" s="102"/>
      <c r="DD130" s="102"/>
      <c r="DE130" s="101"/>
      <c r="DF130" s="101"/>
      <c r="DG130" s="101"/>
      <c r="DH130" s="101"/>
      <c r="DI130" s="101"/>
      <c r="DJ130" s="101"/>
      <c r="DK130" s="101"/>
      <c r="DL130" s="101"/>
      <c r="DM130" s="101"/>
      <c r="DN130" s="101"/>
      <c r="DO130" s="101"/>
      <c r="DP130" s="101"/>
      <c r="DQ130" s="101"/>
      <c r="DR130" s="101"/>
      <c r="DS130" s="101"/>
      <c r="DT130" s="101"/>
      <c r="DU130" s="101"/>
      <c r="DV130" s="101"/>
      <c r="DW130" s="101"/>
      <c r="DX130" s="101"/>
      <c r="DY130" s="101"/>
      <c r="DZ130" s="101"/>
      <c r="EA130" s="101"/>
      <c r="EB130" s="101"/>
      <c r="EC130" s="101"/>
      <c r="ED130" s="101"/>
      <c r="EE130" s="102"/>
      <c r="EF130" s="102"/>
      <c r="EG130" s="102"/>
      <c r="EH130" s="102"/>
      <c r="EI130" s="102"/>
      <c r="EJ130" s="102"/>
      <c r="EK130" s="102"/>
      <c r="EL130" s="102"/>
      <c r="EM130" s="102"/>
      <c r="EN130" s="102"/>
      <c r="EO130" s="102"/>
      <c r="EP130" s="102"/>
      <c r="EQ130" s="102"/>
      <c r="ER130" s="102"/>
      <c r="ES130" s="102"/>
      <c r="ET130" s="102"/>
      <c r="EU130" s="102"/>
      <c r="EV130" s="102"/>
      <c r="EW130" s="102"/>
      <c r="EX130" s="102"/>
      <c r="EY130" s="102"/>
      <c r="EZ130" s="102"/>
      <c r="FA130" s="102"/>
      <c r="FB130" s="102"/>
      <c r="FC130" s="102"/>
      <c r="FD130" s="102"/>
      <c r="FE130" s="102"/>
      <c r="FF130" s="102"/>
      <c r="FG130" s="102"/>
      <c r="FH130" s="102"/>
      <c r="FI130" s="102"/>
      <c r="FJ130" s="102"/>
      <c r="FK130" s="102"/>
      <c r="FL130" s="102"/>
      <c r="FM130" s="102"/>
      <c r="FN130" s="102"/>
    </row>
    <row r="131" spans="1:170" s="19" customFormat="1" ht="18" customHeight="1">
      <c r="A131" s="1808"/>
      <c r="B131" s="416">
        <v>102</v>
      </c>
      <c r="C131" s="21" t="str">
        <f>VLOOKUP(B131,Begriffe!$A$6:$E$442,Begriffe!$D$1+2)</f>
        <v>Anlagentyp</v>
      </c>
      <c r="D131" s="176"/>
      <c r="E131" s="176" t="str">
        <f>INDEX(Eingabedaten!$D$10:$CY$54,nutzid,MATCH($C131,Eingabedaten!$D$7:$CY$7,0))</f>
        <v>Einfache Klimaanlage</v>
      </c>
      <c r="G131" s="21"/>
      <c r="H131" s="21"/>
      <c r="I131" s="180"/>
      <c r="J131" s="188"/>
      <c r="K131" s="188"/>
      <c r="L131" s="182"/>
      <c r="M131" s="931" t="str">
        <f>IF(M130=0,"keine Anlage","")</f>
        <v/>
      </c>
      <c r="N131" s="931" t="str">
        <f>IF(N130=0,"keine Anlage","")</f>
        <v/>
      </c>
      <c r="O131" s="931" t="str">
        <f>IF(O130=0,"keine Anlage","")</f>
        <v/>
      </c>
      <c r="P131" s="493">
        <v>0</v>
      </c>
      <c r="Q131" s="989">
        <v>1</v>
      </c>
      <c r="R131" s="493">
        <v>0</v>
      </c>
      <c r="S131" s="131"/>
      <c r="T131" s="298"/>
      <c r="U131" s="298"/>
      <c r="V131" s="150"/>
      <c r="W131" s="299"/>
      <c r="X131" s="299"/>
      <c r="Y131" s="150"/>
      <c r="Z131" s="299"/>
      <c r="AA131" s="299"/>
      <c r="AB131" s="131"/>
      <c r="AC131" s="298"/>
      <c r="AD131" s="298"/>
      <c r="AE131" s="13"/>
      <c r="AF131" s="13"/>
      <c r="AG131" s="13"/>
      <c r="AH131" s="13"/>
      <c r="AI131" s="13"/>
      <c r="AJ131" s="13"/>
      <c r="AK131" s="13"/>
      <c r="AL131" s="13"/>
      <c r="AM131" s="13"/>
      <c r="AN131" s="13"/>
      <c r="AO131" s="13"/>
      <c r="AP131" s="155"/>
      <c r="AQ131" s="155"/>
      <c r="AR131" s="102"/>
      <c r="AS131" s="102"/>
      <c r="AT131" s="102"/>
      <c r="AU131" s="102"/>
      <c r="AV131" s="102"/>
      <c r="AW131" s="102"/>
      <c r="AX131" s="102"/>
      <c r="AY131" s="102"/>
      <c r="AZ131" s="102"/>
      <c r="BA131" s="102"/>
      <c r="BB131" s="102"/>
      <c r="BC131" s="102"/>
      <c r="BD131" s="102"/>
      <c r="BE131" s="102"/>
      <c r="BF131" s="102"/>
      <c r="BG131" s="102"/>
      <c r="BH131" s="102"/>
      <c r="BI131" s="102"/>
      <c r="BJ131" s="102"/>
      <c r="BK131" s="102"/>
      <c r="BL131" s="102"/>
      <c r="BM131" s="102"/>
      <c r="BN131" s="102"/>
      <c r="BO131" s="102"/>
      <c r="BP131" s="102"/>
      <c r="BQ131" s="102"/>
      <c r="BR131" s="102"/>
      <c r="BS131" s="102"/>
      <c r="BT131" s="102"/>
      <c r="BU131" s="102"/>
      <c r="BV131" s="102"/>
      <c r="BW131" s="102"/>
      <c r="BX131" s="102"/>
      <c r="BY131" s="102"/>
      <c r="BZ131" s="102"/>
      <c r="CA131" s="102"/>
      <c r="CB131" s="102"/>
      <c r="CC131" s="102"/>
      <c r="CD131" s="102"/>
      <c r="CE131" s="102"/>
      <c r="CF131" s="102"/>
      <c r="CG131" s="102"/>
      <c r="CH131" s="102"/>
      <c r="CI131" s="102"/>
      <c r="CJ131" s="102"/>
      <c r="CK131" s="102"/>
      <c r="CL131" s="102"/>
      <c r="CM131" s="102"/>
      <c r="CN131" s="102"/>
      <c r="CO131" s="102"/>
      <c r="CP131" s="102"/>
      <c r="CQ131" s="102"/>
      <c r="CR131" s="102"/>
      <c r="CS131" s="102"/>
      <c r="CT131" s="102"/>
      <c r="CU131" s="102"/>
      <c r="CV131" s="102"/>
      <c r="CW131" s="102"/>
      <c r="CX131" s="102"/>
      <c r="CY131" s="102"/>
      <c r="CZ131" s="102"/>
      <c r="DA131" s="102"/>
      <c r="DB131" s="102"/>
      <c r="DC131" s="102"/>
      <c r="DD131" s="102"/>
      <c r="DE131" s="101"/>
      <c r="DF131" s="101"/>
      <c r="DG131" s="101"/>
      <c r="DH131" s="101"/>
      <c r="DI131" s="101"/>
      <c r="DJ131" s="101"/>
      <c r="DK131" s="101"/>
      <c r="DL131" s="101"/>
      <c r="DM131" s="101"/>
      <c r="DN131" s="101"/>
      <c r="DO131" s="101"/>
      <c r="DP131" s="101"/>
      <c r="DQ131" s="101"/>
      <c r="DR131" s="101"/>
      <c r="DS131" s="101"/>
      <c r="DT131" s="101"/>
      <c r="DU131" s="101"/>
      <c r="DV131" s="101"/>
      <c r="DW131" s="101"/>
      <c r="DX131" s="101"/>
      <c r="DY131" s="101"/>
      <c r="DZ131" s="101"/>
      <c r="EA131" s="101"/>
      <c r="EB131" s="101"/>
      <c r="EC131" s="101"/>
      <c r="ED131" s="101"/>
      <c r="EE131" s="102"/>
      <c r="EF131" s="102"/>
      <c r="EG131" s="102"/>
      <c r="EH131" s="102"/>
      <c r="EI131" s="102"/>
      <c r="EJ131" s="102"/>
      <c r="EK131" s="102"/>
      <c r="EL131" s="102"/>
      <c r="EM131" s="102"/>
      <c r="EN131" s="102"/>
      <c r="EO131" s="102"/>
      <c r="EP131" s="102"/>
      <c r="EQ131" s="102"/>
      <c r="ER131" s="102"/>
      <c r="ES131" s="102"/>
      <c r="ET131" s="102"/>
      <c r="EU131" s="102"/>
      <c r="EV131" s="102"/>
      <c r="EW131" s="102"/>
      <c r="EX131" s="102"/>
      <c r="EY131" s="102"/>
      <c r="EZ131" s="102"/>
      <c r="FA131" s="102"/>
      <c r="FB131" s="102"/>
      <c r="FC131" s="102"/>
      <c r="FD131" s="102"/>
      <c r="FE131" s="102"/>
      <c r="FF131" s="102"/>
      <c r="FG131" s="102"/>
      <c r="FH131" s="102"/>
      <c r="FI131" s="102"/>
      <c r="FJ131" s="102"/>
      <c r="FK131" s="102"/>
      <c r="FL131" s="102"/>
      <c r="FM131" s="102"/>
      <c r="FN131" s="102"/>
    </row>
    <row r="132" spans="1:170" s="19" customFormat="1" ht="18" customHeight="1">
      <c r="A132" s="1808"/>
      <c r="B132" s="416">
        <v>168</v>
      </c>
      <c r="C132" s="21" t="str">
        <f>VLOOKUP(B132,Begriffe!$A$6:$E$442,Begriffe!$D$1+2)</f>
        <v>Temperatur-Änderungsgrad der Wärmerückgewinnung</v>
      </c>
      <c r="D132" s="21"/>
      <c r="E132" s="21"/>
      <c r="F132" s="21"/>
      <c r="G132" s="21"/>
      <c r="H132" s="21"/>
      <c r="I132" s="279" t="s">
        <v>252</v>
      </c>
      <c r="J132" s="210" t="s">
        <v>272</v>
      </c>
      <c r="K132" s="188"/>
      <c r="L132" s="1176"/>
      <c r="M132" s="986">
        <f>IF(L132&lt;&gt;"",L132,INDEX(Eingabedaten!$D$10:$CY$54,nutzid,MATCH($C132,Eingabedaten!$D$7:$CY$7,0)))</f>
        <v>0.7</v>
      </c>
      <c r="N132" s="986">
        <f>INDEX(Eingabedaten!$D$10:$CY$54,nutzid,MATCH($C132,Eingabedaten!$D$7:$CY$7,0)+1)</f>
        <v>0.8</v>
      </c>
      <c r="O132" s="986">
        <f>INDEX(Eingabedaten!$D$10:$CY$54,nutzid,MATCH($C132,Eingabedaten!$D$7:$CY$7,0)+2)</f>
        <v>0.5</v>
      </c>
      <c r="P132" s="493">
        <v>0</v>
      </c>
      <c r="Q132" s="989">
        <v>1</v>
      </c>
      <c r="R132" s="493">
        <v>0</v>
      </c>
      <c r="S132" s="131"/>
      <c r="T132" s="298"/>
      <c r="U132" s="298"/>
      <c r="V132" s="150"/>
      <c r="W132" s="299"/>
      <c r="X132" s="299"/>
      <c r="Y132" s="150"/>
      <c r="Z132" s="299"/>
      <c r="AA132" s="299"/>
      <c r="AB132" s="131"/>
      <c r="AC132" s="298"/>
      <c r="AD132" s="298"/>
      <c r="AE132" s="13"/>
      <c r="AF132" s="13"/>
      <c r="AG132" s="13"/>
      <c r="AH132" s="13"/>
      <c r="AI132" s="13"/>
      <c r="AJ132" s="13"/>
      <c r="AK132" s="13"/>
      <c r="AL132" s="13"/>
      <c r="AM132" s="13"/>
      <c r="AN132" s="13"/>
      <c r="AO132" s="13"/>
      <c r="AP132" s="155"/>
      <c r="AQ132" s="155"/>
      <c r="AR132" s="102"/>
      <c r="AS132" s="102"/>
      <c r="AT132" s="102"/>
      <c r="AU132" s="102"/>
      <c r="AV132" s="102"/>
      <c r="AW132" s="102"/>
      <c r="AX132" s="102"/>
      <c r="AY132" s="102"/>
      <c r="AZ132" s="102"/>
      <c r="BA132" s="102"/>
      <c r="BB132" s="102"/>
      <c r="BC132" s="102"/>
      <c r="BD132" s="102"/>
      <c r="BE132" s="102"/>
      <c r="BF132" s="102"/>
      <c r="BG132" s="102"/>
      <c r="BH132" s="102"/>
      <c r="BI132" s="102"/>
      <c r="BJ132" s="102"/>
      <c r="BK132" s="102"/>
      <c r="BL132" s="102"/>
      <c r="BM132" s="102"/>
      <c r="BN132" s="102"/>
      <c r="BO132" s="102"/>
      <c r="BP132" s="102"/>
      <c r="BQ132" s="102"/>
      <c r="BR132" s="102"/>
      <c r="BS132" s="102"/>
      <c r="BT132" s="102"/>
      <c r="BU132" s="102"/>
      <c r="BV132" s="102"/>
      <c r="BW132" s="102"/>
      <c r="BX132" s="102"/>
      <c r="BY132" s="102"/>
      <c r="BZ132" s="102"/>
      <c r="CA132" s="102"/>
      <c r="CB132" s="102"/>
      <c r="CC132" s="102"/>
      <c r="CD132" s="102"/>
      <c r="CE132" s="102"/>
      <c r="CF132" s="102"/>
      <c r="CG132" s="102"/>
      <c r="CH132" s="102"/>
      <c r="CI132" s="102"/>
      <c r="CJ132" s="102"/>
      <c r="CK132" s="102"/>
      <c r="CL132" s="102"/>
      <c r="CM132" s="102"/>
      <c r="CN132" s="102"/>
      <c r="CO132" s="102"/>
      <c r="CP132" s="102"/>
      <c r="CQ132" s="102"/>
      <c r="CR132" s="102"/>
      <c r="CS132" s="102"/>
      <c r="CT132" s="102"/>
      <c r="CU132" s="102"/>
      <c r="CV132" s="102"/>
      <c r="CW132" s="102"/>
      <c r="CX132" s="102"/>
      <c r="CY132" s="102"/>
      <c r="CZ132" s="102"/>
      <c r="DA132" s="102"/>
      <c r="DB132" s="102"/>
      <c r="DC132" s="102"/>
      <c r="DD132" s="102"/>
      <c r="DE132" s="101"/>
      <c r="DF132" s="101"/>
      <c r="DG132" s="101"/>
      <c r="DH132" s="101"/>
      <c r="DI132" s="101"/>
      <c r="DJ132" s="101"/>
      <c r="DK132" s="101"/>
      <c r="DL132" s="101"/>
      <c r="DM132" s="101"/>
      <c r="DN132" s="101"/>
      <c r="DO132" s="101"/>
      <c r="DP132" s="101"/>
      <c r="DQ132" s="101"/>
      <c r="DR132" s="101"/>
      <c r="DS132" s="101"/>
      <c r="DT132" s="101"/>
      <c r="DU132" s="101"/>
      <c r="DV132" s="101"/>
      <c r="DW132" s="101"/>
      <c r="DX132" s="101"/>
      <c r="DY132" s="101"/>
      <c r="DZ132" s="101"/>
      <c r="EA132" s="101"/>
      <c r="EB132" s="101"/>
      <c r="EC132" s="101"/>
      <c r="ED132" s="101"/>
      <c r="EE132" s="102"/>
      <c r="EF132" s="102"/>
      <c r="EG132" s="102"/>
      <c r="EH132" s="102"/>
      <c r="EI132" s="102"/>
      <c r="EJ132" s="102"/>
      <c r="EK132" s="102"/>
      <c r="EL132" s="102"/>
      <c r="EM132" s="102"/>
      <c r="EN132" s="102"/>
      <c r="EO132" s="102"/>
      <c r="EP132" s="102"/>
      <c r="EQ132" s="102"/>
      <c r="ER132" s="102"/>
      <c r="ES132" s="102"/>
      <c r="ET132" s="102"/>
      <c r="EU132" s="102"/>
      <c r="EV132" s="102"/>
      <c r="EW132" s="102"/>
      <c r="EX132" s="102"/>
      <c r="EY132" s="102"/>
      <c r="EZ132" s="102"/>
      <c r="FA132" s="102"/>
      <c r="FB132" s="102"/>
      <c r="FC132" s="102"/>
      <c r="FD132" s="102"/>
      <c r="FE132" s="102"/>
      <c r="FF132" s="102"/>
      <c r="FG132" s="102"/>
      <c r="FH132" s="102"/>
      <c r="FI132" s="102"/>
      <c r="FJ132" s="102"/>
      <c r="FK132" s="102"/>
      <c r="FL132" s="102"/>
      <c r="FM132" s="102"/>
      <c r="FN132" s="102"/>
    </row>
    <row r="133" spans="1:170" s="19" customFormat="1" ht="18" customHeight="1">
      <c r="A133" s="1808"/>
      <c r="B133" s="416">
        <v>125</v>
      </c>
      <c r="C133" s="21" t="str">
        <f>VLOOKUP(B133,Begriffe!$A$6:$E$442,Begriffe!$D$1+2)</f>
        <v>Jahresnutzungsgrad der Wärmerückgewinnung</v>
      </c>
      <c r="D133" s="21"/>
      <c r="E133" s="21"/>
      <c r="F133" s="21"/>
      <c r="G133" s="21"/>
      <c r="H133" s="21"/>
      <c r="I133" s="279" t="s">
        <v>925</v>
      </c>
      <c r="J133" s="210" t="s">
        <v>272</v>
      </c>
      <c r="K133" s="188"/>
      <c r="L133" s="1176"/>
      <c r="M133" s="986">
        <f>IF(L133&lt;&gt;"",L133,INDEX(Eingabedaten!$D$10:$CY$54,nutzid,MATCH($C133,Eingabedaten!$D$7:$CY$7,0)))</f>
        <v>0.75</v>
      </c>
      <c r="N133" s="986">
        <f>INDEX(Eingabedaten!$D$10:$CY$54,nutzid,MATCH($C133,Eingabedaten!$D$7:$CY$7,0)+1)</f>
        <v>0.85</v>
      </c>
      <c r="O133" s="986">
        <f>INDEX(Eingabedaten!$D$10:$CY$54,nutzid,MATCH($C133,Eingabedaten!$D$7:$CY$7,0)+2)</f>
        <v>0.5</v>
      </c>
      <c r="P133" s="493">
        <v>0</v>
      </c>
      <c r="Q133" s="989">
        <v>1</v>
      </c>
      <c r="R133" s="493">
        <v>0</v>
      </c>
      <c r="S133" s="131"/>
      <c r="T133" s="298"/>
      <c r="U133" s="298"/>
      <c r="V133" s="150"/>
      <c r="W133" s="299"/>
      <c r="X133" s="299"/>
      <c r="Y133" s="150"/>
      <c r="Z133" s="299"/>
      <c r="AA133" s="299"/>
      <c r="AB133" s="131"/>
      <c r="AC133" s="298"/>
      <c r="AD133" s="298"/>
      <c r="AE133" s="13"/>
      <c r="AF133" s="13"/>
      <c r="AG133" s="13"/>
      <c r="AH133" s="13"/>
      <c r="AI133" s="13"/>
      <c r="AJ133" s="13"/>
      <c r="AK133" s="13"/>
      <c r="AL133" s="13"/>
      <c r="AM133" s="13"/>
      <c r="AN133" s="13"/>
      <c r="AO133" s="13"/>
      <c r="AP133" s="155"/>
      <c r="AQ133" s="155"/>
      <c r="AR133" s="102"/>
      <c r="AS133" s="102"/>
      <c r="AT133" s="102"/>
      <c r="AU133" s="102"/>
      <c r="AV133" s="102"/>
      <c r="AW133" s="102"/>
      <c r="AX133" s="102"/>
      <c r="AY133" s="102"/>
      <c r="AZ133" s="102"/>
      <c r="BA133" s="102"/>
      <c r="BB133" s="102"/>
      <c r="BC133" s="102"/>
      <c r="BD133" s="102"/>
      <c r="BE133" s="102"/>
      <c r="BF133" s="102"/>
      <c r="BG133" s="102"/>
      <c r="BH133" s="102"/>
      <c r="BI133" s="102"/>
      <c r="BJ133" s="102"/>
      <c r="BK133" s="102"/>
      <c r="BL133" s="102"/>
      <c r="BM133" s="102"/>
      <c r="BN133" s="102"/>
      <c r="BO133" s="102"/>
      <c r="BP133" s="102"/>
      <c r="BQ133" s="102"/>
      <c r="BR133" s="102"/>
      <c r="BS133" s="102"/>
      <c r="BT133" s="102"/>
      <c r="BU133" s="102"/>
      <c r="BV133" s="102"/>
      <c r="BW133" s="102"/>
      <c r="BX133" s="102"/>
      <c r="BY133" s="102"/>
      <c r="BZ133" s="102"/>
      <c r="CA133" s="102"/>
      <c r="CB133" s="102"/>
      <c r="CC133" s="102"/>
      <c r="CD133" s="102"/>
      <c r="CE133" s="102"/>
      <c r="CF133" s="102"/>
      <c r="CG133" s="102"/>
      <c r="CH133" s="102"/>
      <c r="CI133" s="102"/>
      <c r="CJ133" s="102"/>
      <c r="CK133" s="102"/>
      <c r="CL133" s="102"/>
      <c r="CM133" s="102"/>
      <c r="CN133" s="102"/>
      <c r="CO133" s="102"/>
      <c r="CP133" s="102"/>
      <c r="CQ133" s="102"/>
      <c r="CR133" s="102"/>
      <c r="CS133" s="102"/>
      <c r="CT133" s="102"/>
      <c r="CU133" s="102"/>
      <c r="CV133" s="102"/>
      <c r="CW133" s="102"/>
      <c r="CX133" s="102"/>
      <c r="CY133" s="102"/>
      <c r="CZ133" s="102"/>
      <c r="DA133" s="102"/>
      <c r="DB133" s="102"/>
      <c r="DC133" s="102"/>
      <c r="DD133" s="102"/>
      <c r="DE133" s="101"/>
      <c r="DF133" s="101"/>
      <c r="DG133" s="101"/>
      <c r="DH133" s="101"/>
      <c r="DI133" s="101"/>
      <c r="DJ133" s="101"/>
      <c r="DK133" s="101"/>
      <c r="DL133" s="101"/>
      <c r="DM133" s="101"/>
      <c r="DN133" s="101"/>
      <c r="DO133" s="101"/>
      <c r="DP133" s="101"/>
      <c r="DQ133" s="101"/>
      <c r="DR133" s="101"/>
      <c r="DS133" s="101"/>
      <c r="DT133" s="101"/>
      <c r="DU133" s="101"/>
      <c r="DV133" s="101"/>
      <c r="DW133" s="101"/>
      <c r="DX133" s="101"/>
      <c r="DY133" s="101"/>
      <c r="DZ133" s="101"/>
      <c r="EA133" s="101"/>
      <c r="EB133" s="101"/>
      <c r="EC133" s="101"/>
      <c r="ED133" s="101"/>
      <c r="EE133" s="102"/>
      <c r="EF133" s="102"/>
      <c r="EG133" s="102"/>
      <c r="EH133" s="102"/>
      <c r="EI133" s="102"/>
      <c r="EJ133" s="102"/>
      <c r="EK133" s="102"/>
      <c r="EL133" s="102"/>
      <c r="EM133" s="102"/>
      <c r="EN133" s="102"/>
      <c r="EO133" s="102"/>
      <c r="EP133" s="102"/>
      <c r="EQ133" s="102"/>
      <c r="ER133" s="102"/>
      <c r="ES133" s="102"/>
      <c r="ET133" s="102"/>
      <c r="EU133" s="102"/>
      <c r="EV133" s="102"/>
      <c r="EW133" s="102"/>
      <c r="EX133" s="102"/>
      <c r="EY133" s="102"/>
      <c r="EZ133" s="102"/>
      <c r="FA133" s="102"/>
      <c r="FB133" s="102"/>
      <c r="FC133" s="102"/>
      <c r="FD133" s="102"/>
      <c r="FE133" s="102"/>
      <c r="FF133" s="102"/>
      <c r="FG133" s="102"/>
      <c r="FH133" s="102"/>
      <c r="FI133" s="102"/>
      <c r="FJ133" s="102"/>
      <c r="FK133" s="102"/>
      <c r="FL133" s="102"/>
      <c r="FM133" s="102"/>
      <c r="FN133" s="102"/>
    </row>
    <row r="134" spans="1:170" s="19" customFormat="1" ht="18" customHeight="1">
      <c r="A134" s="1808"/>
      <c r="B134" s="416">
        <v>165</v>
      </c>
      <c r="C134" s="21" t="str">
        <f>VLOOKUP(B134,Begriffe!$A$6:$E$442,Begriffe!$D$1+2)</f>
        <v>Spezifische Ventilatorleistung</v>
      </c>
      <c r="D134" s="21"/>
      <c r="E134" s="179"/>
      <c r="F134" s="21" t="str">
        <f>Begriffe!$F$325</f>
        <v>Total Zu- und Abluft</v>
      </c>
      <c r="G134" s="21"/>
      <c r="H134" s="21"/>
      <c r="I134" s="180" t="s">
        <v>224</v>
      </c>
      <c r="J134" s="188" t="s">
        <v>1485</v>
      </c>
      <c r="K134" s="188"/>
      <c r="L134" s="1176"/>
      <c r="M134" s="986">
        <f>IF(L134&lt;&gt;"",L134,INDEX(Eingabedaten!$D$10:$CY$54,nutzid,MATCH($C134,Eingabedaten!$D$7:$CY$7,0)))*IF(M130=0,0,1)</f>
        <v>0.55000000000000004</v>
      </c>
      <c r="N134" s="986">
        <f>INDEX(Eingabedaten!$D$10:$CY$54,nutzid,MATCH($C134,Eingabedaten!$D$7:$CY$7,0)+1)*IF(N130=0,0,1)</f>
        <v>0.34</v>
      </c>
      <c r="O134" s="986">
        <f>INDEX(Eingabedaten!$D$10:$CY$54,nutzid,MATCH($C134,Eingabedaten!$D$7:$CY$7,0)+2)*IF(O130=0,0,1)</f>
        <v>0.91</v>
      </c>
      <c r="P134" s="493">
        <v>0</v>
      </c>
      <c r="Q134" s="989">
        <v>1</v>
      </c>
      <c r="R134" s="493">
        <v>0</v>
      </c>
      <c r="S134" s="131"/>
      <c r="T134" s="298"/>
      <c r="U134" s="298"/>
      <c r="V134" s="150"/>
      <c r="W134" s="299"/>
      <c r="X134" s="299"/>
      <c r="Y134" s="150"/>
      <c r="Z134" s="299"/>
      <c r="AA134" s="299"/>
      <c r="AB134" s="131"/>
      <c r="AC134" s="298"/>
      <c r="AD134" s="298"/>
      <c r="AE134" s="13"/>
      <c r="AF134" s="13"/>
      <c r="AG134" s="13"/>
      <c r="AH134" s="13"/>
      <c r="AI134" s="13"/>
      <c r="AJ134" s="13"/>
      <c r="AK134" s="13"/>
      <c r="AL134" s="13"/>
      <c r="AM134" s="13"/>
      <c r="AN134" s="13"/>
      <c r="AO134" s="13"/>
      <c r="AP134" s="155"/>
      <c r="AQ134" s="155"/>
      <c r="AR134" s="102"/>
      <c r="AS134" s="102"/>
      <c r="AT134" s="102"/>
      <c r="AU134" s="102"/>
      <c r="AV134" s="102"/>
      <c r="AW134" s="102"/>
      <c r="AX134" s="102"/>
      <c r="AY134" s="102"/>
      <c r="AZ134" s="102"/>
      <c r="BA134" s="102"/>
      <c r="BB134" s="102"/>
      <c r="BC134" s="102"/>
      <c r="BD134" s="102"/>
      <c r="BE134" s="102"/>
      <c r="BF134" s="102"/>
      <c r="BG134" s="102"/>
      <c r="BH134" s="102"/>
      <c r="BI134" s="102"/>
      <c r="BJ134" s="102"/>
      <c r="BK134" s="102"/>
      <c r="BL134" s="102"/>
      <c r="BM134" s="102"/>
      <c r="BN134" s="102"/>
      <c r="BO134" s="102"/>
      <c r="BP134" s="102"/>
      <c r="BQ134" s="102"/>
      <c r="BR134" s="102"/>
      <c r="BS134" s="102"/>
      <c r="BT134" s="102"/>
      <c r="BU134" s="102"/>
      <c r="BV134" s="102"/>
      <c r="BW134" s="102"/>
      <c r="BX134" s="102"/>
      <c r="BY134" s="102"/>
      <c r="BZ134" s="102"/>
      <c r="CA134" s="102"/>
      <c r="CB134" s="102"/>
      <c r="CC134" s="102"/>
      <c r="CD134" s="102"/>
      <c r="CE134" s="102"/>
      <c r="CF134" s="102"/>
      <c r="CG134" s="102"/>
      <c r="CH134" s="102"/>
      <c r="CI134" s="102"/>
      <c r="CJ134" s="102"/>
      <c r="CK134" s="102"/>
      <c r="CL134" s="102"/>
      <c r="CM134" s="102"/>
      <c r="CN134" s="102"/>
      <c r="CO134" s="102"/>
      <c r="CP134" s="102"/>
      <c r="CQ134" s="102"/>
      <c r="CR134" s="102"/>
      <c r="CS134" s="102"/>
      <c r="CT134" s="102"/>
      <c r="CU134" s="102"/>
      <c r="CV134" s="102"/>
      <c r="CW134" s="102"/>
      <c r="CX134" s="102"/>
      <c r="CY134" s="102"/>
      <c r="CZ134" s="102"/>
      <c r="DA134" s="102"/>
      <c r="DB134" s="102"/>
      <c r="DC134" s="102"/>
      <c r="DD134" s="102"/>
      <c r="DE134" s="101"/>
      <c r="DF134" s="101"/>
      <c r="DG134" s="101"/>
      <c r="DH134" s="101"/>
      <c r="DI134" s="101"/>
      <c r="DJ134" s="101"/>
      <c r="DK134" s="101"/>
      <c r="DL134" s="101"/>
      <c r="DM134" s="101"/>
      <c r="DN134" s="101"/>
      <c r="DO134" s="101"/>
      <c r="DP134" s="101"/>
      <c r="DQ134" s="101"/>
      <c r="DR134" s="101"/>
      <c r="DS134" s="101"/>
      <c r="DT134" s="101"/>
      <c r="DU134" s="101"/>
      <c r="DV134" s="101"/>
      <c r="DW134" s="101"/>
      <c r="DX134" s="101"/>
      <c r="DY134" s="101"/>
      <c r="DZ134" s="101"/>
      <c r="EA134" s="101"/>
      <c r="EB134" s="101"/>
      <c r="EC134" s="101"/>
      <c r="ED134" s="101"/>
      <c r="EE134" s="102"/>
      <c r="EF134" s="102"/>
      <c r="EG134" s="102"/>
      <c r="EH134" s="102"/>
      <c r="EI134" s="102"/>
      <c r="EJ134" s="102"/>
      <c r="EK134" s="102"/>
      <c r="EL134" s="102"/>
      <c r="EM134" s="102"/>
      <c r="EN134" s="102"/>
      <c r="EO134" s="102"/>
      <c r="EP134" s="102"/>
      <c r="EQ134" s="102"/>
      <c r="ER134" s="102"/>
      <c r="ES134" s="102"/>
      <c r="ET134" s="102"/>
      <c r="EU134" s="102"/>
      <c r="EV134" s="102"/>
      <c r="EW134" s="102"/>
      <c r="EX134" s="102"/>
      <c r="EY134" s="102"/>
      <c r="EZ134" s="102"/>
      <c r="FA134" s="102"/>
      <c r="FB134" s="102"/>
      <c r="FC134" s="102"/>
      <c r="FD134" s="102"/>
      <c r="FE134" s="102"/>
      <c r="FF134" s="102"/>
      <c r="FG134" s="102"/>
      <c r="FH134" s="102"/>
      <c r="FI134" s="102"/>
      <c r="FJ134" s="102"/>
      <c r="FK134" s="102"/>
      <c r="FL134" s="102"/>
      <c r="FM134" s="102"/>
      <c r="FN134" s="102"/>
    </row>
    <row r="135" spans="1:170" s="19" customFormat="1" ht="18" customHeight="1">
      <c r="A135" s="1808"/>
      <c r="B135" s="416">
        <v>114</v>
      </c>
      <c r="C135" s="21" t="str">
        <f>VLOOKUP(B135,Begriffe!$A$6:$E$442,Begriffe!$D$1+2)</f>
        <v>Elektrische Leistung der Lüftung</v>
      </c>
      <c r="D135" s="21"/>
      <c r="E135" s="179"/>
      <c r="F135" s="21"/>
      <c r="G135" s="21"/>
      <c r="H135" s="21"/>
      <c r="I135" s="180" t="s">
        <v>225</v>
      </c>
      <c r="J135" s="188" t="s">
        <v>68</v>
      </c>
      <c r="K135" s="188"/>
      <c r="L135" s="182"/>
      <c r="M135" s="265">
        <f>(M128*M134)</f>
        <v>1.4142857142857146</v>
      </c>
      <c r="N135" s="265">
        <f>(N128*N134)</f>
        <v>0.87428571428571444</v>
      </c>
      <c r="O135" s="265">
        <f>(O128*O134)</f>
        <v>2.3400000000000003</v>
      </c>
      <c r="P135" s="493">
        <v>1</v>
      </c>
      <c r="Q135" s="989">
        <v>1</v>
      </c>
      <c r="R135" s="493">
        <v>0</v>
      </c>
      <c r="S135" s="131"/>
      <c r="T135" s="298"/>
      <c r="U135" s="298"/>
      <c r="V135" s="150"/>
      <c r="W135" s="299"/>
      <c r="X135" s="1811"/>
      <c r="Y135" s="150"/>
      <c r="Z135" s="299"/>
      <c r="AA135" s="299"/>
      <c r="AB135" s="131"/>
      <c r="AC135" s="298"/>
      <c r="AD135" s="298"/>
      <c r="AE135" s="13"/>
      <c r="AF135" s="13"/>
      <c r="AG135" s="13"/>
      <c r="AH135" s="13"/>
      <c r="AI135" s="13"/>
      <c r="AJ135" s="13"/>
      <c r="AK135" s="13"/>
      <c r="AL135" s="13"/>
      <c r="AM135" s="13"/>
      <c r="AN135" s="13"/>
      <c r="AO135" s="13"/>
      <c r="AP135" s="155"/>
      <c r="AQ135" s="155"/>
      <c r="AR135" s="102"/>
      <c r="AS135" s="102"/>
      <c r="AT135" s="102"/>
      <c r="AU135" s="102"/>
      <c r="AV135" s="102"/>
      <c r="AW135" s="102"/>
      <c r="AX135" s="102"/>
      <c r="AY135" s="102"/>
      <c r="AZ135" s="102"/>
      <c r="BA135" s="102"/>
      <c r="BB135" s="102"/>
      <c r="BC135" s="102"/>
      <c r="BD135" s="102"/>
      <c r="BE135" s="102"/>
      <c r="BF135" s="102"/>
      <c r="BG135" s="102"/>
      <c r="BH135" s="102"/>
      <c r="BI135" s="102"/>
      <c r="BJ135" s="102"/>
      <c r="BK135" s="102"/>
      <c r="BL135" s="102"/>
      <c r="BM135" s="102"/>
      <c r="BN135" s="102"/>
      <c r="BO135" s="102"/>
      <c r="BP135" s="102"/>
      <c r="BQ135" s="102"/>
      <c r="BR135" s="102"/>
      <c r="BS135" s="102"/>
      <c r="BT135" s="102"/>
      <c r="BU135" s="102"/>
      <c r="BV135" s="102"/>
      <c r="BW135" s="102"/>
      <c r="BX135" s="102"/>
      <c r="BY135" s="102"/>
      <c r="BZ135" s="102"/>
      <c r="CA135" s="102"/>
      <c r="CB135" s="102"/>
      <c r="CC135" s="102"/>
      <c r="CD135" s="102"/>
      <c r="CE135" s="102"/>
      <c r="CF135" s="102"/>
      <c r="CG135" s="102"/>
      <c r="CH135" s="102"/>
      <c r="CI135" s="102"/>
      <c r="CJ135" s="102"/>
      <c r="CK135" s="102"/>
      <c r="CL135" s="102"/>
      <c r="CM135" s="102"/>
      <c r="CN135" s="102"/>
      <c r="CO135" s="102"/>
      <c r="CP135" s="102"/>
      <c r="CQ135" s="102"/>
      <c r="CR135" s="102"/>
      <c r="CS135" s="102"/>
      <c r="CT135" s="102"/>
      <c r="CU135" s="102"/>
      <c r="CV135" s="102"/>
      <c r="CW135" s="102"/>
      <c r="CX135" s="102"/>
      <c r="CY135" s="102"/>
      <c r="CZ135" s="102"/>
      <c r="DA135" s="102"/>
      <c r="DB135" s="102"/>
      <c r="DC135" s="102"/>
      <c r="DD135" s="102"/>
      <c r="DE135" s="101"/>
      <c r="DF135" s="101"/>
      <c r="DG135" s="101"/>
      <c r="DH135" s="101"/>
      <c r="DI135" s="101"/>
      <c r="DJ135" s="101"/>
      <c r="DK135" s="101"/>
      <c r="DL135" s="101"/>
      <c r="DM135" s="101"/>
      <c r="DN135" s="101"/>
      <c r="DO135" s="101"/>
      <c r="DP135" s="101"/>
      <c r="DQ135" s="101"/>
      <c r="DR135" s="101"/>
      <c r="DS135" s="101"/>
      <c r="DT135" s="101"/>
      <c r="DU135" s="101"/>
      <c r="DV135" s="101"/>
      <c r="DW135" s="101"/>
      <c r="DX135" s="101"/>
      <c r="DY135" s="101"/>
      <c r="DZ135" s="101"/>
      <c r="EA135" s="101"/>
      <c r="EB135" s="101"/>
      <c r="EC135" s="101"/>
      <c r="ED135" s="101"/>
      <c r="EE135" s="102"/>
      <c r="EF135" s="102"/>
      <c r="EG135" s="102"/>
      <c r="EH135" s="102"/>
      <c r="EI135" s="102"/>
      <c r="EJ135" s="102"/>
      <c r="EK135" s="102"/>
      <c r="EL135" s="102"/>
      <c r="EM135" s="102"/>
      <c r="EN135" s="102"/>
      <c r="EO135" s="102"/>
      <c r="EP135" s="102"/>
      <c r="EQ135" s="102"/>
      <c r="ER135" s="102"/>
      <c r="ES135" s="102"/>
      <c r="ET135" s="102"/>
      <c r="EU135" s="102"/>
      <c r="EV135" s="102"/>
      <c r="EW135" s="102"/>
      <c r="EX135" s="102"/>
      <c r="EY135" s="102"/>
      <c r="EZ135" s="102"/>
      <c r="FA135" s="102"/>
      <c r="FB135" s="102"/>
      <c r="FC135" s="102"/>
      <c r="FD135" s="102"/>
      <c r="FE135" s="102"/>
      <c r="FF135" s="102"/>
      <c r="FG135" s="102"/>
      <c r="FH135" s="102"/>
      <c r="FI135" s="102"/>
      <c r="FJ135" s="102"/>
      <c r="FK135" s="102"/>
      <c r="FL135" s="102"/>
      <c r="FM135" s="102"/>
      <c r="FN135" s="102"/>
    </row>
    <row r="136" spans="1:170" s="19" customFormat="1" ht="18" customHeight="1">
      <c r="A136" s="1808"/>
      <c r="B136" s="416">
        <v>128</v>
      </c>
      <c r="C136" s="21" t="str">
        <f>VLOOKUP(B136,Begriffe!$A$6:$E$442,Begriffe!$D$1+2)</f>
        <v>Jährliche Volllaststunden der Lüftung</v>
      </c>
      <c r="D136" s="21"/>
      <c r="E136" s="21"/>
      <c r="F136" s="21" t="str">
        <f>Begriffe!$F$326</f>
        <v>Elektrizitätsbedarf</v>
      </c>
      <c r="G136" s="21"/>
      <c r="H136" s="21"/>
      <c r="I136" s="180" t="s">
        <v>226</v>
      </c>
      <c r="J136" s="188" t="s">
        <v>17</v>
      </c>
      <c r="K136" s="188"/>
      <c r="L136" s="182"/>
      <c r="M136" s="266">
        <f>ROUND(IF(M130="1-stufig",Profile!$P$291,IF(M130="2-stufig",Profile!$R$291,Profile!$T$291))*IF(M130=0,0,1),-1)</f>
        <v>5620</v>
      </c>
      <c r="N136" s="266">
        <f>ROUND(IF(N130="1-stufig",Profile!$P$291,IF(N130="2-stufig",Profile!$R$291,Profile!$T$291))*IF(N130=0,0,1),-1)</f>
        <v>2810</v>
      </c>
      <c r="O136" s="266">
        <f>ROUND(IF(O130="1-stufig",Profile!$P$291,IF(O130="2-stufig",Profile!$R$291,Profile!$T$291))*IF(O130=0,0,1),-1)</f>
        <v>5620</v>
      </c>
      <c r="P136" s="493">
        <v>1</v>
      </c>
      <c r="Q136" s="989">
        <v>1</v>
      </c>
      <c r="R136" s="493">
        <v>0</v>
      </c>
      <c r="S136" s="494" t="s">
        <v>363</v>
      </c>
      <c r="T136" s="298"/>
      <c r="U136" s="298"/>
      <c r="V136" s="150"/>
      <c r="W136" s="299"/>
      <c r="X136" s="1811"/>
      <c r="Y136" s="150"/>
      <c r="Z136" s="299"/>
      <c r="AA136" s="299"/>
      <c r="AB136" s="131"/>
      <c r="AC136" s="298"/>
      <c r="AD136" s="298"/>
      <c r="AE136" s="13"/>
      <c r="AF136" s="13"/>
      <c r="AG136" s="13"/>
      <c r="AH136" s="13"/>
      <c r="AI136" s="13"/>
      <c r="AJ136" s="13"/>
      <c r="AK136" s="13"/>
      <c r="AL136" s="13"/>
      <c r="AM136" s="13"/>
      <c r="AN136" s="13"/>
      <c r="AO136" s="13"/>
      <c r="AP136" s="155"/>
      <c r="AQ136" s="155"/>
      <c r="AR136" s="102"/>
      <c r="AS136" s="102"/>
      <c r="AT136" s="102"/>
      <c r="AU136" s="102"/>
      <c r="AV136" s="102"/>
      <c r="AW136" s="102"/>
      <c r="AX136" s="102"/>
      <c r="AY136" s="102"/>
      <c r="AZ136" s="102"/>
      <c r="BA136" s="102"/>
      <c r="BB136" s="102"/>
      <c r="BC136" s="102"/>
      <c r="BD136" s="102"/>
      <c r="BE136" s="102"/>
      <c r="BF136" s="102"/>
      <c r="BG136" s="102"/>
      <c r="BH136" s="102"/>
      <c r="BI136" s="102"/>
      <c r="BJ136" s="102"/>
      <c r="BK136" s="102"/>
      <c r="BL136" s="102"/>
      <c r="BM136" s="102"/>
      <c r="BN136" s="102"/>
      <c r="BO136" s="102"/>
      <c r="BP136" s="102"/>
      <c r="BQ136" s="102"/>
      <c r="BR136" s="102"/>
      <c r="BS136" s="102"/>
      <c r="BT136" s="102"/>
      <c r="BU136" s="102"/>
      <c r="BV136" s="102"/>
      <c r="BW136" s="102"/>
      <c r="BX136" s="102"/>
      <c r="BY136" s="102"/>
      <c r="BZ136" s="102"/>
      <c r="CA136" s="102"/>
      <c r="CB136" s="102"/>
      <c r="CC136" s="102"/>
      <c r="CD136" s="102"/>
      <c r="CE136" s="102"/>
      <c r="CF136" s="102"/>
      <c r="CG136" s="102"/>
      <c r="CH136" s="102"/>
      <c r="CI136" s="102"/>
      <c r="CJ136" s="102"/>
      <c r="CK136" s="102"/>
      <c r="CL136" s="102"/>
      <c r="CM136" s="102"/>
      <c r="CN136" s="102"/>
      <c r="CO136" s="102"/>
      <c r="CP136" s="102"/>
      <c r="CQ136" s="102"/>
      <c r="CR136" s="102"/>
      <c r="CS136" s="102"/>
      <c r="CT136" s="102"/>
      <c r="CU136" s="102"/>
      <c r="CV136" s="102"/>
      <c r="CW136" s="102"/>
      <c r="CX136" s="102"/>
      <c r="CY136" s="102"/>
      <c r="CZ136" s="102"/>
      <c r="DA136" s="102"/>
      <c r="DB136" s="102"/>
      <c r="DC136" s="102"/>
      <c r="DD136" s="102"/>
      <c r="DE136" s="101"/>
      <c r="DF136" s="101"/>
      <c r="DG136" s="101"/>
      <c r="DH136" s="101"/>
      <c r="DI136" s="101"/>
      <c r="DJ136" s="101"/>
      <c r="DK136" s="101"/>
      <c r="DL136" s="101"/>
      <c r="DM136" s="101"/>
      <c r="DN136" s="101"/>
      <c r="DO136" s="101"/>
      <c r="DP136" s="101"/>
      <c r="DQ136" s="101"/>
      <c r="DR136" s="101"/>
      <c r="DS136" s="101"/>
      <c r="DT136" s="101"/>
      <c r="DU136" s="101"/>
      <c r="DV136" s="101"/>
      <c r="DW136" s="101"/>
      <c r="DX136" s="101"/>
      <c r="DY136" s="101"/>
      <c r="DZ136" s="101"/>
      <c r="EA136" s="101"/>
      <c r="EB136" s="101"/>
      <c r="EC136" s="101"/>
      <c r="ED136" s="101"/>
      <c r="EE136" s="102"/>
      <c r="EF136" s="102"/>
      <c r="EG136" s="102"/>
      <c r="EH136" s="102"/>
      <c r="EI136" s="102"/>
      <c r="EJ136" s="102"/>
      <c r="EK136" s="102"/>
      <c r="EL136" s="102"/>
      <c r="EM136" s="102"/>
      <c r="EN136" s="102"/>
      <c r="EO136" s="102"/>
      <c r="EP136" s="102"/>
      <c r="EQ136" s="102"/>
      <c r="ER136" s="102"/>
      <c r="ES136" s="102"/>
      <c r="ET136" s="102"/>
      <c r="EU136" s="102"/>
      <c r="EV136" s="102"/>
      <c r="EW136" s="102"/>
      <c r="EX136" s="102"/>
      <c r="EY136" s="102"/>
      <c r="EZ136" s="102"/>
      <c r="FA136" s="102"/>
      <c r="FB136" s="102"/>
      <c r="FC136" s="102"/>
      <c r="FD136" s="102"/>
      <c r="FE136" s="102"/>
      <c r="FF136" s="102"/>
      <c r="FG136" s="102"/>
      <c r="FH136" s="102"/>
      <c r="FI136" s="102"/>
      <c r="FJ136" s="102"/>
      <c r="FK136" s="102"/>
      <c r="FL136" s="102"/>
      <c r="FM136" s="102"/>
      <c r="FN136" s="102"/>
    </row>
    <row r="137" spans="1:170" s="19" customFormat="1" ht="18" customHeight="1">
      <c r="A137" s="1809"/>
      <c r="B137" s="416">
        <v>135</v>
      </c>
      <c r="C137" s="21" t="str">
        <f>VLOOKUP(B137,Begriffe!$A$6:$E$442,Begriffe!$D$1+2)</f>
        <v>Jährlicher Elektrizitätsbedarf für die Lüftung</v>
      </c>
      <c r="D137" s="21"/>
      <c r="E137" s="21"/>
      <c r="F137" s="21"/>
      <c r="G137" s="21"/>
      <c r="H137" s="21"/>
      <c r="I137" s="180" t="s">
        <v>668</v>
      </c>
      <c r="J137" s="188" t="s">
        <v>77</v>
      </c>
      <c r="K137" s="188"/>
      <c r="L137" s="182"/>
      <c r="M137" s="269">
        <f>M135*M136/1000</f>
        <v>7.9482857142857153</v>
      </c>
      <c r="N137" s="269">
        <f>N135*N136/1000</f>
        <v>2.4567428571428578</v>
      </c>
      <c r="O137" s="269">
        <f>O135*O136/1000</f>
        <v>13.1508</v>
      </c>
      <c r="P137" s="493">
        <v>1</v>
      </c>
      <c r="Q137" s="989">
        <v>1</v>
      </c>
      <c r="R137" s="493">
        <v>0</v>
      </c>
      <c r="S137" s="131"/>
      <c r="T137" s="298"/>
      <c r="U137" s="298"/>
      <c r="V137" s="150"/>
      <c r="W137" s="299"/>
      <c r="X137" s="1811"/>
      <c r="Y137" s="150"/>
      <c r="Z137" s="299"/>
      <c r="AA137" s="299"/>
      <c r="AB137" s="131"/>
      <c r="AC137" s="298"/>
      <c r="AD137" s="298"/>
      <c r="AE137" s="13"/>
      <c r="AF137" s="13"/>
      <c r="AG137" s="13"/>
      <c r="AH137" s="13"/>
      <c r="AI137" s="13"/>
      <c r="AJ137" s="13"/>
      <c r="AK137" s="13"/>
      <c r="AL137" s="13"/>
      <c r="AM137" s="13"/>
      <c r="AN137" s="13"/>
      <c r="AO137" s="13"/>
      <c r="AP137" s="155"/>
      <c r="AQ137" s="155"/>
      <c r="AR137" s="102"/>
      <c r="AS137" s="102"/>
      <c r="AT137" s="102"/>
      <c r="AU137" s="102"/>
      <c r="AV137" s="102"/>
      <c r="AW137" s="102"/>
      <c r="AX137" s="102"/>
      <c r="AY137" s="102"/>
      <c r="AZ137" s="102"/>
      <c r="BA137" s="102"/>
      <c r="BB137" s="102"/>
      <c r="BC137" s="102"/>
      <c r="BD137" s="102"/>
      <c r="BE137" s="102"/>
      <c r="BF137" s="102"/>
      <c r="BG137" s="102"/>
      <c r="BH137" s="102"/>
      <c r="BI137" s="102"/>
      <c r="BJ137" s="102"/>
      <c r="BK137" s="102"/>
      <c r="BL137" s="102"/>
      <c r="BM137" s="102"/>
      <c r="BN137" s="102"/>
      <c r="BO137" s="102"/>
      <c r="BP137" s="102"/>
      <c r="BQ137" s="102"/>
      <c r="BR137" s="102"/>
      <c r="BS137" s="102"/>
      <c r="BT137" s="102"/>
      <c r="BU137" s="102"/>
      <c r="BV137" s="102"/>
      <c r="BW137" s="102"/>
      <c r="BX137" s="102"/>
      <c r="BY137" s="102"/>
      <c r="BZ137" s="102"/>
      <c r="CA137" s="102"/>
      <c r="CB137" s="102"/>
      <c r="CC137" s="102"/>
      <c r="CD137" s="102"/>
      <c r="CE137" s="102"/>
      <c r="CF137" s="102"/>
      <c r="CG137" s="102"/>
      <c r="CH137" s="102"/>
      <c r="CI137" s="102"/>
      <c r="CJ137" s="102"/>
      <c r="CK137" s="102"/>
      <c r="CL137" s="102"/>
      <c r="CM137" s="102"/>
      <c r="CN137" s="102"/>
      <c r="CO137" s="102"/>
      <c r="CP137" s="102"/>
      <c r="CQ137" s="102"/>
      <c r="CR137" s="102"/>
      <c r="CS137" s="102"/>
      <c r="CT137" s="102"/>
      <c r="CU137" s="102"/>
      <c r="CV137" s="102"/>
      <c r="CW137" s="102"/>
      <c r="CX137" s="102"/>
      <c r="CY137" s="102"/>
      <c r="CZ137" s="102"/>
      <c r="DA137" s="102"/>
      <c r="DB137" s="102"/>
      <c r="DC137" s="102"/>
      <c r="DD137" s="102"/>
      <c r="DE137" s="101"/>
      <c r="DF137" s="101"/>
      <c r="DG137" s="101"/>
      <c r="DH137" s="101"/>
      <c r="DI137" s="101"/>
      <c r="DJ137" s="101"/>
      <c r="DK137" s="101"/>
      <c r="DL137" s="101"/>
      <c r="DM137" s="101"/>
      <c r="DN137" s="101"/>
      <c r="DO137" s="101"/>
      <c r="DP137" s="101"/>
      <c r="DQ137" s="101"/>
      <c r="DR137" s="101"/>
      <c r="DS137" s="101"/>
      <c r="DT137" s="101"/>
      <c r="DU137" s="101"/>
      <c r="DV137" s="101"/>
      <c r="DW137" s="101"/>
      <c r="DX137" s="101"/>
      <c r="DY137" s="101"/>
      <c r="DZ137" s="101"/>
      <c r="EA137" s="101"/>
      <c r="EB137" s="101"/>
      <c r="EC137" s="101"/>
      <c r="ED137" s="101"/>
      <c r="EE137" s="102"/>
      <c r="EF137" s="102"/>
      <c r="EG137" s="102"/>
      <c r="EH137" s="102"/>
      <c r="EI137" s="102"/>
      <c r="EJ137" s="102"/>
      <c r="EK137" s="102"/>
      <c r="EL137" s="102"/>
      <c r="EM137" s="102"/>
      <c r="EN137" s="102"/>
      <c r="EO137" s="102"/>
      <c r="EP137" s="102"/>
      <c r="EQ137" s="102"/>
      <c r="ER137" s="102"/>
      <c r="ES137" s="102"/>
      <c r="ET137" s="102"/>
      <c r="EU137" s="102"/>
      <c r="EV137" s="102"/>
      <c r="EW137" s="102"/>
      <c r="EX137" s="102"/>
      <c r="EY137" s="102"/>
      <c r="EZ137" s="102"/>
      <c r="FA137" s="102"/>
      <c r="FB137" s="102"/>
      <c r="FC137" s="102"/>
      <c r="FD137" s="102"/>
      <c r="FE137" s="102"/>
      <c r="FF137" s="102"/>
      <c r="FG137" s="102"/>
      <c r="FH137" s="102"/>
      <c r="FI137" s="102"/>
      <c r="FJ137" s="102"/>
      <c r="FK137" s="102"/>
      <c r="FL137" s="102"/>
      <c r="FM137" s="102"/>
      <c r="FN137" s="102"/>
    </row>
    <row r="138" spans="1:170" s="19" customFormat="1" ht="2.1" customHeight="1">
      <c r="A138" s="198"/>
      <c r="B138" s="1142"/>
      <c r="C138" s="200"/>
      <c r="D138" s="200"/>
      <c r="E138" s="200"/>
      <c r="F138" s="200"/>
      <c r="G138" s="200"/>
      <c r="H138" s="200"/>
      <c r="I138" s="278"/>
      <c r="J138" s="200"/>
      <c r="K138" s="200"/>
      <c r="L138" s="202"/>
      <c r="M138" s="202"/>
      <c r="N138" s="997"/>
      <c r="O138" s="997"/>
      <c r="P138" s="493">
        <v>0</v>
      </c>
      <c r="Q138" s="996">
        <v>1</v>
      </c>
      <c r="R138" s="493">
        <v>0</v>
      </c>
      <c r="S138" s="131"/>
      <c r="T138" s="298"/>
      <c r="U138" s="298"/>
      <c r="V138" s="150"/>
      <c r="W138" s="299"/>
      <c r="X138" s="1252"/>
      <c r="Y138" s="150"/>
      <c r="Z138" s="299"/>
      <c r="AA138" s="299"/>
      <c r="AB138" s="131"/>
      <c r="AC138" s="298"/>
      <c r="AD138" s="298"/>
      <c r="AE138" s="13"/>
      <c r="AF138" s="13"/>
      <c r="AG138" s="13"/>
      <c r="AH138" s="13"/>
      <c r="AI138" s="13"/>
      <c r="AJ138" s="13"/>
      <c r="AK138" s="13"/>
      <c r="AL138" s="13"/>
      <c r="AM138" s="13"/>
      <c r="AN138" s="13"/>
      <c r="AO138" s="13"/>
      <c r="AP138" s="155"/>
      <c r="AQ138" s="155"/>
      <c r="AR138" s="102"/>
      <c r="AS138" s="102"/>
      <c r="AT138" s="102"/>
      <c r="AU138" s="102"/>
      <c r="AV138" s="102"/>
      <c r="AW138" s="102"/>
      <c r="AX138" s="102"/>
      <c r="AY138" s="102"/>
      <c r="AZ138" s="102"/>
      <c r="BA138" s="102"/>
      <c r="BB138" s="102"/>
      <c r="BC138" s="102"/>
      <c r="BD138" s="102"/>
      <c r="BE138" s="102"/>
      <c r="BF138" s="102"/>
      <c r="BG138" s="102"/>
      <c r="BH138" s="102"/>
      <c r="BI138" s="102"/>
      <c r="BJ138" s="102"/>
      <c r="BK138" s="102"/>
      <c r="BL138" s="102"/>
      <c r="BM138" s="102"/>
      <c r="BN138" s="102"/>
      <c r="BO138" s="102"/>
      <c r="BP138" s="102"/>
      <c r="BQ138" s="102"/>
      <c r="BR138" s="102"/>
      <c r="BS138" s="102"/>
      <c r="BT138" s="102"/>
      <c r="BU138" s="102"/>
      <c r="BV138" s="102"/>
      <c r="BW138" s="102"/>
      <c r="BX138" s="102"/>
      <c r="BY138" s="102"/>
      <c r="BZ138" s="102"/>
      <c r="CA138" s="102"/>
      <c r="CB138" s="102"/>
      <c r="CC138" s="102"/>
      <c r="CD138" s="102"/>
      <c r="CE138" s="102"/>
      <c r="CF138" s="102"/>
      <c r="CG138" s="102"/>
      <c r="CH138" s="102"/>
      <c r="CI138" s="102"/>
      <c r="CJ138" s="102"/>
      <c r="CK138" s="102"/>
      <c r="CL138" s="102"/>
      <c r="CM138" s="102"/>
      <c r="CN138" s="102"/>
      <c r="CO138" s="102"/>
      <c r="CP138" s="102"/>
      <c r="CQ138" s="102"/>
      <c r="CR138" s="102"/>
      <c r="CS138" s="102"/>
      <c r="CT138" s="102"/>
      <c r="CU138" s="102"/>
      <c r="CV138" s="102"/>
      <c r="CW138" s="102"/>
      <c r="CX138" s="102"/>
      <c r="CY138" s="102"/>
      <c r="CZ138" s="102"/>
      <c r="DA138" s="102"/>
      <c r="DB138" s="102"/>
      <c r="DC138" s="102"/>
      <c r="DD138" s="102"/>
      <c r="DE138" s="101"/>
      <c r="DF138" s="101"/>
      <c r="DG138" s="101"/>
      <c r="DH138" s="101"/>
      <c r="DI138" s="101"/>
      <c r="DJ138" s="101"/>
      <c r="DK138" s="101"/>
      <c r="DL138" s="101"/>
      <c r="DM138" s="101"/>
      <c r="DN138" s="101"/>
      <c r="DO138" s="101"/>
      <c r="DP138" s="101"/>
      <c r="DQ138" s="101"/>
      <c r="DR138" s="101"/>
      <c r="DS138" s="101"/>
      <c r="DT138" s="101"/>
      <c r="DU138" s="101"/>
      <c r="DV138" s="101"/>
      <c r="DW138" s="101"/>
      <c r="DX138" s="101"/>
      <c r="DY138" s="101"/>
      <c r="DZ138" s="101"/>
      <c r="EA138" s="101"/>
      <c r="EB138" s="101"/>
      <c r="EC138" s="101"/>
      <c r="ED138" s="101"/>
      <c r="EE138" s="102"/>
      <c r="EF138" s="102"/>
      <c r="EG138" s="102"/>
      <c r="EH138" s="102"/>
      <c r="EI138" s="102"/>
      <c r="EJ138" s="102"/>
      <c r="EK138" s="102"/>
      <c r="EL138" s="102"/>
      <c r="EM138" s="102"/>
      <c r="EN138" s="102"/>
      <c r="EO138" s="102"/>
      <c r="EP138" s="102"/>
      <c r="EQ138" s="102"/>
      <c r="ER138" s="102"/>
      <c r="ES138" s="102"/>
      <c r="ET138" s="102"/>
      <c r="EU138" s="102"/>
      <c r="EV138" s="102"/>
      <c r="EW138" s="102"/>
      <c r="EX138" s="102"/>
      <c r="EY138" s="102"/>
      <c r="EZ138" s="102"/>
      <c r="FA138" s="102"/>
      <c r="FB138" s="102"/>
      <c r="FC138" s="102"/>
      <c r="FD138" s="102"/>
      <c r="FE138" s="102"/>
      <c r="FF138" s="102"/>
      <c r="FG138" s="102"/>
      <c r="FH138" s="102"/>
      <c r="FI138" s="102"/>
      <c r="FJ138" s="102"/>
      <c r="FK138" s="102"/>
      <c r="FL138" s="102"/>
      <c r="FM138" s="102"/>
      <c r="FN138" s="102"/>
    </row>
    <row r="139" spans="1:170" s="22" customFormat="1" ht="18" customHeight="1">
      <c r="A139" s="1810" t="str">
        <f>Begriffe!F206</f>
        <v>Raumkühlung</v>
      </c>
      <c r="B139" s="416">
        <v>115</v>
      </c>
      <c r="C139" s="493" t="str">
        <f>VLOOKUP(B139,Begriffe!$A$6:$E$442,Begriffe!$D$1+2)</f>
        <v>Externe Wärmeeintragsleistung</v>
      </c>
      <c r="D139" s="21"/>
      <c r="E139" s="21"/>
      <c r="F139" s="21" t="str">
        <f>Begriffe!$F$327</f>
        <v>Solar, Transmission, Lüftung</v>
      </c>
      <c r="G139" s="21"/>
      <c r="H139" s="21"/>
      <c r="I139" s="262" t="s">
        <v>205</v>
      </c>
      <c r="J139" s="210" t="s">
        <v>68</v>
      </c>
      <c r="K139" s="210"/>
      <c r="L139" s="315"/>
      <c r="M139" s="1015">
        <f>MAX(Profile!$N$72:$N$86)*0.9*M25*$M78+IF($M$29=0,0,(MAX(Profile!$P$72:$P$86)-$M$29)*M162/(M11)+(MAX(Profile!$P$72:$P$86)-$M$29)*M163/(M11))</f>
        <v>53.810823529411778</v>
      </c>
      <c r="N139" s="1016">
        <f>MAX(Profile!$N$72:$N$86)*0.9*N25*$M78+IF($M$29=0,0,(MAX(Profile!$P$72:$P$86)-$M$29)*N162/(M11)+(MAX(Profile!$P$72:$P$86)-$M$29)*N163/(M11))</f>
        <v>31.451899159663867</v>
      </c>
      <c r="O139" s="1016">
        <f>MAX(Profile!$N$72:$N$86)*0.9*O25*$M78+IF($M$29=0,0,(MAX(Profile!$P$72:$P$86)-$M$29)*O162/(M11)+(MAX(Profile!$P$72:$P$86)-$M$29)*O163/(M11))</f>
        <v>65.061378151260513</v>
      </c>
      <c r="P139" s="493">
        <v>1</v>
      </c>
      <c r="Q139" s="920">
        <v>1</v>
      </c>
      <c r="R139" s="493">
        <v>1</v>
      </c>
      <c r="S139" s="127" t="s">
        <v>167</v>
      </c>
      <c r="T139" s="169"/>
      <c r="U139" s="169"/>
      <c r="V139" s="126"/>
      <c r="W139" s="306"/>
      <c r="X139" s="306"/>
      <c r="Y139" s="494"/>
      <c r="Z139" s="306"/>
      <c r="AA139" s="532"/>
      <c r="AB139" s="532"/>
      <c r="AC139" s="532"/>
      <c r="AD139" s="169"/>
      <c r="AE139" s="129"/>
      <c r="AF139" s="129"/>
      <c r="AG139" s="129"/>
      <c r="AH139" s="129"/>
      <c r="AI139" s="129"/>
      <c r="AJ139" s="129"/>
      <c r="AK139" s="129"/>
      <c r="AL139" s="129"/>
      <c r="AM139" s="129"/>
      <c r="AN139" s="129"/>
      <c r="AO139" s="129"/>
      <c r="AP139" s="163"/>
      <c r="AQ139" s="163"/>
      <c r="AR139" s="111"/>
      <c r="AS139" s="111"/>
      <c r="AT139" s="111"/>
      <c r="AU139" s="111"/>
      <c r="AV139" s="111"/>
      <c r="AW139" s="111"/>
      <c r="AX139" s="111"/>
      <c r="AY139" s="111"/>
      <c r="AZ139" s="111"/>
      <c r="BA139" s="111"/>
      <c r="BB139" s="111"/>
      <c r="BC139" s="111"/>
      <c r="BD139" s="111"/>
      <c r="BE139" s="111"/>
      <c r="BF139" s="111"/>
      <c r="BG139" s="111"/>
      <c r="BH139" s="111"/>
      <c r="BI139" s="111"/>
      <c r="BJ139" s="111"/>
      <c r="BK139" s="111"/>
      <c r="BL139" s="111"/>
      <c r="BM139" s="111"/>
      <c r="BN139" s="111"/>
      <c r="BO139" s="111"/>
      <c r="BP139" s="111"/>
      <c r="BQ139" s="111"/>
      <c r="BR139" s="111"/>
      <c r="BS139" s="111"/>
      <c r="BT139" s="111"/>
      <c r="BU139" s="111"/>
      <c r="BV139" s="111"/>
      <c r="BW139" s="111"/>
      <c r="BX139" s="111"/>
      <c r="BY139" s="111"/>
      <c r="BZ139" s="111"/>
      <c r="CA139" s="111"/>
      <c r="CB139" s="111"/>
      <c r="CC139" s="111"/>
      <c r="CD139" s="111"/>
      <c r="CE139" s="111"/>
      <c r="CF139" s="111"/>
      <c r="CG139" s="111"/>
      <c r="CH139" s="111"/>
      <c r="CI139" s="111"/>
      <c r="CJ139" s="111"/>
      <c r="CK139" s="111"/>
      <c r="CL139" s="111"/>
      <c r="CM139" s="111"/>
      <c r="CN139" s="111"/>
      <c r="CO139" s="111"/>
      <c r="CP139" s="111"/>
      <c r="CQ139" s="111"/>
      <c r="CR139" s="111"/>
      <c r="CS139" s="111"/>
      <c r="CT139" s="111"/>
      <c r="CU139" s="111"/>
      <c r="CV139" s="111"/>
      <c r="CW139" s="111"/>
      <c r="CX139" s="111"/>
      <c r="CY139" s="111"/>
      <c r="CZ139" s="111"/>
      <c r="DA139" s="111"/>
      <c r="DB139" s="111"/>
      <c r="DC139" s="111"/>
      <c r="DD139" s="111"/>
      <c r="DE139" s="112"/>
      <c r="DF139" s="112"/>
      <c r="DG139" s="112"/>
      <c r="DH139" s="112"/>
      <c r="DI139" s="112"/>
      <c r="DJ139" s="112"/>
      <c r="DK139" s="112"/>
      <c r="DL139" s="112"/>
      <c r="DM139" s="112"/>
      <c r="DN139" s="112"/>
      <c r="DO139" s="112"/>
      <c r="DP139" s="112"/>
      <c r="DQ139" s="112"/>
      <c r="DR139" s="112"/>
      <c r="DS139" s="112"/>
      <c r="DT139" s="112"/>
      <c r="DU139" s="112"/>
      <c r="DV139" s="112"/>
      <c r="DW139" s="112"/>
      <c r="DX139" s="112"/>
      <c r="DY139" s="112"/>
      <c r="DZ139" s="112"/>
      <c r="EA139" s="112"/>
      <c r="EB139" s="112"/>
      <c r="EC139" s="112"/>
      <c r="ED139" s="112"/>
      <c r="EE139" s="111"/>
      <c r="EF139" s="111"/>
      <c r="EG139" s="111"/>
      <c r="EH139" s="111"/>
      <c r="EI139" s="111"/>
      <c r="EJ139" s="111"/>
      <c r="EK139" s="111"/>
      <c r="EL139" s="111"/>
      <c r="EM139" s="111"/>
      <c r="EN139" s="111"/>
      <c r="EO139" s="111"/>
      <c r="EP139" s="111"/>
      <c r="EQ139" s="111"/>
      <c r="ER139" s="111"/>
      <c r="ES139" s="111"/>
      <c r="ET139" s="111"/>
      <c r="EU139" s="111"/>
      <c r="EV139" s="111"/>
      <c r="EW139" s="111"/>
      <c r="EX139" s="111"/>
      <c r="EY139" s="111"/>
      <c r="EZ139" s="111"/>
      <c r="FA139" s="111"/>
      <c r="FB139" s="111"/>
      <c r="FC139" s="111"/>
      <c r="FD139" s="111"/>
      <c r="FE139" s="111"/>
      <c r="FF139" s="111"/>
      <c r="FG139" s="111"/>
      <c r="FH139" s="111"/>
      <c r="FI139" s="111"/>
      <c r="FJ139" s="111"/>
      <c r="FK139" s="111"/>
      <c r="FL139" s="111"/>
      <c r="FM139" s="111"/>
      <c r="FN139" s="111"/>
    </row>
    <row r="140" spans="1:170" s="22" customFormat="1" ht="18" customHeight="1">
      <c r="A140" s="1808"/>
      <c r="B140" s="416">
        <v>123</v>
      </c>
      <c r="C140" s="21" t="str">
        <f>VLOOKUP(B140,Begriffe!$A$6:$E$442,Begriffe!$D$1+2)</f>
        <v>Interne Wärmeeintragsleistung</v>
      </c>
      <c r="D140" s="21"/>
      <c r="E140" s="21"/>
      <c r="F140" s="21" t="str">
        <f>Begriffe!$F$328</f>
        <v>Personen, Geräte, Beleuchtung</v>
      </c>
      <c r="G140" s="21"/>
      <c r="H140" s="21"/>
      <c r="I140" s="262" t="s">
        <v>206</v>
      </c>
      <c r="J140" s="188" t="s">
        <v>68</v>
      </c>
      <c r="K140" s="188"/>
      <c r="L140" s="182"/>
      <c r="M140" s="269">
        <f>$M58+M72+M110+M114</f>
        <v>28.074669432201194</v>
      </c>
      <c r="N140" s="269">
        <f>$M58+N72+N110+N114</f>
        <v>19.749367050226653</v>
      </c>
      <c r="O140" s="269">
        <f>$M58+O72+O110+O114</f>
        <v>36.07466943220119</v>
      </c>
      <c r="P140" s="493">
        <v>1</v>
      </c>
      <c r="Q140" s="920">
        <v>1</v>
      </c>
      <c r="R140" s="493">
        <v>1</v>
      </c>
      <c r="S140" s="22" t="s">
        <v>347</v>
      </c>
      <c r="T140" s="496"/>
      <c r="W140" s="306"/>
      <c r="X140" s="306"/>
      <c r="Y140" s="126"/>
      <c r="Z140" s="306"/>
      <c r="AA140" s="306"/>
      <c r="AB140" s="127"/>
      <c r="AC140" s="169"/>
      <c r="AD140" s="169"/>
      <c r="AE140" s="129"/>
      <c r="AF140" s="129"/>
      <c r="AG140" s="129"/>
      <c r="AH140" s="129"/>
      <c r="AI140" s="129"/>
      <c r="AJ140" s="129"/>
      <c r="AK140" s="129"/>
      <c r="AL140" s="129"/>
      <c r="AM140" s="129"/>
      <c r="AN140" s="129"/>
      <c r="AO140" s="129"/>
      <c r="AP140" s="163"/>
      <c r="AQ140" s="163"/>
      <c r="AR140" s="111"/>
      <c r="AS140" s="111"/>
      <c r="AT140" s="111"/>
      <c r="AU140" s="111"/>
      <c r="AV140" s="111"/>
      <c r="AW140" s="111"/>
      <c r="AX140" s="111"/>
      <c r="AY140" s="111"/>
      <c r="AZ140" s="111"/>
      <c r="BA140" s="111"/>
      <c r="BB140" s="111"/>
      <c r="BC140" s="111"/>
      <c r="BD140" s="111"/>
      <c r="BE140" s="111"/>
      <c r="BF140" s="111"/>
      <c r="BG140" s="111"/>
      <c r="BH140" s="111"/>
      <c r="BI140" s="111"/>
      <c r="BJ140" s="111"/>
      <c r="BK140" s="111"/>
      <c r="BL140" s="111"/>
      <c r="BM140" s="111"/>
      <c r="BN140" s="111"/>
      <c r="BO140" s="111"/>
      <c r="BP140" s="111"/>
      <c r="BQ140" s="111"/>
      <c r="BR140" s="111"/>
      <c r="BS140" s="111"/>
      <c r="BT140" s="111"/>
      <c r="BU140" s="111"/>
      <c r="BV140" s="111"/>
      <c r="BW140" s="111"/>
      <c r="BX140" s="111"/>
      <c r="BY140" s="111"/>
      <c r="BZ140" s="111"/>
      <c r="CA140" s="111"/>
      <c r="CB140" s="111"/>
      <c r="CC140" s="111"/>
      <c r="CD140" s="111"/>
      <c r="CE140" s="111"/>
      <c r="CF140" s="111"/>
      <c r="CG140" s="111"/>
      <c r="CH140" s="111"/>
      <c r="CI140" s="111"/>
      <c r="CJ140" s="111"/>
      <c r="CK140" s="111"/>
      <c r="CL140" s="111"/>
      <c r="CM140" s="111"/>
      <c r="CN140" s="111"/>
      <c r="CO140" s="111"/>
      <c r="CP140" s="111"/>
      <c r="CQ140" s="111"/>
      <c r="CR140" s="111"/>
      <c r="CS140" s="111"/>
      <c r="CT140" s="111"/>
      <c r="CU140" s="111"/>
      <c r="CV140" s="111"/>
      <c r="CW140" s="111"/>
      <c r="CX140" s="111"/>
      <c r="CY140" s="111"/>
      <c r="CZ140" s="111"/>
      <c r="DA140" s="111"/>
      <c r="DB140" s="111"/>
      <c r="DC140" s="111"/>
      <c r="DD140" s="111"/>
      <c r="DE140" s="112"/>
      <c r="DF140" s="112"/>
      <c r="DG140" s="112"/>
      <c r="DH140" s="112"/>
      <c r="DI140" s="112"/>
      <c r="DJ140" s="112"/>
      <c r="DK140" s="112"/>
      <c r="DL140" s="112"/>
      <c r="DM140" s="112"/>
      <c r="DN140" s="112"/>
      <c r="DO140" s="112"/>
      <c r="DP140" s="112"/>
      <c r="DQ140" s="112"/>
      <c r="DR140" s="112"/>
      <c r="DS140" s="112"/>
      <c r="DT140" s="112"/>
      <c r="DU140" s="112"/>
      <c r="DV140" s="112"/>
      <c r="DW140" s="112"/>
      <c r="DX140" s="112"/>
      <c r="DY140" s="112"/>
      <c r="DZ140" s="112"/>
      <c r="EA140" s="112"/>
      <c r="EB140" s="112"/>
      <c r="EC140" s="112"/>
      <c r="ED140" s="112"/>
      <c r="EE140" s="111"/>
      <c r="EF140" s="111"/>
      <c r="EG140" s="111"/>
      <c r="EH140" s="111"/>
      <c r="EI140" s="111"/>
      <c r="EJ140" s="111"/>
      <c r="EK140" s="111"/>
      <c r="EL140" s="111"/>
      <c r="EM140" s="111"/>
      <c r="EN140" s="111"/>
      <c r="EO140" s="111"/>
      <c r="EP140" s="111"/>
      <c r="EQ140" s="111"/>
      <c r="ER140" s="111"/>
      <c r="ES140" s="111"/>
      <c r="ET140" s="111"/>
      <c r="EU140" s="111"/>
      <c r="EV140" s="111"/>
      <c r="EW140" s="111"/>
      <c r="EX140" s="111"/>
      <c r="EY140" s="111"/>
      <c r="EZ140" s="111"/>
      <c r="FA140" s="111"/>
      <c r="FB140" s="111"/>
      <c r="FC140" s="111"/>
      <c r="FD140" s="111"/>
      <c r="FE140" s="111"/>
      <c r="FF140" s="111"/>
      <c r="FG140" s="111"/>
      <c r="FH140" s="111"/>
      <c r="FI140" s="111"/>
      <c r="FJ140" s="111"/>
      <c r="FK140" s="111"/>
      <c r="FL140" s="111"/>
      <c r="FM140" s="111"/>
      <c r="FN140" s="111"/>
    </row>
    <row r="141" spans="1:170" s="14" customFormat="1" ht="18" customHeight="1">
      <c r="A141" s="1808"/>
      <c r="B141" s="416">
        <v>122</v>
      </c>
      <c r="C141" s="21" t="str">
        <f>VLOOKUP(B141,Begriffe!$A$6:$E$442,Begriffe!$D$1+2)</f>
        <v>Interne Wärmeeinträge pro Tag</v>
      </c>
      <c r="D141" s="21"/>
      <c r="E141" s="21"/>
      <c r="F141" s="21" t="str">
        <f>Begriffe!$F$328</f>
        <v>Personen, Geräte, Beleuchtung</v>
      </c>
      <c r="G141" s="21"/>
      <c r="H141" s="21"/>
      <c r="I141" s="178" t="s">
        <v>218</v>
      </c>
      <c r="J141" s="188" t="s">
        <v>820</v>
      </c>
      <c r="K141" s="188"/>
      <c r="L141" s="182"/>
      <c r="M141" s="1017">
        <f>M59+M73+M111+M115</f>
        <v>231.75707006785061</v>
      </c>
      <c r="N141" s="1017">
        <f>N59+N73+N111+N115</f>
        <v>149.71927794480069</v>
      </c>
      <c r="O141" s="1017">
        <f>O59+O73+O111+O115</f>
        <v>325.3570700678506</v>
      </c>
      <c r="P141" s="493">
        <v>1</v>
      </c>
      <c r="Q141" s="920">
        <v>1</v>
      </c>
      <c r="R141" s="493">
        <v>1</v>
      </c>
      <c r="S141" s="22" t="s">
        <v>349</v>
      </c>
      <c r="T141" s="169"/>
      <c r="X141" s="306"/>
      <c r="Y141" s="126"/>
      <c r="Z141" s="306"/>
      <c r="AA141" s="306"/>
      <c r="AB141" s="127"/>
      <c r="AC141" s="169"/>
      <c r="AD141" s="169"/>
      <c r="AE141" s="129"/>
      <c r="AF141" s="129"/>
      <c r="AG141" s="129"/>
      <c r="AH141" s="129"/>
      <c r="AI141" s="129"/>
      <c r="AJ141" s="129"/>
      <c r="AK141" s="129"/>
      <c r="AL141" s="129"/>
      <c r="AM141" s="129"/>
      <c r="AN141" s="129"/>
      <c r="AO141" s="129"/>
      <c r="AP141" s="163"/>
      <c r="AQ141" s="163"/>
      <c r="AR141" s="111"/>
      <c r="AS141" s="111"/>
      <c r="AT141" s="111"/>
      <c r="AU141" s="111"/>
      <c r="AV141" s="111"/>
      <c r="AW141" s="111"/>
      <c r="AX141" s="111"/>
      <c r="AY141" s="111"/>
      <c r="AZ141" s="111"/>
      <c r="BA141" s="111"/>
      <c r="BB141" s="111"/>
      <c r="BC141" s="111"/>
      <c r="BD141" s="111"/>
      <c r="BE141" s="111"/>
      <c r="BF141" s="111"/>
      <c r="BG141" s="111"/>
      <c r="BH141" s="111"/>
      <c r="BI141" s="111"/>
      <c r="BJ141" s="111"/>
      <c r="BK141" s="111"/>
      <c r="BL141" s="111"/>
      <c r="BM141" s="111"/>
      <c r="BN141" s="111"/>
      <c r="BO141" s="111"/>
      <c r="BP141" s="111"/>
      <c r="BQ141" s="111"/>
      <c r="BR141" s="111"/>
      <c r="BS141" s="111"/>
      <c r="BT141" s="111"/>
      <c r="BU141" s="111"/>
      <c r="BV141" s="111"/>
      <c r="BW141" s="111"/>
      <c r="BX141" s="111"/>
      <c r="BY141" s="111"/>
      <c r="BZ141" s="111"/>
      <c r="CA141" s="111"/>
      <c r="CB141" s="111"/>
      <c r="CC141" s="111"/>
      <c r="CD141" s="111"/>
      <c r="CE141" s="111"/>
      <c r="CF141" s="111"/>
      <c r="CG141" s="111"/>
      <c r="CH141" s="111"/>
      <c r="CI141" s="111"/>
      <c r="CJ141" s="111"/>
      <c r="CK141" s="111"/>
      <c r="CL141" s="111"/>
      <c r="CM141" s="111"/>
      <c r="CN141" s="111"/>
      <c r="CO141" s="111"/>
      <c r="CP141" s="111"/>
      <c r="CQ141" s="111"/>
      <c r="CR141" s="111"/>
      <c r="CS141" s="111"/>
      <c r="CT141" s="111"/>
      <c r="CU141" s="111"/>
      <c r="CV141" s="111"/>
      <c r="CW141" s="111"/>
      <c r="CX141" s="111"/>
      <c r="CY141" s="111"/>
      <c r="CZ141" s="111"/>
      <c r="DA141" s="111"/>
      <c r="DB141" s="111"/>
      <c r="DC141" s="111"/>
      <c r="DD141" s="111"/>
      <c r="DE141" s="112"/>
      <c r="DF141" s="112"/>
      <c r="DG141" s="112"/>
      <c r="DH141" s="112"/>
      <c r="DI141" s="112"/>
      <c r="DJ141" s="112"/>
      <c r="DK141" s="112"/>
      <c r="DL141" s="112"/>
      <c r="DM141" s="112"/>
      <c r="DN141" s="112"/>
      <c r="DO141" s="112"/>
      <c r="DP141" s="112"/>
      <c r="DQ141" s="112"/>
      <c r="DR141" s="112"/>
      <c r="DS141" s="112"/>
      <c r="DT141" s="112"/>
      <c r="DU141" s="112"/>
      <c r="DV141" s="112"/>
      <c r="DW141" s="112"/>
      <c r="DX141" s="112"/>
      <c r="DY141" s="112"/>
      <c r="DZ141" s="112"/>
      <c r="EA141" s="112"/>
      <c r="EB141" s="112"/>
      <c r="EC141" s="112"/>
      <c r="ED141" s="112"/>
      <c r="EE141" s="111"/>
      <c r="EF141" s="111"/>
      <c r="EG141" s="111"/>
      <c r="EH141" s="111"/>
      <c r="EI141" s="111"/>
      <c r="EJ141" s="111"/>
      <c r="EK141" s="111"/>
      <c r="EL141" s="111"/>
      <c r="EM141" s="111"/>
      <c r="EN141" s="111"/>
      <c r="EO141" s="111"/>
      <c r="EP141" s="111"/>
      <c r="EQ141" s="111"/>
      <c r="ER141" s="111"/>
      <c r="ES141" s="111"/>
      <c r="ET141" s="111"/>
      <c r="EU141" s="111"/>
      <c r="EV141" s="111"/>
      <c r="EW141" s="111"/>
      <c r="EX141" s="111"/>
      <c r="EY141" s="111"/>
      <c r="EZ141" s="111"/>
      <c r="FA141" s="111"/>
      <c r="FB141" s="111"/>
      <c r="FC141" s="111"/>
      <c r="FD141" s="111"/>
      <c r="FE141" s="111"/>
      <c r="FF141" s="111"/>
      <c r="FG141" s="111"/>
      <c r="FH141" s="111"/>
      <c r="FI141" s="111"/>
      <c r="FJ141" s="111"/>
      <c r="FK141" s="111"/>
      <c r="FL141" s="111"/>
      <c r="FM141" s="111"/>
      <c r="FN141" s="111"/>
    </row>
    <row r="142" spans="1:170" s="14" customFormat="1" ht="18" hidden="1" customHeight="1">
      <c r="A142" s="1808"/>
      <c r="B142" s="416">
        <v>151</v>
      </c>
      <c r="C142" s="932" t="str">
        <f>VLOOKUP(B142,Begriffe!$A$6:$E$442,Begriffe!$D$1+2)</f>
        <v>Notwendigkeit einer Kühlung</v>
      </c>
      <c r="D142" s="932"/>
      <c r="E142" s="932"/>
      <c r="F142" s="932" t="str">
        <f>Begriffe!$F$329</f>
        <v>mit Fensterlüftung Tag und Nacht</v>
      </c>
      <c r="G142" s="932"/>
      <c r="H142" s="932"/>
      <c r="I142" s="933"/>
      <c r="J142" s="934"/>
      <c r="K142" s="934"/>
      <c r="L142" s="938"/>
      <c r="M142" s="1058" t="str">
        <f>IF(M$29=0,"-",IF(M148=0,"-",IF(OR(nutzid=1,nutzid=2),"-",IF(nutzid=33,"nicht notwend.",IF(nutzid=44,"notwendig",IF(M141&lt;140,"nicht notwend.",IF(M141&lt;=200,"erwünscht","notwendig")))))))</f>
        <v>notwendig</v>
      </c>
      <c r="N142" s="1058" t="str">
        <f>IF(M$29=0,"-",IF(N148=0,"-",IF(OR(nutzid=1,nutzid=2),"-",IF(nutzid=33,"nicht notwend.",IF(nutzid=44,"notwendig",IF(N141&lt;140,"nicht notwend.",IF(N141&lt;=200,"erwünscht","notwendig")))))))</f>
        <v>erwünscht</v>
      </c>
      <c r="O142" s="1058" t="s">
        <v>18</v>
      </c>
      <c r="P142" s="493">
        <v>0</v>
      </c>
      <c r="Q142" s="920">
        <v>0</v>
      </c>
      <c r="R142" s="493">
        <v>1</v>
      </c>
      <c r="S142" s="22"/>
      <c r="T142" s="169"/>
      <c r="X142" s="306"/>
      <c r="Y142" s="126"/>
      <c r="Z142" s="306"/>
      <c r="AA142" s="306"/>
      <c r="AB142" s="127"/>
      <c r="AC142" s="169"/>
      <c r="AD142" s="169"/>
      <c r="AE142" s="129"/>
      <c r="AF142" s="129"/>
      <c r="AG142" s="129"/>
      <c r="AH142" s="129"/>
      <c r="AI142" s="129"/>
      <c r="AJ142" s="129"/>
      <c r="AK142" s="129"/>
      <c r="AL142" s="129"/>
      <c r="AM142" s="129"/>
      <c r="AN142" s="129"/>
      <c r="AO142" s="129"/>
      <c r="AP142" s="163"/>
      <c r="AQ142" s="163"/>
      <c r="AR142" s="111"/>
      <c r="AS142" s="111"/>
      <c r="AT142" s="111"/>
      <c r="AU142" s="111"/>
      <c r="AV142" s="111"/>
      <c r="AW142" s="111"/>
      <c r="AX142" s="111"/>
      <c r="AY142" s="111"/>
      <c r="AZ142" s="111"/>
      <c r="BA142" s="111"/>
      <c r="BB142" s="111"/>
      <c r="BC142" s="111"/>
      <c r="BD142" s="111"/>
      <c r="BE142" s="111"/>
      <c r="BF142" s="111"/>
      <c r="BG142" s="111"/>
      <c r="BH142" s="111"/>
      <c r="BI142" s="111"/>
      <c r="BJ142" s="111"/>
      <c r="BK142" s="111"/>
      <c r="BL142" s="111"/>
      <c r="BM142" s="111"/>
      <c r="BN142" s="111"/>
      <c r="BO142" s="111"/>
      <c r="BP142" s="111"/>
      <c r="BQ142" s="111"/>
      <c r="BR142" s="111"/>
      <c r="BS142" s="111"/>
      <c r="BT142" s="111"/>
      <c r="BU142" s="111"/>
      <c r="BV142" s="111"/>
      <c r="BW142" s="111"/>
      <c r="BX142" s="111"/>
      <c r="BY142" s="111"/>
      <c r="BZ142" s="111"/>
      <c r="CA142" s="111"/>
      <c r="CB142" s="111"/>
      <c r="CC142" s="111"/>
      <c r="CD142" s="111"/>
      <c r="CE142" s="111"/>
      <c r="CF142" s="111"/>
      <c r="CG142" s="111"/>
      <c r="CH142" s="111"/>
      <c r="CI142" s="111"/>
      <c r="CJ142" s="111"/>
      <c r="CK142" s="111"/>
      <c r="CL142" s="111"/>
      <c r="CM142" s="111"/>
      <c r="CN142" s="111"/>
      <c r="CO142" s="111"/>
      <c r="CP142" s="111"/>
      <c r="CQ142" s="111"/>
      <c r="CR142" s="111"/>
      <c r="CS142" s="111"/>
      <c r="CT142" s="111"/>
      <c r="CU142" s="111"/>
      <c r="CV142" s="111"/>
      <c r="CW142" s="111"/>
      <c r="CX142" s="111"/>
      <c r="CY142" s="111"/>
      <c r="CZ142" s="111"/>
      <c r="DA142" s="111"/>
      <c r="DB142" s="111"/>
      <c r="DC142" s="111"/>
      <c r="DD142" s="111"/>
      <c r="DE142" s="112"/>
      <c r="DF142" s="112"/>
      <c r="DG142" s="112"/>
      <c r="DH142" s="112"/>
      <c r="DI142" s="112"/>
      <c r="DJ142" s="112"/>
      <c r="DK142" s="112"/>
      <c r="DL142" s="112"/>
      <c r="DM142" s="112"/>
      <c r="DN142" s="112"/>
      <c r="DO142" s="112"/>
      <c r="DP142" s="112"/>
      <c r="DQ142" s="112"/>
      <c r="DR142" s="112"/>
      <c r="DS142" s="112"/>
      <c r="DT142" s="112"/>
      <c r="DU142" s="112"/>
      <c r="DV142" s="112"/>
      <c r="DW142" s="112"/>
      <c r="DX142" s="112"/>
      <c r="DY142" s="112"/>
      <c r="DZ142" s="112"/>
      <c r="EA142" s="112"/>
      <c r="EB142" s="112"/>
      <c r="EC142" s="112"/>
      <c r="ED142" s="112"/>
      <c r="EE142" s="111"/>
      <c r="EF142" s="111"/>
      <c r="EG142" s="111"/>
      <c r="EH142" s="111"/>
      <c r="EI142" s="111"/>
      <c r="EJ142" s="111"/>
      <c r="EK142" s="111"/>
      <c r="EL142" s="111"/>
      <c r="EM142" s="111"/>
      <c r="EN142" s="111"/>
      <c r="EO142" s="111"/>
      <c r="EP142" s="111"/>
      <c r="EQ142" s="111"/>
      <c r="ER142" s="111"/>
      <c r="ES142" s="111"/>
      <c r="ET142" s="111"/>
      <c r="EU142" s="111"/>
      <c r="EV142" s="111"/>
      <c r="EW142" s="111"/>
      <c r="EX142" s="111"/>
      <c r="EY142" s="111"/>
      <c r="EZ142" s="111"/>
      <c r="FA142" s="111"/>
      <c r="FB142" s="111"/>
      <c r="FC142" s="111"/>
      <c r="FD142" s="111"/>
      <c r="FE142" s="111"/>
      <c r="FF142" s="111"/>
      <c r="FG142" s="111"/>
      <c r="FH142" s="111"/>
      <c r="FI142" s="111"/>
      <c r="FJ142" s="111"/>
      <c r="FK142" s="111"/>
      <c r="FL142" s="111"/>
      <c r="FM142" s="111"/>
      <c r="FN142" s="111"/>
    </row>
    <row r="143" spans="1:170" s="14" customFormat="1" ht="18" hidden="1" customHeight="1">
      <c r="A143" s="1808"/>
      <c r="B143" s="416"/>
      <c r="C143" s="1189" t="s">
        <v>1193</v>
      </c>
      <c r="D143" s="932"/>
      <c r="E143" s="932"/>
      <c r="F143" s="932" t="str">
        <f>Begriffe!$F$330</f>
        <v>mit Fensterlüftung bei Belegung</v>
      </c>
      <c r="G143" s="932"/>
      <c r="H143" s="932"/>
      <c r="I143" s="933"/>
      <c r="J143" s="934"/>
      <c r="K143" s="934"/>
      <c r="L143" s="938"/>
      <c r="M143" s="1058" t="str">
        <f>IF(M$29=0,"-",IF(M148=0,"-",IF(OR(nutzid=1,nutzid=2),"-",IF(nutzid=33,"nicht notwend.",IF(nutzid=44,"notwendig",IF(M141&lt;100,"nicht notwend.",IF(M141&lt;=140,"erwünscht","notwendig")))))))</f>
        <v>notwendig</v>
      </c>
      <c r="N143" s="1058" t="str">
        <f>IF(M$29=0,"-",IF(N148=0,"-",IF(OR(nutzid=1,nutzid=2),"-",IF(nutzid=33,"nicht notwend.",IF(nutzid=44,"notwendig",IF(N141&lt;100,"nicht notwend.",IF(N141&lt;=140,"erwünscht","notwendig")))))))</f>
        <v>notwendig</v>
      </c>
      <c r="O143" s="1058" t="s">
        <v>18</v>
      </c>
      <c r="P143" s="493">
        <v>0</v>
      </c>
      <c r="Q143" s="920">
        <v>0</v>
      </c>
      <c r="R143" s="493">
        <v>0</v>
      </c>
      <c r="S143" s="22"/>
      <c r="T143" s="169"/>
      <c r="X143" s="306"/>
      <c r="Y143" s="126"/>
      <c r="Z143" s="306"/>
      <c r="AA143" s="306"/>
      <c r="AB143" s="127"/>
      <c r="AC143" s="169"/>
      <c r="AD143" s="169"/>
      <c r="AE143" s="129"/>
      <c r="AF143" s="129"/>
      <c r="AG143" s="129"/>
      <c r="AH143" s="129"/>
      <c r="AI143" s="129"/>
      <c r="AJ143" s="129"/>
      <c r="AK143" s="129"/>
      <c r="AL143" s="129"/>
      <c r="AM143" s="129"/>
      <c r="AN143" s="129"/>
      <c r="AO143" s="129"/>
      <c r="AP143" s="163"/>
      <c r="AQ143" s="163"/>
      <c r="AR143" s="111"/>
      <c r="AS143" s="111"/>
      <c r="AT143" s="111"/>
      <c r="AU143" s="111"/>
      <c r="AV143" s="111"/>
      <c r="AW143" s="111"/>
      <c r="AX143" s="111"/>
      <c r="AY143" s="111"/>
      <c r="AZ143" s="111"/>
      <c r="BA143" s="111"/>
      <c r="BB143" s="111"/>
      <c r="BC143" s="111"/>
      <c r="BD143" s="111"/>
      <c r="BE143" s="111"/>
      <c r="BF143" s="111"/>
      <c r="BG143" s="111"/>
      <c r="BH143" s="111"/>
      <c r="BI143" s="111"/>
      <c r="BJ143" s="111"/>
      <c r="BK143" s="111"/>
      <c r="BL143" s="111"/>
      <c r="BM143" s="111"/>
      <c r="BN143" s="111"/>
      <c r="BO143" s="111"/>
      <c r="BP143" s="111"/>
      <c r="BQ143" s="111"/>
      <c r="BR143" s="111"/>
      <c r="BS143" s="111"/>
      <c r="BT143" s="111"/>
      <c r="BU143" s="111"/>
      <c r="BV143" s="111"/>
      <c r="BW143" s="111"/>
      <c r="BX143" s="111"/>
      <c r="BY143" s="111"/>
      <c r="BZ143" s="111"/>
      <c r="CA143" s="111"/>
      <c r="CB143" s="111"/>
      <c r="CC143" s="111"/>
      <c r="CD143" s="111"/>
      <c r="CE143" s="111"/>
      <c r="CF143" s="111"/>
      <c r="CG143" s="111"/>
      <c r="CH143" s="111"/>
      <c r="CI143" s="111"/>
      <c r="CJ143" s="111"/>
      <c r="CK143" s="111"/>
      <c r="CL143" s="111"/>
      <c r="CM143" s="111"/>
      <c r="CN143" s="111"/>
      <c r="CO143" s="111"/>
      <c r="CP143" s="111"/>
      <c r="CQ143" s="111"/>
      <c r="CR143" s="111"/>
      <c r="CS143" s="111"/>
      <c r="CT143" s="111"/>
      <c r="CU143" s="111"/>
      <c r="CV143" s="111"/>
      <c r="CW143" s="111"/>
      <c r="CX143" s="111"/>
      <c r="CY143" s="111"/>
      <c r="CZ143" s="111"/>
      <c r="DA143" s="111"/>
      <c r="DB143" s="111"/>
      <c r="DC143" s="111"/>
      <c r="DD143" s="111"/>
      <c r="DE143" s="112"/>
      <c r="DF143" s="112"/>
      <c r="DG143" s="112"/>
      <c r="DH143" s="112"/>
      <c r="DI143" s="112"/>
      <c r="DJ143" s="112"/>
      <c r="DK143" s="112"/>
      <c r="DL143" s="112"/>
      <c r="DM143" s="112"/>
      <c r="DN143" s="112"/>
      <c r="DO143" s="112"/>
      <c r="DP143" s="112"/>
      <c r="DQ143" s="112"/>
      <c r="DR143" s="112"/>
      <c r="DS143" s="112"/>
      <c r="DT143" s="112"/>
      <c r="DU143" s="112"/>
      <c r="DV143" s="112"/>
      <c r="DW143" s="112"/>
      <c r="DX143" s="112"/>
      <c r="DY143" s="112"/>
      <c r="DZ143" s="112"/>
      <c r="EA143" s="112"/>
      <c r="EB143" s="112"/>
      <c r="EC143" s="112"/>
      <c r="ED143" s="112"/>
      <c r="EE143" s="111"/>
      <c r="EF143" s="111"/>
      <c r="EG143" s="111"/>
      <c r="EH143" s="111"/>
      <c r="EI143" s="111"/>
      <c r="EJ143" s="111"/>
      <c r="EK143" s="111"/>
      <c r="EL143" s="111"/>
      <c r="EM143" s="111"/>
      <c r="EN143" s="111"/>
      <c r="EO143" s="111"/>
      <c r="EP143" s="111"/>
      <c r="EQ143" s="111"/>
      <c r="ER143" s="111"/>
      <c r="ES143" s="111"/>
      <c r="ET143" s="111"/>
      <c r="EU143" s="111"/>
      <c r="EV143" s="111"/>
      <c r="EW143" s="111"/>
      <c r="EX143" s="111"/>
      <c r="EY143" s="111"/>
      <c r="EZ143" s="111"/>
      <c r="FA143" s="111"/>
      <c r="FB143" s="111"/>
      <c r="FC143" s="111"/>
      <c r="FD143" s="111"/>
      <c r="FE143" s="111"/>
      <c r="FF143" s="111"/>
      <c r="FG143" s="111"/>
      <c r="FH143" s="111"/>
      <c r="FI143" s="111"/>
      <c r="FJ143" s="111"/>
      <c r="FK143" s="111"/>
      <c r="FL143" s="111"/>
      <c r="FM143" s="111"/>
      <c r="FN143" s="111"/>
    </row>
    <row r="144" spans="1:170" s="14" customFormat="1" ht="18" hidden="1" customHeight="1">
      <c r="A144" s="1808"/>
      <c r="B144" s="416"/>
      <c r="C144" s="1029"/>
      <c r="D144" s="932"/>
      <c r="E144" s="932"/>
      <c r="F144" s="932" t="str">
        <f>Begriffe!$F$331</f>
        <v>ohne Fensterlüftung</v>
      </c>
      <c r="G144" s="932"/>
      <c r="H144" s="932"/>
      <c r="I144" s="933"/>
      <c r="J144" s="934"/>
      <c r="K144" s="934"/>
      <c r="L144" s="938"/>
      <c r="M144" s="1058" t="str">
        <f>IF(M$29=0,"-",IF(M148=0,"-",IF(OR(nutzid=1,nutzid=2),"-",IF(nutzid=33,"nicht notwend.",IF(nutzid=44,"notwendig",IF(M141&lt;80,"nicht notwend.",IF(M141&lt;=120,"erwünscht","notwendig")))))))</f>
        <v>notwendig</v>
      </c>
      <c r="N144" s="1058" t="str">
        <f>IF(M$29=0,"-",IF(N148=0,"-",IF(OR(nutzid=1,nutzid=2),"-",IF(nutzid=33,"nicht notwend.",IF(nutzid=44,"notwendig",IF(N141&lt;80,"nicht notwend.",IF(N141&lt;=120,"erwünscht","notwendig")))))))</f>
        <v>notwendig</v>
      </c>
      <c r="O144" s="1058" t="s">
        <v>18</v>
      </c>
      <c r="P144" s="493">
        <v>0</v>
      </c>
      <c r="Q144" s="920">
        <v>0</v>
      </c>
      <c r="R144" s="493">
        <v>0</v>
      </c>
      <c r="S144" s="22"/>
      <c r="T144" s="169"/>
      <c r="X144" s="306"/>
      <c r="Y144" s="126"/>
      <c r="Z144" s="306"/>
      <c r="AA144" s="306"/>
      <c r="AB144" s="127"/>
      <c r="AC144" s="169"/>
      <c r="AD144" s="169"/>
      <c r="AE144" s="129"/>
      <c r="AF144" s="129"/>
      <c r="AG144" s="129"/>
      <c r="AH144" s="129"/>
      <c r="AI144" s="129"/>
      <c r="AJ144" s="129"/>
      <c r="AK144" s="129"/>
      <c r="AL144" s="129"/>
      <c r="AM144" s="129"/>
      <c r="AN144" s="129"/>
      <c r="AO144" s="129"/>
      <c r="AP144" s="163"/>
      <c r="AQ144" s="163"/>
      <c r="AR144" s="111"/>
      <c r="AS144" s="111"/>
      <c r="AT144" s="111"/>
      <c r="AU144" s="111"/>
      <c r="AV144" s="111"/>
      <c r="AW144" s="111"/>
      <c r="AX144" s="111"/>
      <c r="AY144" s="111"/>
      <c r="AZ144" s="111"/>
      <c r="BA144" s="111"/>
      <c r="BB144" s="111"/>
      <c r="BC144" s="111"/>
      <c r="BD144" s="111"/>
      <c r="BE144" s="111"/>
      <c r="BF144" s="111"/>
      <c r="BG144" s="111"/>
      <c r="BH144" s="111"/>
      <c r="BI144" s="111"/>
      <c r="BJ144" s="111"/>
      <c r="BK144" s="111"/>
      <c r="BL144" s="111"/>
      <c r="BM144" s="111"/>
      <c r="BN144" s="111"/>
      <c r="BO144" s="111"/>
      <c r="BP144" s="111"/>
      <c r="BQ144" s="111"/>
      <c r="BR144" s="111"/>
      <c r="BS144" s="111"/>
      <c r="BT144" s="111"/>
      <c r="BU144" s="111"/>
      <c r="BV144" s="111"/>
      <c r="BW144" s="111"/>
      <c r="BX144" s="111"/>
      <c r="BY144" s="111"/>
      <c r="BZ144" s="111"/>
      <c r="CA144" s="111"/>
      <c r="CB144" s="111"/>
      <c r="CC144" s="111"/>
      <c r="CD144" s="111"/>
      <c r="CE144" s="111"/>
      <c r="CF144" s="111"/>
      <c r="CG144" s="111"/>
      <c r="CH144" s="111"/>
      <c r="CI144" s="111"/>
      <c r="CJ144" s="111"/>
      <c r="CK144" s="111"/>
      <c r="CL144" s="111"/>
      <c r="CM144" s="111"/>
      <c r="CN144" s="111"/>
      <c r="CO144" s="111"/>
      <c r="CP144" s="111"/>
      <c r="CQ144" s="111"/>
      <c r="CR144" s="111"/>
      <c r="CS144" s="111"/>
      <c r="CT144" s="111"/>
      <c r="CU144" s="111"/>
      <c r="CV144" s="111"/>
      <c r="CW144" s="111"/>
      <c r="CX144" s="111"/>
      <c r="CY144" s="111"/>
      <c r="CZ144" s="111"/>
      <c r="DA144" s="111"/>
      <c r="DB144" s="111"/>
      <c r="DC144" s="111"/>
      <c r="DD144" s="111"/>
      <c r="DE144" s="112"/>
      <c r="DF144" s="112"/>
      <c r="DG144" s="112"/>
      <c r="DH144" s="112"/>
      <c r="DI144" s="112"/>
      <c r="DJ144" s="112"/>
      <c r="DK144" s="112"/>
      <c r="DL144" s="112"/>
      <c r="DM144" s="112"/>
      <c r="DN144" s="112"/>
      <c r="DO144" s="112"/>
      <c r="DP144" s="112"/>
      <c r="DQ144" s="112"/>
      <c r="DR144" s="112"/>
      <c r="DS144" s="112"/>
      <c r="DT144" s="112"/>
      <c r="DU144" s="112"/>
      <c r="DV144" s="112"/>
      <c r="DW144" s="112"/>
      <c r="DX144" s="112"/>
      <c r="DY144" s="112"/>
      <c r="DZ144" s="112"/>
      <c r="EA144" s="112"/>
      <c r="EB144" s="112"/>
      <c r="EC144" s="112"/>
      <c r="ED144" s="112"/>
      <c r="EE144" s="111"/>
      <c r="EF144" s="111"/>
      <c r="EG144" s="111"/>
      <c r="EH144" s="111"/>
      <c r="EI144" s="111"/>
      <c r="EJ144" s="111"/>
      <c r="EK144" s="111"/>
      <c r="EL144" s="111"/>
      <c r="EM144" s="111"/>
      <c r="EN144" s="111"/>
      <c r="EO144" s="111"/>
      <c r="EP144" s="111"/>
      <c r="EQ144" s="111"/>
      <c r="ER144" s="111"/>
      <c r="ES144" s="111"/>
      <c r="ET144" s="111"/>
      <c r="EU144" s="111"/>
      <c r="EV144" s="111"/>
      <c r="EW144" s="111"/>
      <c r="EX144" s="111"/>
      <c r="EY144" s="111"/>
      <c r="EZ144" s="111"/>
      <c r="FA144" s="111"/>
      <c r="FB144" s="111"/>
      <c r="FC144" s="111"/>
      <c r="FD144" s="111"/>
      <c r="FE144" s="111"/>
      <c r="FF144" s="111"/>
      <c r="FG144" s="111"/>
      <c r="FH144" s="111"/>
      <c r="FI144" s="111"/>
      <c r="FJ144" s="111"/>
      <c r="FK144" s="111"/>
      <c r="FL144" s="111"/>
      <c r="FM144" s="111"/>
      <c r="FN144" s="111"/>
    </row>
    <row r="145" spans="1:170" s="14" customFormat="1" ht="18" customHeight="1">
      <c r="A145" s="1808"/>
      <c r="B145" s="416">
        <v>151</v>
      </c>
      <c r="C145" s="21" t="str">
        <f>VLOOKUP(B145,Begriffe!$A$6:$E$442,Begriffe!$D$1+2)</f>
        <v>Notwendigkeit einer Kühlung</v>
      </c>
      <c r="D145" s="21"/>
      <c r="E145" s="21"/>
      <c r="F145" s="21" t="str">
        <f>Begriffe!$F$329</f>
        <v>mit Fensterlüftung Tag und Nacht</v>
      </c>
      <c r="G145" s="21"/>
      <c r="H145" s="21"/>
      <c r="I145" s="178"/>
      <c r="J145" s="188"/>
      <c r="K145" s="188"/>
      <c r="L145" s="182"/>
      <c r="M145" s="986" t="str">
        <f>INDEX(Eingabedaten!$D$10:$CY$54,nutzid,MATCH($C145,Eingabedaten!$D$7:$CY$7,0))</f>
        <v>nicht notwend.</v>
      </c>
      <c r="N145" s="986" t="str">
        <f>INDEX(Eingabedaten!$D$10:$CY$54,nutzid,MATCH($C145,Eingabedaten!$D$7:$CY$7,0)+3)</f>
        <v>nicht notwend.</v>
      </c>
      <c r="O145" s="986" t="s">
        <v>18</v>
      </c>
      <c r="P145" s="493">
        <v>1</v>
      </c>
      <c r="Q145" s="920">
        <v>1</v>
      </c>
      <c r="R145" s="493">
        <v>1</v>
      </c>
      <c r="S145" s="22"/>
      <c r="T145" s="169"/>
      <c r="X145" s="306"/>
      <c r="Y145" s="126"/>
      <c r="Z145" s="306"/>
      <c r="AA145" s="306"/>
      <c r="AB145" s="127"/>
      <c r="AC145" s="169"/>
      <c r="AD145" s="169"/>
      <c r="AE145" s="129"/>
      <c r="AF145" s="129"/>
      <c r="AG145" s="129"/>
      <c r="AH145" s="129"/>
      <c r="AI145" s="129"/>
      <c r="AJ145" s="129"/>
      <c r="AK145" s="129"/>
      <c r="AL145" s="129"/>
      <c r="AM145" s="129"/>
      <c r="AN145" s="129"/>
      <c r="AO145" s="129"/>
      <c r="AP145" s="163"/>
      <c r="AQ145" s="163"/>
      <c r="AR145" s="111"/>
      <c r="AS145" s="111"/>
      <c r="AT145" s="111"/>
      <c r="AU145" s="111"/>
      <c r="AV145" s="111"/>
      <c r="AW145" s="111"/>
      <c r="AX145" s="111"/>
      <c r="AY145" s="111"/>
      <c r="AZ145" s="111"/>
      <c r="BA145" s="111"/>
      <c r="BB145" s="111"/>
      <c r="BC145" s="111"/>
      <c r="BD145" s="111"/>
      <c r="BE145" s="111"/>
      <c r="BF145" s="111"/>
      <c r="BG145" s="111"/>
      <c r="BH145" s="111"/>
      <c r="BI145" s="111"/>
      <c r="BJ145" s="111"/>
      <c r="BK145" s="111"/>
      <c r="BL145" s="111"/>
      <c r="BM145" s="111"/>
      <c r="BN145" s="111"/>
      <c r="BO145" s="111"/>
      <c r="BP145" s="111"/>
      <c r="BQ145" s="111"/>
      <c r="BR145" s="111"/>
      <c r="BS145" s="111"/>
      <c r="BT145" s="111"/>
      <c r="BU145" s="111"/>
      <c r="BV145" s="111"/>
      <c r="BW145" s="111"/>
      <c r="BX145" s="111"/>
      <c r="BY145" s="111"/>
      <c r="BZ145" s="111"/>
      <c r="CA145" s="111"/>
      <c r="CB145" s="111"/>
      <c r="CC145" s="111"/>
      <c r="CD145" s="111"/>
      <c r="CE145" s="111"/>
      <c r="CF145" s="111"/>
      <c r="CG145" s="111"/>
      <c r="CH145" s="111"/>
      <c r="CI145" s="111"/>
      <c r="CJ145" s="111"/>
      <c r="CK145" s="111"/>
      <c r="CL145" s="111"/>
      <c r="CM145" s="111"/>
      <c r="CN145" s="111"/>
      <c r="CO145" s="111"/>
      <c r="CP145" s="111"/>
      <c r="CQ145" s="111"/>
      <c r="CR145" s="111"/>
      <c r="CS145" s="111"/>
      <c r="CT145" s="111"/>
      <c r="CU145" s="111"/>
      <c r="CV145" s="111"/>
      <c r="CW145" s="111"/>
      <c r="CX145" s="111"/>
      <c r="CY145" s="111"/>
      <c r="CZ145" s="111"/>
      <c r="DA145" s="111"/>
      <c r="DB145" s="111"/>
      <c r="DC145" s="111"/>
      <c r="DD145" s="111"/>
      <c r="DE145" s="112"/>
      <c r="DF145" s="112"/>
      <c r="DG145" s="112"/>
      <c r="DH145" s="112"/>
      <c r="DI145" s="112"/>
      <c r="DJ145" s="112"/>
      <c r="DK145" s="112"/>
      <c r="DL145" s="112"/>
      <c r="DM145" s="112"/>
      <c r="DN145" s="112"/>
      <c r="DO145" s="112"/>
      <c r="DP145" s="112"/>
      <c r="DQ145" s="112"/>
      <c r="DR145" s="112"/>
      <c r="DS145" s="112"/>
      <c r="DT145" s="112"/>
      <c r="DU145" s="112"/>
      <c r="DV145" s="112"/>
      <c r="DW145" s="112"/>
      <c r="DX145" s="112"/>
      <c r="DY145" s="112"/>
      <c r="DZ145" s="112"/>
      <c r="EA145" s="112"/>
      <c r="EB145" s="112"/>
      <c r="EC145" s="112"/>
      <c r="ED145" s="112"/>
      <c r="EE145" s="111"/>
      <c r="EF145" s="111"/>
      <c r="EG145" s="111"/>
      <c r="EH145" s="111"/>
      <c r="EI145" s="111"/>
      <c r="EJ145" s="111"/>
      <c r="EK145" s="111"/>
      <c r="EL145" s="111"/>
      <c r="EM145" s="111"/>
      <c r="EN145" s="111"/>
      <c r="EO145" s="111"/>
      <c r="EP145" s="111"/>
      <c r="EQ145" s="111"/>
      <c r="ER145" s="111"/>
      <c r="ES145" s="111"/>
      <c r="ET145" s="111"/>
      <c r="EU145" s="111"/>
      <c r="EV145" s="111"/>
      <c r="EW145" s="111"/>
      <c r="EX145" s="111"/>
      <c r="EY145" s="111"/>
      <c r="EZ145" s="111"/>
      <c r="FA145" s="111"/>
      <c r="FB145" s="111"/>
      <c r="FC145" s="111"/>
      <c r="FD145" s="111"/>
      <c r="FE145" s="111"/>
      <c r="FF145" s="111"/>
      <c r="FG145" s="111"/>
      <c r="FH145" s="111"/>
      <c r="FI145" s="111"/>
      <c r="FJ145" s="111"/>
      <c r="FK145" s="111"/>
      <c r="FL145" s="111"/>
      <c r="FM145" s="111"/>
      <c r="FN145" s="111"/>
    </row>
    <row r="146" spans="1:170" s="14" customFormat="1" ht="18" customHeight="1">
      <c r="A146" s="1808"/>
      <c r="B146" s="416"/>
      <c r="C146" s="493"/>
      <c r="D146" s="21"/>
      <c r="E146" s="21"/>
      <c r="F146" s="21" t="str">
        <f>Begriffe!$F$330</f>
        <v>mit Fensterlüftung bei Belegung</v>
      </c>
      <c r="G146" s="21"/>
      <c r="H146" s="21"/>
      <c r="I146" s="178"/>
      <c r="J146" s="188"/>
      <c r="K146" s="188"/>
      <c r="L146" s="182"/>
      <c r="M146" s="986" t="str">
        <f>INDEX(Eingabedaten!$D$10:$CY$54,nutzid,MATCH($C145,Eingabedaten!$D$7:$CY$7,0)+1)</f>
        <v>erwünscht</v>
      </c>
      <c r="N146" s="986" t="str">
        <f>INDEX(Eingabedaten!$D$10:$CY$54,nutzid,MATCH($C145,Eingabedaten!$D$7:$CY$7,0)+4)</f>
        <v>nicht notwend.</v>
      </c>
      <c r="O146" s="986" t="s">
        <v>18</v>
      </c>
      <c r="P146" s="493">
        <v>1</v>
      </c>
      <c r="Q146" s="920">
        <v>1</v>
      </c>
      <c r="R146" s="493">
        <v>0</v>
      </c>
      <c r="S146" s="22"/>
      <c r="T146" s="169"/>
      <c r="X146" s="306"/>
      <c r="Y146" s="126"/>
      <c r="Z146" s="306"/>
      <c r="AA146" s="306"/>
      <c r="AB146" s="127"/>
      <c r="AC146" s="169"/>
      <c r="AD146" s="169"/>
      <c r="AE146" s="129"/>
      <c r="AF146" s="129"/>
      <c r="AG146" s="129"/>
      <c r="AH146" s="129"/>
      <c r="AI146" s="129"/>
      <c r="AJ146" s="129"/>
      <c r="AK146" s="129"/>
      <c r="AL146" s="129"/>
      <c r="AM146" s="129"/>
      <c r="AN146" s="129"/>
      <c r="AO146" s="129"/>
      <c r="AP146" s="163"/>
      <c r="AQ146" s="163"/>
      <c r="AR146" s="111"/>
      <c r="AS146" s="111"/>
      <c r="AT146" s="111"/>
      <c r="AU146" s="111"/>
      <c r="AV146" s="111"/>
      <c r="AW146" s="111"/>
      <c r="AX146" s="111"/>
      <c r="AY146" s="111"/>
      <c r="AZ146" s="111"/>
      <c r="BA146" s="111"/>
      <c r="BB146" s="111"/>
      <c r="BC146" s="111"/>
      <c r="BD146" s="111"/>
      <c r="BE146" s="111"/>
      <c r="BF146" s="111"/>
      <c r="BG146" s="111"/>
      <c r="BH146" s="111"/>
      <c r="BI146" s="111"/>
      <c r="BJ146" s="111"/>
      <c r="BK146" s="111"/>
      <c r="BL146" s="111"/>
      <c r="BM146" s="111"/>
      <c r="BN146" s="111"/>
      <c r="BO146" s="111"/>
      <c r="BP146" s="111"/>
      <c r="BQ146" s="111"/>
      <c r="BR146" s="111"/>
      <c r="BS146" s="111"/>
      <c r="BT146" s="111"/>
      <c r="BU146" s="111"/>
      <c r="BV146" s="111"/>
      <c r="BW146" s="111"/>
      <c r="BX146" s="111"/>
      <c r="BY146" s="111"/>
      <c r="BZ146" s="111"/>
      <c r="CA146" s="111"/>
      <c r="CB146" s="111"/>
      <c r="CC146" s="111"/>
      <c r="CD146" s="111"/>
      <c r="CE146" s="111"/>
      <c r="CF146" s="111"/>
      <c r="CG146" s="111"/>
      <c r="CH146" s="111"/>
      <c r="CI146" s="111"/>
      <c r="CJ146" s="111"/>
      <c r="CK146" s="111"/>
      <c r="CL146" s="111"/>
      <c r="CM146" s="111"/>
      <c r="CN146" s="111"/>
      <c r="CO146" s="111"/>
      <c r="CP146" s="111"/>
      <c r="CQ146" s="111"/>
      <c r="CR146" s="111"/>
      <c r="CS146" s="111"/>
      <c r="CT146" s="111"/>
      <c r="CU146" s="111"/>
      <c r="CV146" s="111"/>
      <c r="CW146" s="111"/>
      <c r="CX146" s="111"/>
      <c r="CY146" s="111"/>
      <c r="CZ146" s="111"/>
      <c r="DA146" s="111"/>
      <c r="DB146" s="111"/>
      <c r="DC146" s="111"/>
      <c r="DD146" s="111"/>
      <c r="DE146" s="112"/>
      <c r="DF146" s="112"/>
      <c r="DG146" s="112"/>
      <c r="DH146" s="112"/>
      <c r="DI146" s="112"/>
      <c r="DJ146" s="112"/>
      <c r="DK146" s="112"/>
      <c r="DL146" s="112"/>
      <c r="DM146" s="112"/>
      <c r="DN146" s="112"/>
      <c r="DO146" s="112"/>
      <c r="DP146" s="112"/>
      <c r="DQ146" s="112"/>
      <c r="DR146" s="112"/>
      <c r="DS146" s="112"/>
      <c r="DT146" s="112"/>
      <c r="DU146" s="112"/>
      <c r="DV146" s="112"/>
      <c r="DW146" s="112"/>
      <c r="DX146" s="112"/>
      <c r="DY146" s="112"/>
      <c r="DZ146" s="112"/>
      <c r="EA146" s="112"/>
      <c r="EB146" s="112"/>
      <c r="EC146" s="112"/>
      <c r="ED146" s="112"/>
      <c r="EE146" s="111"/>
      <c r="EF146" s="111"/>
      <c r="EG146" s="111"/>
      <c r="EH146" s="111"/>
      <c r="EI146" s="111"/>
      <c r="EJ146" s="111"/>
      <c r="EK146" s="111"/>
      <c r="EL146" s="111"/>
      <c r="EM146" s="111"/>
      <c r="EN146" s="111"/>
      <c r="EO146" s="111"/>
      <c r="EP146" s="111"/>
      <c r="EQ146" s="111"/>
      <c r="ER146" s="111"/>
      <c r="ES146" s="111"/>
      <c r="ET146" s="111"/>
      <c r="EU146" s="111"/>
      <c r="EV146" s="111"/>
      <c r="EW146" s="111"/>
      <c r="EX146" s="111"/>
      <c r="EY146" s="111"/>
      <c r="EZ146" s="111"/>
      <c r="FA146" s="111"/>
      <c r="FB146" s="111"/>
      <c r="FC146" s="111"/>
      <c r="FD146" s="111"/>
      <c r="FE146" s="111"/>
      <c r="FF146" s="111"/>
      <c r="FG146" s="111"/>
      <c r="FH146" s="111"/>
      <c r="FI146" s="111"/>
      <c r="FJ146" s="111"/>
      <c r="FK146" s="111"/>
      <c r="FL146" s="111"/>
      <c r="FM146" s="111"/>
      <c r="FN146" s="111"/>
    </row>
    <row r="147" spans="1:170" s="14" customFormat="1" ht="18" customHeight="1">
      <c r="A147" s="1808"/>
      <c r="B147" s="416"/>
      <c r="C147" s="493"/>
      <c r="D147" s="21"/>
      <c r="E147" s="21"/>
      <c r="F147" s="21" t="str">
        <f>Begriffe!$F$331</f>
        <v>ohne Fensterlüftung</v>
      </c>
      <c r="G147" s="21"/>
      <c r="H147" s="21"/>
      <c r="I147" s="178"/>
      <c r="J147" s="188"/>
      <c r="K147" s="188"/>
      <c r="L147" s="182"/>
      <c r="M147" s="986" t="str">
        <f>INDEX(Eingabedaten!$D$10:$CY$54,nutzid,MATCH($C145,Eingabedaten!$D$7:$CY$7,0)+2)</f>
        <v>erwünscht</v>
      </c>
      <c r="N147" s="986" t="str">
        <f>INDEX(Eingabedaten!$D$10:$CY$54,nutzid,MATCH($C145,Eingabedaten!$D$7:$CY$7,0)+5)</f>
        <v>nicht notwend.</v>
      </c>
      <c r="O147" s="986" t="s">
        <v>18</v>
      </c>
      <c r="P147" s="493">
        <v>1</v>
      </c>
      <c r="Q147" s="920">
        <v>1</v>
      </c>
      <c r="R147" s="493">
        <v>0</v>
      </c>
      <c r="S147" s="22"/>
      <c r="T147" s="169"/>
      <c r="X147" s="306"/>
      <c r="Y147" s="126"/>
      <c r="Z147" s="306"/>
      <c r="AA147" s="306"/>
      <c r="AB147" s="127"/>
      <c r="AC147" s="169"/>
      <c r="AD147" s="169"/>
      <c r="AE147" s="129"/>
      <c r="AF147" s="129"/>
      <c r="AG147" s="129"/>
      <c r="AH147" s="129"/>
      <c r="AI147" s="129"/>
      <c r="AJ147" s="129"/>
      <c r="AK147" s="129"/>
      <c r="AL147" s="129"/>
      <c r="AM147" s="129"/>
      <c r="AN147" s="129"/>
      <c r="AO147" s="129"/>
      <c r="AP147" s="163"/>
      <c r="AQ147" s="163"/>
      <c r="AR147" s="111"/>
      <c r="AS147" s="111"/>
      <c r="AT147" s="111"/>
      <c r="AU147" s="111"/>
      <c r="AV147" s="111"/>
      <c r="AW147" s="111"/>
      <c r="AX147" s="111"/>
      <c r="AY147" s="111"/>
      <c r="AZ147" s="111"/>
      <c r="BA147" s="111"/>
      <c r="BB147" s="111"/>
      <c r="BC147" s="111"/>
      <c r="BD147" s="111"/>
      <c r="BE147" s="111"/>
      <c r="BF147" s="111"/>
      <c r="BG147" s="111"/>
      <c r="BH147" s="111"/>
      <c r="BI147" s="111"/>
      <c r="BJ147" s="111"/>
      <c r="BK147" s="111"/>
      <c r="BL147" s="111"/>
      <c r="BM147" s="111"/>
      <c r="BN147" s="111"/>
      <c r="BO147" s="111"/>
      <c r="BP147" s="111"/>
      <c r="BQ147" s="111"/>
      <c r="BR147" s="111"/>
      <c r="BS147" s="111"/>
      <c r="BT147" s="111"/>
      <c r="BU147" s="111"/>
      <c r="BV147" s="111"/>
      <c r="BW147" s="111"/>
      <c r="BX147" s="111"/>
      <c r="BY147" s="111"/>
      <c r="BZ147" s="111"/>
      <c r="CA147" s="111"/>
      <c r="CB147" s="111"/>
      <c r="CC147" s="111"/>
      <c r="CD147" s="111"/>
      <c r="CE147" s="111"/>
      <c r="CF147" s="111"/>
      <c r="CG147" s="111"/>
      <c r="CH147" s="111"/>
      <c r="CI147" s="111"/>
      <c r="CJ147" s="111"/>
      <c r="CK147" s="111"/>
      <c r="CL147" s="111"/>
      <c r="CM147" s="111"/>
      <c r="CN147" s="111"/>
      <c r="CO147" s="111"/>
      <c r="CP147" s="111"/>
      <c r="CQ147" s="111"/>
      <c r="CR147" s="111"/>
      <c r="CS147" s="111"/>
      <c r="CT147" s="111"/>
      <c r="CU147" s="111"/>
      <c r="CV147" s="111"/>
      <c r="CW147" s="111"/>
      <c r="CX147" s="111"/>
      <c r="CY147" s="111"/>
      <c r="CZ147" s="111"/>
      <c r="DA147" s="111"/>
      <c r="DB147" s="111"/>
      <c r="DC147" s="111"/>
      <c r="DD147" s="111"/>
      <c r="DE147" s="112"/>
      <c r="DF147" s="112"/>
      <c r="DG147" s="112"/>
      <c r="DH147" s="112"/>
      <c r="DI147" s="112"/>
      <c r="DJ147" s="112"/>
      <c r="DK147" s="112"/>
      <c r="DL147" s="112"/>
      <c r="DM147" s="112"/>
      <c r="DN147" s="112"/>
      <c r="DO147" s="112"/>
      <c r="DP147" s="112"/>
      <c r="DQ147" s="112"/>
      <c r="DR147" s="112"/>
      <c r="DS147" s="112"/>
      <c r="DT147" s="112"/>
      <c r="DU147" s="112"/>
      <c r="DV147" s="112"/>
      <c r="DW147" s="112"/>
      <c r="DX147" s="112"/>
      <c r="DY147" s="112"/>
      <c r="DZ147" s="112"/>
      <c r="EA147" s="112"/>
      <c r="EB147" s="112"/>
      <c r="EC147" s="112"/>
      <c r="ED147" s="112"/>
      <c r="EE147" s="111"/>
      <c r="EF147" s="111"/>
      <c r="EG147" s="111"/>
      <c r="EH147" s="111"/>
      <c r="EI147" s="111"/>
      <c r="EJ147" s="111"/>
      <c r="EK147" s="111"/>
      <c r="EL147" s="111"/>
      <c r="EM147" s="111"/>
      <c r="EN147" s="111"/>
      <c r="EO147" s="111"/>
      <c r="EP147" s="111"/>
      <c r="EQ147" s="111"/>
      <c r="ER147" s="111"/>
      <c r="ES147" s="111"/>
      <c r="ET147" s="111"/>
      <c r="EU147" s="111"/>
      <c r="EV147" s="111"/>
      <c r="EW147" s="111"/>
      <c r="EX147" s="111"/>
      <c r="EY147" s="111"/>
      <c r="EZ147" s="111"/>
      <c r="FA147" s="111"/>
      <c r="FB147" s="111"/>
      <c r="FC147" s="111"/>
      <c r="FD147" s="111"/>
      <c r="FE147" s="111"/>
      <c r="FF147" s="111"/>
      <c r="FG147" s="111"/>
      <c r="FH147" s="111"/>
      <c r="FI147" s="111"/>
      <c r="FJ147" s="111"/>
      <c r="FK147" s="111"/>
      <c r="FL147" s="111"/>
      <c r="FM147" s="111"/>
      <c r="FN147" s="111"/>
    </row>
    <row r="148" spans="1:170" s="14" customFormat="1" ht="18" customHeight="1">
      <c r="A148" s="1808"/>
      <c r="B148" s="416">
        <v>140</v>
      </c>
      <c r="C148" s="21" t="str">
        <f>VLOOKUP(B148,Begriffe!$A$6:$E$442,Begriffe!$D$1+2)</f>
        <v>Klimakälteleistungsbedarf</v>
      </c>
      <c r="D148" s="21"/>
      <c r="E148" s="179"/>
      <c r="F148" s="21" t="str">
        <f>Begriffe!$F$331</f>
        <v>ohne Fensterlüftung</v>
      </c>
      <c r="G148" s="21"/>
      <c r="H148" s="21"/>
      <c r="I148" s="262" t="s">
        <v>670</v>
      </c>
      <c r="J148" s="188" t="s">
        <v>68</v>
      </c>
      <c r="K148" s="188"/>
      <c r="L148" s="1175"/>
      <c r="M148" s="269">
        <f>IF(L148&lt;&gt;"",L148,IF(M$29=0,0,IF(ISERR(INDEX('Kälte_TEC-Tool'!$A$9:$H$53,nutzid,3)),0,INDEX('Kälte_TEC-Tool'!$A$9:$H$53,nutzid,3))))</f>
        <v>27</v>
      </c>
      <c r="N148" s="269">
        <f>IF(M$29=0,0,IF(ISERR(INDEX('Kälte_TEC-Tool'!$A$9:$H$53,nutzid,5)),0,INDEX('Kälte_TEC-Tool'!$A$9:$H$53,nutzid,5)))</f>
        <v>20</v>
      </c>
      <c r="O148" s="269">
        <f>IF(M$29=0,0,IF(ISERR(INDEX('Kälte_TEC-Tool'!$A$9:$H$53,nutzid,7)),0,INDEX('Kälte_TEC-Tool'!$A$9:$H$53,nutzid,7)))</f>
        <v>38</v>
      </c>
      <c r="P148" s="493">
        <v>1</v>
      </c>
      <c r="Q148" s="920">
        <v>1</v>
      </c>
      <c r="R148" s="493">
        <v>1</v>
      </c>
      <c r="S148" s="127" t="s">
        <v>167</v>
      </c>
      <c r="U148" s="169"/>
      <c r="V148" s="126"/>
      <c r="W148" s="306"/>
      <c r="X148" s="306"/>
      <c r="Y148" s="126"/>
      <c r="Z148" s="306"/>
      <c r="AA148" s="306"/>
      <c r="AB148" s="127"/>
      <c r="AC148" s="169"/>
      <c r="AD148" s="169"/>
      <c r="AE148" s="129"/>
      <c r="AF148" s="129"/>
      <c r="AG148" s="129"/>
      <c r="AH148" s="129"/>
      <c r="AI148" s="129"/>
      <c r="AJ148" s="129"/>
      <c r="AK148" s="129"/>
      <c r="AL148" s="129"/>
      <c r="AM148" s="129"/>
      <c r="AN148" s="129"/>
      <c r="AO148" s="129"/>
      <c r="AP148" s="163"/>
      <c r="AQ148" s="163"/>
      <c r="AR148" s="111"/>
      <c r="AS148" s="111"/>
      <c r="AT148" s="111"/>
      <c r="AU148" s="111"/>
      <c r="AV148" s="111"/>
      <c r="AW148" s="111"/>
      <c r="AX148" s="111"/>
      <c r="AY148" s="111"/>
      <c r="AZ148" s="111"/>
      <c r="BA148" s="111"/>
      <c r="BB148" s="111"/>
      <c r="BC148" s="111"/>
      <c r="BD148" s="111"/>
      <c r="BE148" s="111"/>
      <c r="BF148" s="111"/>
      <c r="BG148" s="111"/>
      <c r="BH148" s="111"/>
      <c r="BI148" s="111"/>
      <c r="BJ148" s="111"/>
      <c r="BK148" s="111"/>
      <c r="BL148" s="111"/>
      <c r="BM148" s="111"/>
      <c r="BN148" s="111"/>
      <c r="BO148" s="111"/>
      <c r="BP148" s="111"/>
      <c r="BQ148" s="111"/>
      <c r="BR148" s="111"/>
      <c r="BS148" s="111"/>
      <c r="BT148" s="111"/>
      <c r="BU148" s="111"/>
      <c r="BV148" s="111"/>
      <c r="BW148" s="111"/>
      <c r="BX148" s="111"/>
      <c r="BY148" s="111"/>
      <c r="BZ148" s="111"/>
      <c r="CA148" s="111"/>
      <c r="CB148" s="111"/>
      <c r="CC148" s="111"/>
      <c r="CD148" s="111"/>
      <c r="CE148" s="111"/>
      <c r="CF148" s="111"/>
      <c r="CG148" s="111"/>
      <c r="CH148" s="111"/>
      <c r="CI148" s="111"/>
      <c r="CJ148" s="111"/>
      <c r="CK148" s="111"/>
      <c r="CL148" s="111"/>
      <c r="CM148" s="111"/>
      <c r="CN148" s="111"/>
      <c r="CO148" s="111"/>
      <c r="CP148" s="111"/>
      <c r="CQ148" s="111"/>
      <c r="CR148" s="111"/>
      <c r="CS148" s="111"/>
      <c r="CT148" s="111"/>
      <c r="CU148" s="111"/>
      <c r="CV148" s="111"/>
      <c r="CW148" s="111"/>
      <c r="CX148" s="111"/>
      <c r="CY148" s="111"/>
      <c r="CZ148" s="111"/>
      <c r="DA148" s="111"/>
      <c r="DB148" s="111"/>
      <c r="DC148" s="111"/>
      <c r="DD148" s="111"/>
      <c r="DE148" s="112"/>
      <c r="DF148" s="112"/>
      <c r="DG148" s="112"/>
      <c r="DH148" s="112"/>
      <c r="DI148" s="112"/>
      <c r="DJ148" s="112"/>
      <c r="DK148" s="112"/>
      <c r="DL148" s="112"/>
      <c r="DM148" s="112"/>
      <c r="DN148" s="112"/>
      <c r="DO148" s="112"/>
      <c r="DP148" s="112"/>
      <c r="DQ148" s="112"/>
      <c r="DR148" s="112"/>
      <c r="DS148" s="112"/>
      <c r="DT148" s="112"/>
      <c r="DU148" s="112"/>
      <c r="DV148" s="112"/>
      <c r="DW148" s="112"/>
      <c r="DX148" s="112"/>
      <c r="DY148" s="112"/>
      <c r="DZ148" s="112"/>
      <c r="EA148" s="112"/>
      <c r="EB148" s="112"/>
      <c r="EC148" s="112"/>
      <c r="ED148" s="112"/>
      <c r="EE148" s="111"/>
      <c r="EF148" s="111"/>
      <c r="EG148" s="111"/>
      <c r="EH148" s="111"/>
      <c r="EI148" s="111"/>
      <c r="EJ148" s="111"/>
      <c r="EK148" s="111"/>
      <c r="EL148" s="111"/>
      <c r="EM148" s="111"/>
      <c r="EN148" s="111"/>
      <c r="EO148" s="111"/>
      <c r="EP148" s="111"/>
      <c r="EQ148" s="111"/>
      <c r="ER148" s="111"/>
      <c r="ES148" s="111"/>
      <c r="ET148" s="111"/>
      <c r="EU148" s="111"/>
      <c r="EV148" s="111"/>
      <c r="EW148" s="111"/>
      <c r="EX148" s="111"/>
      <c r="EY148" s="111"/>
      <c r="EZ148" s="111"/>
      <c r="FA148" s="111"/>
      <c r="FB148" s="111"/>
      <c r="FC148" s="111"/>
      <c r="FD148" s="111"/>
      <c r="FE148" s="111"/>
      <c r="FF148" s="111"/>
      <c r="FG148" s="111"/>
      <c r="FH148" s="111"/>
      <c r="FI148" s="111"/>
      <c r="FJ148" s="111"/>
      <c r="FK148" s="111"/>
      <c r="FL148" s="111"/>
      <c r="FM148" s="111"/>
      <c r="FN148" s="111"/>
    </row>
    <row r="149" spans="1:170" s="14" customFormat="1" ht="18" customHeight="1">
      <c r="A149" s="1808"/>
      <c r="B149" s="416">
        <v>129</v>
      </c>
      <c r="C149" s="1814" t="str">
        <f>VLOOKUP(B149,Begriffe!$A$6:$E$442,Begriffe!$D$1+2)</f>
        <v>Jährliche Volllaststunden der Raumkühlung</v>
      </c>
      <c r="D149" s="1814"/>
      <c r="E149" s="1814"/>
      <c r="F149" s="21" t="str">
        <f>Begriffe!$F$331</f>
        <v>ohne Fensterlüftung</v>
      </c>
      <c r="G149" s="21"/>
      <c r="H149" s="21"/>
      <c r="I149" s="178" t="s">
        <v>671</v>
      </c>
      <c r="J149" s="188" t="s">
        <v>17</v>
      </c>
      <c r="K149" s="188"/>
      <c r="L149" s="187"/>
      <c r="M149" s="1017">
        <f>IF(M148=0,0,ROUND(M150*1000/M148,-1))</f>
        <v>490</v>
      </c>
      <c r="N149" s="1017">
        <f>IF(N148=0,0,ROUND(N150*1000/N148,-1))</f>
        <v>540</v>
      </c>
      <c r="O149" s="1017">
        <f>IF(O148=0,0,ROUND(O150*1000/O148,-1))</f>
        <v>200</v>
      </c>
      <c r="P149" s="493">
        <v>1</v>
      </c>
      <c r="Q149" s="920">
        <v>1</v>
      </c>
      <c r="R149" s="493">
        <v>1</v>
      </c>
      <c r="S149" s="496">
        <f>M120/365*1000</f>
        <v>88.520782352669599</v>
      </c>
      <c r="T149" s="127">
        <f>M106*M109</f>
        <v>123.72175432238201</v>
      </c>
      <c r="U149" s="169"/>
      <c r="V149" s="126"/>
      <c r="W149" s="306"/>
      <c r="X149" s="306"/>
      <c r="Y149" s="126"/>
      <c r="Z149" s="306"/>
      <c r="AA149" s="306"/>
      <c r="AB149" s="127"/>
      <c r="AC149" s="169"/>
      <c r="AD149" s="169"/>
      <c r="AE149" s="129"/>
      <c r="AF149" s="129"/>
      <c r="AG149" s="129"/>
      <c r="AH149" s="129"/>
      <c r="AI149" s="129"/>
      <c r="AJ149" s="129"/>
      <c r="AK149" s="129"/>
      <c r="AL149" s="129"/>
      <c r="AM149" s="129"/>
      <c r="AN149" s="129"/>
      <c r="AO149" s="129"/>
      <c r="AP149" s="163"/>
      <c r="AQ149" s="163"/>
      <c r="AR149" s="111"/>
      <c r="AS149" s="111"/>
      <c r="AT149" s="111"/>
      <c r="AU149" s="111"/>
      <c r="AV149" s="111"/>
      <c r="AW149" s="111"/>
      <c r="AX149" s="111"/>
      <c r="AY149" s="111"/>
      <c r="AZ149" s="111"/>
      <c r="BA149" s="111"/>
      <c r="BB149" s="111"/>
      <c r="BC149" s="111"/>
      <c r="BD149" s="111"/>
      <c r="BE149" s="111"/>
      <c r="BF149" s="111"/>
      <c r="BG149" s="111"/>
      <c r="BH149" s="111"/>
      <c r="BI149" s="111"/>
      <c r="BJ149" s="111"/>
      <c r="BK149" s="111"/>
      <c r="BL149" s="111"/>
      <c r="BM149" s="111"/>
      <c r="BN149" s="111"/>
      <c r="BO149" s="111"/>
      <c r="BP149" s="111"/>
      <c r="BQ149" s="111"/>
      <c r="BR149" s="111"/>
      <c r="BS149" s="111"/>
      <c r="BT149" s="111"/>
      <c r="BU149" s="111"/>
      <c r="BV149" s="111"/>
      <c r="BW149" s="111"/>
      <c r="BX149" s="111"/>
      <c r="BY149" s="111"/>
      <c r="BZ149" s="111"/>
      <c r="CA149" s="111"/>
      <c r="CB149" s="111"/>
      <c r="CC149" s="111"/>
      <c r="CD149" s="111"/>
      <c r="CE149" s="111"/>
      <c r="CF149" s="111"/>
      <c r="CG149" s="111"/>
      <c r="CH149" s="111"/>
      <c r="CI149" s="111"/>
      <c r="CJ149" s="111"/>
      <c r="CK149" s="111"/>
      <c r="CL149" s="111"/>
      <c r="CM149" s="111"/>
      <c r="CN149" s="111"/>
      <c r="CO149" s="111"/>
      <c r="CP149" s="111"/>
      <c r="CQ149" s="111"/>
      <c r="CR149" s="111"/>
      <c r="CS149" s="111"/>
      <c r="CT149" s="111"/>
      <c r="CU149" s="111"/>
      <c r="CV149" s="111"/>
      <c r="CW149" s="111"/>
      <c r="CX149" s="111"/>
      <c r="CY149" s="111"/>
      <c r="CZ149" s="111"/>
      <c r="DA149" s="111"/>
      <c r="DB149" s="111"/>
      <c r="DC149" s="111"/>
      <c r="DD149" s="111"/>
      <c r="DE149" s="112"/>
      <c r="DF149" s="112"/>
      <c r="DG149" s="112"/>
      <c r="DH149" s="112"/>
      <c r="DI149" s="112"/>
      <c r="DJ149" s="112"/>
      <c r="DK149" s="112"/>
      <c r="DL149" s="112"/>
      <c r="DM149" s="112"/>
      <c r="DN149" s="112"/>
      <c r="DO149" s="112"/>
      <c r="DP149" s="112"/>
      <c r="DQ149" s="112"/>
      <c r="DR149" s="112"/>
      <c r="DS149" s="112"/>
      <c r="DT149" s="112"/>
      <c r="DU149" s="112"/>
      <c r="DV149" s="112"/>
      <c r="DW149" s="112"/>
      <c r="DX149" s="112"/>
      <c r="DY149" s="112"/>
      <c r="DZ149" s="112"/>
      <c r="EA149" s="112"/>
      <c r="EB149" s="112"/>
      <c r="EC149" s="112"/>
      <c r="ED149" s="112"/>
      <c r="EE149" s="111"/>
      <c r="EF149" s="111"/>
      <c r="EG149" s="111"/>
      <c r="EH149" s="111"/>
      <c r="EI149" s="111"/>
      <c r="EJ149" s="111"/>
      <c r="EK149" s="111"/>
      <c r="EL149" s="111"/>
      <c r="EM149" s="111"/>
      <c r="EN149" s="111"/>
      <c r="EO149" s="111"/>
      <c r="EP149" s="111"/>
      <c r="EQ149" s="111"/>
      <c r="ER149" s="111"/>
      <c r="ES149" s="111"/>
      <c r="ET149" s="111"/>
      <c r="EU149" s="111"/>
      <c r="EV149" s="111"/>
      <c r="EW149" s="111"/>
      <c r="EX149" s="111"/>
      <c r="EY149" s="111"/>
      <c r="EZ149" s="111"/>
      <c r="FA149" s="111"/>
      <c r="FB149" s="111"/>
      <c r="FC149" s="111"/>
      <c r="FD149" s="111"/>
      <c r="FE149" s="111"/>
      <c r="FF149" s="111"/>
      <c r="FG149" s="111"/>
      <c r="FH149" s="111"/>
      <c r="FI149" s="111"/>
      <c r="FJ149" s="111"/>
      <c r="FK149" s="111"/>
      <c r="FL149" s="111"/>
      <c r="FM149" s="111"/>
      <c r="FN149" s="111"/>
    </row>
    <row r="150" spans="1:170" s="14" customFormat="1" ht="18" customHeight="1">
      <c r="A150" s="1809"/>
      <c r="B150" s="416">
        <v>138</v>
      </c>
      <c r="C150" s="1817" t="str">
        <f>VLOOKUP(B150,Begriffe!$A$6:$E$442,Begriffe!$D$1+2)</f>
        <v>Jährlicher Klimakältebedarf</v>
      </c>
      <c r="D150" s="1817"/>
      <c r="E150" s="1817"/>
      <c r="F150" s="21" t="str">
        <f>Begriffe!$F$331</f>
        <v>ohne Fensterlüftung</v>
      </c>
      <c r="G150" s="21"/>
      <c r="H150" s="21"/>
      <c r="I150" s="211" t="s">
        <v>672</v>
      </c>
      <c r="J150" s="212" t="s">
        <v>77</v>
      </c>
      <c r="K150" s="212"/>
      <c r="L150" s="1178"/>
      <c r="M150" s="1018">
        <f>IF(L150&lt;&gt;"",L150,IF(M$29=0,0,IF(ISERR(INDEX('Kälte_TEC-Tool'!$A$9:$H$53,nutzid,4)),0,INDEX('Kälte_TEC-Tool'!$A$9:$H$53,nutzid,4))))</f>
        <v>13.349444444444444</v>
      </c>
      <c r="N150" s="1018">
        <f>IF(M$29=0,0,IF(ISERR(INDEX('Kälte_TEC-Tool'!$A$9:$H$53,nutzid,6)),0,INDEX('Kälte_TEC-Tool'!$A$9:$H$53,nutzid,6)))</f>
        <v>10.801388888888889</v>
      </c>
      <c r="O150" s="1018">
        <f>IF(M$29=0,0,IF(ISERR(INDEX('Kälte_TEC-Tool'!$A$9:$H$53,nutzid,8)),0,INDEX('Kälte_TEC-Tool'!$A$9:$H$53,nutzid,8)))</f>
        <v>7.673055555555556</v>
      </c>
      <c r="P150" s="493">
        <v>1</v>
      </c>
      <c r="Q150" s="920">
        <v>1</v>
      </c>
      <c r="R150" s="493">
        <v>1</v>
      </c>
      <c r="S150" s="496">
        <f>M75/365*1000</f>
        <v>57.342465753424655</v>
      </c>
      <c r="T150" s="127"/>
      <c r="U150" s="169"/>
      <c r="V150" s="126"/>
      <c r="W150" s="306"/>
      <c r="X150" s="306"/>
      <c r="Y150" s="126"/>
      <c r="Z150" s="306"/>
      <c r="AA150" s="306"/>
      <c r="AB150" s="127"/>
      <c r="AC150" s="169"/>
      <c r="AD150" s="169"/>
      <c r="AE150" s="129"/>
      <c r="AF150" s="129"/>
      <c r="AG150" s="129"/>
      <c r="AH150" s="129"/>
      <c r="AI150" s="129"/>
      <c r="AJ150" s="129"/>
      <c r="AK150" s="129"/>
      <c r="AL150" s="129"/>
      <c r="AM150" s="129"/>
      <c r="AN150" s="129"/>
      <c r="AO150" s="129"/>
      <c r="AP150" s="163"/>
      <c r="AQ150" s="163"/>
      <c r="AR150" s="111"/>
      <c r="AS150" s="111"/>
      <c r="AT150" s="111"/>
      <c r="AU150" s="111"/>
      <c r="AV150" s="111"/>
      <c r="AW150" s="111"/>
      <c r="AX150" s="111"/>
      <c r="AY150" s="111"/>
      <c r="AZ150" s="111"/>
      <c r="BA150" s="111"/>
      <c r="BB150" s="111"/>
      <c r="BC150" s="111"/>
      <c r="BD150" s="111"/>
      <c r="BE150" s="111"/>
      <c r="BF150" s="111"/>
      <c r="BG150" s="111"/>
      <c r="BH150" s="111"/>
      <c r="BI150" s="111"/>
      <c r="BJ150" s="111"/>
      <c r="BK150" s="111"/>
      <c r="BL150" s="111"/>
      <c r="BM150" s="111"/>
      <c r="BN150" s="111"/>
      <c r="BO150" s="111"/>
      <c r="BP150" s="111"/>
      <c r="BQ150" s="111"/>
      <c r="BR150" s="111"/>
      <c r="BS150" s="111"/>
      <c r="BT150" s="111"/>
      <c r="BU150" s="111"/>
      <c r="BV150" s="111"/>
      <c r="BW150" s="111"/>
      <c r="BX150" s="111"/>
      <c r="BY150" s="111"/>
      <c r="BZ150" s="111"/>
      <c r="CA150" s="111"/>
      <c r="CB150" s="111"/>
      <c r="CC150" s="111"/>
      <c r="CD150" s="111"/>
      <c r="CE150" s="111"/>
      <c r="CF150" s="111"/>
      <c r="CG150" s="111"/>
      <c r="CH150" s="111"/>
      <c r="CI150" s="111"/>
      <c r="CJ150" s="111"/>
      <c r="CK150" s="111"/>
      <c r="CL150" s="111"/>
      <c r="CM150" s="111"/>
      <c r="CN150" s="111"/>
      <c r="CO150" s="111"/>
      <c r="CP150" s="111"/>
      <c r="CQ150" s="111"/>
      <c r="CR150" s="111"/>
      <c r="CS150" s="111"/>
      <c r="CT150" s="111"/>
      <c r="CU150" s="111"/>
      <c r="CV150" s="111"/>
      <c r="CW150" s="111"/>
      <c r="CX150" s="111"/>
      <c r="CY150" s="111"/>
      <c r="CZ150" s="111"/>
      <c r="DA150" s="111"/>
      <c r="DB150" s="111"/>
      <c r="DC150" s="111"/>
      <c r="DD150" s="111"/>
      <c r="DE150" s="112"/>
      <c r="DF150" s="112"/>
      <c r="DG150" s="112"/>
      <c r="DH150" s="112"/>
      <c r="DI150" s="112"/>
      <c r="DJ150" s="112"/>
      <c r="DK150" s="112"/>
      <c r="DL150" s="112"/>
      <c r="DM150" s="112"/>
      <c r="DN150" s="112"/>
      <c r="DO150" s="112"/>
      <c r="DP150" s="112"/>
      <c r="DQ150" s="112"/>
      <c r="DR150" s="112"/>
      <c r="DS150" s="112"/>
      <c r="DT150" s="112"/>
      <c r="DU150" s="112"/>
      <c r="DV150" s="112"/>
      <c r="DW150" s="112"/>
      <c r="DX150" s="112"/>
      <c r="DY150" s="112"/>
      <c r="DZ150" s="112"/>
      <c r="EA150" s="112"/>
      <c r="EB150" s="112"/>
      <c r="EC150" s="112"/>
      <c r="ED150" s="112"/>
      <c r="EE150" s="111"/>
      <c r="EF150" s="111"/>
      <c r="EG150" s="111"/>
      <c r="EH150" s="111"/>
      <c r="EI150" s="111"/>
      <c r="EJ150" s="111"/>
      <c r="EK150" s="111"/>
      <c r="EL150" s="111"/>
      <c r="EM150" s="111"/>
      <c r="EN150" s="111"/>
      <c r="EO150" s="111"/>
      <c r="EP150" s="111"/>
      <c r="EQ150" s="111"/>
      <c r="ER150" s="111"/>
      <c r="ES150" s="111"/>
      <c r="ET150" s="111"/>
      <c r="EU150" s="111"/>
      <c r="EV150" s="111"/>
      <c r="EW150" s="111"/>
      <c r="EX150" s="111"/>
      <c r="EY150" s="111"/>
      <c r="EZ150" s="111"/>
      <c r="FA150" s="111"/>
      <c r="FB150" s="111"/>
      <c r="FC150" s="111"/>
      <c r="FD150" s="111"/>
      <c r="FE150" s="111"/>
      <c r="FF150" s="111"/>
      <c r="FG150" s="111"/>
      <c r="FH150" s="111"/>
      <c r="FI150" s="111"/>
      <c r="FJ150" s="111"/>
      <c r="FK150" s="111"/>
      <c r="FL150" s="111"/>
      <c r="FM150" s="111"/>
      <c r="FN150" s="111"/>
    </row>
    <row r="151" spans="1:170" s="9" customFormat="1" ht="2.1" customHeight="1">
      <c r="A151" s="198"/>
      <c r="B151" s="1142"/>
      <c r="C151" s="200"/>
      <c r="D151" s="200"/>
      <c r="E151" s="200"/>
      <c r="F151" s="200"/>
      <c r="G151" s="200"/>
      <c r="H151" s="200"/>
      <c r="I151" s="206"/>
      <c r="J151" s="207"/>
      <c r="K151" s="207"/>
      <c r="L151" s="208"/>
      <c r="M151" s="208"/>
      <c r="N151" s="997"/>
      <c r="O151" s="997"/>
      <c r="P151" s="493">
        <v>0</v>
      </c>
      <c r="Q151" s="920">
        <v>1</v>
      </c>
      <c r="R151" s="493">
        <v>0</v>
      </c>
      <c r="S151" s="166"/>
      <c r="T151" s="307"/>
      <c r="U151" s="307"/>
      <c r="V151" s="165"/>
      <c r="W151" s="268"/>
      <c r="X151" s="268"/>
      <c r="Y151" s="165"/>
      <c r="Z151" s="268"/>
      <c r="AA151" s="268"/>
      <c r="AB151" s="166"/>
      <c r="AC151" s="307"/>
      <c r="AD151" s="307"/>
      <c r="AE151" s="166"/>
      <c r="AF151" s="166"/>
      <c r="AG151" s="166"/>
      <c r="AH151" s="166"/>
      <c r="AI151" s="166"/>
      <c r="AJ151" s="166"/>
      <c r="AK151" s="166"/>
      <c r="AL151" s="166"/>
      <c r="AM151" s="166"/>
      <c r="AN151" s="167"/>
      <c r="AO151" s="167"/>
      <c r="AP151" s="168"/>
      <c r="AQ151" s="168"/>
      <c r="AR151" s="113"/>
      <c r="AS151" s="113"/>
      <c r="AT151" s="113"/>
      <c r="AU151" s="113"/>
      <c r="AV151" s="113"/>
      <c r="AW151" s="113"/>
      <c r="AX151" s="113"/>
      <c r="AY151" s="113"/>
      <c r="AZ151" s="113"/>
      <c r="BA151" s="113"/>
      <c r="BB151" s="113"/>
      <c r="BC151" s="113"/>
      <c r="BD151" s="113"/>
      <c r="BE151" s="113"/>
      <c r="BF151" s="113"/>
      <c r="BG151" s="113"/>
      <c r="BH151" s="113"/>
      <c r="BI151" s="113"/>
      <c r="BJ151" s="113"/>
      <c r="BK151" s="113"/>
      <c r="BL151" s="113"/>
      <c r="BM151" s="113"/>
      <c r="BN151" s="113"/>
      <c r="BO151" s="113"/>
      <c r="BP151" s="113"/>
      <c r="BQ151" s="113"/>
      <c r="BR151" s="113"/>
      <c r="BS151" s="113"/>
      <c r="BT151" s="113"/>
      <c r="BU151" s="113"/>
      <c r="BV151" s="113"/>
      <c r="BW151" s="113"/>
      <c r="BX151" s="113"/>
      <c r="BY151" s="113"/>
      <c r="BZ151" s="113"/>
      <c r="CA151" s="113"/>
      <c r="CB151" s="113"/>
      <c r="CC151" s="113"/>
      <c r="CD151" s="113"/>
      <c r="CE151" s="113"/>
      <c r="CF151" s="113"/>
      <c r="CG151" s="113"/>
      <c r="CH151" s="113"/>
      <c r="CI151" s="113"/>
      <c r="CJ151" s="113"/>
      <c r="CK151" s="113"/>
      <c r="CL151" s="113"/>
      <c r="CM151" s="113"/>
      <c r="CN151" s="113"/>
      <c r="CO151" s="113"/>
      <c r="CP151" s="113"/>
      <c r="CQ151" s="113"/>
      <c r="CR151" s="113"/>
      <c r="CS151" s="113"/>
      <c r="CT151" s="113"/>
      <c r="CU151" s="113"/>
      <c r="CV151" s="114"/>
      <c r="CW151" s="114"/>
      <c r="CX151" s="114"/>
      <c r="CY151" s="114"/>
      <c r="CZ151" s="114"/>
      <c r="DA151" s="114"/>
      <c r="DB151" s="114"/>
      <c r="DC151" s="114"/>
      <c r="DD151" s="114"/>
      <c r="DE151" s="114"/>
      <c r="DF151" s="114"/>
      <c r="DG151" s="114"/>
      <c r="DH151" s="114"/>
      <c r="DI151" s="114"/>
      <c r="DJ151" s="114"/>
      <c r="DK151" s="114"/>
      <c r="DL151" s="114"/>
      <c r="DM151" s="114"/>
      <c r="DN151" s="114"/>
      <c r="DO151" s="114"/>
      <c r="DP151" s="114"/>
      <c r="DQ151" s="114"/>
      <c r="DR151" s="114"/>
      <c r="DS151" s="114"/>
      <c r="DT151" s="114"/>
      <c r="DU151" s="114"/>
      <c r="DV151" s="114"/>
      <c r="DW151" s="114"/>
      <c r="DX151" s="114"/>
      <c r="DY151" s="114"/>
      <c r="DZ151" s="114"/>
      <c r="EA151" s="114"/>
      <c r="EB151" s="114"/>
      <c r="EC151" s="114"/>
      <c r="ED151" s="114"/>
      <c r="EE151" s="115"/>
      <c r="EF151" s="115"/>
      <c r="EG151" s="115"/>
      <c r="EH151" s="115"/>
      <c r="EI151" s="115"/>
      <c r="EJ151" s="115"/>
      <c r="EK151" s="115"/>
      <c r="EL151" s="115"/>
      <c r="EM151" s="115"/>
      <c r="EN151" s="115"/>
      <c r="EO151" s="115"/>
      <c r="EP151" s="115"/>
      <c r="EQ151" s="115"/>
      <c r="ER151" s="115"/>
      <c r="ES151" s="115"/>
      <c r="ET151" s="115"/>
      <c r="EU151" s="115"/>
      <c r="EV151" s="115"/>
      <c r="EW151" s="115"/>
      <c r="EX151" s="115"/>
      <c r="EY151" s="115"/>
      <c r="EZ151" s="115"/>
      <c r="FA151" s="115"/>
      <c r="FB151" s="115"/>
      <c r="FC151" s="115"/>
      <c r="FD151" s="115"/>
      <c r="FE151" s="115"/>
      <c r="FF151" s="115"/>
      <c r="FG151" s="115"/>
      <c r="FH151" s="115"/>
      <c r="FI151" s="115"/>
      <c r="FJ151" s="115"/>
      <c r="FK151" s="115"/>
      <c r="FL151" s="115"/>
      <c r="FM151" s="115"/>
      <c r="FN151" s="115"/>
    </row>
    <row r="152" spans="1:170" s="14" customFormat="1" ht="18" hidden="1" customHeight="1">
      <c r="A152" s="1808" t="s">
        <v>24</v>
      </c>
      <c r="B152" s="30"/>
      <c r="C152" s="932" t="s">
        <v>736</v>
      </c>
      <c r="D152" s="932"/>
      <c r="E152" s="932"/>
      <c r="F152" s="932" t="s">
        <v>210</v>
      </c>
      <c r="G152" s="932"/>
      <c r="H152" s="932"/>
      <c r="I152" s="933" t="s">
        <v>211</v>
      </c>
      <c r="J152" s="934" t="s">
        <v>239</v>
      </c>
      <c r="K152" s="934"/>
      <c r="L152" s="935"/>
      <c r="M152" s="936" t="e">
        <f>INDEX(Eingabedaten!$D$10:$CY$54,nutzid,MATCH($C152,Eingabedaten!$D$7:$CY$7,0))</f>
        <v>#N/A</v>
      </c>
      <c r="N152" s="936" t="e">
        <f>INDEX(Eingabedaten!$D$10:$CY$54,nutzid,MATCH($C152,Eingabedaten!$D$7:$CY$7,0)+1)</f>
        <v>#N/A</v>
      </c>
      <c r="O152" s="936" t="e">
        <f>INDEX(Eingabedaten!$D$10:$CY$54,nutzid,MATCH($C152,Eingabedaten!$D$7:$CY$7,0)+2)</f>
        <v>#N/A</v>
      </c>
      <c r="P152" s="493">
        <v>0</v>
      </c>
      <c r="Q152" s="920">
        <v>0</v>
      </c>
      <c r="R152" s="493">
        <v>0</v>
      </c>
      <c r="S152" s="127"/>
      <c r="T152" s="169"/>
      <c r="U152" s="169"/>
      <c r="V152" s="126"/>
      <c r="W152" s="306"/>
      <c r="X152" s="306"/>
      <c r="Y152" s="126"/>
      <c r="Z152" s="306"/>
      <c r="AA152" s="306"/>
      <c r="AB152" s="127"/>
      <c r="AC152" s="169"/>
      <c r="AD152" s="169"/>
      <c r="AE152" s="129"/>
      <c r="AF152" s="129"/>
      <c r="AG152" s="129"/>
      <c r="AH152" s="129"/>
      <c r="AI152" s="129"/>
      <c r="AJ152" s="129"/>
      <c r="AK152" s="129"/>
      <c r="AL152" s="129"/>
      <c r="AM152" s="129"/>
      <c r="AN152" s="129"/>
      <c r="AO152" s="129"/>
      <c r="AP152" s="163"/>
      <c r="AQ152" s="163"/>
      <c r="AR152" s="111"/>
      <c r="AS152" s="111"/>
      <c r="AT152" s="111"/>
      <c r="AU152" s="111"/>
      <c r="AV152" s="111"/>
      <c r="AW152" s="111"/>
      <c r="AX152" s="111"/>
      <c r="AY152" s="111"/>
      <c r="AZ152" s="111"/>
      <c r="BA152" s="111"/>
      <c r="BB152" s="111"/>
      <c r="BC152" s="111"/>
      <c r="BD152" s="111"/>
      <c r="BE152" s="111"/>
      <c r="BF152" s="111"/>
      <c r="BG152" s="111"/>
      <c r="BH152" s="111"/>
      <c r="BI152" s="111"/>
      <c r="BJ152" s="111"/>
      <c r="BK152" s="111"/>
      <c r="BL152" s="111"/>
      <c r="BM152" s="111"/>
      <c r="BN152" s="111"/>
      <c r="BO152" s="111"/>
      <c r="BP152" s="111"/>
      <c r="BQ152" s="111"/>
      <c r="BR152" s="111"/>
      <c r="BS152" s="111"/>
      <c r="BT152" s="111"/>
      <c r="BU152" s="111"/>
      <c r="BV152" s="111"/>
      <c r="BW152" s="111"/>
      <c r="BX152" s="111"/>
      <c r="BY152" s="111"/>
      <c r="BZ152" s="111"/>
      <c r="CA152" s="111"/>
      <c r="CB152" s="111"/>
      <c r="CC152" s="111"/>
      <c r="CD152" s="111"/>
      <c r="CE152" s="111"/>
      <c r="CF152" s="111"/>
      <c r="CG152" s="111"/>
      <c r="CH152" s="111"/>
      <c r="CI152" s="111"/>
      <c r="CJ152" s="111"/>
      <c r="CK152" s="111"/>
      <c r="CL152" s="111"/>
      <c r="CM152" s="111"/>
      <c r="CN152" s="111"/>
      <c r="CO152" s="111"/>
      <c r="CP152" s="111"/>
      <c r="CQ152" s="111"/>
      <c r="CR152" s="111"/>
      <c r="CS152" s="111"/>
      <c r="CT152" s="111"/>
      <c r="CU152" s="111"/>
      <c r="CV152" s="111"/>
      <c r="CW152" s="111"/>
      <c r="CX152" s="111"/>
      <c r="CY152" s="111"/>
      <c r="CZ152" s="111"/>
      <c r="DA152" s="111"/>
      <c r="DB152" s="111"/>
      <c r="DC152" s="111"/>
      <c r="DD152" s="111"/>
      <c r="DE152" s="112"/>
      <c r="DF152" s="112"/>
      <c r="DG152" s="112"/>
      <c r="DH152" s="112"/>
      <c r="DI152" s="112"/>
      <c r="DJ152" s="112"/>
      <c r="DK152" s="112"/>
      <c r="DL152" s="112"/>
      <c r="DM152" s="112"/>
      <c r="DN152" s="112"/>
      <c r="DO152" s="112"/>
      <c r="DP152" s="112"/>
      <c r="DQ152" s="112"/>
      <c r="DR152" s="112"/>
      <c r="DS152" s="112"/>
      <c r="DT152" s="112"/>
      <c r="DU152" s="112"/>
      <c r="DV152" s="112"/>
      <c r="DW152" s="112"/>
      <c r="DX152" s="112"/>
      <c r="DY152" s="112"/>
      <c r="DZ152" s="112"/>
      <c r="EA152" s="112"/>
      <c r="EB152" s="112"/>
      <c r="EC152" s="112"/>
      <c r="ED152" s="112"/>
      <c r="EE152" s="111"/>
      <c r="EF152" s="111"/>
      <c r="EG152" s="111"/>
      <c r="EH152" s="111"/>
      <c r="EI152" s="111"/>
      <c r="EJ152" s="111"/>
      <c r="EK152" s="111"/>
      <c r="EL152" s="111"/>
      <c r="EM152" s="111"/>
      <c r="EN152" s="111"/>
      <c r="EO152" s="111"/>
      <c r="EP152" s="111"/>
      <c r="EQ152" s="111"/>
      <c r="ER152" s="111"/>
      <c r="ES152" s="111"/>
      <c r="ET152" s="111"/>
      <c r="EU152" s="111"/>
      <c r="EV152" s="111"/>
      <c r="EW152" s="111"/>
      <c r="EX152" s="111"/>
      <c r="EY152" s="111"/>
      <c r="EZ152" s="111"/>
      <c r="FA152" s="111"/>
      <c r="FB152" s="111"/>
      <c r="FC152" s="111"/>
      <c r="FD152" s="111"/>
      <c r="FE152" s="111"/>
      <c r="FF152" s="111"/>
      <c r="FG152" s="111"/>
      <c r="FH152" s="111"/>
      <c r="FI152" s="111"/>
      <c r="FJ152" s="111"/>
      <c r="FK152" s="111"/>
      <c r="FL152" s="111"/>
      <c r="FM152" s="111"/>
      <c r="FN152" s="111"/>
    </row>
    <row r="153" spans="1:170" s="14" customFormat="1" ht="18" hidden="1" customHeight="1">
      <c r="A153" s="1808"/>
      <c r="B153" s="30"/>
      <c r="C153" s="1029" t="s">
        <v>758</v>
      </c>
      <c r="D153" s="932"/>
      <c r="E153" s="932"/>
      <c r="F153" s="932"/>
      <c r="G153" s="932"/>
      <c r="H153" s="932"/>
      <c r="I153" s="937" t="s">
        <v>251</v>
      </c>
      <c r="J153" s="934" t="s">
        <v>272</v>
      </c>
      <c r="K153" s="934"/>
      <c r="L153" s="938"/>
      <c r="M153" s="936">
        <v>0.7</v>
      </c>
      <c r="N153" s="936"/>
      <c r="O153" s="936"/>
      <c r="P153" s="493">
        <v>0</v>
      </c>
      <c r="Q153" s="920">
        <v>0</v>
      </c>
      <c r="R153" s="493">
        <v>0</v>
      </c>
      <c r="S153" s="127"/>
      <c r="T153" s="169"/>
      <c r="U153" s="169"/>
      <c r="V153" s="126"/>
      <c r="W153" s="306"/>
      <c r="X153" s="306"/>
      <c r="Y153" s="126"/>
      <c r="Z153" s="306"/>
      <c r="AA153" s="306"/>
      <c r="AB153" s="127"/>
      <c r="AC153" s="169"/>
      <c r="AD153" s="169"/>
      <c r="AE153" s="129"/>
      <c r="AF153" s="129"/>
      <c r="AG153" s="129"/>
      <c r="AH153" s="129"/>
      <c r="AI153" s="129"/>
      <c r="AJ153" s="129"/>
      <c r="AK153" s="129"/>
      <c r="AL153" s="129"/>
      <c r="AM153" s="129"/>
      <c r="AN153" s="129"/>
      <c r="AO153" s="129"/>
      <c r="AP153" s="163"/>
      <c r="AQ153" s="163"/>
      <c r="AR153" s="111"/>
      <c r="AS153" s="111"/>
      <c r="AT153" s="111"/>
      <c r="AU153" s="111"/>
      <c r="AV153" s="111"/>
      <c r="AW153" s="111"/>
      <c r="AX153" s="111"/>
      <c r="AY153" s="111"/>
      <c r="AZ153" s="111"/>
      <c r="BA153" s="111"/>
      <c r="BB153" s="111"/>
      <c r="BC153" s="111"/>
      <c r="BD153" s="111"/>
      <c r="BE153" s="111"/>
      <c r="BF153" s="111"/>
      <c r="BG153" s="111"/>
      <c r="BH153" s="111"/>
      <c r="BI153" s="111"/>
      <c r="BJ153" s="111"/>
      <c r="BK153" s="111"/>
      <c r="BL153" s="111"/>
      <c r="BM153" s="111"/>
      <c r="BN153" s="111"/>
      <c r="BO153" s="111"/>
      <c r="BP153" s="111"/>
      <c r="BQ153" s="111"/>
      <c r="BR153" s="111"/>
      <c r="BS153" s="111"/>
      <c r="BT153" s="111"/>
      <c r="BU153" s="111"/>
      <c r="BV153" s="111"/>
      <c r="BW153" s="111"/>
      <c r="BX153" s="111"/>
      <c r="BY153" s="111"/>
      <c r="BZ153" s="111"/>
      <c r="CA153" s="111"/>
      <c r="CB153" s="111"/>
      <c r="CC153" s="111"/>
      <c r="CD153" s="111"/>
      <c r="CE153" s="111"/>
      <c r="CF153" s="111"/>
      <c r="CG153" s="111"/>
      <c r="CH153" s="111"/>
      <c r="CI153" s="111"/>
      <c r="CJ153" s="111"/>
      <c r="CK153" s="111"/>
      <c r="CL153" s="111"/>
      <c r="CM153" s="111"/>
      <c r="CN153" s="111"/>
      <c r="CO153" s="111"/>
      <c r="CP153" s="111"/>
      <c r="CQ153" s="111"/>
      <c r="CR153" s="111"/>
      <c r="CS153" s="111"/>
      <c r="CT153" s="111"/>
      <c r="CU153" s="111"/>
      <c r="CV153" s="111"/>
      <c r="CW153" s="111"/>
      <c r="CX153" s="111"/>
      <c r="CY153" s="111"/>
      <c r="CZ153" s="111"/>
      <c r="DA153" s="111"/>
      <c r="DB153" s="111"/>
      <c r="DC153" s="111"/>
      <c r="DD153" s="111"/>
      <c r="DE153" s="111"/>
      <c r="DF153" s="111"/>
      <c r="DG153" s="111"/>
      <c r="DH153" s="111"/>
      <c r="DI153" s="111"/>
      <c r="DJ153" s="111"/>
      <c r="DK153" s="111"/>
      <c r="DL153" s="112"/>
      <c r="DM153" s="112"/>
      <c r="DN153" s="112"/>
      <c r="DO153" s="112"/>
      <c r="DP153" s="112"/>
      <c r="DQ153" s="112"/>
      <c r="DR153" s="112"/>
      <c r="DS153" s="112"/>
      <c r="DT153" s="112"/>
      <c r="DU153" s="112"/>
      <c r="DV153" s="112"/>
      <c r="DW153" s="112"/>
      <c r="DX153" s="112"/>
      <c r="DY153" s="112"/>
      <c r="DZ153" s="112"/>
      <c r="EA153" s="112"/>
      <c r="EB153" s="112"/>
      <c r="EC153" s="112"/>
      <c r="ED153" s="112"/>
      <c r="EE153" s="111"/>
      <c r="EF153" s="111"/>
      <c r="EG153" s="111"/>
      <c r="EH153" s="111"/>
      <c r="EI153" s="111"/>
      <c r="EJ153" s="111"/>
      <c r="EK153" s="111"/>
      <c r="EL153" s="111"/>
      <c r="EM153" s="111"/>
      <c r="EN153" s="111"/>
      <c r="EO153" s="111"/>
      <c r="EP153" s="111"/>
      <c r="EQ153" s="111"/>
      <c r="ER153" s="111"/>
      <c r="ES153" s="111"/>
      <c r="ET153" s="111"/>
      <c r="EU153" s="111"/>
      <c r="EV153" s="111"/>
      <c r="EW153" s="111"/>
      <c r="EX153" s="111"/>
      <c r="EY153" s="111"/>
      <c r="EZ153" s="111"/>
      <c r="FA153" s="111"/>
      <c r="FB153" s="111"/>
      <c r="FC153" s="111"/>
      <c r="FD153" s="111"/>
      <c r="FE153" s="111"/>
      <c r="FF153" s="111"/>
      <c r="FG153" s="111"/>
      <c r="FH153" s="111"/>
      <c r="FI153" s="111"/>
      <c r="FJ153" s="111"/>
      <c r="FK153" s="111"/>
      <c r="FL153" s="111"/>
      <c r="FM153" s="111"/>
      <c r="FN153" s="111"/>
    </row>
    <row r="154" spans="1:170" s="14" customFormat="1" ht="18" hidden="1" customHeight="1">
      <c r="A154" s="1808"/>
      <c r="B154" s="30"/>
      <c r="C154" s="1030" t="s">
        <v>759</v>
      </c>
      <c r="D154" s="939"/>
      <c r="E154" s="940"/>
      <c r="F154" s="941"/>
      <c r="G154" s="941"/>
      <c r="H154" s="941"/>
      <c r="I154" s="933" t="s">
        <v>228</v>
      </c>
      <c r="J154" s="934" t="s">
        <v>229</v>
      </c>
      <c r="K154" s="934"/>
      <c r="L154" s="942"/>
      <c r="M154" s="938">
        <f>IF(M32="",0,(288.58*(1.098+21/100)^(8.02))/((273+20)*461.5)*M32/100*1000)</f>
        <v>5.514958704941062</v>
      </c>
      <c r="N154" s="943">
        <f>M154</f>
        <v>5.514958704941062</v>
      </c>
      <c r="O154" s="943">
        <f>M154</f>
        <v>5.514958704941062</v>
      </c>
      <c r="P154" s="493">
        <v>0</v>
      </c>
      <c r="Q154" s="920">
        <v>0</v>
      </c>
      <c r="R154" s="493">
        <v>0</v>
      </c>
      <c r="S154" s="127"/>
      <c r="T154" s="169"/>
      <c r="U154" s="169"/>
      <c r="V154" s="126"/>
      <c r="W154" s="306"/>
      <c r="X154" s="306"/>
      <c r="Y154" s="126"/>
      <c r="Z154" s="306"/>
      <c r="AA154" s="306"/>
      <c r="AB154" s="127"/>
      <c r="AC154" s="169"/>
      <c r="AD154" s="169"/>
      <c r="AE154" s="129"/>
      <c r="AF154" s="129"/>
      <c r="AG154" s="129"/>
      <c r="AH154" s="129"/>
      <c r="AI154" s="129"/>
      <c r="AJ154" s="129"/>
      <c r="AK154" s="129"/>
      <c r="AL154" s="129"/>
      <c r="AM154" s="129"/>
      <c r="AN154" s="129"/>
      <c r="AO154" s="129"/>
      <c r="AP154" s="163"/>
      <c r="AQ154" s="163"/>
      <c r="AR154" s="111"/>
      <c r="AS154" s="111"/>
      <c r="AT154" s="111"/>
      <c r="AU154" s="111"/>
      <c r="AV154" s="111"/>
      <c r="AW154" s="111"/>
      <c r="AX154" s="111"/>
      <c r="AY154" s="111"/>
      <c r="AZ154" s="111"/>
      <c r="BA154" s="111"/>
      <c r="BB154" s="111"/>
      <c r="BC154" s="111"/>
      <c r="BD154" s="111"/>
      <c r="BE154" s="111"/>
      <c r="BF154" s="111"/>
      <c r="BG154" s="111"/>
      <c r="BH154" s="111"/>
      <c r="BI154" s="111"/>
      <c r="BJ154" s="111"/>
      <c r="BK154" s="111"/>
      <c r="BL154" s="111"/>
      <c r="BM154" s="111"/>
      <c r="BN154" s="111"/>
      <c r="BO154" s="111"/>
      <c r="BP154" s="111"/>
      <c r="BQ154" s="111"/>
      <c r="BR154" s="111"/>
      <c r="BS154" s="111"/>
      <c r="BT154" s="111"/>
      <c r="BU154" s="111"/>
      <c r="BV154" s="111"/>
      <c r="BW154" s="111"/>
      <c r="BX154" s="111"/>
      <c r="BY154" s="111"/>
      <c r="BZ154" s="111"/>
      <c r="CA154" s="111"/>
      <c r="CB154" s="111"/>
      <c r="CC154" s="111"/>
      <c r="CD154" s="111"/>
      <c r="CE154" s="111"/>
      <c r="CF154" s="111"/>
      <c r="CG154" s="111"/>
      <c r="CH154" s="111"/>
      <c r="CI154" s="111"/>
      <c r="CJ154" s="111"/>
      <c r="CK154" s="111"/>
      <c r="CL154" s="111"/>
      <c r="CM154" s="111"/>
      <c r="CN154" s="111"/>
      <c r="CO154" s="111"/>
      <c r="CP154" s="111"/>
      <c r="CQ154" s="111"/>
      <c r="CR154" s="111"/>
      <c r="CS154" s="111"/>
      <c r="CT154" s="111"/>
      <c r="CU154" s="111"/>
      <c r="CV154" s="111"/>
      <c r="CW154" s="111"/>
      <c r="CX154" s="111"/>
      <c r="CY154" s="111"/>
      <c r="CZ154" s="111"/>
      <c r="DA154" s="111"/>
      <c r="DB154" s="111"/>
      <c r="DC154" s="111"/>
      <c r="DD154" s="111"/>
      <c r="DE154" s="111"/>
      <c r="DF154" s="111"/>
      <c r="DG154" s="111"/>
      <c r="DH154" s="111"/>
      <c r="DI154" s="111"/>
      <c r="DJ154" s="111"/>
      <c r="DK154" s="111"/>
      <c r="DL154" s="112"/>
      <c r="DM154" s="112"/>
      <c r="DN154" s="112"/>
      <c r="DO154" s="112"/>
      <c r="DP154" s="112"/>
      <c r="DQ154" s="112"/>
      <c r="DR154" s="112"/>
      <c r="DS154" s="112"/>
      <c r="DT154" s="112"/>
      <c r="DU154" s="112"/>
      <c r="DV154" s="112"/>
      <c r="DW154" s="112"/>
      <c r="DX154" s="112"/>
      <c r="DY154" s="112"/>
      <c r="DZ154" s="112"/>
      <c r="EA154" s="112"/>
      <c r="EB154" s="112"/>
      <c r="EC154" s="112"/>
      <c r="ED154" s="112"/>
      <c r="EE154" s="111"/>
      <c r="EF154" s="111"/>
      <c r="EG154" s="111"/>
      <c r="EH154" s="111"/>
      <c r="EI154" s="111"/>
      <c r="EJ154" s="111"/>
      <c r="EK154" s="111"/>
      <c r="EL154" s="111"/>
      <c r="EM154" s="111"/>
      <c r="EN154" s="111"/>
      <c r="EO154" s="111"/>
      <c r="EP154" s="111"/>
      <c r="EQ154" s="111"/>
      <c r="ER154" s="111"/>
      <c r="ES154" s="111"/>
      <c r="ET154" s="111"/>
      <c r="EU154" s="111"/>
      <c r="EV154" s="111"/>
      <c r="EW154" s="111"/>
      <c r="EX154" s="111"/>
      <c r="EY154" s="111"/>
      <c r="EZ154" s="111"/>
      <c r="FA154" s="111"/>
      <c r="FB154" s="111"/>
      <c r="FC154" s="111"/>
      <c r="FD154" s="111"/>
      <c r="FE154" s="111"/>
      <c r="FF154" s="111"/>
      <c r="FG154" s="111"/>
      <c r="FH154" s="111"/>
      <c r="FI154" s="111"/>
      <c r="FJ154" s="111"/>
      <c r="FK154" s="111"/>
      <c r="FL154" s="111"/>
      <c r="FM154" s="111"/>
      <c r="FN154" s="111"/>
    </row>
    <row r="155" spans="1:170" s="14" customFormat="1" ht="18" hidden="1" customHeight="1">
      <c r="A155" s="1808"/>
      <c r="B155" s="30"/>
      <c r="C155" s="1030" t="s">
        <v>760</v>
      </c>
      <c r="D155" s="939"/>
      <c r="E155" s="940"/>
      <c r="F155" s="941" t="s">
        <v>222</v>
      </c>
      <c r="G155" s="941"/>
      <c r="H155" s="941"/>
      <c r="I155" s="933" t="s">
        <v>230</v>
      </c>
      <c r="J155" s="934" t="s">
        <v>229</v>
      </c>
      <c r="K155" s="934"/>
      <c r="L155" s="942"/>
      <c r="M155" s="944">
        <v>1.1499999999999999</v>
      </c>
      <c r="N155" s="938"/>
      <c r="O155" s="938"/>
      <c r="P155" s="493">
        <v>0</v>
      </c>
      <c r="Q155" s="920">
        <v>0</v>
      </c>
      <c r="R155" s="493">
        <v>0</v>
      </c>
      <c r="S155" s="127"/>
      <c r="T155" s="169"/>
      <c r="U155" s="169"/>
      <c r="V155" s="126"/>
      <c r="W155" s="306"/>
      <c r="X155" s="306"/>
      <c r="Y155" s="126"/>
      <c r="Z155" s="306"/>
      <c r="AA155" s="306"/>
      <c r="AB155" s="127"/>
      <c r="AC155" s="169"/>
      <c r="AD155" s="169"/>
      <c r="AE155" s="129"/>
      <c r="AF155" s="129"/>
      <c r="AG155" s="129"/>
      <c r="AH155" s="129"/>
      <c r="AI155" s="129"/>
      <c r="AJ155" s="129"/>
      <c r="AK155" s="129"/>
      <c r="AL155" s="129"/>
      <c r="AM155" s="129"/>
      <c r="AN155" s="129"/>
      <c r="AO155" s="129"/>
      <c r="AP155" s="163"/>
      <c r="AQ155" s="163"/>
      <c r="AR155" s="111"/>
      <c r="AS155" s="111"/>
      <c r="AT155" s="111"/>
      <c r="AU155" s="111"/>
      <c r="AV155" s="111"/>
      <c r="AW155" s="111"/>
      <c r="AX155" s="111"/>
      <c r="AY155" s="111"/>
      <c r="AZ155" s="111"/>
      <c r="BA155" s="111"/>
      <c r="BB155" s="111"/>
      <c r="BC155" s="111"/>
      <c r="BD155" s="111"/>
      <c r="BE155" s="111"/>
      <c r="BF155" s="111"/>
      <c r="BG155" s="111"/>
      <c r="BH155" s="111"/>
      <c r="BI155" s="111"/>
      <c r="BJ155" s="111"/>
      <c r="BK155" s="111"/>
      <c r="BL155" s="111"/>
      <c r="BM155" s="111"/>
      <c r="BN155" s="111"/>
      <c r="BO155" s="111"/>
      <c r="BP155" s="111"/>
      <c r="BQ155" s="111"/>
      <c r="BR155" s="111"/>
      <c r="BS155" s="111"/>
      <c r="BT155" s="111"/>
      <c r="BU155" s="111"/>
      <c r="BV155" s="111"/>
      <c r="BW155" s="111"/>
      <c r="BX155" s="111"/>
      <c r="BY155" s="111"/>
      <c r="BZ155" s="111"/>
      <c r="CA155" s="111"/>
      <c r="CB155" s="111"/>
      <c r="CC155" s="111"/>
      <c r="CD155" s="111"/>
      <c r="CE155" s="111"/>
      <c r="CF155" s="111"/>
      <c r="CG155" s="111"/>
      <c r="CH155" s="111"/>
      <c r="CI155" s="111"/>
      <c r="CJ155" s="111"/>
      <c r="CK155" s="111"/>
      <c r="CL155" s="111"/>
      <c r="CM155" s="111"/>
      <c r="CN155" s="111"/>
      <c r="CO155" s="111"/>
      <c r="CP155" s="111"/>
      <c r="CQ155" s="111"/>
      <c r="CR155" s="111"/>
      <c r="CS155" s="111"/>
      <c r="CT155" s="111"/>
      <c r="CU155" s="111"/>
      <c r="CV155" s="111"/>
      <c r="CW155" s="111"/>
      <c r="CX155" s="111"/>
      <c r="CY155" s="111"/>
      <c r="CZ155" s="111"/>
      <c r="DA155" s="111"/>
      <c r="DB155" s="111"/>
      <c r="DC155" s="111"/>
      <c r="DD155" s="111"/>
      <c r="DE155" s="111"/>
      <c r="DF155" s="111"/>
      <c r="DG155" s="111"/>
      <c r="DH155" s="111"/>
      <c r="DI155" s="111"/>
      <c r="DJ155" s="111"/>
      <c r="DK155" s="111"/>
      <c r="DL155" s="112"/>
      <c r="DM155" s="112"/>
      <c r="DN155" s="112"/>
      <c r="DO155" s="112"/>
      <c r="DP155" s="112"/>
      <c r="DQ155" s="112"/>
      <c r="DR155" s="112"/>
      <c r="DS155" s="112"/>
      <c r="DT155" s="112"/>
      <c r="DU155" s="112"/>
      <c r="DV155" s="112"/>
      <c r="DW155" s="112"/>
      <c r="DX155" s="112"/>
      <c r="DY155" s="112"/>
      <c r="DZ155" s="112"/>
      <c r="EA155" s="112"/>
      <c r="EB155" s="112"/>
      <c r="EC155" s="112"/>
      <c r="ED155" s="112"/>
      <c r="EE155" s="111"/>
      <c r="EF155" s="111"/>
      <c r="EG155" s="111"/>
      <c r="EH155" s="111"/>
      <c r="EI155" s="111"/>
      <c r="EJ155" s="111"/>
      <c r="EK155" s="111"/>
      <c r="EL155" s="111"/>
      <c r="EM155" s="111"/>
      <c r="EN155" s="111"/>
      <c r="EO155" s="111"/>
      <c r="EP155" s="111"/>
      <c r="EQ155" s="111"/>
      <c r="ER155" s="111"/>
      <c r="ES155" s="111"/>
      <c r="ET155" s="111"/>
      <c r="EU155" s="111"/>
      <c r="EV155" s="111"/>
      <c r="EW155" s="111"/>
      <c r="EX155" s="111"/>
      <c r="EY155" s="111"/>
      <c r="EZ155" s="111"/>
      <c r="FA155" s="111"/>
      <c r="FB155" s="111"/>
      <c r="FC155" s="111"/>
      <c r="FD155" s="111"/>
      <c r="FE155" s="111"/>
      <c r="FF155" s="111"/>
      <c r="FG155" s="111"/>
      <c r="FH155" s="111"/>
      <c r="FI155" s="111"/>
      <c r="FJ155" s="111"/>
      <c r="FK155" s="111"/>
      <c r="FL155" s="111"/>
      <c r="FM155" s="111"/>
      <c r="FN155" s="111"/>
    </row>
    <row r="156" spans="1:170" s="14" customFormat="1" ht="18" hidden="1" customHeight="1">
      <c r="A156" s="1808"/>
      <c r="B156" s="30"/>
      <c r="C156" s="1030" t="s">
        <v>761</v>
      </c>
      <c r="D156" s="939"/>
      <c r="E156" s="940"/>
      <c r="F156" s="941"/>
      <c r="G156" s="941"/>
      <c r="H156" s="941"/>
      <c r="I156" s="945" t="s">
        <v>220</v>
      </c>
      <c r="J156" s="934" t="s">
        <v>221</v>
      </c>
      <c r="K156" s="934"/>
      <c r="L156" s="942"/>
      <c r="M156" s="938">
        <v>1.1399999999999999</v>
      </c>
      <c r="N156" s="938"/>
      <c r="O156" s="938"/>
      <c r="P156" s="493">
        <v>0</v>
      </c>
      <c r="Q156" s="920">
        <v>0</v>
      </c>
      <c r="R156" s="493">
        <v>0</v>
      </c>
      <c r="S156" s="127" t="s">
        <v>190</v>
      </c>
      <c r="T156" s="169"/>
      <c r="U156" s="169"/>
      <c r="V156" s="126"/>
      <c r="W156" s="306"/>
      <c r="X156" s="306"/>
      <c r="Y156" s="126"/>
      <c r="Z156" s="306"/>
      <c r="AA156" s="306"/>
      <c r="AB156" s="127"/>
      <c r="AC156" s="169"/>
      <c r="AD156" s="169"/>
      <c r="AE156" s="129"/>
      <c r="AF156" s="129"/>
      <c r="AG156" s="129"/>
      <c r="AH156" s="129"/>
      <c r="AI156" s="129"/>
      <c r="AJ156" s="129"/>
      <c r="AK156" s="129"/>
      <c r="AL156" s="129"/>
      <c r="AM156" s="129"/>
      <c r="AN156" s="129"/>
      <c r="AO156" s="129"/>
      <c r="AP156" s="163"/>
      <c r="AQ156" s="163"/>
      <c r="AR156" s="111"/>
      <c r="AS156" s="111"/>
      <c r="AT156" s="111"/>
      <c r="AU156" s="111"/>
      <c r="AV156" s="111"/>
      <c r="AW156" s="111"/>
      <c r="AX156" s="111"/>
      <c r="AY156" s="111"/>
      <c r="AZ156" s="111"/>
      <c r="BA156" s="111"/>
      <c r="BB156" s="111"/>
      <c r="BC156" s="111"/>
      <c r="BD156" s="111"/>
      <c r="BE156" s="111"/>
      <c r="BF156" s="111"/>
      <c r="BG156" s="111"/>
      <c r="BH156" s="111"/>
      <c r="BI156" s="111"/>
      <c r="BJ156" s="111"/>
      <c r="BK156" s="111"/>
      <c r="BL156" s="111"/>
      <c r="BM156" s="111"/>
      <c r="BN156" s="111"/>
      <c r="BO156" s="111"/>
      <c r="BP156" s="111"/>
      <c r="BQ156" s="111"/>
      <c r="BR156" s="111"/>
      <c r="BS156" s="111"/>
      <c r="BT156" s="111"/>
      <c r="BU156" s="111"/>
      <c r="BV156" s="111"/>
      <c r="BW156" s="111"/>
      <c r="BX156" s="111"/>
      <c r="BY156" s="111"/>
      <c r="BZ156" s="111"/>
      <c r="CA156" s="111"/>
      <c r="CB156" s="111"/>
      <c r="CC156" s="111"/>
      <c r="CD156" s="111"/>
      <c r="CE156" s="111"/>
      <c r="CF156" s="111"/>
      <c r="CG156" s="111"/>
      <c r="CH156" s="111"/>
      <c r="CI156" s="111"/>
      <c r="CJ156" s="111"/>
      <c r="CK156" s="111"/>
      <c r="CL156" s="111"/>
      <c r="CM156" s="111"/>
      <c r="CN156" s="111"/>
      <c r="CO156" s="111"/>
      <c r="CP156" s="111"/>
      <c r="CQ156" s="111"/>
      <c r="CR156" s="111"/>
      <c r="CS156" s="111"/>
      <c r="CT156" s="111"/>
      <c r="CU156" s="111"/>
      <c r="CV156" s="111"/>
      <c r="CW156" s="111"/>
      <c r="CX156" s="111"/>
      <c r="CY156" s="111"/>
      <c r="CZ156" s="111"/>
      <c r="DA156" s="111"/>
      <c r="DB156" s="111"/>
      <c r="DC156" s="111"/>
      <c r="DD156" s="111"/>
      <c r="DE156" s="111"/>
      <c r="DF156" s="111"/>
      <c r="DG156" s="111"/>
      <c r="DH156" s="111"/>
      <c r="DI156" s="111"/>
      <c r="DJ156" s="111"/>
      <c r="DK156" s="111"/>
      <c r="DL156" s="112"/>
      <c r="DM156" s="112"/>
      <c r="DN156" s="112"/>
      <c r="DO156" s="112"/>
      <c r="DP156" s="112"/>
      <c r="DQ156" s="112"/>
      <c r="DR156" s="112"/>
      <c r="DS156" s="112"/>
      <c r="DT156" s="112"/>
      <c r="DU156" s="112"/>
      <c r="DV156" s="112"/>
      <c r="DW156" s="112"/>
      <c r="DX156" s="112"/>
      <c r="DY156" s="112"/>
      <c r="DZ156" s="112"/>
      <c r="EA156" s="112"/>
      <c r="EB156" s="112"/>
      <c r="EC156" s="112"/>
      <c r="ED156" s="112"/>
      <c r="EE156" s="111"/>
      <c r="EF156" s="111"/>
      <c r="EG156" s="111"/>
      <c r="EH156" s="111"/>
      <c r="EI156" s="111"/>
      <c r="EJ156" s="111"/>
      <c r="EK156" s="111"/>
      <c r="EL156" s="111"/>
      <c r="EM156" s="111"/>
      <c r="EN156" s="111"/>
      <c r="EO156" s="111"/>
      <c r="EP156" s="111"/>
      <c r="EQ156" s="111"/>
      <c r="ER156" s="111"/>
      <c r="ES156" s="111"/>
      <c r="ET156" s="111"/>
      <c r="EU156" s="111"/>
      <c r="EV156" s="111"/>
      <c r="EW156" s="111"/>
      <c r="EX156" s="111"/>
      <c r="EY156" s="111"/>
      <c r="EZ156" s="111"/>
      <c r="FA156" s="111"/>
      <c r="FB156" s="111"/>
      <c r="FC156" s="111"/>
      <c r="FD156" s="111"/>
      <c r="FE156" s="111"/>
      <c r="FF156" s="111"/>
      <c r="FG156" s="111"/>
      <c r="FH156" s="111"/>
      <c r="FI156" s="111"/>
      <c r="FJ156" s="111"/>
      <c r="FK156" s="111"/>
      <c r="FL156" s="111"/>
      <c r="FM156" s="111"/>
      <c r="FN156" s="111"/>
    </row>
    <row r="157" spans="1:170" s="14" customFormat="1" ht="18" hidden="1" customHeight="1">
      <c r="A157" s="1808"/>
      <c r="B157" s="30"/>
      <c r="C157" s="1030" t="s">
        <v>762</v>
      </c>
      <c r="D157" s="939"/>
      <c r="E157" s="940"/>
      <c r="F157" s="941"/>
      <c r="G157" s="941"/>
      <c r="H157" s="941"/>
      <c r="I157" s="933" t="s">
        <v>673</v>
      </c>
      <c r="J157" s="934" t="s">
        <v>239</v>
      </c>
      <c r="K157" s="934"/>
      <c r="L157" s="942"/>
      <c r="M157" s="938" t="e">
        <f>IF(M128*($M154-$M155)*(1-$M153)-IF(M130="1-stufig",$M61*$M49/$M48,$M61)-M152&gt;0,M128*($M154-$M155)*(1-$M153)-IF(M130="1-stufig",$M61*$M49/$M48,$M61)-M152,0)</f>
        <v>#N/A</v>
      </c>
      <c r="N157" s="938" t="e">
        <f>IF(N128*($M154-$M155)*(1-$M153)-IF(N130="1-stufig",$M61*$M49/$M48,$M61)-N152&gt;0,N128*($M154-$M155)*(1-$M153)-IF(N130="1-stufig",$M61*$M49/$M48,$M61)-N152,0)</f>
        <v>#N/A</v>
      </c>
      <c r="O157" s="938" t="e">
        <f>IF(O128*($M154-$M155)*(1-$M153)-IF(O130="1-stufig",$M61*$M49/$M48,$M61)-O152&gt;0,O128*($M154-$M155)*(1-$M153)-IF(O130="1-stufig",$M61*$M49/$M48,$M61)-O152,0)</f>
        <v>#N/A</v>
      </c>
      <c r="P157" s="493">
        <v>0</v>
      </c>
      <c r="Q157" s="920">
        <v>0</v>
      </c>
      <c r="R157" s="493">
        <v>0</v>
      </c>
      <c r="S157" s="127"/>
      <c r="T157" s="169"/>
      <c r="U157" s="169"/>
      <c r="V157" s="126"/>
      <c r="W157" s="306"/>
      <c r="X157" s="306"/>
      <c r="Y157" s="126"/>
      <c r="Z157" s="306"/>
      <c r="AA157" s="306"/>
      <c r="AB157" s="127"/>
      <c r="AC157" s="169"/>
      <c r="AD157" s="169"/>
      <c r="AE157" s="129"/>
      <c r="AF157" s="129"/>
      <c r="AG157" s="129"/>
      <c r="AH157" s="129"/>
      <c r="AI157" s="129"/>
      <c r="AJ157" s="129"/>
      <c r="AK157" s="129"/>
      <c r="AL157" s="129"/>
      <c r="AM157" s="129"/>
      <c r="AN157" s="129"/>
      <c r="AO157" s="129"/>
      <c r="AP157" s="163"/>
      <c r="AQ157" s="163"/>
      <c r="AR157" s="111"/>
      <c r="AS157" s="111"/>
      <c r="AT157" s="111"/>
      <c r="AU157" s="111"/>
      <c r="AV157" s="111"/>
      <c r="AW157" s="111"/>
      <c r="AX157" s="111"/>
      <c r="AY157" s="111"/>
      <c r="AZ157" s="111"/>
      <c r="BA157" s="111"/>
      <c r="BB157" s="111"/>
      <c r="BC157" s="111"/>
      <c r="BD157" s="111"/>
      <c r="BE157" s="111"/>
      <c r="BF157" s="111"/>
      <c r="BG157" s="111"/>
      <c r="BH157" s="111"/>
      <c r="BI157" s="111"/>
      <c r="BJ157" s="111"/>
      <c r="BK157" s="111"/>
      <c r="BL157" s="111"/>
      <c r="BM157" s="111"/>
      <c r="BN157" s="111"/>
      <c r="BO157" s="111"/>
      <c r="BP157" s="111"/>
      <c r="BQ157" s="111"/>
      <c r="BR157" s="111"/>
      <c r="BS157" s="111"/>
      <c r="BT157" s="111"/>
      <c r="BU157" s="111"/>
      <c r="BV157" s="111"/>
      <c r="BW157" s="111"/>
      <c r="BX157" s="111"/>
      <c r="BY157" s="111"/>
      <c r="BZ157" s="111"/>
      <c r="CA157" s="111"/>
      <c r="CB157" s="111"/>
      <c r="CC157" s="111"/>
      <c r="CD157" s="111"/>
      <c r="CE157" s="111"/>
      <c r="CF157" s="111"/>
      <c r="CG157" s="111"/>
      <c r="CH157" s="111"/>
      <c r="CI157" s="111"/>
      <c r="CJ157" s="111"/>
      <c r="CK157" s="111"/>
      <c r="CL157" s="111"/>
      <c r="CM157" s="111"/>
      <c r="CN157" s="111"/>
      <c r="CO157" s="111"/>
      <c r="CP157" s="111"/>
      <c r="CQ157" s="111"/>
      <c r="CR157" s="111"/>
      <c r="CS157" s="111"/>
      <c r="CT157" s="111"/>
      <c r="CU157" s="111"/>
      <c r="CV157" s="111"/>
      <c r="CW157" s="111"/>
      <c r="CX157" s="111"/>
      <c r="CY157" s="111"/>
      <c r="CZ157" s="111"/>
      <c r="DA157" s="111"/>
      <c r="DB157" s="111"/>
      <c r="DC157" s="111"/>
      <c r="DD157" s="111"/>
      <c r="DE157" s="111"/>
      <c r="DF157" s="111"/>
      <c r="DG157" s="111"/>
      <c r="DH157" s="111"/>
      <c r="DI157" s="111"/>
      <c r="DJ157" s="111"/>
      <c r="DK157" s="111"/>
      <c r="DL157" s="112"/>
      <c r="DM157" s="112"/>
      <c r="DN157" s="112"/>
      <c r="DO157" s="112"/>
      <c r="DP157" s="112"/>
      <c r="DQ157" s="112"/>
      <c r="DR157" s="112"/>
      <c r="DS157" s="112"/>
      <c r="DT157" s="112"/>
      <c r="DU157" s="112"/>
      <c r="DV157" s="112"/>
      <c r="DW157" s="112"/>
      <c r="DX157" s="112"/>
      <c r="DY157" s="112"/>
      <c r="DZ157" s="112"/>
      <c r="EA157" s="112"/>
      <c r="EB157" s="112"/>
      <c r="EC157" s="112"/>
      <c r="ED157" s="112"/>
      <c r="EE157" s="111"/>
      <c r="EF157" s="111"/>
      <c r="EG157" s="111"/>
      <c r="EH157" s="111"/>
      <c r="EI157" s="111"/>
      <c r="EJ157" s="111"/>
      <c r="EK157" s="111"/>
      <c r="EL157" s="111"/>
      <c r="EM157" s="111"/>
      <c r="EN157" s="111"/>
      <c r="EO157" s="111"/>
      <c r="EP157" s="111"/>
      <c r="EQ157" s="111"/>
      <c r="ER157" s="111"/>
      <c r="ES157" s="111"/>
      <c r="ET157" s="111"/>
      <c r="EU157" s="111"/>
      <c r="EV157" s="111"/>
      <c r="EW157" s="111"/>
      <c r="EX157" s="111"/>
      <c r="EY157" s="111"/>
      <c r="EZ157" s="111"/>
      <c r="FA157" s="111"/>
      <c r="FB157" s="111"/>
      <c r="FC157" s="111"/>
      <c r="FD157" s="111"/>
      <c r="FE157" s="111"/>
      <c r="FF157" s="111"/>
      <c r="FG157" s="111"/>
      <c r="FH157" s="111"/>
      <c r="FI157" s="111"/>
      <c r="FJ157" s="111"/>
      <c r="FK157" s="111"/>
      <c r="FL157" s="111"/>
      <c r="FM157" s="111"/>
      <c r="FN157" s="111"/>
    </row>
    <row r="158" spans="1:170" s="14" customFormat="1" ht="18" hidden="1" customHeight="1">
      <c r="A158" s="1808"/>
      <c r="B158" s="30"/>
      <c r="C158" s="932" t="s">
        <v>763</v>
      </c>
      <c r="D158" s="932"/>
      <c r="E158" s="946"/>
      <c r="F158" s="932"/>
      <c r="G158" s="932"/>
      <c r="H158" s="932"/>
      <c r="I158" s="947" t="s">
        <v>674</v>
      </c>
      <c r="J158" s="934" t="s">
        <v>68</v>
      </c>
      <c r="K158" s="934"/>
      <c r="L158" s="938"/>
      <c r="M158" s="935" t="e">
        <f>M157*0.71</f>
        <v>#N/A</v>
      </c>
      <c r="N158" s="935" t="e">
        <f>N157*0.71</f>
        <v>#N/A</v>
      </c>
      <c r="O158" s="935" t="e">
        <f>O157*0.71</f>
        <v>#N/A</v>
      </c>
      <c r="P158" s="493">
        <v>0</v>
      </c>
      <c r="Q158" s="920">
        <v>0</v>
      </c>
      <c r="R158" s="493">
        <v>0</v>
      </c>
      <c r="S158" s="127"/>
      <c r="T158" s="169"/>
      <c r="U158" s="169"/>
      <c r="V158" s="126"/>
      <c r="W158" s="306"/>
      <c r="X158" s="306"/>
      <c r="Y158" s="126"/>
      <c r="Z158" s="306"/>
      <c r="AA158" s="306"/>
      <c r="AB158" s="127"/>
      <c r="AC158" s="169"/>
      <c r="AD158" s="169"/>
      <c r="AE158" s="129"/>
      <c r="AF158" s="129"/>
      <c r="AG158" s="129"/>
      <c r="AH158" s="129"/>
      <c r="AI158" s="129"/>
      <c r="AJ158" s="129"/>
      <c r="AK158" s="129"/>
      <c r="AL158" s="129"/>
      <c r="AM158" s="129"/>
      <c r="AN158" s="129"/>
      <c r="AO158" s="129"/>
      <c r="AP158" s="163"/>
      <c r="AQ158" s="163"/>
      <c r="AR158" s="111"/>
      <c r="AS158" s="111"/>
      <c r="AT158" s="111"/>
      <c r="AU158" s="111"/>
      <c r="AV158" s="111"/>
      <c r="AW158" s="111"/>
      <c r="AX158" s="111"/>
      <c r="AY158" s="111"/>
      <c r="AZ158" s="111"/>
      <c r="BA158" s="111"/>
      <c r="BB158" s="111"/>
      <c r="BC158" s="111"/>
      <c r="BD158" s="111"/>
      <c r="BE158" s="111"/>
      <c r="BF158" s="111"/>
      <c r="BG158" s="111"/>
      <c r="BH158" s="111"/>
      <c r="BI158" s="111"/>
      <c r="BJ158" s="111"/>
      <c r="BK158" s="111"/>
      <c r="BL158" s="111"/>
      <c r="BM158" s="111"/>
      <c r="BN158" s="111"/>
      <c r="BO158" s="111"/>
      <c r="BP158" s="111"/>
      <c r="BQ158" s="111"/>
      <c r="BR158" s="111"/>
      <c r="BS158" s="111"/>
      <c r="BT158" s="111"/>
      <c r="BU158" s="111"/>
      <c r="BV158" s="111"/>
      <c r="BW158" s="111"/>
      <c r="BX158" s="111"/>
      <c r="BY158" s="111"/>
      <c r="BZ158" s="111"/>
      <c r="CA158" s="111"/>
      <c r="CB158" s="111"/>
      <c r="CC158" s="111"/>
      <c r="CD158" s="111"/>
      <c r="CE158" s="111"/>
      <c r="CF158" s="111"/>
      <c r="CG158" s="111"/>
      <c r="CH158" s="111"/>
      <c r="CI158" s="111"/>
      <c r="CJ158" s="111"/>
      <c r="CK158" s="111"/>
      <c r="CL158" s="111"/>
      <c r="CM158" s="111"/>
      <c r="CN158" s="111"/>
      <c r="CO158" s="111"/>
      <c r="CP158" s="111"/>
      <c r="CQ158" s="111"/>
      <c r="CR158" s="111"/>
      <c r="CS158" s="111"/>
      <c r="CT158" s="111"/>
      <c r="CU158" s="111"/>
      <c r="CV158" s="111"/>
      <c r="CW158" s="111"/>
      <c r="CX158" s="111"/>
      <c r="CY158" s="111"/>
      <c r="CZ158" s="111"/>
      <c r="DA158" s="111"/>
      <c r="DB158" s="111"/>
      <c r="DC158" s="111"/>
      <c r="DD158" s="111"/>
      <c r="DE158" s="112"/>
      <c r="DF158" s="112"/>
      <c r="DG158" s="112"/>
      <c r="DH158" s="112"/>
      <c r="DI158" s="112"/>
      <c r="DJ158" s="112"/>
      <c r="DK158" s="112"/>
      <c r="DL158" s="112"/>
      <c r="DM158" s="112"/>
      <c r="DN158" s="112"/>
      <c r="DO158" s="112"/>
      <c r="DP158" s="112"/>
      <c r="DQ158" s="112"/>
      <c r="DR158" s="112"/>
      <c r="DS158" s="112"/>
      <c r="DT158" s="112"/>
      <c r="DU158" s="112"/>
      <c r="DV158" s="112"/>
      <c r="DW158" s="112"/>
      <c r="DX158" s="112"/>
      <c r="DY158" s="112"/>
      <c r="DZ158" s="112"/>
      <c r="EA158" s="112"/>
      <c r="EB158" s="112"/>
      <c r="EC158" s="112"/>
      <c r="ED158" s="112"/>
      <c r="EE158" s="111"/>
      <c r="EF158" s="111"/>
      <c r="EG158" s="111"/>
      <c r="EH158" s="111"/>
      <c r="EI158" s="111"/>
      <c r="EJ158" s="111"/>
      <c r="EK158" s="111"/>
      <c r="EL158" s="111"/>
      <c r="EM158" s="111"/>
      <c r="EN158" s="111"/>
      <c r="EO158" s="111"/>
      <c r="EP158" s="111"/>
      <c r="EQ158" s="111"/>
      <c r="ER158" s="111"/>
      <c r="ES158" s="111"/>
      <c r="ET158" s="111"/>
      <c r="EU158" s="111"/>
      <c r="EV158" s="111"/>
      <c r="EW158" s="111"/>
      <c r="EX158" s="111"/>
      <c r="EY158" s="111"/>
      <c r="EZ158" s="111"/>
      <c r="FA158" s="111"/>
      <c r="FB158" s="111"/>
      <c r="FC158" s="111"/>
      <c r="FD158" s="111"/>
      <c r="FE158" s="111"/>
      <c r="FF158" s="111"/>
      <c r="FG158" s="111"/>
      <c r="FH158" s="111"/>
      <c r="FI158" s="111"/>
      <c r="FJ158" s="111"/>
      <c r="FK158" s="111"/>
      <c r="FL158" s="111"/>
      <c r="FM158" s="111"/>
      <c r="FN158" s="111"/>
    </row>
    <row r="159" spans="1:170" s="14" customFormat="1" ht="18" hidden="1" customHeight="1">
      <c r="A159" s="1808"/>
      <c r="B159" s="30"/>
      <c r="C159" s="932" t="s">
        <v>745</v>
      </c>
      <c r="D159" s="932"/>
      <c r="E159" s="932"/>
      <c r="F159" s="932"/>
      <c r="G159" s="932"/>
      <c r="H159" s="932"/>
      <c r="I159" s="947" t="s">
        <v>675</v>
      </c>
      <c r="J159" s="934" t="s">
        <v>17</v>
      </c>
      <c r="K159" s="934"/>
      <c r="L159" s="938"/>
      <c r="M159" s="948" t="e">
        <f>IF(M158=0,0,ROUND(M160/M158*1000,-1))</f>
        <v>#N/A</v>
      </c>
      <c r="N159" s="948" t="e">
        <f>IF(N158=0,0,ROUND(N160/N158*1000,-1))</f>
        <v>#N/A</v>
      </c>
      <c r="O159" s="948" t="e">
        <f>IF(O158=0,0,ROUND(O160/O158*1000,-1))</f>
        <v>#N/A</v>
      </c>
      <c r="P159" s="493">
        <v>0</v>
      </c>
      <c r="Q159" s="920">
        <v>0</v>
      </c>
      <c r="R159" s="493">
        <v>0</v>
      </c>
      <c r="S159" s="127"/>
      <c r="T159" s="169"/>
      <c r="U159" s="169"/>
      <c r="V159" s="126"/>
      <c r="W159" s="306"/>
      <c r="X159" s="306"/>
      <c r="Y159" s="126"/>
      <c r="Z159" s="306"/>
      <c r="AA159" s="306"/>
      <c r="AB159" s="127"/>
      <c r="AC159" s="169"/>
      <c r="AD159" s="169"/>
      <c r="AE159" s="129"/>
      <c r="AF159" s="129"/>
      <c r="AG159" s="129"/>
      <c r="AH159" s="129"/>
      <c r="AI159" s="129"/>
      <c r="AJ159" s="129"/>
      <c r="AK159" s="129"/>
      <c r="AL159" s="129"/>
      <c r="AM159" s="129"/>
      <c r="AN159" s="129"/>
      <c r="AO159" s="129"/>
      <c r="AP159" s="163"/>
      <c r="AQ159" s="163"/>
      <c r="AR159" s="111"/>
      <c r="AS159" s="111"/>
      <c r="AT159" s="111"/>
      <c r="AU159" s="111"/>
      <c r="AV159" s="111"/>
      <c r="AW159" s="111"/>
      <c r="AX159" s="111"/>
      <c r="AY159" s="111"/>
      <c r="AZ159" s="111"/>
      <c r="BA159" s="111"/>
      <c r="BB159" s="111"/>
      <c r="BC159" s="111"/>
      <c r="BD159" s="111"/>
      <c r="BE159" s="111"/>
      <c r="BF159" s="111"/>
      <c r="BG159" s="111"/>
      <c r="BH159" s="111"/>
      <c r="BI159" s="111"/>
      <c r="BJ159" s="111"/>
      <c r="BK159" s="111"/>
      <c r="BL159" s="111"/>
      <c r="BM159" s="111"/>
      <c r="BN159" s="111"/>
      <c r="BO159" s="111"/>
      <c r="BP159" s="111"/>
      <c r="BQ159" s="111"/>
      <c r="BR159" s="111"/>
      <c r="BS159" s="111"/>
      <c r="BT159" s="111"/>
      <c r="BU159" s="111"/>
      <c r="BV159" s="111"/>
      <c r="BW159" s="111"/>
      <c r="BX159" s="111"/>
      <c r="BY159" s="111"/>
      <c r="BZ159" s="111"/>
      <c r="CA159" s="111"/>
      <c r="CB159" s="111"/>
      <c r="CC159" s="111"/>
      <c r="CD159" s="111"/>
      <c r="CE159" s="111"/>
      <c r="CF159" s="111"/>
      <c r="CG159" s="111"/>
      <c r="CH159" s="111"/>
      <c r="CI159" s="111"/>
      <c r="CJ159" s="111"/>
      <c r="CK159" s="111"/>
      <c r="CL159" s="111"/>
      <c r="CM159" s="111"/>
      <c r="CN159" s="111"/>
      <c r="CO159" s="111"/>
      <c r="CP159" s="111"/>
      <c r="CQ159" s="111"/>
      <c r="CR159" s="111"/>
      <c r="CS159" s="111"/>
      <c r="CT159" s="111"/>
      <c r="CU159" s="111"/>
      <c r="CV159" s="111"/>
      <c r="CW159" s="111"/>
      <c r="CX159" s="111"/>
      <c r="CY159" s="111"/>
      <c r="CZ159" s="111"/>
      <c r="DA159" s="111"/>
      <c r="DB159" s="111"/>
      <c r="DC159" s="111"/>
      <c r="DD159" s="111"/>
      <c r="DE159" s="112"/>
      <c r="DF159" s="112"/>
      <c r="DG159" s="112"/>
      <c r="DH159" s="112"/>
      <c r="DI159" s="112"/>
      <c r="DJ159" s="112"/>
      <c r="DK159" s="112"/>
      <c r="DL159" s="112"/>
      <c r="DM159" s="112"/>
      <c r="DN159" s="112"/>
      <c r="DO159" s="112"/>
      <c r="DP159" s="112"/>
      <c r="DQ159" s="112"/>
      <c r="DR159" s="112"/>
      <c r="DS159" s="112"/>
      <c r="DT159" s="112"/>
      <c r="DU159" s="112"/>
      <c r="DV159" s="112"/>
      <c r="DW159" s="112"/>
      <c r="DX159" s="112"/>
      <c r="DY159" s="112"/>
      <c r="DZ159" s="112"/>
      <c r="EA159" s="112"/>
      <c r="EB159" s="112"/>
      <c r="EC159" s="112"/>
      <c r="ED159" s="112"/>
      <c r="EE159" s="111"/>
      <c r="EF159" s="111"/>
      <c r="EG159" s="111"/>
      <c r="EH159" s="111"/>
      <c r="EI159" s="111"/>
      <c r="EJ159" s="111"/>
      <c r="EK159" s="111"/>
      <c r="EL159" s="111"/>
      <c r="EM159" s="111"/>
      <c r="EN159" s="111"/>
      <c r="EO159" s="111"/>
      <c r="EP159" s="111"/>
      <c r="EQ159" s="111"/>
      <c r="ER159" s="111"/>
      <c r="ES159" s="111"/>
      <c r="ET159" s="111"/>
      <c r="EU159" s="111"/>
      <c r="EV159" s="111"/>
      <c r="EW159" s="111"/>
      <c r="EX159" s="111"/>
      <c r="EY159" s="111"/>
      <c r="EZ159" s="111"/>
      <c r="FA159" s="111"/>
      <c r="FB159" s="111"/>
      <c r="FC159" s="111"/>
      <c r="FD159" s="111"/>
      <c r="FE159" s="111"/>
      <c r="FF159" s="111"/>
      <c r="FG159" s="111"/>
      <c r="FH159" s="111"/>
      <c r="FI159" s="111"/>
      <c r="FJ159" s="111"/>
      <c r="FK159" s="111"/>
      <c r="FL159" s="111"/>
      <c r="FM159" s="111"/>
      <c r="FN159" s="111"/>
    </row>
    <row r="160" spans="1:170" s="14" customFormat="1" ht="18" hidden="1" customHeight="1">
      <c r="A160" s="1809"/>
      <c r="B160" s="30"/>
      <c r="C160" s="932" t="s">
        <v>764</v>
      </c>
      <c r="D160" s="932"/>
      <c r="E160" s="932"/>
      <c r="F160" s="932"/>
      <c r="G160" s="932"/>
      <c r="H160" s="932"/>
      <c r="I160" s="949" t="s">
        <v>676</v>
      </c>
      <c r="J160" s="950" t="s">
        <v>77</v>
      </c>
      <c r="K160" s="950"/>
      <c r="L160" s="951"/>
      <c r="M160" s="952" t="e">
        <f>#REF!</f>
        <v>#REF!</v>
      </c>
      <c r="N160" s="952" t="e">
        <f>#REF!</f>
        <v>#REF!</v>
      </c>
      <c r="O160" s="952" t="e">
        <f>#REF!</f>
        <v>#REF!</v>
      </c>
      <c r="P160" s="493">
        <v>0</v>
      </c>
      <c r="Q160" s="920">
        <v>0</v>
      </c>
      <c r="R160" s="493">
        <v>0</v>
      </c>
      <c r="S160" s="127"/>
      <c r="T160" s="169"/>
      <c r="U160" s="169"/>
      <c r="V160" s="126"/>
      <c r="W160" s="306"/>
      <c r="X160" s="306"/>
      <c r="Y160" s="126"/>
      <c r="Z160" s="306"/>
      <c r="AA160" s="306"/>
      <c r="AB160" s="127"/>
      <c r="AC160" s="169"/>
      <c r="AD160" s="169"/>
      <c r="AE160" s="129"/>
      <c r="AF160" s="129"/>
      <c r="AG160" s="129"/>
      <c r="AH160" s="129"/>
      <c r="AI160" s="129"/>
      <c r="AJ160" s="129"/>
      <c r="AK160" s="129"/>
      <c r="AL160" s="129"/>
      <c r="AM160" s="129"/>
      <c r="AN160" s="129"/>
      <c r="AO160" s="129"/>
      <c r="AP160" s="163"/>
      <c r="AQ160" s="163"/>
      <c r="AR160" s="111"/>
      <c r="AS160" s="111"/>
      <c r="AT160" s="111"/>
      <c r="AU160" s="111"/>
      <c r="AV160" s="111"/>
      <c r="AW160" s="111"/>
      <c r="AX160" s="111"/>
      <c r="AY160" s="111"/>
      <c r="AZ160" s="111"/>
      <c r="BA160" s="111"/>
      <c r="BB160" s="111"/>
      <c r="BC160" s="111"/>
      <c r="BD160" s="111"/>
      <c r="BE160" s="111"/>
      <c r="BF160" s="111"/>
      <c r="BG160" s="111"/>
      <c r="BH160" s="111"/>
      <c r="BI160" s="111"/>
      <c r="BJ160" s="111"/>
      <c r="BK160" s="111"/>
      <c r="BL160" s="111"/>
      <c r="BM160" s="111"/>
      <c r="BN160" s="111"/>
      <c r="BO160" s="111"/>
      <c r="BP160" s="111"/>
      <c r="BQ160" s="111"/>
      <c r="BR160" s="111"/>
      <c r="BS160" s="111"/>
      <c r="BT160" s="111"/>
      <c r="BU160" s="111"/>
      <c r="BV160" s="111"/>
      <c r="BW160" s="111"/>
      <c r="BX160" s="111"/>
      <c r="BY160" s="111"/>
      <c r="BZ160" s="111"/>
      <c r="CA160" s="111"/>
      <c r="CB160" s="111"/>
      <c r="CC160" s="111"/>
      <c r="CD160" s="111"/>
      <c r="CE160" s="111"/>
      <c r="CF160" s="111"/>
      <c r="CG160" s="111"/>
      <c r="CH160" s="111"/>
      <c r="CI160" s="111"/>
      <c r="CJ160" s="111"/>
      <c r="CK160" s="111"/>
      <c r="CL160" s="111"/>
      <c r="CM160" s="111"/>
      <c r="CN160" s="111"/>
      <c r="CO160" s="111"/>
      <c r="CP160" s="111"/>
      <c r="CQ160" s="111"/>
      <c r="CR160" s="111"/>
      <c r="CS160" s="111"/>
      <c r="CT160" s="111"/>
      <c r="CU160" s="111"/>
      <c r="CV160" s="111"/>
      <c r="CW160" s="111"/>
      <c r="CX160" s="111"/>
      <c r="CY160" s="111"/>
      <c r="CZ160" s="111"/>
      <c r="DA160" s="111"/>
      <c r="DB160" s="111"/>
      <c r="DC160" s="111"/>
      <c r="DD160" s="111"/>
      <c r="DE160" s="112"/>
      <c r="DF160" s="112"/>
      <c r="DG160" s="112"/>
      <c r="DH160" s="112"/>
      <c r="DI160" s="112"/>
      <c r="DJ160" s="112"/>
      <c r="DK160" s="112"/>
      <c r="DL160" s="112"/>
      <c r="DM160" s="112"/>
      <c r="DN160" s="112"/>
      <c r="DO160" s="112"/>
      <c r="DP160" s="112"/>
      <c r="DQ160" s="112"/>
      <c r="DR160" s="112"/>
      <c r="DS160" s="112"/>
      <c r="DT160" s="112"/>
      <c r="DU160" s="112"/>
      <c r="DV160" s="112"/>
      <c r="DW160" s="112"/>
      <c r="DX160" s="112"/>
      <c r="DY160" s="112"/>
      <c r="DZ160" s="112"/>
      <c r="EA160" s="112"/>
      <c r="EB160" s="112"/>
      <c r="EC160" s="112"/>
      <c r="ED160" s="112"/>
      <c r="EE160" s="111"/>
      <c r="EF160" s="111"/>
      <c r="EG160" s="111"/>
      <c r="EH160" s="111"/>
      <c r="EI160" s="111"/>
      <c r="EJ160" s="111"/>
      <c r="EK160" s="111"/>
      <c r="EL160" s="111"/>
      <c r="EM160" s="111"/>
      <c r="EN160" s="111"/>
      <c r="EO160" s="111"/>
      <c r="EP160" s="111"/>
      <c r="EQ160" s="111"/>
      <c r="ER160" s="111"/>
      <c r="ES160" s="111"/>
      <c r="ET160" s="111"/>
      <c r="EU160" s="111"/>
      <c r="EV160" s="111"/>
      <c r="EW160" s="111"/>
      <c r="EX160" s="111"/>
      <c r="EY160" s="111"/>
      <c r="EZ160" s="111"/>
      <c r="FA160" s="111"/>
      <c r="FB160" s="111"/>
      <c r="FC160" s="111"/>
      <c r="FD160" s="111"/>
      <c r="FE160" s="111"/>
      <c r="FF160" s="111"/>
      <c r="FG160" s="111"/>
      <c r="FH160" s="111"/>
      <c r="FI160" s="111"/>
      <c r="FJ160" s="111"/>
      <c r="FK160" s="111"/>
      <c r="FL160" s="111"/>
      <c r="FM160" s="111"/>
      <c r="FN160" s="111"/>
    </row>
    <row r="161" spans="1:170" s="9" customFormat="1" ht="2.1" hidden="1" customHeight="1">
      <c r="A161" s="198"/>
      <c r="B161" s="199"/>
      <c r="C161" s="200"/>
      <c r="D161" s="200"/>
      <c r="E161" s="200"/>
      <c r="F161" s="200"/>
      <c r="G161" s="200"/>
      <c r="H161" s="200"/>
      <c r="I161" s="277"/>
      <c r="J161" s="207"/>
      <c r="K161" s="207"/>
      <c r="L161" s="208"/>
      <c r="M161" s="208"/>
      <c r="N161" s="997"/>
      <c r="O161" s="997"/>
      <c r="P161" s="493">
        <v>0</v>
      </c>
      <c r="Q161" s="920">
        <v>0</v>
      </c>
      <c r="R161" s="493">
        <v>0</v>
      </c>
      <c r="S161" s="166"/>
      <c r="T161" s="307"/>
      <c r="U161" s="307"/>
      <c r="V161" s="166"/>
      <c r="W161" s="268"/>
      <c r="X161" s="268"/>
      <c r="Y161" s="165"/>
      <c r="Z161" s="268"/>
      <c r="AA161" s="268"/>
      <c r="AB161" s="166"/>
      <c r="AC161" s="307"/>
      <c r="AD161" s="307"/>
      <c r="AE161" s="166"/>
      <c r="AF161" s="166"/>
      <c r="AG161" s="166"/>
      <c r="AH161" s="166"/>
      <c r="AI161" s="166"/>
      <c r="AJ161" s="166"/>
      <c r="AK161" s="166"/>
      <c r="AL161" s="166"/>
      <c r="AM161" s="166"/>
      <c r="AN161" s="167"/>
      <c r="AO161" s="167"/>
      <c r="AP161" s="168"/>
      <c r="AQ161" s="168"/>
      <c r="AR161" s="113"/>
      <c r="AS161" s="113"/>
      <c r="AT161" s="113"/>
      <c r="AU161" s="113"/>
      <c r="AV161" s="113"/>
      <c r="AW161" s="113"/>
      <c r="AX161" s="113"/>
      <c r="AY161" s="113"/>
      <c r="AZ161" s="113"/>
      <c r="BA161" s="113"/>
      <c r="BB161" s="113"/>
      <c r="BC161" s="113"/>
      <c r="BD161" s="113"/>
      <c r="BE161" s="113"/>
      <c r="BF161" s="113"/>
      <c r="BG161" s="113"/>
      <c r="BH161" s="113"/>
      <c r="BI161" s="113"/>
      <c r="BJ161" s="113"/>
      <c r="BK161" s="113"/>
      <c r="BL161" s="113"/>
      <c r="BM161" s="113"/>
      <c r="BN161" s="113"/>
      <c r="BO161" s="113"/>
      <c r="BP161" s="113"/>
      <c r="BQ161" s="113"/>
      <c r="BR161" s="113"/>
      <c r="BS161" s="113"/>
      <c r="BT161" s="113"/>
      <c r="BU161" s="113"/>
      <c r="BV161" s="113"/>
      <c r="BW161" s="113"/>
      <c r="BX161" s="113"/>
      <c r="BY161" s="113"/>
      <c r="BZ161" s="113"/>
      <c r="CA161" s="113"/>
      <c r="CB161" s="113"/>
      <c r="CC161" s="113"/>
      <c r="CD161" s="113"/>
      <c r="CE161" s="113"/>
      <c r="CF161" s="113"/>
      <c r="CG161" s="113"/>
      <c r="CH161" s="113"/>
      <c r="CI161" s="113"/>
      <c r="CJ161" s="113"/>
      <c r="CK161" s="113"/>
      <c r="CL161" s="113"/>
      <c r="CM161" s="113"/>
      <c r="CN161" s="113"/>
      <c r="CO161" s="113"/>
      <c r="CP161" s="113"/>
      <c r="CQ161" s="113"/>
      <c r="CR161" s="113"/>
      <c r="CS161" s="113"/>
      <c r="CT161" s="113"/>
      <c r="CU161" s="113"/>
      <c r="CV161" s="114"/>
      <c r="CW161" s="114"/>
      <c r="CX161" s="114"/>
      <c r="CY161" s="114"/>
      <c r="CZ161" s="114"/>
      <c r="DA161" s="114"/>
      <c r="DB161" s="114"/>
      <c r="DC161" s="114"/>
      <c r="DD161" s="114"/>
      <c r="DE161" s="114"/>
      <c r="DF161" s="114"/>
      <c r="DG161" s="114"/>
      <c r="DH161" s="114"/>
      <c r="DI161" s="114"/>
      <c r="DJ161" s="114"/>
      <c r="DK161" s="114"/>
      <c r="DL161" s="114"/>
      <c r="DM161" s="114"/>
      <c r="DN161" s="114"/>
      <c r="DO161" s="114"/>
      <c r="DP161" s="114"/>
      <c r="DQ161" s="114"/>
      <c r="DR161" s="114"/>
      <c r="DS161" s="114"/>
      <c r="DT161" s="114"/>
      <c r="DU161" s="114"/>
      <c r="DV161" s="114"/>
      <c r="DW161" s="114"/>
      <c r="DX161" s="114"/>
      <c r="DY161" s="114"/>
      <c r="DZ161" s="114"/>
      <c r="EA161" s="114"/>
      <c r="EB161" s="114"/>
      <c r="EC161" s="114"/>
      <c r="ED161" s="114"/>
      <c r="EE161" s="115"/>
      <c r="EF161" s="115"/>
      <c r="EG161" s="115"/>
      <c r="EH161" s="115"/>
      <c r="EI161" s="115"/>
      <c r="EJ161" s="115"/>
      <c r="EK161" s="115"/>
      <c r="EL161" s="115"/>
      <c r="EM161" s="115"/>
      <c r="EN161" s="115"/>
      <c r="EO161" s="115"/>
      <c r="EP161" s="115"/>
      <c r="EQ161" s="115"/>
      <c r="ER161" s="115"/>
      <c r="ES161" s="115"/>
      <c r="ET161" s="115"/>
      <c r="EU161" s="115"/>
      <c r="EV161" s="115"/>
      <c r="EW161" s="115"/>
      <c r="EX161" s="115"/>
      <c r="EY161" s="115"/>
      <c r="EZ161" s="115"/>
      <c r="FA161" s="115"/>
      <c r="FB161" s="115"/>
      <c r="FC161" s="115"/>
      <c r="FD161" s="115"/>
      <c r="FE161" s="115"/>
      <c r="FF161" s="115"/>
      <c r="FG161" s="115"/>
      <c r="FH161" s="115"/>
      <c r="FI161" s="115"/>
      <c r="FJ161" s="115"/>
      <c r="FK161" s="115"/>
      <c r="FL161" s="115"/>
      <c r="FM161" s="115"/>
      <c r="FN161" s="115"/>
    </row>
    <row r="162" spans="1:170" s="14" customFormat="1" ht="18" customHeight="1">
      <c r="A162" s="1808" t="str">
        <f>Begriffe!F208</f>
        <v>Raumheizung</v>
      </c>
      <c r="B162" s="416">
        <v>172</v>
      </c>
      <c r="C162" s="1148" t="str">
        <f>VLOOKUP(B162,Begriffe!$A$6:$E$442,Begriffe!$D$1+2)</f>
        <v>Transmissions-Wärmetransferkoeffizient</v>
      </c>
      <c r="D162" s="3"/>
      <c r="E162" s="3"/>
      <c r="F162" s="576"/>
      <c r="G162" s="129"/>
      <c r="H162" s="129"/>
      <c r="I162" s="180" t="s">
        <v>231</v>
      </c>
      <c r="J162" s="582" t="s">
        <v>62</v>
      </c>
      <c r="K162" s="582"/>
      <c r="L162" s="352"/>
      <c r="M162" s="183">
        <f>(($M$12-$M78*($M$11)/M18)*M16+$M78*($M$11)/M18*M17)*(1+M19)</f>
        <v>93.82352941176471</v>
      </c>
      <c r="N162" s="183">
        <f>(($M$12-$M78*($M$11)/N18)*N16+$M78*($M$11)/N18*N17)*(1+N19)</f>
        <v>26.205882352941185</v>
      </c>
      <c r="O162" s="183">
        <f>(($M$12-$M78*($M$11)/O18)*O16+$M78*($M$11)/O18*O17)*(1+O19)</f>
        <v>62.117647058823536</v>
      </c>
      <c r="P162" s="493">
        <v>0</v>
      </c>
      <c r="Q162" s="920">
        <v>1</v>
      </c>
      <c r="R162" s="493">
        <v>0</v>
      </c>
      <c r="S162" s="498" t="s">
        <v>340</v>
      </c>
      <c r="T162" s="169"/>
      <c r="V162" s="126"/>
      <c r="W162" s="306"/>
      <c r="X162" s="306"/>
      <c r="Y162" s="126"/>
      <c r="Z162" s="306"/>
      <c r="AA162" s="306"/>
      <c r="AB162" s="127"/>
      <c r="AC162" s="169"/>
      <c r="AD162" s="169"/>
      <c r="AE162" s="129"/>
      <c r="AF162" s="129"/>
      <c r="AG162" s="129"/>
      <c r="AH162" s="129"/>
      <c r="AI162" s="129"/>
      <c r="AJ162" s="129"/>
      <c r="AK162" s="129"/>
      <c r="AL162" s="129"/>
      <c r="AM162" s="129"/>
      <c r="AN162" s="129"/>
      <c r="AO162" s="129"/>
      <c r="AP162" s="163"/>
      <c r="AQ162" s="163"/>
      <c r="AR162" s="111"/>
      <c r="AS162" s="111"/>
      <c r="AT162" s="111"/>
      <c r="AU162" s="111"/>
      <c r="AV162" s="111"/>
      <c r="AW162" s="111"/>
      <c r="AX162" s="111"/>
      <c r="AY162" s="111"/>
      <c r="AZ162" s="111"/>
      <c r="BA162" s="111"/>
      <c r="BB162" s="111"/>
      <c r="BC162" s="111"/>
      <c r="BD162" s="111"/>
      <c r="BE162" s="111"/>
      <c r="BF162" s="111"/>
      <c r="BG162" s="111"/>
      <c r="BH162" s="111"/>
      <c r="BI162" s="111"/>
      <c r="BJ162" s="111"/>
      <c r="BK162" s="111"/>
      <c r="BL162" s="111"/>
      <c r="BM162" s="111"/>
      <c r="BN162" s="111"/>
      <c r="BO162" s="111"/>
      <c r="BP162" s="111"/>
      <c r="BQ162" s="111"/>
      <c r="BR162" s="111"/>
      <c r="BS162" s="111"/>
      <c r="BT162" s="111"/>
      <c r="BU162" s="111"/>
      <c r="BV162" s="111"/>
      <c r="BW162" s="111"/>
      <c r="BX162" s="111"/>
      <c r="BY162" s="111"/>
      <c r="BZ162" s="111"/>
      <c r="CA162" s="111"/>
      <c r="CB162" s="111"/>
      <c r="CC162" s="111"/>
      <c r="CD162" s="111"/>
      <c r="CE162" s="111"/>
      <c r="CF162" s="111"/>
      <c r="CG162" s="111"/>
      <c r="CH162" s="111"/>
      <c r="CI162" s="111"/>
      <c r="CJ162" s="111"/>
      <c r="CK162" s="111"/>
      <c r="CL162" s="111"/>
      <c r="CM162" s="111"/>
      <c r="CN162" s="111"/>
      <c r="CO162" s="111"/>
      <c r="CP162" s="111"/>
      <c r="CQ162" s="111"/>
      <c r="CR162" s="111"/>
      <c r="CS162" s="111"/>
      <c r="CT162" s="111"/>
      <c r="CU162" s="111"/>
      <c r="CV162" s="111"/>
      <c r="CW162" s="111"/>
      <c r="CX162" s="111"/>
      <c r="CY162" s="111"/>
      <c r="CZ162" s="111"/>
      <c r="DA162" s="111"/>
      <c r="DB162" s="111"/>
      <c r="DC162" s="111"/>
      <c r="DD162" s="111"/>
      <c r="DE162" s="112"/>
      <c r="DF162" s="112"/>
      <c r="DG162" s="112"/>
      <c r="DH162" s="112"/>
      <c r="DI162" s="112"/>
      <c r="DJ162" s="112"/>
      <c r="DK162" s="112"/>
      <c r="DL162" s="112"/>
      <c r="DM162" s="112"/>
      <c r="DN162" s="112"/>
      <c r="DO162" s="112"/>
      <c r="DP162" s="112"/>
      <c r="DQ162" s="112"/>
      <c r="DR162" s="112"/>
      <c r="DS162" s="112"/>
      <c r="DT162" s="112"/>
      <c r="DU162" s="112"/>
      <c r="DV162" s="112"/>
      <c r="DW162" s="112"/>
      <c r="DX162" s="112"/>
      <c r="DY162" s="112"/>
      <c r="DZ162" s="112"/>
      <c r="EA162" s="112"/>
      <c r="EB162" s="112"/>
      <c r="EC162" s="112"/>
      <c r="ED162" s="112"/>
      <c r="EE162" s="111"/>
      <c r="EF162" s="111"/>
      <c r="EG162" s="111"/>
      <c r="EH162" s="111"/>
      <c r="EI162" s="111"/>
      <c r="EJ162" s="111"/>
      <c r="EK162" s="111"/>
      <c r="EL162" s="111"/>
      <c r="EM162" s="111"/>
      <c r="EN162" s="111"/>
      <c r="EO162" s="111"/>
      <c r="EP162" s="111"/>
      <c r="EQ162" s="111"/>
      <c r="ER162" s="111"/>
      <c r="ES162" s="111"/>
      <c r="ET162" s="111"/>
      <c r="EU162" s="111"/>
      <c r="EV162" s="111"/>
      <c r="EW162" s="111"/>
      <c r="EX162" s="111"/>
      <c r="EY162" s="111"/>
      <c r="EZ162" s="111"/>
      <c r="FA162" s="111"/>
      <c r="FB162" s="111"/>
      <c r="FC162" s="111"/>
      <c r="FD162" s="111"/>
      <c r="FE162" s="111"/>
      <c r="FF162" s="111"/>
      <c r="FG162" s="111"/>
      <c r="FH162" s="111"/>
      <c r="FI162" s="111"/>
      <c r="FJ162" s="111"/>
      <c r="FK162" s="111"/>
      <c r="FL162" s="111"/>
      <c r="FM162" s="111"/>
      <c r="FN162" s="111"/>
    </row>
    <row r="163" spans="1:170" s="14" customFormat="1" ht="18" customHeight="1">
      <c r="A163" s="1808"/>
      <c r="B163" s="416">
        <v>147</v>
      </c>
      <c r="C163" s="1149" t="str">
        <f>VLOOKUP(B163,Begriffe!$A$6:$E$442,Begriffe!$D$1+2)</f>
        <v>Lüftungs-Wärmetransferkoeffizient</v>
      </c>
      <c r="D163" s="3"/>
      <c r="E163" s="3"/>
      <c r="F163" s="122"/>
      <c r="G163" s="129"/>
      <c r="H163" s="129"/>
      <c r="I163" s="180" t="s">
        <v>232</v>
      </c>
      <c r="J163" s="582" t="s">
        <v>62</v>
      </c>
      <c r="K163" s="582"/>
      <c r="L163" s="352"/>
      <c r="M163" s="583">
        <f>((M128*(1-M132)+M129)*0.32*$M$11)</f>
        <v>10.320000000000002</v>
      </c>
      <c r="N163" s="583">
        <f>((N128*(1-N132)+N129)*0.32*$M$11)</f>
        <v>7.44</v>
      </c>
      <c r="O163" s="583">
        <f>((O128*(1-O132)+O129)*0.32*$M$11)</f>
        <v>17.760000000000002</v>
      </c>
      <c r="P163" s="493">
        <v>0</v>
      </c>
      <c r="Q163" s="920">
        <v>1</v>
      </c>
      <c r="R163" s="493">
        <v>0</v>
      </c>
      <c r="S163" s="127"/>
      <c r="T163" s="169"/>
      <c r="U163" s="169"/>
      <c r="V163" s="126"/>
      <c r="W163" s="306"/>
      <c r="X163" s="306"/>
      <c r="Y163" s="126"/>
      <c r="Z163" s="306"/>
      <c r="AA163" s="306"/>
      <c r="AB163" s="127"/>
      <c r="AC163" s="169"/>
      <c r="AD163" s="169"/>
      <c r="AE163" s="129"/>
      <c r="AF163" s="129"/>
      <c r="AG163" s="129"/>
      <c r="AH163" s="129"/>
      <c r="AI163" s="129"/>
      <c r="AJ163" s="129"/>
      <c r="AK163" s="129"/>
      <c r="AL163" s="129"/>
      <c r="AM163" s="129"/>
      <c r="AN163" s="129"/>
      <c r="AO163" s="129"/>
      <c r="AP163" s="163"/>
      <c r="AQ163" s="163"/>
      <c r="AR163" s="111"/>
      <c r="AS163" s="111"/>
      <c r="AT163" s="111"/>
      <c r="AU163" s="111"/>
      <c r="AV163" s="111"/>
      <c r="AW163" s="111"/>
      <c r="AX163" s="111"/>
      <c r="AY163" s="111"/>
      <c r="AZ163" s="111"/>
      <c r="BA163" s="111"/>
      <c r="BB163" s="111"/>
      <c r="BC163" s="111"/>
      <c r="BD163" s="111"/>
      <c r="BE163" s="111"/>
      <c r="BF163" s="111"/>
      <c r="BG163" s="111"/>
      <c r="BH163" s="111"/>
      <c r="BI163" s="111"/>
      <c r="BJ163" s="111"/>
      <c r="BK163" s="111"/>
      <c r="BL163" s="111"/>
      <c r="BM163" s="111"/>
      <c r="BN163" s="111"/>
      <c r="BO163" s="111"/>
      <c r="BP163" s="111"/>
      <c r="BQ163" s="111"/>
      <c r="BR163" s="111"/>
      <c r="BS163" s="111"/>
      <c r="BT163" s="111"/>
      <c r="BU163" s="111"/>
      <c r="BV163" s="111"/>
      <c r="BW163" s="111"/>
      <c r="BX163" s="111"/>
      <c r="BY163" s="111"/>
      <c r="BZ163" s="111"/>
      <c r="CA163" s="111"/>
      <c r="CB163" s="111"/>
      <c r="CC163" s="111"/>
      <c r="CD163" s="111"/>
      <c r="CE163" s="111"/>
      <c r="CF163" s="111"/>
      <c r="CG163" s="111"/>
      <c r="CH163" s="111"/>
      <c r="CI163" s="111"/>
      <c r="CJ163" s="111"/>
      <c r="CK163" s="111"/>
      <c r="CL163" s="111"/>
      <c r="CM163" s="111"/>
      <c r="CN163" s="111"/>
      <c r="CO163" s="111"/>
      <c r="CP163" s="111"/>
      <c r="CQ163" s="111"/>
      <c r="CR163" s="111"/>
      <c r="CS163" s="111"/>
      <c r="CT163" s="111"/>
      <c r="CU163" s="111"/>
      <c r="CV163" s="111"/>
      <c r="CW163" s="111"/>
      <c r="CX163" s="111"/>
      <c r="CY163" s="111"/>
      <c r="CZ163" s="111"/>
      <c r="DA163" s="111"/>
      <c r="DB163" s="111"/>
      <c r="DC163" s="111"/>
      <c r="DD163" s="111"/>
      <c r="DE163" s="112"/>
      <c r="DF163" s="112"/>
      <c r="DG163" s="112"/>
      <c r="DH163" s="112"/>
      <c r="DI163" s="112"/>
      <c r="DJ163" s="112"/>
      <c r="DK163" s="112"/>
      <c r="DL163" s="112"/>
      <c r="DM163" s="112"/>
      <c r="DN163" s="112"/>
      <c r="DO163" s="112"/>
      <c r="DP163" s="112"/>
      <c r="DQ163" s="112"/>
      <c r="DR163" s="112"/>
      <c r="DS163" s="112"/>
      <c r="DT163" s="112"/>
      <c r="DU163" s="112"/>
      <c r="DV163" s="112"/>
      <c r="DW163" s="112"/>
      <c r="DX163" s="112"/>
      <c r="DY163" s="112"/>
      <c r="DZ163" s="112"/>
      <c r="EA163" s="112"/>
      <c r="EB163" s="112"/>
      <c r="EC163" s="112"/>
      <c r="ED163" s="112"/>
      <c r="EE163" s="111"/>
      <c r="EF163" s="111"/>
      <c r="EG163" s="111"/>
      <c r="EH163" s="111"/>
      <c r="EI163" s="111"/>
      <c r="EJ163" s="111"/>
      <c r="EK163" s="111"/>
      <c r="EL163" s="111"/>
      <c r="EM163" s="111"/>
      <c r="EN163" s="111"/>
      <c r="EO163" s="111"/>
      <c r="EP163" s="111"/>
      <c r="EQ163" s="111"/>
      <c r="ER163" s="111"/>
      <c r="ES163" s="111"/>
      <c r="ET163" s="111"/>
      <c r="EU163" s="111"/>
      <c r="EV163" s="111"/>
      <c r="EW163" s="111"/>
      <c r="EX163" s="111"/>
      <c r="EY163" s="111"/>
      <c r="EZ163" s="111"/>
      <c r="FA163" s="111"/>
      <c r="FB163" s="111"/>
      <c r="FC163" s="111"/>
      <c r="FD163" s="111"/>
      <c r="FE163" s="111"/>
      <c r="FF163" s="111"/>
      <c r="FG163" s="111"/>
      <c r="FH163" s="111"/>
      <c r="FI163" s="111"/>
      <c r="FJ163" s="111"/>
      <c r="FK163" s="111"/>
      <c r="FL163" s="111"/>
      <c r="FM163" s="111"/>
      <c r="FN163" s="111"/>
    </row>
    <row r="164" spans="1:170" s="14" customFormat="1" ht="18" customHeight="1">
      <c r="A164" s="1808"/>
      <c r="B164" s="416">
        <v>185</v>
      </c>
      <c r="C164" s="1149" t="str">
        <f>VLOOKUP(B164,Begriffe!$A$6:$E$442,Begriffe!$D$1+2)</f>
        <v>Wärmetransferkoeffizient</v>
      </c>
      <c r="D164" s="3"/>
      <c r="E164" s="3"/>
      <c r="F164" s="129"/>
      <c r="G164" s="129"/>
      <c r="H164" s="129"/>
      <c r="I164" s="180" t="s">
        <v>886</v>
      </c>
      <c r="J164" s="582" t="s">
        <v>62</v>
      </c>
      <c r="K164" s="582"/>
      <c r="L164" s="352"/>
      <c r="M164" s="583">
        <f>SUM(M162:M163)</f>
        <v>104.14352941176472</v>
      </c>
      <c r="N164" s="583">
        <f>SUM(N162:N163)</f>
        <v>33.645882352941186</v>
      </c>
      <c r="O164" s="583">
        <f>SUM(O162:O163)</f>
        <v>79.877647058823541</v>
      </c>
      <c r="P164" s="493">
        <v>1</v>
      </c>
      <c r="Q164" s="920">
        <v>1</v>
      </c>
      <c r="R164" s="493">
        <v>0</v>
      </c>
      <c r="S164" s="127"/>
      <c r="T164" s="169"/>
      <c r="U164" s="169"/>
      <c r="V164" s="126"/>
      <c r="W164" s="306"/>
      <c r="X164" s="306"/>
      <c r="Y164" s="126"/>
      <c r="Z164" s="306"/>
      <c r="AA164" s="306"/>
      <c r="AB164" s="127"/>
      <c r="AC164" s="169"/>
      <c r="AD164" s="169"/>
      <c r="AE164" s="129"/>
      <c r="AF164" s="129"/>
      <c r="AG164" s="129"/>
      <c r="AH164" s="129"/>
      <c r="AI164" s="129"/>
      <c r="AJ164" s="129"/>
      <c r="AK164" s="129"/>
      <c r="AL164" s="129"/>
      <c r="AM164" s="129"/>
      <c r="AN164" s="129"/>
      <c r="AO164" s="129"/>
      <c r="AP164" s="163"/>
      <c r="AQ164" s="163"/>
      <c r="AR164" s="111"/>
      <c r="AS164" s="111"/>
      <c r="AT164" s="111"/>
      <c r="AU164" s="111"/>
      <c r="AV164" s="111"/>
      <c r="AW164" s="111"/>
      <c r="AX164" s="111"/>
      <c r="AY164" s="111"/>
      <c r="AZ164" s="111"/>
      <c r="BA164" s="111"/>
      <c r="BB164" s="111"/>
      <c r="BC164" s="111"/>
      <c r="BD164" s="111"/>
      <c r="BE164" s="111"/>
      <c r="BF164" s="111"/>
      <c r="BG164" s="111"/>
      <c r="BH164" s="111"/>
      <c r="BI164" s="111"/>
      <c r="BJ164" s="111"/>
      <c r="BK164" s="111"/>
      <c r="BL164" s="111"/>
      <c r="BM164" s="111"/>
      <c r="BN164" s="111"/>
      <c r="BO164" s="111"/>
      <c r="BP164" s="111"/>
      <c r="BQ164" s="111"/>
      <c r="BR164" s="111"/>
      <c r="BS164" s="111"/>
      <c r="BT164" s="111"/>
      <c r="BU164" s="111"/>
      <c r="BV164" s="111"/>
      <c r="BW164" s="111"/>
      <c r="BX164" s="111"/>
      <c r="BY164" s="111"/>
      <c r="BZ164" s="111"/>
      <c r="CA164" s="111"/>
      <c r="CB164" s="111"/>
      <c r="CC164" s="111"/>
      <c r="CD164" s="111"/>
      <c r="CE164" s="111"/>
      <c r="CF164" s="111"/>
      <c r="CG164" s="111"/>
      <c r="CH164" s="111"/>
      <c r="CI164" s="111"/>
      <c r="CJ164" s="111"/>
      <c r="CK164" s="111"/>
      <c r="CL164" s="111"/>
      <c r="CM164" s="111"/>
      <c r="CN164" s="111"/>
      <c r="CO164" s="111"/>
      <c r="CP164" s="111"/>
      <c r="CQ164" s="111"/>
      <c r="CR164" s="111"/>
      <c r="CS164" s="111"/>
      <c r="CT164" s="111"/>
      <c r="CU164" s="111"/>
      <c r="CV164" s="111"/>
      <c r="CW164" s="111"/>
      <c r="CX164" s="111"/>
      <c r="CY164" s="111"/>
      <c r="CZ164" s="111"/>
      <c r="DA164" s="111"/>
      <c r="DB164" s="111"/>
      <c r="DC164" s="111"/>
      <c r="DD164" s="111"/>
      <c r="DE164" s="112"/>
      <c r="DF164" s="112"/>
      <c r="DG164" s="112"/>
      <c r="DH164" s="112"/>
      <c r="DI164" s="112"/>
      <c r="DJ164" s="112"/>
      <c r="DK164" s="112"/>
      <c r="DL164" s="112"/>
      <c r="DM164" s="112"/>
      <c r="DN164" s="112"/>
      <c r="DO164" s="112"/>
      <c r="DP164" s="112"/>
      <c r="DQ164" s="112"/>
      <c r="DR164" s="112"/>
      <c r="DS164" s="112"/>
      <c r="DT164" s="112"/>
      <c r="DU164" s="112"/>
      <c r="DV164" s="112"/>
      <c r="DW164" s="112"/>
      <c r="DX164" s="112"/>
      <c r="DY164" s="112"/>
      <c r="DZ164" s="112"/>
      <c r="EA164" s="112"/>
      <c r="EB164" s="112"/>
      <c r="EC164" s="112"/>
      <c r="ED164" s="112"/>
      <c r="EE164" s="111"/>
      <c r="EF164" s="111"/>
      <c r="EG164" s="111"/>
      <c r="EH164" s="111"/>
      <c r="EI164" s="111"/>
      <c r="EJ164" s="111"/>
      <c r="EK164" s="111"/>
      <c r="EL164" s="111"/>
      <c r="EM164" s="111"/>
      <c r="EN164" s="111"/>
      <c r="EO164" s="111"/>
      <c r="EP164" s="111"/>
      <c r="EQ164" s="111"/>
      <c r="ER164" s="111"/>
      <c r="ES164" s="111"/>
      <c r="ET164" s="111"/>
      <c r="EU164" s="111"/>
      <c r="EV164" s="111"/>
      <c r="EW164" s="111"/>
      <c r="EX164" s="111"/>
      <c r="EY164" s="111"/>
      <c r="EZ164" s="111"/>
      <c r="FA164" s="111"/>
      <c r="FB164" s="111"/>
      <c r="FC164" s="111"/>
      <c r="FD164" s="111"/>
      <c r="FE164" s="111"/>
      <c r="FF164" s="111"/>
      <c r="FG164" s="111"/>
      <c r="FH164" s="111"/>
      <c r="FI164" s="111"/>
      <c r="FJ164" s="111"/>
      <c r="FK164" s="111"/>
      <c r="FL164" s="111"/>
      <c r="FM164" s="111"/>
      <c r="FN164" s="111"/>
    </row>
    <row r="165" spans="1:170" s="14" customFormat="1" ht="18" customHeight="1">
      <c r="A165" s="1808"/>
      <c r="B165" s="416">
        <v>188</v>
      </c>
      <c r="C165" s="1149" t="str">
        <f>VLOOKUP(B165,Begriffe!$A$6:$E$442,Begriffe!$D$1+2)</f>
        <v>Zeitkonstante</v>
      </c>
      <c r="D165" s="3"/>
      <c r="E165" s="3"/>
      <c r="F165" s="129"/>
      <c r="G165" s="129"/>
      <c r="H165" s="129"/>
      <c r="I165" s="239" t="s">
        <v>233</v>
      </c>
      <c r="J165" s="582" t="s">
        <v>17</v>
      </c>
      <c r="K165" s="582"/>
      <c r="L165" s="352"/>
      <c r="M165" s="584">
        <f>IF(M164&lt;=0,0,$M26*$M11/M164)</f>
        <v>37.606753123517315</v>
      </c>
      <c r="N165" s="584">
        <f>IF(N164&lt;=0,0,$M26*$M11/N164)</f>
        <v>116.4035455785167</v>
      </c>
      <c r="O165" s="584">
        <f>IF(O164&lt;=0,0,$M26*$M11/O164)</f>
        <v>49.03123895369388</v>
      </c>
      <c r="P165" s="493">
        <v>1</v>
      </c>
      <c r="Q165" s="920">
        <v>1</v>
      </c>
      <c r="R165" s="493">
        <v>0</v>
      </c>
      <c r="S165" s="127"/>
      <c r="T165" s="169"/>
      <c r="U165" s="169"/>
      <c r="V165" s="126"/>
      <c r="W165" s="306"/>
      <c r="X165" s="306"/>
      <c r="Y165" s="126"/>
      <c r="Z165" s="306"/>
      <c r="AA165" s="306"/>
      <c r="AB165" s="127"/>
      <c r="AC165" s="169"/>
      <c r="AD165" s="169"/>
      <c r="AE165" s="129"/>
      <c r="AF165" s="129"/>
      <c r="AG165" s="129"/>
      <c r="AH165" s="129"/>
      <c r="AI165" s="129"/>
      <c r="AJ165" s="129"/>
      <c r="AK165" s="129"/>
      <c r="AL165" s="129"/>
      <c r="AM165" s="129"/>
      <c r="AN165" s="129"/>
      <c r="AO165" s="129"/>
      <c r="AP165" s="163"/>
      <c r="AQ165" s="163"/>
      <c r="AR165" s="111"/>
      <c r="AS165" s="111"/>
      <c r="AT165" s="111"/>
      <c r="AU165" s="111"/>
      <c r="AV165" s="111"/>
      <c r="AW165" s="111"/>
      <c r="AX165" s="111"/>
      <c r="AY165" s="111"/>
      <c r="AZ165" s="111"/>
      <c r="BA165" s="111"/>
      <c r="BB165" s="111"/>
      <c r="BC165" s="111"/>
      <c r="BD165" s="111"/>
      <c r="BE165" s="111"/>
      <c r="BF165" s="111"/>
      <c r="BG165" s="111"/>
      <c r="BH165" s="111"/>
      <c r="BI165" s="111"/>
      <c r="BJ165" s="111"/>
      <c r="BK165" s="111"/>
      <c r="BL165" s="111"/>
      <c r="BM165" s="111"/>
      <c r="BN165" s="111"/>
      <c r="BO165" s="111"/>
      <c r="BP165" s="111"/>
      <c r="BQ165" s="111"/>
      <c r="BR165" s="111"/>
      <c r="BS165" s="111"/>
      <c r="BT165" s="111"/>
      <c r="BU165" s="111"/>
      <c r="BV165" s="111"/>
      <c r="BW165" s="111"/>
      <c r="BX165" s="111"/>
      <c r="BY165" s="111"/>
      <c r="BZ165" s="111"/>
      <c r="CA165" s="111"/>
      <c r="CB165" s="111"/>
      <c r="CC165" s="111"/>
      <c r="CD165" s="111"/>
      <c r="CE165" s="111"/>
      <c r="CF165" s="111"/>
      <c r="CG165" s="111"/>
      <c r="CH165" s="111"/>
      <c r="CI165" s="111"/>
      <c r="CJ165" s="111"/>
      <c r="CK165" s="111"/>
      <c r="CL165" s="111"/>
      <c r="CM165" s="111"/>
      <c r="CN165" s="111"/>
      <c r="CO165" s="111"/>
      <c r="CP165" s="111"/>
      <c r="CQ165" s="111"/>
      <c r="CR165" s="111"/>
      <c r="CS165" s="111"/>
      <c r="CT165" s="111"/>
      <c r="CU165" s="111"/>
      <c r="CV165" s="111"/>
      <c r="CW165" s="111"/>
      <c r="CX165" s="111"/>
      <c r="CY165" s="111"/>
      <c r="CZ165" s="111"/>
      <c r="DA165" s="111"/>
      <c r="DB165" s="111"/>
      <c r="DC165" s="111"/>
      <c r="DD165" s="111"/>
      <c r="DE165" s="112"/>
      <c r="DF165" s="112"/>
      <c r="DG165" s="112"/>
      <c r="DH165" s="112"/>
      <c r="DI165" s="112"/>
      <c r="DJ165" s="112"/>
      <c r="DK165" s="112"/>
      <c r="DL165" s="112"/>
      <c r="DM165" s="112"/>
      <c r="DN165" s="112"/>
      <c r="DO165" s="112"/>
      <c r="DP165" s="112"/>
      <c r="DQ165" s="112"/>
      <c r="DR165" s="112"/>
      <c r="DS165" s="112"/>
      <c r="DT165" s="112"/>
      <c r="DU165" s="112"/>
      <c r="DV165" s="112"/>
      <c r="DW165" s="112"/>
      <c r="DX165" s="112"/>
      <c r="DY165" s="112"/>
      <c r="DZ165" s="112"/>
      <c r="EA165" s="112"/>
      <c r="EB165" s="112"/>
      <c r="EC165" s="112"/>
      <c r="ED165" s="112"/>
      <c r="EE165" s="111"/>
      <c r="EF165" s="111"/>
      <c r="EG165" s="111"/>
      <c r="EH165" s="111"/>
      <c r="EI165" s="111"/>
      <c r="EJ165" s="111"/>
      <c r="EK165" s="111"/>
      <c r="EL165" s="111"/>
      <c r="EM165" s="111"/>
      <c r="EN165" s="111"/>
      <c r="EO165" s="111"/>
      <c r="EP165" s="111"/>
      <c r="EQ165" s="111"/>
      <c r="ER165" s="111"/>
      <c r="ES165" s="111"/>
      <c r="ET165" s="111"/>
      <c r="EU165" s="111"/>
      <c r="EV165" s="111"/>
      <c r="EW165" s="111"/>
      <c r="EX165" s="111"/>
      <c r="EY165" s="111"/>
      <c r="EZ165" s="111"/>
      <c r="FA165" s="111"/>
      <c r="FB165" s="111"/>
      <c r="FC165" s="111"/>
      <c r="FD165" s="111"/>
      <c r="FE165" s="111"/>
      <c r="FF165" s="111"/>
      <c r="FG165" s="111"/>
      <c r="FH165" s="111"/>
      <c r="FI165" s="111"/>
      <c r="FJ165" s="111"/>
      <c r="FK165" s="111"/>
      <c r="FL165" s="111"/>
      <c r="FM165" s="111"/>
      <c r="FN165" s="111"/>
    </row>
    <row r="166" spans="1:170" s="14" customFormat="1" ht="18" customHeight="1">
      <c r="A166" s="1808"/>
      <c r="B166" s="416">
        <v>169</v>
      </c>
      <c r="C166" s="1149" t="str">
        <f>VLOOKUP(B166,Begriffe!$A$6:$E$442,Begriffe!$D$1+2)</f>
        <v>Temperaturkorrektur</v>
      </c>
      <c r="D166" s="3"/>
      <c r="E166" s="3"/>
      <c r="F166" s="121"/>
      <c r="G166" s="129"/>
      <c r="H166" s="129"/>
      <c r="I166" s="239" t="s">
        <v>780</v>
      </c>
      <c r="J166" s="1190" t="s">
        <v>3</v>
      </c>
      <c r="K166" s="582"/>
      <c r="L166" s="352"/>
      <c r="M166" s="341">
        <f>IF(M165&lt;51,-3,IF(M165&lt;101,-2,IF(M165&lt;201,-1,0)))</f>
        <v>-3</v>
      </c>
      <c r="N166" s="341">
        <f>IF(N165&lt;51,-3,IF(N165&lt;101,-2,IF(N165&lt;201,-1,0)))</f>
        <v>-1</v>
      </c>
      <c r="O166" s="341">
        <f>IF(O165&lt;51,-3,IF(O165&lt;101,-2,IF(O165&lt;201,-1,0)))</f>
        <v>-3</v>
      </c>
      <c r="P166" s="22">
        <v>1</v>
      </c>
      <c r="Q166" s="920">
        <v>1</v>
      </c>
      <c r="R166" s="22">
        <v>0</v>
      </c>
      <c r="S166" s="127"/>
      <c r="T166" s="169"/>
      <c r="U166" s="169"/>
      <c r="V166" s="126"/>
      <c r="W166" s="306"/>
      <c r="X166" s="306"/>
      <c r="Y166" s="126"/>
      <c r="Z166" s="306"/>
      <c r="AA166" s="306"/>
      <c r="AB166" s="127"/>
      <c r="AC166" s="169"/>
      <c r="AD166" s="169"/>
      <c r="AE166" s="129"/>
      <c r="AF166" s="129"/>
      <c r="AG166" s="129"/>
      <c r="AH166" s="129"/>
      <c r="AI166" s="129"/>
      <c r="AJ166" s="129"/>
      <c r="AK166" s="129"/>
      <c r="AL166" s="129"/>
      <c r="AM166" s="129"/>
      <c r="AN166" s="129"/>
      <c r="AO166" s="129"/>
      <c r="AP166" s="163"/>
      <c r="AQ166" s="163"/>
      <c r="AR166" s="111"/>
      <c r="AS166" s="111"/>
      <c r="AT166" s="111"/>
      <c r="AU166" s="111"/>
      <c r="AV166" s="111"/>
      <c r="AW166" s="111"/>
      <c r="AX166" s="111"/>
      <c r="AY166" s="111"/>
      <c r="AZ166" s="111"/>
      <c r="BA166" s="111"/>
      <c r="BB166" s="111"/>
      <c r="BC166" s="111"/>
      <c r="BD166" s="111"/>
      <c r="BE166" s="111"/>
      <c r="BF166" s="111"/>
      <c r="BG166" s="111"/>
      <c r="BH166" s="111"/>
      <c r="BI166" s="111"/>
      <c r="BJ166" s="111"/>
      <c r="BK166" s="111"/>
      <c r="BL166" s="111"/>
      <c r="BM166" s="111"/>
      <c r="BN166" s="111"/>
      <c r="BO166" s="111"/>
      <c r="BP166" s="111"/>
      <c r="BQ166" s="111"/>
      <c r="BR166" s="111"/>
      <c r="BS166" s="111"/>
      <c r="BT166" s="111"/>
      <c r="BU166" s="111"/>
      <c r="BV166" s="111"/>
      <c r="BW166" s="111"/>
      <c r="BX166" s="111"/>
      <c r="BY166" s="111"/>
      <c r="BZ166" s="111"/>
      <c r="CA166" s="111"/>
      <c r="CB166" s="111"/>
      <c r="CC166" s="111"/>
      <c r="CD166" s="111"/>
      <c r="CE166" s="111"/>
      <c r="CF166" s="111"/>
      <c r="CG166" s="111"/>
      <c r="CH166" s="111"/>
      <c r="CI166" s="111"/>
      <c r="CJ166" s="111"/>
      <c r="CK166" s="111"/>
      <c r="CL166" s="111"/>
      <c r="CM166" s="111"/>
      <c r="CN166" s="111"/>
      <c r="CO166" s="111"/>
      <c r="CP166" s="111"/>
      <c r="CQ166" s="111"/>
      <c r="CR166" s="111"/>
      <c r="CS166" s="111"/>
      <c r="CT166" s="111"/>
      <c r="CU166" s="111"/>
      <c r="CV166" s="111"/>
      <c r="CW166" s="111"/>
      <c r="CX166" s="111"/>
      <c r="CY166" s="111"/>
      <c r="CZ166" s="111"/>
      <c r="DA166" s="111"/>
      <c r="DB166" s="111"/>
      <c r="DC166" s="111"/>
      <c r="DD166" s="111"/>
      <c r="DE166" s="112"/>
      <c r="DF166" s="112"/>
      <c r="DG166" s="112"/>
      <c r="DH166" s="112"/>
      <c r="DI166" s="112"/>
      <c r="DJ166" s="112"/>
      <c r="DK166" s="112"/>
      <c r="DL166" s="112"/>
      <c r="DM166" s="112"/>
      <c r="DN166" s="112"/>
      <c r="DO166" s="112"/>
      <c r="DP166" s="112"/>
      <c r="DQ166" s="112"/>
      <c r="DR166" s="112"/>
      <c r="DS166" s="112"/>
      <c r="DT166" s="112"/>
      <c r="DU166" s="112"/>
      <c r="DV166" s="112"/>
      <c r="DW166" s="112"/>
      <c r="DX166" s="112"/>
      <c r="DY166" s="112"/>
      <c r="DZ166" s="112"/>
      <c r="EA166" s="112"/>
      <c r="EB166" s="112"/>
      <c r="EC166" s="112"/>
      <c r="ED166" s="112"/>
      <c r="EE166" s="111"/>
      <c r="EF166" s="111"/>
      <c r="EG166" s="111"/>
      <c r="EH166" s="111"/>
      <c r="EI166" s="111"/>
      <c r="EJ166" s="111"/>
      <c r="EK166" s="111"/>
      <c r="EL166" s="111"/>
      <c r="EM166" s="111"/>
      <c r="EN166" s="111"/>
      <c r="EO166" s="111"/>
      <c r="EP166" s="111"/>
      <c r="EQ166" s="111"/>
      <c r="ER166" s="111"/>
      <c r="ES166" s="111"/>
      <c r="ET166" s="111"/>
      <c r="EU166" s="111"/>
      <c r="EV166" s="111"/>
      <c r="EW166" s="111"/>
      <c r="EX166" s="111"/>
      <c r="EY166" s="111"/>
      <c r="EZ166" s="111"/>
      <c r="FA166" s="111"/>
      <c r="FB166" s="111"/>
      <c r="FC166" s="111"/>
      <c r="FD166" s="111"/>
      <c r="FE166" s="111"/>
      <c r="FF166" s="111"/>
      <c r="FG166" s="111"/>
      <c r="FH166" s="111"/>
      <c r="FI166" s="111"/>
      <c r="FJ166" s="111"/>
      <c r="FK166" s="111"/>
      <c r="FL166" s="111"/>
      <c r="FM166" s="111"/>
      <c r="FN166" s="111"/>
    </row>
    <row r="167" spans="1:170" s="14" customFormat="1" ht="18" hidden="1" customHeight="1">
      <c r="A167" s="1808"/>
      <c r="B167" s="30"/>
      <c r="C167" s="519" t="s">
        <v>773</v>
      </c>
      <c r="D167" s="84"/>
      <c r="E167" s="84"/>
      <c r="F167" s="84" t="s">
        <v>375</v>
      </c>
      <c r="G167" s="84"/>
      <c r="H167" s="84"/>
      <c r="I167" s="31"/>
      <c r="J167" s="354" t="s">
        <v>29</v>
      </c>
      <c r="K167" s="354"/>
      <c r="L167" s="353"/>
      <c r="M167" s="213">
        <f>IF($M30=0,0,M164*($M30-$M5-M166)/$M11)</f>
        <v>95.216941176470598</v>
      </c>
      <c r="N167" s="213">
        <f>IF($M30=0,0,N164*($M30-$M5-N166)/$M11)</f>
        <v>28.839327731092446</v>
      </c>
      <c r="O167" s="213">
        <f>IF($M30=0,0,O164*($M30-$M5-O166)/$M11)</f>
        <v>73.030991596638671</v>
      </c>
      <c r="P167" s="22">
        <v>0</v>
      </c>
      <c r="Q167" s="920">
        <v>0</v>
      </c>
      <c r="R167" s="22">
        <v>0</v>
      </c>
      <c r="S167" s="127"/>
      <c r="T167" s="169"/>
      <c r="U167" s="169"/>
      <c r="V167" s="126"/>
      <c r="W167" s="306"/>
      <c r="X167" s="306"/>
      <c r="Y167" s="126"/>
      <c r="Z167" s="306"/>
      <c r="AA167" s="306"/>
      <c r="AB167" s="127"/>
      <c r="AC167" s="169"/>
      <c r="AD167" s="169"/>
      <c r="AE167" s="129"/>
      <c r="AF167" s="129"/>
      <c r="AG167" s="129"/>
      <c r="AH167" s="129"/>
      <c r="AI167" s="129"/>
      <c r="AJ167" s="129"/>
      <c r="AK167" s="129"/>
      <c r="AL167" s="129"/>
      <c r="AM167" s="129"/>
      <c r="AN167" s="129"/>
      <c r="AO167" s="129"/>
      <c r="AP167" s="163"/>
      <c r="AQ167" s="163"/>
      <c r="AR167" s="111"/>
      <c r="AS167" s="111"/>
      <c r="AT167" s="111"/>
      <c r="AU167" s="111"/>
      <c r="AV167" s="111"/>
      <c r="AW167" s="111"/>
      <c r="AX167" s="111"/>
      <c r="AY167" s="111"/>
      <c r="AZ167" s="111"/>
      <c r="BA167" s="111"/>
      <c r="BB167" s="111"/>
      <c r="BC167" s="111"/>
      <c r="BD167" s="111"/>
      <c r="BE167" s="111"/>
      <c r="BF167" s="111"/>
      <c r="BG167" s="111"/>
      <c r="BH167" s="111"/>
      <c r="BI167" s="111"/>
      <c r="BJ167" s="111"/>
      <c r="BK167" s="111"/>
      <c r="BL167" s="111"/>
      <c r="BM167" s="111"/>
      <c r="BN167" s="111"/>
      <c r="BO167" s="111"/>
      <c r="BP167" s="111"/>
      <c r="BQ167" s="111"/>
      <c r="BR167" s="111"/>
      <c r="BS167" s="111"/>
      <c r="BT167" s="111"/>
      <c r="BU167" s="111"/>
      <c r="BV167" s="111"/>
      <c r="BW167" s="111"/>
      <c r="BX167" s="111"/>
      <c r="BY167" s="111"/>
      <c r="BZ167" s="111"/>
      <c r="CA167" s="111"/>
      <c r="CB167" s="111"/>
      <c r="CC167" s="111"/>
      <c r="CD167" s="111"/>
      <c r="CE167" s="111"/>
      <c r="CF167" s="111"/>
      <c r="CG167" s="111"/>
      <c r="CH167" s="111"/>
      <c r="CI167" s="111"/>
      <c r="CJ167" s="111"/>
      <c r="CK167" s="111"/>
      <c r="CL167" s="111"/>
      <c r="CM167" s="111"/>
      <c r="CN167" s="111"/>
      <c r="CO167" s="111"/>
      <c r="CP167" s="111"/>
      <c r="CQ167" s="111"/>
      <c r="CR167" s="111"/>
      <c r="CS167" s="111"/>
      <c r="CT167" s="111"/>
      <c r="CU167" s="111"/>
      <c r="CV167" s="111"/>
      <c r="CW167" s="111"/>
      <c r="CX167" s="111"/>
      <c r="CY167" s="111"/>
      <c r="CZ167" s="111"/>
      <c r="DA167" s="111"/>
      <c r="DB167" s="111"/>
      <c r="DC167" s="111"/>
      <c r="DD167" s="111"/>
      <c r="DE167" s="112"/>
      <c r="DF167" s="112"/>
      <c r="DG167" s="112"/>
      <c r="DH167" s="112"/>
      <c r="DI167" s="112"/>
      <c r="DJ167" s="112"/>
      <c r="DK167" s="112"/>
      <c r="DL167" s="112"/>
      <c r="DM167" s="112"/>
      <c r="DN167" s="112"/>
      <c r="DO167" s="112"/>
      <c r="DP167" s="112"/>
      <c r="DQ167" s="112"/>
      <c r="DR167" s="112"/>
      <c r="DS167" s="112"/>
      <c r="DT167" s="112"/>
      <c r="DU167" s="112"/>
      <c r="DV167" s="112"/>
      <c r="DW167" s="112"/>
      <c r="DX167" s="112"/>
      <c r="DY167" s="112"/>
      <c r="DZ167" s="112"/>
      <c r="EA167" s="112"/>
      <c r="EB167" s="112"/>
      <c r="EC167" s="112"/>
      <c r="ED167" s="112"/>
      <c r="EE167" s="111"/>
      <c r="EF167" s="111"/>
      <c r="EG167" s="111"/>
      <c r="EH167" s="111"/>
      <c r="EI167" s="111"/>
      <c r="EJ167" s="111"/>
      <c r="EK167" s="111"/>
      <c r="EL167" s="111"/>
      <c r="EM167" s="111"/>
      <c r="EN167" s="111"/>
      <c r="EO167" s="111"/>
      <c r="EP167" s="111"/>
      <c r="EQ167" s="111"/>
      <c r="ER167" s="111"/>
      <c r="ES167" s="111"/>
      <c r="ET167" s="111"/>
      <c r="EU167" s="111"/>
      <c r="EV167" s="111"/>
      <c r="EW167" s="111"/>
      <c r="EX167" s="111"/>
      <c r="EY167" s="111"/>
      <c r="EZ167" s="111"/>
      <c r="FA167" s="111"/>
      <c r="FB167" s="111"/>
      <c r="FC167" s="111"/>
      <c r="FD167" s="111"/>
      <c r="FE167" s="111"/>
      <c r="FF167" s="111"/>
      <c r="FG167" s="111"/>
      <c r="FH167" s="111"/>
      <c r="FI167" s="111"/>
      <c r="FJ167" s="111"/>
      <c r="FK167" s="111"/>
      <c r="FL167" s="111"/>
      <c r="FM167" s="111"/>
      <c r="FN167" s="111"/>
    </row>
    <row r="168" spans="1:170" s="14" customFormat="1" ht="18" customHeight="1">
      <c r="A168" s="1808"/>
      <c r="B168" s="416">
        <v>150</v>
      </c>
      <c r="C168" s="1149" t="str">
        <f>VLOOKUP(B168,Begriffe!$A$6:$E$442,Begriffe!$D$1+2)</f>
        <v>Norm-Heizwärmeleistungsbedarf</v>
      </c>
      <c r="D168" s="21"/>
      <c r="E168" s="21"/>
      <c r="F168" s="21"/>
      <c r="G168" s="21"/>
      <c r="H168" s="21"/>
      <c r="I168" s="262" t="s">
        <v>677</v>
      </c>
      <c r="J168" s="188" t="s">
        <v>68</v>
      </c>
      <c r="K168" s="188"/>
      <c r="L168" s="1175"/>
      <c r="M168" s="269">
        <f>IF(L168&lt;&gt;"",L168,IF(nutzid=44,0,M167))</f>
        <v>95.216941176470598</v>
      </c>
      <c r="N168" s="269">
        <f>IF(nutzid=44,0,N167)</f>
        <v>28.839327731092446</v>
      </c>
      <c r="O168" s="269">
        <f>IF(nutzid=44,0,O167)</f>
        <v>73.030991596638671</v>
      </c>
      <c r="P168" s="493">
        <v>1</v>
      </c>
      <c r="Q168" s="920">
        <v>1</v>
      </c>
      <c r="R168" s="493">
        <v>0</v>
      </c>
      <c r="S168" s="127" t="s">
        <v>177</v>
      </c>
      <c r="T168" s="169"/>
      <c r="U168" s="308"/>
      <c r="V168" s="313"/>
      <c r="W168" s="306"/>
      <c r="X168" s="306"/>
      <c r="Y168" s="126"/>
      <c r="Z168" s="306"/>
      <c r="AA168" s="306"/>
      <c r="AB168" s="127"/>
      <c r="AC168" s="169"/>
      <c r="AD168" s="169"/>
      <c r="AE168" s="129"/>
      <c r="AF168" s="129"/>
      <c r="AG168" s="129"/>
      <c r="AH168" s="129"/>
      <c r="AI168" s="129"/>
      <c r="AJ168" s="129"/>
      <c r="AK168" s="129"/>
      <c r="AL168" s="129"/>
      <c r="AM168" s="129"/>
      <c r="AN168" s="129"/>
      <c r="AO168" s="129"/>
      <c r="AP168" s="163"/>
      <c r="AQ168" s="163"/>
      <c r="AR168" s="111"/>
      <c r="AS168" s="111"/>
      <c r="AT168" s="111"/>
      <c r="AU168" s="111"/>
      <c r="AV168" s="111"/>
      <c r="AW168" s="111"/>
      <c r="AX168" s="111"/>
      <c r="AY168" s="111"/>
      <c r="AZ168" s="111"/>
      <c r="BA168" s="111"/>
      <c r="BB168" s="111"/>
      <c r="BC168" s="111"/>
      <c r="BD168" s="111"/>
      <c r="BE168" s="111"/>
      <c r="BF168" s="111"/>
      <c r="BG168" s="111"/>
      <c r="BH168" s="111"/>
      <c r="BI168" s="111"/>
      <c r="BJ168" s="111"/>
      <c r="BK168" s="111"/>
      <c r="BL168" s="111"/>
      <c r="BM168" s="111"/>
      <c r="BN168" s="111"/>
      <c r="BO168" s="111"/>
      <c r="BP168" s="111"/>
      <c r="BQ168" s="111"/>
      <c r="BR168" s="111"/>
      <c r="BS168" s="111"/>
      <c r="BT168" s="111"/>
      <c r="BU168" s="111"/>
      <c r="BV168" s="111"/>
      <c r="BW168" s="111"/>
      <c r="BX168" s="111"/>
      <c r="BY168" s="111"/>
      <c r="BZ168" s="111"/>
      <c r="CA168" s="111"/>
      <c r="CB168" s="111"/>
      <c r="CC168" s="111"/>
      <c r="CD168" s="111"/>
      <c r="CE168" s="111"/>
      <c r="CF168" s="111"/>
      <c r="CG168" s="111"/>
      <c r="CH168" s="111"/>
      <c r="CI168" s="111"/>
      <c r="CJ168" s="111"/>
      <c r="CK168" s="111"/>
      <c r="CL168" s="111"/>
      <c r="CM168" s="111"/>
      <c r="CN168" s="111"/>
      <c r="CO168" s="111"/>
      <c r="CP168" s="111"/>
      <c r="CQ168" s="111"/>
      <c r="CR168" s="111"/>
      <c r="CS168" s="111"/>
      <c r="CT168" s="111"/>
      <c r="CU168" s="111"/>
      <c r="CV168" s="111"/>
      <c r="CW168" s="111"/>
      <c r="CX168" s="111"/>
      <c r="CY168" s="111"/>
      <c r="CZ168" s="111"/>
      <c r="DA168" s="111"/>
      <c r="DB168" s="111"/>
      <c r="DC168" s="111"/>
      <c r="DD168" s="111"/>
      <c r="DE168" s="112"/>
      <c r="DF168" s="112"/>
      <c r="DG168" s="112"/>
      <c r="DH168" s="112"/>
      <c r="DI168" s="112"/>
      <c r="DJ168" s="112"/>
      <c r="DK168" s="112"/>
      <c r="DL168" s="112"/>
      <c r="DM168" s="112"/>
      <c r="DN168" s="112"/>
      <c r="DO168" s="112"/>
      <c r="DP168" s="112"/>
      <c r="DQ168" s="112"/>
      <c r="DR168" s="112"/>
      <c r="DS168" s="112"/>
      <c r="DT168" s="112"/>
      <c r="DU168" s="112"/>
      <c r="DV168" s="112"/>
      <c r="DW168" s="112"/>
      <c r="DX168" s="112"/>
      <c r="DY168" s="112"/>
      <c r="DZ168" s="112"/>
      <c r="EA168" s="112"/>
      <c r="EB168" s="112"/>
      <c r="EC168" s="112"/>
      <c r="ED168" s="112"/>
      <c r="EE168" s="111"/>
      <c r="EF168" s="111"/>
      <c r="EG168" s="111"/>
      <c r="EH168" s="111"/>
      <c r="EI168" s="111"/>
      <c r="EJ168" s="111"/>
      <c r="EK168" s="111"/>
      <c r="EL168" s="111"/>
      <c r="EM168" s="111"/>
      <c r="EN168" s="111"/>
      <c r="EO168" s="111"/>
      <c r="EP168" s="111"/>
      <c r="EQ168" s="111"/>
      <c r="ER168" s="111"/>
      <c r="ES168" s="111"/>
      <c r="ET168" s="111"/>
      <c r="EU168" s="111"/>
      <c r="EV168" s="111"/>
      <c r="EW168" s="111"/>
      <c r="EX168" s="111"/>
      <c r="EY168" s="111"/>
      <c r="EZ168" s="111"/>
      <c r="FA168" s="111"/>
      <c r="FB168" s="111"/>
      <c r="FC168" s="111"/>
      <c r="FD168" s="111"/>
      <c r="FE168" s="111"/>
      <c r="FF168" s="111"/>
      <c r="FG168" s="111"/>
      <c r="FH168" s="111"/>
      <c r="FI168" s="111"/>
      <c r="FJ168" s="111"/>
      <c r="FK168" s="111"/>
      <c r="FL168" s="111"/>
      <c r="FM168" s="111"/>
      <c r="FN168" s="111"/>
    </row>
    <row r="169" spans="1:170" s="14" customFormat="1" ht="18" customHeight="1">
      <c r="A169" s="1808"/>
      <c r="B169" s="416">
        <v>130</v>
      </c>
      <c r="C169" s="1149" t="str">
        <f>VLOOKUP(B169,Begriffe!$A$6:$E$442,Begriffe!$D$1+2)</f>
        <v>Jährliche Volllaststunden der Raumheizung</v>
      </c>
      <c r="D169" s="21"/>
      <c r="E169" s="21"/>
      <c r="F169" s="21"/>
      <c r="G169" s="21"/>
      <c r="H169" s="21"/>
      <c r="I169" s="180" t="s">
        <v>227</v>
      </c>
      <c r="J169" s="188" t="s">
        <v>17</v>
      </c>
      <c r="K169" s="188"/>
      <c r="L169" s="182"/>
      <c r="M169" s="1017">
        <f>IF(M168=0,0,ROUND(M174*1000/M168,-1))</f>
        <v>20</v>
      </c>
      <c r="N169" s="1017">
        <f>IF(N168=0,0,ROUND(N174*1000/N168,-1))</f>
        <v>10</v>
      </c>
      <c r="O169" s="1017">
        <f>IF(O168=0,0,ROUND(O174*1000/O168,-1))</f>
        <v>620</v>
      </c>
      <c r="P169" s="493">
        <v>1</v>
      </c>
      <c r="Q169" s="920">
        <v>1</v>
      </c>
      <c r="R169" s="493">
        <v>0</v>
      </c>
      <c r="S169" s="22"/>
      <c r="T169" s="22"/>
      <c r="U169" s="169"/>
      <c r="V169" s="126"/>
      <c r="W169" s="306"/>
      <c r="X169" s="306"/>
      <c r="Y169" s="126"/>
      <c r="Z169" s="306"/>
      <c r="AA169" s="306"/>
      <c r="AB169" s="127"/>
      <c r="AC169" s="169"/>
      <c r="AD169" s="169"/>
      <c r="AE169" s="129"/>
      <c r="AF169" s="129"/>
      <c r="AG169" s="129"/>
      <c r="AH169" s="129"/>
      <c r="AI169" s="129"/>
      <c r="AJ169" s="129"/>
      <c r="AK169" s="129"/>
      <c r="AL169" s="129"/>
      <c r="AM169" s="129"/>
      <c r="AN169" s="129"/>
      <c r="AO169" s="129"/>
      <c r="AP169" s="163"/>
      <c r="AQ169" s="163"/>
      <c r="AR169" s="111"/>
      <c r="AS169" s="111"/>
      <c r="AT169" s="111"/>
      <c r="AU169" s="111"/>
      <c r="AV169" s="111"/>
      <c r="AW169" s="111"/>
      <c r="AX169" s="111"/>
      <c r="AY169" s="111"/>
      <c r="AZ169" s="111"/>
      <c r="BA169" s="111"/>
      <c r="BB169" s="111"/>
      <c r="BC169" s="111"/>
      <c r="BD169" s="111"/>
      <c r="BE169" s="111"/>
      <c r="BF169" s="111"/>
      <c r="BG169" s="111"/>
      <c r="BH169" s="111"/>
      <c r="BI169" s="111"/>
      <c r="BJ169" s="111"/>
      <c r="BK169" s="111"/>
      <c r="BL169" s="111"/>
      <c r="BM169" s="111"/>
      <c r="BN169" s="111"/>
      <c r="BO169" s="111"/>
      <c r="BP169" s="111"/>
      <c r="BQ169" s="111"/>
      <c r="BR169" s="111"/>
      <c r="BS169" s="111"/>
      <c r="BT169" s="111"/>
      <c r="BU169" s="111"/>
      <c r="BV169" s="111"/>
      <c r="BW169" s="111"/>
      <c r="BX169" s="111"/>
      <c r="BY169" s="111"/>
      <c r="BZ169" s="111"/>
      <c r="CA169" s="111"/>
      <c r="CB169" s="111"/>
      <c r="CC169" s="111"/>
      <c r="CD169" s="111"/>
      <c r="CE169" s="111"/>
      <c r="CF169" s="111"/>
      <c r="CG169" s="111"/>
      <c r="CH169" s="111"/>
      <c r="CI169" s="111"/>
      <c r="CJ169" s="111"/>
      <c r="CK169" s="111"/>
      <c r="CL169" s="111"/>
      <c r="CM169" s="111"/>
      <c r="CN169" s="111"/>
      <c r="CO169" s="111"/>
      <c r="CP169" s="111"/>
      <c r="CQ169" s="111"/>
      <c r="CR169" s="111"/>
      <c r="CS169" s="111"/>
      <c r="CT169" s="111"/>
      <c r="CU169" s="111"/>
      <c r="CV169" s="111"/>
      <c r="CW169" s="111"/>
      <c r="CX169" s="111"/>
      <c r="CY169" s="111"/>
      <c r="CZ169" s="111"/>
      <c r="DA169" s="111"/>
      <c r="DB169" s="111"/>
      <c r="DC169" s="111"/>
      <c r="DD169" s="111"/>
      <c r="DE169" s="112"/>
      <c r="DF169" s="112"/>
      <c r="DG169" s="112"/>
      <c r="DH169" s="112"/>
      <c r="DI169" s="112"/>
      <c r="DJ169" s="112"/>
      <c r="DK169" s="112"/>
      <c r="DL169" s="112"/>
      <c r="DM169" s="112"/>
      <c r="DN169" s="112"/>
      <c r="DO169" s="112"/>
      <c r="DP169" s="112"/>
      <c r="DQ169" s="112"/>
      <c r="DR169" s="112"/>
      <c r="DS169" s="112"/>
      <c r="DT169" s="112"/>
      <c r="DU169" s="112"/>
      <c r="DV169" s="112"/>
      <c r="DW169" s="112"/>
      <c r="DX169" s="112"/>
      <c r="DY169" s="112"/>
      <c r="DZ169" s="112"/>
      <c r="EA169" s="112"/>
      <c r="EB169" s="112"/>
      <c r="EC169" s="112"/>
      <c r="ED169" s="112"/>
      <c r="EE169" s="111"/>
      <c r="EF169" s="111"/>
      <c r="EG169" s="111"/>
      <c r="EH169" s="111"/>
      <c r="EI169" s="111"/>
      <c r="EJ169" s="111"/>
      <c r="EK169" s="111"/>
      <c r="EL169" s="111"/>
      <c r="EM169" s="111"/>
      <c r="EN169" s="111"/>
      <c r="EO169" s="111"/>
      <c r="EP169" s="111"/>
      <c r="EQ169" s="111"/>
      <c r="ER169" s="111"/>
      <c r="ES169" s="111"/>
      <c r="ET169" s="111"/>
      <c r="EU169" s="111"/>
      <c r="EV169" s="111"/>
      <c r="EW169" s="111"/>
      <c r="EX169" s="111"/>
      <c r="EY169" s="111"/>
      <c r="EZ169" s="111"/>
      <c r="FA169" s="111"/>
      <c r="FB169" s="111"/>
      <c r="FC169" s="111"/>
      <c r="FD169" s="111"/>
      <c r="FE169" s="111"/>
      <c r="FF169" s="111"/>
      <c r="FG169" s="111"/>
      <c r="FH169" s="111"/>
      <c r="FI169" s="111"/>
      <c r="FJ169" s="111"/>
      <c r="FK169" s="111"/>
      <c r="FL169" s="111"/>
      <c r="FM169" s="111"/>
      <c r="FN169" s="111"/>
    </row>
    <row r="170" spans="1:170" s="14" customFormat="1" ht="18" hidden="1" customHeight="1">
      <c r="A170" s="1808"/>
      <c r="B170" s="30"/>
      <c r="C170" s="519" t="s">
        <v>353</v>
      </c>
      <c r="D170" s="84"/>
      <c r="E170" s="84"/>
      <c r="F170" s="84"/>
      <c r="G170" s="84"/>
      <c r="H170" s="84"/>
      <c r="I170" s="31" t="s">
        <v>678</v>
      </c>
      <c r="J170" s="354" t="s">
        <v>77</v>
      </c>
      <c r="K170" s="354"/>
      <c r="L170" s="353"/>
      <c r="M170" s="213">
        <f>INDEX(Eingabedaten!$D$10:$HJ$54,nutzid,MATCH("Qh,li0",Eingabedaten!$D$7:$HJ$7,0))/3.6</f>
        <v>3.333333333333333</v>
      </c>
      <c r="N170" s="213">
        <f>M170</f>
        <v>3.333333333333333</v>
      </c>
      <c r="O170" s="213">
        <f>M170</f>
        <v>3.333333333333333</v>
      </c>
      <c r="P170" s="493">
        <v>0</v>
      </c>
      <c r="Q170" s="920">
        <v>0</v>
      </c>
      <c r="R170" s="493">
        <v>0</v>
      </c>
      <c r="S170" s="22"/>
      <c r="T170" s="22"/>
      <c r="U170" s="169"/>
      <c r="V170" s="126"/>
      <c r="W170" s="306"/>
      <c r="X170" s="306"/>
      <c r="Y170" s="126"/>
      <c r="Z170" s="306"/>
      <c r="AA170" s="306"/>
      <c r="AB170" s="127"/>
      <c r="AC170" s="169"/>
      <c r="AD170" s="169"/>
      <c r="AE170" s="129"/>
      <c r="AF170" s="129"/>
      <c r="AG170" s="129"/>
      <c r="AH170" s="129"/>
      <c r="AI170" s="129"/>
      <c r="AJ170" s="129"/>
      <c r="AK170" s="129"/>
      <c r="AL170" s="129"/>
      <c r="AM170" s="129"/>
      <c r="AN170" s="129"/>
      <c r="AO170" s="129"/>
      <c r="AP170" s="163"/>
      <c r="AQ170" s="163"/>
      <c r="AR170" s="111"/>
      <c r="AS170" s="111"/>
      <c r="AT170" s="111"/>
      <c r="AU170" s="111"/>
      <c r="AV170" s="111"/>
      <c r="AW170" s="111"/>
      <c r="AX170" s="111"/>
      <c r="AY170" s="111"/>
      <c r="AZ170" s="111"/>
      <c r="BA170" s="111"/>
      <c r="BB170" s="111"/>
      <c r="BC170" s="111"/>
      <c r="BD170" s="111"/>
      <c r="BE170" s="111"/>
      <c r="BF170" s="111"/>
      <c r="BG170" s="111"/>
      <c r="BH170" s="111"/>
      <c r="BI170" s="111"/>
      <c r="BJ170" s="111"/>
      <c r="BK170" s="111"/>
      <c r="BL170" s="111"/>
      <c r="BM170" s="111"/>
      <c r="BN170" s="111"/>
      <c r="BO170" s="111"/>
      <c r="BP170" s="111"/>
      <c r="BQ170" s="111"/>
      <c r="BR170" s="111"/>
      <c r="BS170" s="111"/>
      <c r="BT170" s="111"/>
      <c r="BU170" s="111"/>
      <c r="BV170" s="111"/>
      <c r="BW170" s="111"/>
      <c r="BX170" s="111"/>
      <c r="BY170" s="111"/>
      <c r="BZ170" s="111"/>
      <c r="CA170" s="111"/>
      <c r="CB170" s="111"/>
      <c r="CC170" s="111"/>
      <c r="CD170" s="111"/>
      <c r="CE170" s="111"/>
      <c r="CF170" s="111"/>
      <c r="CG170" s="111"/>
      <c r="CH170" s="111"/>
      <c r="CI170" s="111"/>
      <c r="CJ170" s="111"/>
      <c r="CK170" s="111"/>
      <c r="CL170" s="111"/>
      <c r="CM170" s="111"/>
      <c r="CN170" s="111"/>
      <c r="CO170" s="111"/>
      <c r="CP170" s="111"/>
      <c r="CQ170" s="111"/>
      <c r="CR170" s="111"/>
      <c r="CS170" s="111"/>
      <c r="CT170" s="111"/>
      <c r="CU170" s="111"/>
      <c r="CV170" s="111"/>
      <c r="CW170" s="111"/>
      <c r="CX170" s="111"/>
      <c r="CY170" s="111"/>
      <c r="CZ170" s="111"/>
      <c r="DA170" s="111"/>
      <c r="DB170" s="111"/>
      <c r="DC170" s="111"/>
      <c r="DD170" s="111"/>
      <c r="DE170" s="112"/>
      <c r="DF170" s="112"/>
      <c r="DG170" s="112"/>
      <c r="DH170" s="112"/>
      <c r="DI170" s="112"/>
      <c r="DJ170" s="112"/>
      <c r="DK170" s="112"/>
      <c r="DL170" s="112"/>
      <c r="DM170" s="112"/>
      <c r="DN170" s="112"/>
      <c r="DO170" s="112"/>
      <c r="DP170" s="112"/>
      <c r="DQ170" s="112"/>
      <c r="DR170" s="112"/>
      <c r="DS170" s="112"/>
      <c r="DT170" s="112"/>
      <c r="DU170" s="112"/>
      <c r="DV170" s="112"/>
      <c r="DW170" s="112"/>
      <c r="DX170" s="112"/>
      <c r="DY170" s="112"/>
      <c r="DZ170" s="112"/>
      <c r="EA170" s="112"/>
      <c r="EB170" s="112"/>
      <c r="EC170" s="112"/>
      <c r="ED170" s="112"/>
      <c r="EE170" s="111"/>
      <c r="EF170" s="111"/>
      <c r="EG170" s="111"/>
      <c r="EH170" s="111"/>
      <c r="EI170" s="111"/>
      <c r="EJ170" s="111"/>
      <c r="EK170" s="111"/>
      <c r="EL170" s="111"/>
      <c r="EM170" s="111"/>
      <c r="EN170" s="111"/>
      <c r="EO170" s="111"/>
      <c r="EP170" s="111"/>
      <c r="EQ170" s="111"/>
      <c r="ER170" s="111"/>
      <c r="ES170" s="111"/>
      <c r="ET170" s="111"/>
      <c r="EU170" s="111"/>
      <c r="EV170" s="111"/>
      <c r="EW170" s="111"/>
      <c r="EX170" s="111"/>
      <c r="EY170" s="111"/>
      <c r="EZ170" s="111"/>
      <c r="FA170" s="111"/>
      <c r="FB170" s="111"/>
      <c r="FC170" s="111"/>
      <c r="FD170" s="111"/>
      <c r="FE170" s="111"/>
      <c r="FF170" s="111"/>
      <c r="FG170" s="111"/>
      <c r="FH170" s="111"/>
      <c r="FI170" s="111"/>
      <c r="FJ170" s="111"/>
      <c r="FK170" s="111"/>
      <c r="FL170" s="111"/>
      <c r="FM170" s="111"/>
      <c r="FN170" s="111"/>
    </row>
    <row r="171" spans="1:170" s="14" customFormat="1" ht="18" hidden="1" customHeight="1">
      <c r="A171" s="1808"/>
      <c r="B171" s="30"/>
      <c r="C171" s="519" t="s">
        <v>354</v>
      </c>
      <c r="D171" s="84"/>
      <c r="E171" s="84"/>
      <c r="F171" s="84"/>
      <c r="G171" s="84"/>
      <c r="H171" s="84"/>
      <c r="I171" s="31" t="s">
        <v>679</v>
      </c>
      <c r="J171" s="354" t="s">
        <v>77</v>
      </c>
      <c r="K171" s="354"/>
      <c r="L171" s="353"/>
      <c r="M171" s="213">
        <f>INDEX(Eingabedaten!$D$10:$HJ$54,nutzid,MATCH("dQh,li",Eingabedaten!$D$7:$HJ$7,0))/3.6</f>
        <v>3.8888888888888888</v>
      </c>
      <c r="N171" s="213">
        <f>M171</f>
        <v>3.8888888888888888</v>
      </c>
      <c r="O171" s="213">
        <f>M171</f>
        <v>3.8888888888888888</v>
      </c>
      <c r="P171" s="493">
        <v>0</v>
      </c>
      <c r="Q171" s="920">
        <v>0</v>
      </c>
      <c r="R171" s="493">
        <v>0</v>
      </c>
      <c r="S171" s="22"/>
      <c r="T171" s="22"/>
      <c r="U171" s="169"/>
      <c r="V171" s="126"/>
      <c r="W171" s="306"/>
      <c r="X171" s="306"/>
      <c r="Y171" s="126"/>
      <c r="Z171" s="306"/>
      <c r="AA171" s="306"/>
      <c r="AB171" s="127"/>
      <c r="AC171" s="169"/>
      <c r="AD171" s="169"/>
      <c r="AE171" s="129"/>
      <c r="AF171" s="129"/>
      <c r="AG171" s="129"/>
      <c r="AH171" s="129"/>
      <c r="AI171" s="129"/>
      <c r="AJ171" s="129"/>
      <c r="AK171" s="129"/>
      <c r="AL171" s="129"/>
      <c r="AM171" s="129"/>
      <c r="AN171" s="129"/>
      <c r="AO171" s="129"/>
      <c r="AP171" s="163"/>
      <c r="AQ171" s="163"/>
      <c r="AR171" s="111"/>
      <c r="AS171" s="111"/>
      <c r="AT171" s="111"/>
      <c r="AU171" s="111"/>
      <c r="AV171" s="111"/>
      <c r="AW171" s="111"/>
      <c r="AX171" s="111"/>
      <c r="AY171" s="111"/>
      <c r="AZ171" s="111"/>
      <c r="BA171" s="111"/>
      <c r="BB171" s="111"/>
      <c r="BC171" s="111"/>
      <c r="BD171" s="111"/>
      <c r="BE171" s="111"/>
      <c r="BF171" s="111"/>
      <c r="BG171" s="111"/>
      <c r="BH171" s="111"/>
      <c r="BI171" s="111"/>
      <c r="BJ171" s="111"/>
      <c r="BK171" s="111"/>
      <c r="BL171" s="111"/>
      <c r="BM171" s="111"/>
      <c r="BN171" s="111"/>
      <c r="BO171" s="111"/>
      <c r="BP171" s="111"/>
      <c r="BQ171" s="111"/>
      <c r="BR171" s="111"/>
      <c r="BS171" s="111"/>
      <c r="BT171" s="111"/>
      <c r="BU171" s="111"/>
      <c r="BV171" s="111"/>
      <c r="BW171" s="111"/>
      <c r="BX171" s="111"/>
      <c r="BY171" s="111"/>
      <c r="BZ171" s="111"/>
      <c r="CA171" s="111"/>
      <c r="CB171" s="111"/>
      <c r="CC171" s="111"/>
      <c r="CD171" s="111"/>
      <c r="CE171" s="111"/>
      <c r="CF171" s="111"/>
      <c r="CG171" s="111"/>
      <c r="CH171" s="111"/>
      <c r="CI171" s="111"/>
      <c r="CJ171" s="111"/>
      <c r="CK171" s="111"/>
      <c r="CL171" s="111"/>
      <c r="CM171" s="111"/>
      <c r="CN171" s="111"/>
      <c r="CO171" s="111"/>
      <c r="CP171" s="111"/>
      <c r="CQ171" s="111"/>
      <c r="CR171" s="111"/>
      <c r="CS171" s="111"/>
      <c r="CT171" s="111"/>
      <c r="CU171" s="111"/>
      <c r="CV171" s="111"/>
      <c r="CW171" s="111"/>
      <c r="CX171" s="111"/>
      <c r="CY171" s="111"/>
      <c r="CZ171" s="111"/>
      <c r="DA171" s="111"/>
      <c r="DB171" s="111"/>
      <c r="DC171" s="111"/>
      <c r="DD171" s="111"/>
      <c r="DE171" s="112"/>
      <c r="DF171" s="112"/>
      <c r="DG171" s="112"/>
      <c r="DH171" s="112"/>
      <c r="DI171" s="112"/>
      <c r="DJ171" s="112"/>
      <c r="DK171" s="112"/>
      <c r="DL171" s="112"/>
      <c r="DM171" s="112"/>
      <c r="DN171" s="112"/>
      <c r="DO171" s="112"/>
      <c r="DP171" s="112"/>
      <c r="DQ171" s="112"/>
      <c r="DR171" s="112"/>
      <c r="DS171" s="112"/>
      <c r="DT171" s="112"/>
      <c r="DU171" s="112"/>
      <c r="DV171" s="112"/>
      <c r="DW171" s="112"/>
      <c r="DX171" s="112"/>
      <c r="DY171" s="112"/>
      <c r="DZ171" s="112"/>
      <c r="EA171" s="112"/>
      <c r="EB171" s="112"/>
      <c r="EC171" s="112"/>
      <c r="ED171" s="112"/>
      <c r="EE171" s="111"/>
      <c r="EF171" s="111"/>
      <c r="EG171" s="111"/>
      <c r="EH171" s="111"/>
      <c r="EI171" s="111"/>
      <c r="EJ171" s="111"/>
      <c r="EK171" s="111"/>
      <c r="EL171" s="111"/>
      <c r="EM171" s="111"/>
      <c r="EN171" s="111"/>
      <c r="EO171" s="111"/>
      <c r="EP171" s="111"/>
      <c r="EQ171" s="111"/>
      <c r="ER171" s="111"/>
      <c r="ES171" s="111"/>
      <c r="ET171" s="111"/>
      <c r="EU171" s="111"/>
      <c r="EV171" s="111"/>
      <c r="EW171" s="111"/>
      <c r="EX171" s="111"/>
      <c r="EY171" s="111"/>
      <c r="EZ171" s="111"/>
      <c r="FA171" s="111"/>
      <c r="FB171" s="111"/>
      <c r="FC171" s="111"/>
      <c r="FD171" s="111"/>
      <c r="FE171" s="111"/>
      <c r="FF171" s="111"/>
      <c r="FG171" s="111"/>
      <c r="FH171" s="111"/>
      <c r="FI171" s="111"/>
      <c r="FJ171" s="111"/>
      <c r="FK171" s="111"/>
      <c r="FL171" s="111"/>
      <c r="FM171" s="111"/>
      <c r="FN171" s="111"/>
    </row>
    <row r="172" spans="1:170" s="14" customFormat="1" ht="18" hidden="1" customHeight="1">
      <c r="A172" s="1808"/>
      <c r="B172" s="30"/>
      <c r="C172" s="519">
        <f>Begriffe!F298</f>
        <v>0</v>
      </c>
      <c r="D172" s="84"/>
      <c r="E172" s="84"/>
      <c r="F172" s="84"/>
      <c r="G172" s="84"/>
      <c r="H172" s="84"/>
      <c r="I172" s="31" t="s">
        <v>352</v>
      </c>
      <c r="J172" s="354" t="s">
        <v>240</v>
      </c>
      <c r="K172" s="354"/>
      <c r="L172" s="353"/>
      <c r="M172" s="213">
        <f>INDEX(Eingabedaten!$D$10:$HZ$54,nutzid,MATCH($C172,Eingabedaten!$D$7:$HZ$7,0))</f>
        <v>0.7</v>
      </c>
      <c r="N172" s="213">
        <f>M172</f>
        <v>0.7</v>
      </c>
      <c r="O172" s="213">
        <f>M172</f>
        <v>0.7</v>
      </c>
      <c r="P172" s="493">
        <v>0</v>
      </c>
      <c r="Q172" s="920">
        <v>0</v>
      </c>
      <c r="R172" s="493">
        <v>0</v>
      </c>
      <c r="S172" s="22"/>
      <c r="T172" s="22"/>
      <c r="U172" s="169"/>
      <c r="V172" s="126"/>
      <c r="W172" s="306"/>
      <c r="X172" s="306"/>
      <c r="Y172" s="126"/>
      <c r="Z172" s="306"/>
      <c r="AA172" s="306"/>
      <c r="AB172" s="127"/>
      <c r="AC172" s="169"/>
      <c r="AD172" s="169"/>
      <c r="AE172" s="129"/>
      <c r="AF172" s="129"/>
      <c r="AG172" s="129"/>
      <c r="AH172" s="129"/>
      <c r="AI172" s="129"/>
      <c r="AJ172" s="129"/>
      <c r="AK172" s="129"/>
      <c r="AL172" s="129"/>
      <c r="AM172" s="129"/>
      <c r="AN172" s="129"/>
      <c r="AO172" s="129"/>
      <c r="AP172" s="163"/>
      <c r="AQ172" s="163"/>
      <c r="AR172" s="111"/>
      <c r="AS172" s="111"/>
      <c r="AT172" s="111"/>
      <c r="AU172" s="111"/>
      <c r="AV172" s="111"/>
      <c r="AW172" s="111"/>
      <c r="AX172" s="111"/>
      <c r="AY172" s="111"/>
      <c r="AZ172" s="111"/>
      <c r="BA172" s="111"/>
      <c r="BB172" s="111"/>
      <c r="BC172" s="111"/>
      <c r="BD172" s="111"/>
      <c r="BE172" s="111"/>
      <c r="BF172" s="111"/>
      <c r="BG172" s="111"/>
      <c r="BH172" s="111"/>
      <c r="BI172" s="111"/>
      <c r="BJ172" s="111"/>
      <c r="BK172" s="111"/>
      <c r="BL172" s="111"/>
      <c r="BM172" s="111"/>
      <c r="BN172" s="111"/>
      <c r="BO172" s="111"/>
      <c r="BP172" s="111"/>
      <c r="BQ172" s="111"/>
      <c r="BR172" s="111"/>
      <c r="BS172" s="111"/>
      <c r="BT172" s="111"/>
      <c r="BU172" s="111"/>
      <c r="BV172" s="111"/>
      <c r="BW172" s="111"/>
      <c r="BX172" s="111"/>
      <c r="BY172" s="111"/>
      <c r="BZ172" s="111"/>
      <c r="CA172" s="111"/>
      <c r="CB172" s="111"/>
      <c r="CC172" s="111"/>
      <c r="CD172" s="111"/>
      <c r="CE172" s="111"/>
      <c r="CF172" s="111"/>
      <c r="CG172" s="111"/>
      <c r="CH172" s="111"/>
      <c r="CI172" s="111"/>
      <c r="CJ172" s="111"/>
      <c r="CK172" s="111"/>
      <c r="CL172" s="111"/>
      <c r="CM172" s="111"/>
      <c r="CN172" s="111"/>
      <c r="CO172" s="111"/>
      <c r="CP172" s="111"/>
      <c r="CQ172" s="111"/>
      <c r="CR172" s="111"/>
      <c r="CS172" s="111"/>
      <c r="CT172" s="111"/>
      <c r="CU172" s="111"/>
      <c r="CV172" s="111"/>
      <c r="CW172" s="111"/>
      <c r="CX172" s="111"/>
      <c r="CY172" s="111"/>
      <c r="CZ172" s="111"/>
      <c r="DA172" s="111"/>
      <c r="DB172" s="111"/>
      <c r="DC172" s="111"/>
      <c r="DD172" s="111"/>
      <c r="DE172" s="112"/>
      <c r="DF172" s="112"/>
      <c r="DG172" s="112"/>
      <c r="DH172" s="112"/>
      <c r="DI172" s="112"/>
      <c r="DJ172" s="112"/>
      <c r="DK172" s="112"/>
      <c r="DL172" s="112"/>
      <c r="DM172" s="112"/>
      <c r="DN172" s="112"/>
      <c r="DO172" s="112"/>
      <c r="DP172" s="112"/>
      <c r="DQ172" s="112"/>
      <c r="DR172" s="112"/>
      <c r="DS172" s="112"/>
      <c r="DT172" s="112"/>
      <c r="DU172" s="112"/>
      <c r="DV172" s="112"/>
      <c r="DW172" s="112"/>
      <c r="DX172" s="112"/>
      <c r="DY172" s="112"/>
      <c r="DZ172" s="112"/>
      <c r="EA172" s="112"/>
      <c r="EB172" s="112"/>
      <c r="EC172" s="112"/>
      <c r="ED172" s="112"/>
      <c r="EE172" s="111"/>
      <c r="EF172" s="111"/>
      <c r="EG172" s="111"/>
      <c r="EH172" s="111"/>
      <c r="EI172" s="111"/>
      <c r="EJ172" s="111"/>
      <c r="EK172" s="111"/>
      <c r="EL172" s="111"/>
      <c r="EM172" s="111"/>
      <c r="EN172" s="111"/>
      <c r="EO172" s="111"/>
      <c r="EP172" s="111"/>
      <c r="EQ172" s="111"/>
      <c r="ER172" s="111"/>
      <c r="ES172" s="111"/>
      <c r="ET172" s="111"/>
      <c r="EU172" s="111"/>
      <c r="EV172" s="111"/>
      <c r="EW172" s="111"/>
      <c r="EX172" s="111"/>
      <c r="EY172" s="111"/>
      <c r="EZ172" s="111"/>
      <c r="FA172" s="111"/>
      <c r="FB172" s="111"/>
      <c r="FC172" s="111"/>
      <c r="FD172" s="111"/>
      <c r="FE172" s="111"/>
      <c r="FF172" s="111"/>
      <c r="FG172" s="111"/>
      <c r="FH172" s="111"/>
      <c r="FI172" s="111"/>
      <c r="FJ172" s="111"/>
      <c r="FK172" s="111"/>
      <c r="FL172" s="111"/>
      <c r="FM172" s="111"/>
      <c r="FN172" s="111"/>
    </row>
    <row r="173" spans="1:170" s="14" customFormat="1" ht="18" customHeight="1">
      <c r="A173" s="1808"/>
      <c r="B173" s="416">
        <v>170</v>
      </c>
      <c r="C173" s="1149" t="str">
        <f>VLOOKUP(B173,Begriffe!$A$6:$E$442,Begriffe!$D$1+2)</f>
        <v>Thermisch wirksamer Aussenluft-Volumenstrom</v>
      </c>
      <c r="D173" s="121"/>
      <c r="E173" s="121"/>
      <c r="F173" s="121"/>
      <c r="G173" s="121"/>
      <c r="H173" s="121"/>
      <c r="I173" s="215" t="s">
        <v>718</v>
      </c>
      <c r="J173" s="212" t="s">
        <v>240</v>
      </c>
      <c r="K173" s="188"/>
      <c r="L173" s="352"/>
      <c r="M173" s="1019">
        <f>IF(M128=0,0,(($M128*(1-M133)-M129)*M127)/8760+M129)</f>
        <v>0.46624999999999894</v>
      </c>
      <c r="N173" s="1019">
        <f>IF(M128=0,0,(($M128*(1-N133)-N129)*N127)/8760+N129)</f>
        <v>0.26151249999999931</v>
      </c>
      <c r="O173" s="1019">
        <f>IF(M128=0,0,(($M128*(1-O133)-O129)*O127)/8760+O129)</f>
        <v>0.93249999999999789</v>
      </c>
      <c r="P173" s="493">
        <v>0</v>
      </c>
      <c r="Q173" s="920">
        <v>1</v>
      </c>
      <c r="R173" s="493">
        <v>0</v>
      </c>
      <c r="S173" s="22"/>
      <c r="T173" s="22"/>
      <c r="U173" s="169"/>
      <c r="V173" s="126"/>
      <c r="W173" s="306"/>
      <c r="X173" s="306"/>
      <c r="Y173" s="126"/>
      <c r="Z173" s="306"/>
      <c r="AA173" s="306"/>
      <c r="AB173" s="127"/>
      <c r="AC173" s="169"/>
      <c r="AD173" s="169"/>
      <c r="AE173" s="129"/>
      <c r="AF173" s="129"/>
      <c r="AG173" s="129"/>
      <c r="AH173" s="129"/>
      <c r="AI173" s="129"/>
      <c r="AJ173" s="129"/>
      <c r="AK173" s="129"/>
      <c r="AL173" s="129"/>
      <c r="AM173" s="129"/>
      <c r="AN173" s="129"/>
      <c r="AO173" s="129"/>
      <c r="AP173" s="163"/>
      <c r="AQ173" s="163"/>
      <c r="AR173" s="111"/>
      <c r="AS173" s="111"/>
      <c r="AT173" s="111"/>
      <c r="AU173" s="111"/>
      <c r="AV173" s="111"/>
      <c r="AW173" s="111"/>
      <c r="AX173" s="111"/>
      <c r="AY173" s="111"/>
      <c r="AZ173" s="111"/>
      <c r="BA173" s="111"/>
      <c r="BB173" s="111"/>
      <c r="BC173" s="111"/>
      <c r="BD173" s="111"/>
      <c r="BE173" s="111"/>
      <c r="BF173" s="111"/>
      <c r="BG173" s="111"/>
      <c r="BH173" s="111"/>
      <c r="BI173" s="111"/>
      <c r="BJ173" s="111"/>
      <c r="BK173" s="111"/>
      <c r="BL173" s="111"/>
      <c r="BM173" s="111"/>
      <c r="BN173" s="111"/>
      <c r="BO173" s="111"/>
      <c r="BP173" s="111"/>
      <c r="BQ173" s="111"/>
      <c r="BR173" s="111"/>
      <c r="BS173" s="111"/>
      <c r="BT173" s="111"/>
      <c r="BU173" s="111"/>
      <c r="BV173" s="111"/>
      <c r="BW173" s="111"/>
      <c r="BX173" s="111"/>
      <c r="BY173" s="111"/>
      <c r="BZ173" s="111"/>
      <c r="CA173" s="111"/>
      <c r="CB173" s="111"/>
      <c r="CC173" s="111"/>
      <c r="CD173" s="111"/>
      <c r="CE173" s="111"/>
      <c r="CF173" s="111"/>
      <c r="CG173" s="111"/>
      <c r="CH173" s="111"/>
      <c r="CI173" s="111"/>
      <c r="CJ173" s="111"/>
      <c r="CK173" s="111"/>
      <c r="CL173" s="111"/>
      <c r="CM173" s="111"/>
      <c r="CN173" s="111"/>
      <c r="CO173" s="111"/>
      <c r="CP173" s="111"/>
      <c r="CQ173" s="111"/>
      <c r="CR173" s="111"/>
      <c r="CS173" s="111"/>
      <c r="CT173" s="111"/>
      <c r="CU173" s="111"/>
      <c r="CV173" s="111"/>
      <c r="CW173" s="111"/>
      <c r="CX173" s="111"/>
      <c r="CY173" s="111"/>
      <c r="CZ173" s="111"/>
      <c r="DA173" s="111"/>
      <c r="DB173" s="111"/>
      <c r="DC173" s="111"/>
      <c r="DD173" s="111"/>
      <c r="DE173" s="112"/>
      <c r="DF173" s="112"/>
      <c r="DG173" s="112"/>
      <c r="DH173" s="112"/>
      <c r="DI173" s="112"/>
      <c r="DJ173" s="112"/>
      <c r="DK173" s="112"/>
      <c r="DL173" s="112"/>
      <c r="DM173" s="112"/>
      <c r="DN173" s="112"/>
      <c r="DO173" s="112"/>
      <c r="DP173" s="112"/>
      <c r="DQ173" s="112"/>
      <c r="DR173" s="112"/>
      <c r="DS173" s="112"/>
      <c r="DT173" s="112"/>
      <c r="DU173" s="112"/>
      <c r="DV173" s="112"/>
      <c r="DW173" s="112"/>
      <c r="DX173" s="112"/>
      <c r="DY173" s="112"/>
      <c r="DZ173" s="112"/>
      <c r="EA173" s="112"/>
      <c r="EB173" s="112"/>
      <c r="EC173" s="112"/>
      <c r="ED173" s="112"/>
      <c r="EE173" s="111"/>
      <c r="EF173" s="111"/>
      <c r="EG173" s="111"/>
      <c r="EH173" s="111"/>
      <c r="EI173" s="111"/>
      <c r="EJ173" s="111"/>
      <c r="EK173" s="111"/>
      <c r="EL173" s="111"/>
      <c r="EM173" s="111"/>
      <c r="EN173" s="111"/>
      <c r="EO173" s="111"/>
      <c r="EP173" s="111"/>
      <c r="EQ173" s="111"/>
      <c r="ER173" s="111"/>
      <c r="ES173" s="111"/>
      <c r="ET173" s="111"/>
      <c r="EU173" s="111"/>
      <c r="EV173" s="111"/>
      <c r="EW173" s="111"/>
      <c r="EX173" s="111"/>
      <c r="EY173" s="111"/>
      <c r="EZ173" s="111"/>
      <c r="FA173" s="111"/>
      <c r="FB173" s="111"/>
      <c r="FC173" s="111"/>
      <c r="FD173" s="111"/>
      <c r="FE173" s="111"/>
      <c r="FF173" s="111"/>
      <c r="FG173" s="111"/>
      <c r="FH173" s="111"/>
      <c r="FI173" s="111"/>
      <c r="FJ173" s="111"/>
      <c r="FK173" s="111"/>
      <c r="FL173" s="111"/>
      <c r="FM173" s="111"/>
      <c r="FN173" s="111"/>
    </row>
    <row r="174" spans="1:170" s="14" customFormat="1" ht="18" customHeight="1">
      <c r="A174" s="1809"/>
      <c r="B174" s="416">
        <v>137</v>
      </c>
      <c r="C174" s="21" t="str">
        <f>VLOOKUP(B174,Begriffe!$A$6:$E$442,Begriffe!$D$1+2)</f>
        <v xml:space="preserve">Jährlicher Heizwärmebedarf </v>
      </c>
      <c r="D174" s="21"/>
      <c r="E174" s="21"/>
      <c r="F174" s="21"/>
      <c r="G174" s="21"/>
      <c r="H174" s="21"/>
      <c r="I174" s="215" t="s">
        <v>680</v>
      </c>
      <c r="J174" s="212" t="s">
        <v>77</v>
      </c>
      <c r="K174" s="212"/>
      <c r="L174" s="1178"/>
      <c r="M174" s="1020">
        <f>IF(L174&lt;&gt;"",L174,MAX(0,'SIA 380-1'!P131/3.6))</f>
        <v>2.2677545523408651</v>
      </c>
      <c r="N174" s="1020">
        <f>MAX(0,'SIA 380-1'!P162/3.6)</f>
        <v>0.38811752986723469</v>
      </c>
      <c r="O174" s="1020">
        <f>MAX(0,'SIA 380-1'!P193/3.6)</f>
        <v>45.357615428647577</v>
      </c>
      <c r="P174" s="493">
        <v>1</v>
      </c>
      <c r="Q174" s="920">
        <v>1</v>
      </c>
      <c r="R174" s="493">
        <v>0</v>
      </c>
      <c r="S174" s="920"/>
      <c r="T174" s="169"/>
      <c r="U174" s="22"/>
      <c r="V174" s="306"/>
      <c r="W174" s="306"/>
      <c r="X174" s="306"/>
      <c r="Y174" s="126"/>
      <c r="Z174" s="496"/>
      <c r="AA174" s="306"/>
      <c r="AB174" s="127"/>
      <c r="AC174" s="169"/>
      <c r="AD174" s="169"/>
      <c r="AE174" s="129"/>
      <c r="AF174" s="129"/>
      <c r="AG174" s="129"/>
      <c r="AH174" s="129"/>
      <c r="AI174" s="129"/>
      <c r="AJ174" s="129"/>
      <c r="AK174" s="129"/>
      <c r="AL174" s="129"/>
      <c r="AM174" s="129"/>
      <c r="AN174" s="129"/>
      <c r="AO174" s="129"/>
      <c r="AP174" s="163"/>
      <c r="AQ174" s="163"/>
      <c r="AR174" s="111"/>
      <c r="AS174" s="111"/>
      <c r="AT174" s="111"/>
      <c r="AU174" s="111"/>
      <c r="AV174" s="111"/>
      <c r="AW174" s="111"/>
      <c r="AX174" s="111"/>
      <c r="AY174" s="111"/>
      <c r="AZ174" s="111"/>
      <c r="BA174" s="111"/>
      <c r="BB174" s="111"/>
      <c r="BC174" s="111"/>
      <c r="BD174" s="111"/>
      <c r="BE174" s="111"/>
      <c r="BF174" s="111"/>
      <c r="BG174" s="111"/>
      <c r="BH174" s="111"/>
      <c r="BI174" s="111"/>
      <c r="BJ174" s="111"/>
      <c r="BK174" s="111"/>
      <c r="BL174" s="111"/>
      <c r="BM174" s="111"/>
      <c r="BN174" s="111"/>
      <c r="BO174" s="111"/>
      <c r="BP174" s="111"/>
      <c r="BQ174" s="111"/>
      <c r="BR174" s="111"/>
      <c r="BS174" s="111"/>
      <c r="BT174" s="111"/>
      <c r="BU174" s="111"/>
      <c r="BV174" s="111"/>
      <c r="BW174" s="111"/>
      <c r="BX174" s="111"/>
      <c r="BY174" s="111"/>
      <c r="BZ174" s="111"/>
      <c r="CA174" s="111"/>
      <c r="CB174" s="111"/>
      <c r="CC174" s="111"/>
      <c r="CD174" s="111"/>
      <c r="CE174" s="111"/>
      <c r="CF174" s="111"/>
      <c r="CG174" s="111"/>
      <c r="CH174" s="111"/>
      <c r="CI174" s="111"/>
      <c r="CJ174" s="111"/>
      <c r="CK174" s="111"/>
      <c r="CL174" s="111"/>
      <c r="CM174" s="111"/>
      <c r="CN174" s="111"/>
      <c r="CO174" s="111"/>
      <c r="CP174" s="111"/>
      <c r="CQ174" s="111"/>
      <c r="CR174" s="111"/>
      <c r="CS174" s="111"/>
      <c r="CT174" s="111"/>
      <c r="CU174" s="111"/>
      <c r="CV174" s="111"/>
      <c r="CW174" s="111"/>
      <c r="CX174" s="111"/>
      <c r="CY174" s="111"/>
      <c r="CZ174" s="111"/>
      <c r="DA174" s="111"/>
      <c r="DB174" s="111"/>
      <c r="DC174" s="111"/>
      <c r="DD174" s="111"/>
      <c r="DE174" s="112"/>
      <c r="DF174" s="112"/>
      <c r="DG174" s="112"/>
      <c r="DH174" s="112"/>
      <c r="DI174" s="112"/>
      <c r="DJ174" s="112"/>
      <c r="DK174" s="112"/>
      <c r="DL174" s="112"/>
      <c r="DM174" s="112"/>
      <c r="DN174" s="112"/>
      <c r="DO174" s="112"/>
      <c r="DP174" s="112"/>
      <c r="DQ174" s="112"/>
      <c r="DR174" s="112"/>
      <c r="DS174" s="112"/>
      <c r="DT174" s="112"/>
      <c r="DU174" s="112"/>
      <c r="DV174" s="112"/>
      <c r="DW174" s="112"/>
      <c r="DX174" s="112"/>
      <c r="DY174" s="112"/>
      <c r="DZ174" s="112"/>
      <c r="EA174" s="112"/>
      <c r="EB174" s="112"/>
      <c r="EC174" s="112"/>
      <c r="ED174" s="112"/>
      <c r="EE174" s="111"/>
      <c r="EF174" s="111"/>
      <c r="EG174" s="111"/>
      <c r="EH174" s="111"/>
      <c r="EI174" s="111"/>
      <c r="EJ174" s="111"/>
      <c r="EK174" s="111"/>
      <c r="EL174" s="111"/>
      <c r="EM174" s="111"/>
      <c r="EN174" s="111"/>
      <c r="EO174" s="111"/>
      <c r="EP174" s="111"/>
      <c r="EQ174" s="111"/>
      <c r="ER174" s="111"/>
      <c r="ES174" s="111"/>
      <c r="ET174" s="111"/>
      <c r="EU174" s="111"/>
      <c r="EV174" s="111"/>
      <c r="EW174" s="111"/>
      <c r="EX174" s="111"/>
      <c r="EY174" s="111"/>
      <c r="EZ174" s="111"/>
      <c r="FA174" s="111"/>
      <c r="FB174" s="111"/>
      <c r="FC174" s="111"/>
      <c r="FD174" s="111"/>
      <c r="FE174" s="111"/>
      <c r="FF174" s="111"/>
      <c r="FG174" s="111"/>
      <c r="FH174" s="111"/>
      <c r="FI174" s="111"/>
      <c r="FJ174" s="111"/>
      <c r="FK174" s="111"/>
      <c r="FL174" s="111"/>
      <c r="FM174" s="111"/>
      <c r="FN174" s="111"/>
    </row>
    <row r="175" spans="1:170" s="9" customFormat="1" ht="1.5" customHeight="1">
      <c r="A175" s="198"/>
      <c r="B175" s="1142"/>
      <c r="C175" s="200"/>
      <c r="D175" s="200"/>
      <c r="E175" s="200"/>
      <c r="F175" s="200"/>
      <c r="G175" s="200"/>
      <c r="H175" s="200"/>
      <c r="I175" s="277"/>
      <c r="J175" s="207"/>
      <c r="K175" s="207"/>
      <c r="L175" s="208"/>
      <c r="M175" s="208"/>
      <c r="N175" s="997"/>
      <c r="O175" s="997"/>
      <c r="P175" s="493">
        <v>0</v>
      </c>
      <c r="Q175" s="920">
        <v>1</v>
      </c>
      <c r="R175" s="493">
        <v>0</v>
      </c>
      <c r="S175" s="166"/>
      <c r="T175" s="307"/>
      <c r="U175" s="307"/>
      <c r="V175" s="165"/>
      <c r="W175" s="268"/>
      <c r="X175" s="268"/>
      <c r="Y175" s="165"/>
      <c r="Z175" s="268"/>
      <c r="AA175" s="268"/>
      <c r="AB175" s="166"/>
      <c r="AC175" s="307"/>
      <c r="AD175" s="307"/>
      <c r="AE175" s="166"/>
      <c r="AF175" s="166"/>
      <c r="AG175" s="166"/>
      <c r="AH175" s="166"/>
      <c r="AI175" s="166"/>
      <c r="AJ175" s="166"/>
      <c r="AK175" s="166"/>
      <c r="AL175" s="166"/>
      <c r="AM175" s="166"/>
      <c r="AN175" s="167"/>
      <c r="AO175" s="167"/>
      <c r="AP175" s="168"/>
      <c r="AQ175" s="168"/>
      <c r="AR175" s="113"/>
      <c r="AS175" s="113"/>
      <c r="AT175" s="113"/>
      <c r="AU175" s="113"/>
      <c r="AV175" s="113"/>
      <c r="AW175" s="113"/>
      <c r="AX175" s="113"/>
      <c r="AY175" s="113"/>
      <c r="AZ175" s="113"/>
      <c r="BA175" s="113"/>
      <c r="BB175" s="113"/>
      <c r="BC175" s="113"/>
      <c r="BD175" s="113"/>
      <c r="BE175" s="113"/>
      <c r="BF175" s="113"/>
      <c r="BG175" s="113"/>
      <c r="BH175" s="113"/>
      <c r="BI175" s="113"/>
      <c r="BJ175" s="113"/>
      <c r="BK175" s="113"/>
      <c r="BL175" s="113"/>
      <c r="BM175" s="113"/>
      <c r="BN175" s="113"/>
      <c r="BO175" s="113"/>
      <c r="BP175" s="113"/>
      <c r="BQ175" s="113"/>
      <c r="BR175" s="113"/>
      <c r="BS175" s="113"/>
      <c r="BT175" s="113"/>
      <c r="BU175" s="113"/>
      <c r="BV175" s="113"/>
      <c r="BW175" s="113"/>
      <c r="BX175" s="113"/>
      <c r="BY175" s="113"/>
      <c r="BZ175" s="113"/>
      <c r="CA175" s="113"/>
      <c r="CB175" s="113"/>
      <c r="CC175" s="113"/>
      <c r="CD175" s="113"/>
      <c r="CE175" s="113"/>
      <c r="CF175" s="113"/>
      <c r="CG175" s="113"/>
      <c r="CH175" s="113"/>
      <c r="CI175" s="113"/>
      <c r="CJ175" s="113"/>
      <c r="CK175" s="113"/>
      <c r="CL175" s="113"/>
      <c r="CM175" s="113"/>
      <c r="CN175" s="113"/>
      <c r="CO175" s="113"/>
      <c r="CP175" s="113"/>
      <c r="CQ175" s="113"/>
      <c r="CR175" s="113"/>
      <c r="CS175" s="113"/>
      <c r="CT175" s="113"/>
      <c r="CU175" s="113"/>
      <c r="CV175" s="114"/>
      <c r="CW175" s="114"/>
      <c r="CX175" s="114"/>
      <c r="CY175" s="114"/>
      <c r="CZ175" s="114"/>
      <c r="DA175" s="114"/>
      <c r="DB175" s="114"/>
      <c r="DC175" s="114"/>
      <c r="DD175" s="114"/>
      <c r="DE175" s="114"/>
      <c r="DF175" s="114"/>
      <c r="DG175" s="114"/>
      <c r="DH175" s="114"/>
      <c r="DI175" s="114"/>
      <c r="DJ175" s="114"/>
      <c r="DK175" s="114"/>
      <c r="DL175" s="114"/>
      <c r="DM175" s="114"/>
      <c r="DN175" s="114"/>
      <c r="DO175" s="114"/>
      <c r="DP175" s="114"/>
      <c r="DQ175" s="114"/>
      <c r="DR175" s="114"/>
      <c r="DS175" s="114"/>
      <c r="DT175" s="114"/>
      <c r="DU175" s="114"/>
      <c r="DV175" s="114"/>
      <c r="DW175" s="114"/>
      <c r="DX175" s="114"/>
      <c r="DY175" s="114"/>
      <c r="DZ175" s="114"/>
      <c r="EA175" s="114"/>
      <c r="EB175" s="114"/>
      <c r="EC175" s="114"/>
      <c r="ED175" s="114"/>
      <c r="EE175" s="115"/>
      <c r="EF175" s="115"/>
      <c r="EG175" s="115"/>
      <c r="EH175" s="115"/>
      <c r="EI175" s="115"/>
      <c r="EJ175" s="115"/>
      <c r="EK175" s="115"/>
      <c r="EL175" s="115"/>
      <c r="EM175" s="115"/>
      <c r="EN175" s="115"/>
      <c r="EO175" s="115"/>
      <c r="EP175" s="115"/>
      <c r="EQ175" s="115"/>
      <c r="ER175" s="115"/>
      <c r="ES175" s="115"/>
      <c r="ET175" s="115"/>
      <c r="EU175" s="115"/>
      <c r="EV175" s="115"/>
      <c r="EW175" s="115"/>
      <c r="EX175" s="115"/>
      <c r="EY175" s="115"/>
      <c r="EZ175" s="115"/>
      <c r="FA175" s="115"/>
      <c r="FB175" s="115"/>
      <c r="FC175" s="115"/>
      <c r="FD175" s="115"/>
      <c r="FE175" s="115"/>
      <c r="FF175" s="115"/>
      <c r="FG175" s="115"/>
      <c r="FH175" s="115"/>
      <c r="FI175" s="115"/>
      <c r="FJ175" s="115"/>
      <c r="FK175" s="115"/>
      <c r="FL175" s="115"/>
      <c r="FM175" s="115"/>
      <c r="FN175" s="115"/>
    </row>
    <row r="176" spans="1:170" s="17" customFormat="1" ht="18" customHeight="1">
      <c r="A176" s="1808" t="str">
        <f>Begriffe!F209</f>
        <v>Wasser</v>
      </c>
      <c r="B176" s="416">
        <v>110</v>
      </c>
      <c r="C176" s="21" t="str">
        <f>VLOOKUP(B176,Begriffe!$A$6:$E$442,Begriffe!$D$1+2)</f>
        <v>Bezugseinheit</v>
      </c>
      <c r="D176" s="21"/>
      <c r="E176" s="21"/>
      <c r="F176" s="21"/>
      <c r="G176" s="21"/>
      <c r="H176" s="21"/>
      <c r="I176" s="180"/>
      <c r="J176" s="210"/>
      <c r="K176" s="188"/>
      <c r="L176" s="1161"/>
      <c r="M176" s="931" t="str">
        <f>IF(INDEX(Eingabedaten!$D$10:$CY$54,nutzid,MATCH($C176,Eingabedaten!$D$7:$CY$7,0))=0,"",INDEX(Eingabedaten!$D$10:$CY$54,nutzid,MATCH($C176,Eingabedaten!$D$7:$CY$7,0)))</f>
        <v>Person</v>
      </c>
      <c r="N176" s="266"/>
      <c r="O176" s="266"/>
      <c r="P176" s="493">
        <v>0</v>
      </c>
      <c r="Q176" s="493">
        <v>1</v>
      </c>
      <c r="R176" s="493">
        <v>0</v>
      </c>
      <c r="S176" s="127"/>
      <c r="V176" s="126"/>
      <c r="W176" s="306"/>
      <c r="X176" s="306"/>
      <c r="Y176" s="126"/>
      <c r="Z176" s="306"/>
      <c r="AA176" s="306"/>
      <c r="AB176" s="127"/>
      <c r="AC176" s="169"/>
      <c r="AD176" s="169"/>
      <c r="AE176" s="127"/>
      <c r="AF176" s="127"/>
      <c r="AG176" s="127"/>
      <c r="AH176" s="127"/>
      <c r="AI176" s="127"/>
      <c r="AJ176" s="127"/>
      <c r="AK176" s="127"/>
      <c r="AL176" s="127"/>
      <c r="AM176" s="127"/>
      <c r="AN176" s="128"/>
      <c r="AO176" s="128"/>
      <c r="AP176" s="151"/>
      <c r="AQ176" s="151"/>
      <c r="AR176" s="91"/>
      <c r="AS176" s="91"/>
      <c r="AT176" s="91"/>
      <c r="AU176" s="91"/>
      <c r="AV176" s="91"/>
      <c r="AW176" s="91"/>
      <c r="AX176" s="91"/>
      <c r="AY176" s="91"/>
      <c r="AZ176" s="91"/>
      <c r="BA176" s="91"/>
      <c r="BB176" s="91"/>
      <c r="BC176" s="91"/>
      <c r="BD176" s="91"/>
      <c r="BE176" s="91"/>
      <c r="BF176" s="91"/>
      <c r="BG176" s="91"/>
      <c r="BH176" s="91"/>
      <c r="BI176" s="91"/>
      <c r="BJ176" s="91"/>
      <c r="BK176" s="91"/>
      <c r="BL176" s="91"/>
      <c r="BM176" s="91"/>
      <c r="BN176" s="91"/>
      <c r="BO176" s="91"/>
      <c r="BP176" s="91"/>
      <c r="BQ176" s="91"/>
      <c r="BR176" s="91"/>
      <c r="BS176" s="91"/>
      <c r="BT176" s="91"/>
      <c r="BU176" s="91"/>
      <c r="BV176" s="91"/>
      <c r="BW176" s="91"/>
      <c r="BX176" s="91"/>
      <c r="BY176" s="91"/>
      <c r="BZ176" s="91"/>
      <c r="CA176" s="91"/>
      <c r="CB176" s="91"/>
      <c r="CC176" s="91"/>
      <c r="CD176" s="91"/>
      <c r="CE176" s="91"/>
      <c r="CF176" s="91"/>
      <c r="CG176" s="91"/>
      <c r="CH176" s="91"/>
      <c r="CI176" s="91"/>
      <c r="CJ176" s="91"/>
      <c r="CK176" s="91"/>
      <c r="CL176" s="91"/>
      <c r="CM176" s="91"/>
      <c r="CN176" s="91"/>
      <c r="CO176" s="91"/>
      <c r="CP176" s="91"/>
      <c r="CQ176" s="91"/>
      <c r="CR176" s="91"/>
      <c r="CS176" s="91"/>
      <c r="CT176" s="91"/>
      <c r="CU176" s="91"/>
      <c r="CV176" s="92"/>
      <c r="CW176" s="92"/>
      <c r="CX176" s="92"/>
      <c r="CY176" s="92"/>
      <c r="CZ176" s="92"/>
      <c r="DA176" s="92"/>
      <c r="DB176" s="92"/>
      <c r="DC176" s="92"/>
      <c r="DD176" s="92"/>
      <c r="DE176" s="92"/>
      <c r="DF176" s="92"/>
      <c r="DG176" s="92"/>
      <c r="DH176" s="92"/>
      <c r="DI176" s="92"/>
      <c r="DJ176" s="92"/>
      <c r="DK176" s="92"/>
      <c r="DL176" s="92"/>
      <c r="DM176" s="92"/>
      <c r="DN176" s="92"/>
      <c r="DO176" s="92"/>
      <c r="DP176" s="92"/>
      <c r="DQ176" s="92"/>
      <c r="DR176" s="92"/>
      <c r="DS176" s="92"/>
      <c r="DT176" s="92"/>
      <c r="DU176" s="92"/>
      <c r="DV176" s="92"/>
      <c r="DW176" s="92"/>
      <c r="DX176" s="92"/>
      <c r="DY176" s="92"/>
      <c r="DZ176" s="92"/>
      <c r="EA176" s="92"/>
      <c r="EB176" s="92"/>
      <c r="EC176" s="92"/>
      <c r="ED176" s="92"/>
      <c r="EE176" s="116"/>
      <c r="EF176" s="116"/>
      <c r="EG176" s="116"/>
      <c r="EH176" s="116"/>
      <c r="EI176" s="116"/>
      <c r="EJ176" s="116"/>
      <c r="EK176" s="116"/>
      <c r="EL176" s="116"/>
      <c r="EM176" s="116"/>
      <c r="EN176" s="116"/>
      <c r="EO176" s="116"/>
      <c r="EP176" s="116"/>
      <c r="EQ176" s="116"/>
      <c r="ER176" s="116"/>
      <c r="ES176" s="116"/>
      <c r="ET176" s="116"/>
      <c r="EU176" s="116"/>
      <c r="EV176" s="116"/>
      <c r="EW176" s="116"/>
      <c r="EX176" s="116"/>
      <c r="EY176" s="116"/>
      <c r="EZ176" s="116"/>
      <c r="FA176" s="116"/>
      <c r="FB176" s="116"/>
      <c r="FC176" s="116"/>
      <c r="FD176" s="116"/>
      <c r="FE176" s="116"/>
      <c r="FF176" s="116"/>
      <c r="FG176" s="116"/>
      <c r="FH176" s="116"/>
      <c r="FI176" s="116"/>
      <c r="FJ176" s="116"/>
      <c r="FK176" s="116"/>
      <c r="FL176" s="116"/>
      <c r="FM176" s="116"/>
      <c r="FN176" s="116"/>
    </row>
    <row r="177" spans="1:175" s="17" customFormat="1" ht="18" customHeight="1">
      <c r="A177" s="1808"/>
      <c r="B177" s="416">
        <v>155</v>
      </c>
      <c r="C177" s="21" t="str">
        <f>VLOOKUP(B177,Begriffe!$A$6:$E$442,Begriffe!$D$1+2)</f>
        <v>Nutzwarmwasserbedarf pro Bezugseinheit</v>
      </c>
      <c r="D177" s="21"/>
      <c r="E177" s="21"/>
      <c r="F177" s="21" t="s">
        <v>719</v>
      </c>
      <c r="G177" s="21"/>
      <c r="H177" s="21"/>
      <c r="I177" s="215" t="s">
        <v>872</v>
      </c>
      <c r="J177" s="210" t="s">
        <v>825</v>
      </c>
      <c r="K177" s="188"/>
      <c r="L177" s="1177"/>
      <c r="M177" s="984">
        <f>IF(L177&lt;&gt;"",L177,INDEX(Eingabedaten!$D$10:$CY$54,nutzid,MATCH($C177,Eingabedaten!$D$7:$CY$7,0)))</f>
        <v>3</v>
      </c>
      <c r="N177" s="266"/>
      <c r="O177" s="266"/>
      <c r="P177" s="493">
        <v>0</v>
      </c>
      <c r="Q177" s="493">
        <v>1</v>
      </c>
      <c r="R177" s="493">
        <v>0</v>
      </c>
      <c r="S177" s="127"/>
      <c r="V177" s="126"/>
      <c r="W177" s="306"/>
      <c r="X177" s="306"/>
      <c r="Y177" s="126"/>
      <c r="Z177" s="306"/>
      <c r="AA177" s="306"/>
      <c r="AB177" s="127"/>
      <c r="AC177" s="169"/>
      <c r="AD177" s="169"/>
      <c r="AE177" s="127"/>
      <c r="AF177" s="127"/>
      <c r="AG177" s="127"/>
      <c r="AH177" s="127"/>
      <c r="AI177" s="127"/>
      <c r="AJ177" s="127"/>
      <c r="AK177" s="127"/>
      <c r="AL177" s="127"/>
      <c r="AM177" s="127"/>
      <c r="AN177" s="128"/>
      <c r="AO177" s="128"/>
      <c r="AP177" s="151"/>
      <c r="AQ177" s="151"/>
      <c r="AR177" s="91"/>
      <c r="AS177" s="91"/>
      <c r="AT177" s="91"/>
      <c r="AU177" s="91"/>
      <c r="AV177" s="91"/>
      <c r="AW177" s="91"/>
      <c r="AX177" s="91"/>
      <c r="AY177" s="91"/>
      <c r="AZ177" s="91"/>
      <c r="BA177" s="91"/>
      <c r="BB177" s="91"/>
      <c r="BC177" s="91"/>
      <c r="BD177" s="91"/>
      <c r="BE177" s="91"/>
      <c r="BF177" s="91"/>
      <c r="BG177" s="91"/>
      <c r="BH177" s="91"/>
      <c r="BI177" s="91"/>
      <c r="BJ177" s="91"/>
      <c r="BK177" s="91"/>
      <c r="BL177" s="91"/>
      <c r="BM177" s="91"/>
      <c r="BN177" s="91"/>
      <c r="BO177" s="91"/>
      <c r="BP177" s="91"/>
      <c r="BQ177" s="91"/>
      <c r="BR177" s="91"/>
      <c r="BS177" s="91"/>
      <c r="BT177" s="91"/>
      <c r="BU177" s="91"/>
      <c r="BV177" s="91"/>
      <c r="BW177" s="91"/>
      <c r="BX177" s="91"/>
      <c r="BY177" s="91"/>
      <c r="BZ177" s="91"/>
      <c r="CA177" s="91"/>
      <c r="CB177" s="91"/>
      <c r="CC177" s="91"/>
      <c r="CD177" s="91"/>
      <c r="CE177" s="91"/>
      <c r="CF177" s="91"/>
      <c r="CG177" s="91"/>
      <c r="CH177" s="91"/>
      <c r="CI177" s="91"/>
      <c r="CJ177" s="91"/>
      <c r="CK177" s="91"/>
      <c r="CL177" s="91"/>
      <c r="CM177" s="91"/>
      <c r="CN177" s="91"/>
      <c r="CO177" s="91"/>
      <c r="CP177" s="91"/>
      <c r="CQ177" s="91"/>
      <c r="CR177" s="91"/>
      <c r="CS177" s="91"/>
      <c r="CT177" s="91"/>
      <c r="CU177" s="91"/>
      <c r="CV177" s="92"/>
      <c r="CW177" s="92"/>
      <c r="CX177" s="92"/>
      <c r="CY177" s="92"/>
      <c r="CZ177" s="92"/>
      <c r="DA177" s="92"/>
      <c r="DB177" s="92"/>
      <c r="DC177" s="92"/>
      <c r="DD177" s="92"/>
      <c r="DE177" s="92"/>
      <c r="DF177" s="92"/>
      <c r="DG177" s="92"/>
      <c r="DH177" s="92"/>
      <c r="DI177" s="92"/>
      <c r="DJ177" s="92"/>
      <c r="DK177" s="92"/>
      <c r="DL177" s="92"/>
      <c r="DM177" s="92"/>
      <c r="DN177" s="92"/>
      <c r="DO177" s="92"/>
      <c r="DP177" s="92"/>
      <c r="DQ177" s="92"/>
      <c r="DR177" s="92"/>
      <c r="DS177" s="92"/>
      <c r="DT177" s="92"/>
      <c r="DU177" s="92"/>
      <c r="DV177" s="92"/>
      <c r="DW177" s="92"/>
      <c r="DX177" s="92"/>
      <c r="DY177" s="92"/>
      <c r="DZ177" s="92"/>
      <c r="EA177" s="92"/>
      <c r="EB177" s="92"/>
      <c r="EC177" s="92"/>
      <c r="ED177" s="92"/>
      <c r="EE177" s="116"/>
      <c r="EF177" s="116"/>
      <c r="EG177" s="116"/>
      <c r="EH177" s="116"/>
      <c r="EI177" s="116"/>
      <c r="EJ177" s="116"/>
      <c r="EK177" s="116"/>
      <c r="EL177" s="116"/>
      <c r="EM177" s="116"/>
      <c r="EN177" s="116"/>
      <c r="EO177" s="116"/>
      <c r="EP177" s="116"/>
      <c r="EQ177" s="116"/>
      <c r="ER177" s="116"/>
      <c r="ES177" s="116"/>
      <c r="ET177" s="116"/>
      <c r="EU177" s="116"/>
      <c r="EV177" s="116"/>
      <c r="EW177" s="116"/>
      <c r="EX177" s="116"/>
      <c r="EY177" s="116"/>
      <c r="EZ177" s="116"/>
      <c r="FA177" s="116"/>
      <c r="FB177" s="116"/>
      <c r="FC177" s="116"/>
      <c r="FD177" s="116"/>
      <c r="FE177" s="116"/>
      <c r="FF177" s="116"/>
      <c r="FG177" s="116"/>
      <c r="FH177" s="116"/>
      <c r="FI177" s="116"/>
      <c r="FJ177" s="116"/>
      <c r="FK177" s="116"/>
      <c r="FL177" s="116"/>
      <c r="FM177" s="116"/>
      <c r="FN177" s="116"/>
    </row>
    <row r="178" spans="1:175" s="17" customFormat="1" ht="18" customHeight="1">
      <c r="A178" s="1808"/>
      <c r="B178" s="416">
        <v>103</v>
      </c>
      <c r="C178" s="21" t="str">
        <f>VLOOKUP(B178,Begriffe!$A$6:$E$442,Begriffe!$D$1+2)</f>
        <v>Anzahl Bezugseinheiten pro Person</v>
      </c>
      <c r="D178" s="21"/>
      <c r="E178" s="21"/>
      <c r="F178" s="21"/>
      <c r="G178" s="21"/>
      <c r="H178" s="21"/>
      <c r="I178" s="180"/>
      <c r="J178" s="210"/>
      <c r="K178" s="188"/>
      <c r="L178" s="1161"/>
      <c r="M178" s="931">
        <f>IF(L178&lt;&gt;"",L178,INDEX(Eingabedaten!$D$10:$CY$54,nutzid,MATCH($C178,Eingabedaten!$D$7:$CY$7,0)))</f>
        <v>1</v>
      </c>
      <c r="N178" s="266"/>
      <c r="O178" s="266"/>
      <c r="P178" s="493">
        <v>0</v>
      </c>
      <c r="Q178" s="493">
        <v>1</v>
      </c>
      <c r="R178" s="493">
        <v>0</v>
      </c>
      <c r="S178" s="127"/>
      <c r="V178" s="126"/>
      <c r="W178" s="306"/>
      <c r="X178" s="306"/>
      <c r="Y178" s="126"/>
      <c r="Z178" s="306"/>
      <c r="AA178" s="306"/>
      <c r="AB178" s="127"/>
      <c r="AC178" s="169"/>
      <c r="AD178" s="169"/>
      <c r="AE178" s="127"/>
      <c r="AF178" s="127"/>
      <c r="AG178" s="127"/>
      <c r="AH178" s="127"/>
      <c r="AI178" s="127"/>
      <c r="AJ178" s="127"/>
      <c r="AK178" s="127"/>
      <c r="AL178" s="127"/>
      <c r="AM178" s="127"/>
      <c r="AN178" s="128"/>
      <c r="AO178" s="128"/>
      <c r="AP178" s="151"/>
      <c r="AQ178" s="151"/>
      <c r="AR178" s="91"/>
      <c r="AS178" s="91"/>
      <c r="AT178" s="91"/>
      <c r="AU178" s="91"/>
      <c r="AV178" s="91"/>
      <c r="AW178" s="91"/>
      <c r="AX178" s="91"/>
      <c r="AY178" s="91"/>
      <c r="AZ178" s="91"/>
      <c r="BA178" s="91"/>
      <c r="BB178" s="91"/>
      <c r="BC178" s="91"/>
      <c r="BD178" s="91"/>
      <c r="BE178" s="91"/>
      <c r="BF178" s="91"/>
      <c r="BG178" s="91"/>
      <c r="BH178" s="91"/>
      <c r="BI178" s="91"/>
      <c r="BJ178" s="91"/>
      <c r="BK178" s="91"/>
      <c r="BL178" s="91"/>
      <c r="BM178" s="91"/>
      <c r="BN178" s="91"/>
      <c r="BO178" s="91"/>
      <c r="BP178" s="91"/>
      <c r="BQ178" s="91"/>
      <c r="BR178" s="91"/>
      <c r="BS178" s="91"/>
      <c r="BT178" s="91"/>
      <c r="BU178" s="91"/>
      <c r="BV178" s="91"/>
      <c r="BW178" s="91"/>
      <c r="BX178" s="91"/>
      <c r="BY178" s="91"/>
      <c r="BZ178" s="91"/>
      <c r="CA178" s="91"/>
      <c r="CB178" s="91"/>
      <c r="CC178" s="91"/>
      <c r="CD178" s="91"/>
      <c r="CE178" s="91"/>
      <c r="CF178" s="91"/>
      <c r="CG178" s="91"/>
      <c r="CH178" s="91"/>
      <c r="CI178" s="91"/>
      <c r="CJ178" s="91"/>
      <c r="CK178" s="91"/>
      <c r="CL178" s="91"/>
      <c r="CM178" s="91"/>
      <c r="CN178" s="91"/>
      <c r="CO178" s="91"/>
      <c r="CP178" s="91"/>
      <c r="CQ178" s="91"/>
      <c r="CR178" s="91"/>
      <c r="CS178" s="91"/>
      <c r="CT178" s="91"/>
      <c r="CU178" s="91"/>
      <c r="CV178" s="92"/>
      <c r="CW178" s="92"/>
      <c r="CX178" s="92"/>
      <c r="CY178" s="92"/>
      <c r="CZ178" s="92"/>
      <c r="DA178" s="92"/>
      <c r="DB178" s="92"/>
      <c r="DC178" s="92"/>
      <c r="DD178" s="92"/>
      <c r="DE178" s="92"/>
      <c r="DF178" s="92"/>
      <c r="DG178" s="92"/>
      <c r="DH178" s="92"/>
      <c r="DI178" s="92"/>
      <c r="DJ178" s="92"/>
      <c r="DK178" s="92"/>
      <c r="DL178" s="92"/>
      <c r="DM178" s="92"/>
      <c r="DN178" s="92"/>
      <c r="DO178" s="92"/>
      <c r="DP178" s="92"/>
      <c r="DQ178" s="92"/>
      <c r="DR178" s="92"/>
      <c r="DS178" s="92"/>
      <c r="DT178" s="92"/>
      <c r="DU178" s="92"/>
      <c r="DV178" s="92"/>
      <c r="DW178" s="92"/>
      <c r="DX178" s="92"/>
      <c r="DY178" s="92"/>
      <c r="DZ178" s="92"/>
      <c r="EA178" s="92"/>
      <c r="EB178" s="92"/>
      <c r="EC178" s="92"/>
      <c r="ED178" s="92"/>
      <c r="EE178" s="116"/>
      <c r="EF178" s="116"/>
      <c r="EG178" s="116"/>
      <c r="EH178" s="116"/>
      <c r="EI178" s="116"/>
      <c r="EJ178" s="116"/>
      <c r="EK178" s="116"/>
      <c r="EL178" s="116"/>
      <c r="EM178" s="116"/>
      <c r="EN178" s="116"/>
      <c r="EO178" s="116"/>
      <c r="EP178" s="116"/>
      <c r="EQ178" s="116"/>
      <c r="ER178" s="116"/>
      <c r="ES178" s="116"/>
      <c r="ET178" s="116"/>
      <c r="EU178" s="116"/>
      <c r="EV178" s="116"/>
      <c r="EW178" s="116"/>
      <c r="EX178" s="116"/>
      <c r="EY178" s="116"/>
      <c r="EZ178" s="116"/>
      <c r="FA178" s="116"/>
      <c r="FB178" s="116"/>
      <c r="FC178" s="116"/>
      <c r="FD178" s="116"/>
      <c r="FE178" s="116"/>
      <c r="FF178" s="116"/>
      <c r="FG178" s="116"/>
      <c r="FH178" s="116"/>
      <c r="FI178" s="116"/>
      <c r="FJ178" s="116"/>
      <c r="FK178" s="116"/>
      <c r="FL178" s="116"/>
      <c r="FM178" s="116"/>
      <c r="FN178" s="116"/>
    </row>
    <row r="179" spans="1:175" s="17" customFormat="1" ht="18" customHeight="1">
      <c r="A179" s="1808"/>
      <c r="B179" s="416">
        <v>186</v>
      </c>
      <c r="C179" s="21" t="str">
        <f>VLOOKUP(B179,Begriffe!$A$6:$E$442,Begriffe!$D$1+2)</f>
        <v>Warmwasserbedarf pro Person</v>
      </c>
      <c r="D179" s="21"/>
      <c r="E179" s="21"/>
      <c r="F179" s="21" t="s">
        <v>719</v>
      </c>
      <c r="G179" s="21"/>
      <c r="H179" s="21"/>
      <c r="I179" s="215" t="s">
        <v>870</v>
      </c>
      <c r="J179" s="210" t="s">
        <v>825</v>
      </c>
      <c r="K179" s="188"/>
      <c r="L179" s="187"/>
      <c r="M179" s="984">
        <f>M177*M178</f>
        <v>3</v>
      </c>
      <c r="N179" s="266"/>
      <c r="O179" s="266"/>
      <c r="P179" s="493">
        <v>1</v>
      </c>
      <c r="Q179" s="493">
        <v>1</v>
      </c>
      <c r="R179" s="493">
        <v>0</v>
      </c>
      <c r="S179" s="127"/>
      <c r="V179" s="126"/>
      <c r="W179" s="306"/>
      <c r="X179" s="306"/>
      <c r="Y179" s="126"/>
      <c r="Z179" s="306"/>
      <c r="AA179" s="306"/>
      <c r="AB179" s="127"/>
      <c r="AC179" s="169"/>
      <c r="AD179" s="169"/>
      <c r="AE179" s="127"/>
      <c r="AF179" s="127"/>
      <c r="AG179" s="127"/>
      <c r="AH179" s="127"/>
      <c r="AI179" s="127"/>
      <c r="AJ179" s="127"/>
      <c r="AK179" s="127"/>
      <c r="AL179" s="127"/>
      <c r="AM179" s="127"/>
      <c r="AN179" s="128"/>
      <c r="AO179" s="128"/>
      <c r="AP179" s="151"/>
      <c r="AQ179" s="151"/>
      <c r="AR179" s="91"/>
      <c r="AS179" s="91"/>
      <c r="AT179" s="91"/>
      <c r="AU179" s="91"/>
      <c r="AV179" s="91"/>
      <c r="AW179" s="91"/>
      <c r="AX179" s="91"/>
      <c r="AY179" s="91"/>
      <c r="AZ179" s="91"/>
      <c r="BA179" s="91"/>
      <c r="BB179" s="91"/>
      <c r="BC179" s="91"/>
      <c r="BD179" s="91"/>
      <c r="BE179" s="91"/>
      <c r="BF179" s="91"/>
      <c r="BG179" s="91"/>
      <c r="BH179" s="91"/>
      <c r="BI179" s="91"/>
      <c r="BJ179" s="91"/>
      <c r="BK179" s="91"/>
      <c r="BL179" s="91"/>
      <c r="BM179" s="91"/>
      <c r="BN179" s="91"/>
      <c r="BO179" s="91"/>
      <c r="BP179" s="91"/>
      <c r="BQ179" s="91"/>
      <c r="BR179" s="91"/>
      <c r="BS179" s="91"/>
      <c r="BT179" s="91"/>
      <c r="BU179" s="91"/>
      <c r="BV179" s="91"/>
      <c r="BW179" s="91"/>
      <c r="BX179" s="91"/>
      <c r="BY179" s="91"/>
      <c r="BZ179" s="91"/>
      <c r="CA179" s="91"/>
      <c r="CB179" s="91"/>
      <c r="CC179" s="91"/>
      <c r="CD179" s="91"/>
      <c r="CE179" s="91"/>
      <c r="CF179" s="91"/>
      <c r="CG179" s="91"/>
      <c r="CH179" s="91"/>
      <c r="CI179" s="91"/>
      <c r="CJ179" s="91"/>
      <c r="CK179" s="91"/>
      <c r="CL179" s="91"/>
      <c r="CM179" s="91"/>
      <c r="CN179" s="91"/>
      <c r="CO179" s="91"/>
      <c r="CP179" s="91"/>
      <c r="CQ179" s="91"/>
      <c r="CR179" s="91"/>
      <c r="CS179" s="91"/>
      <c r="CT179" s="91"/>
      <c r="CU179" s="91"/>
      <c r="CV179" s="92"/>
      <c r="CW179" s="92"/>
      <c r="CX179" s="92"/>
      <c r="CY179" s="92"/>
      <c r="CZ179" s="92"/>
      <c r="DA179" s="92"/>
      <c r="DB179" s="92"/>
      <c r="DC179" s="92"/>
      <c r="DD179" s="92"/>
      <c r="DE179" s="92"/>
      <c r="DF179" s="92"/>
      <c r="DG179" s="92"/>
      <c r="DH179" s="92"/>
      <c r="DI179" s="92"/>
      <c r="DJ179" s="92"/>
      <c r="DK179" s="92"/>
      <c r="DL179" s="92"/>
      <c r="DM179" s="92"/>
      <c r="DN179" s="92"/>
      <c r="DO179" s="92"/>
      <c r="DP179" s="92"/>
      <c r="DQ179" s="92"/>
      <c r="DR179" s="92"/>
      <c r="DS179" s="92"/>
      <c r="DT179" s="92"/>
      <c r="DU179" s="92"/>
      <c r="DV179" s="92"/>
      <c r="DW179" s="92"/>
      <c r="DX179" s="92"/>
      <c r="DY179" s="92"/>
      <c r="DZ179" s="92"/>
      <c r="EA179" s="92"/>
      <c r="EB179" s="92"/>
      <c r="EC179" s="92"/>
      <c r="ED179" s="92"/>
      <c r="EE179" s="116"/>
      <c r="EF179" s="116"/>
      <c r="EG179" s="116"/>
      <c r="EH179" s="116"/>
      <c r="EI179" s="116"/>
      <c r="EJ179" s="116"/>
      <c r="EK179" s="116"/>
      <c r="EL179" s="116"/>
      <c r="EM179" s="116"/>
      <c r="EN179" s="116"/>
      <c r="EO179" s="116"/>
      <c r="EP179" s="116"/>
      <c r="EQ179" s="116"/>
      <c r="ER179" s="116"/>
      <c r="ES179" s="116"/>
      <c r="ET179" s="116"/>
      <c r="EU179" s="116"/>
      <c r="EV179" s="116"/>
      <c r="EW179" s="116"/>
      <c r="EX179" s="116"/>
      <c r="EY179" s="116"/>
      <c r="EZ179" s="116"/>
      <c r="FA179" s="116"/>
      <c r="FB179" s="116"/>
      <c r="FC179" s="116"/>
      <c r="FD179" s="116"/>
      <c r="FE179" s="116"/>
      <c r="FF179" s="116"/>
      <c r="FG179" s="116"/>
      <c r="FH179" s="116"/>
      <c r="FI179" s="116"/>
      <c r="FJ179" s="116"/>
      <c r="FK179" s="116"/>
      <c r="FL179" s="116"/>
      <c r="FM179" s="116"/>
      <c r="FN179" s="116"/>
    </row>
    <row r="180" spans="1:175" s="17" customFormat="1" ht="18" customHeight="1">
      <c r="A180" s="1808"/>
      <c r="B180" s="416">
        <v>173</v>
      </c>
      <c r="C180" s="21" t="str">
        <f>VLOOKUP(B180,Begriffe!$A$6:$E$442,Begriffe!$D$1+2)</f>
        <v>Verhältnis Warmwasserbedarf zu Wasserbedarf</v>
      </c>
      <c r="D180" s="21"/>
      <c r="E180" s="21"/>
      <c r="F180" s="21"/>
      <c r="G180" s="21"/>
      <c r="H180" s="21"/>
      <c r="I180" s="180"/>
      <c r="J180" s="210"/>
      <c r="K180" s="188"/>
      <c r="L180" s="1161"/>
      <c r="M180" s="931">
        <f>IF(L180&lt;&gt;"",L180,INDEX(Eingabedaten!$D$10:$CY$54,nutzid,MATCH($C180,Eingabedaten!$D$7:$CY$7,0)))</f>
        <v>20</v>
      </c>
      <c r="N180" s="266"/>
      <c r="O180" s="266"/>
      <c r="P180" s="493">
        <v>0</v>
      </c>
      <c r="Q180" s="493">
        <v>1</v>
      </c>
      <c r="R180" s="493">
        <v>0</v>
      </c>
      <c r="S180" s="127"/>
      <c r="V180" s="126"/>
      <c r="W180" s="306"/>
      <c r="X180" s="306"/>
      <c r="Y180" s="126"/>
      <c r="Z180" s="306"/>
      <c r="AA180" s="306"/>
      <c r="AB180" s="127"/>
      <c r="AC180" s="169"/>
      <c r="AD180" s="169"/>
      <c r="AE180" s="127"/>
      <c r="AF180" s="127"/>
      <c r="AG180" s="127"/>
      <c r="AH180" s="127"/>
      <c r="AI180" s="127"/>
      <c r="AJ180" s="127"/>
      <c r="AK180" s="127"/>
      <c r="AL180" s="127"/>
      <c r="AM180" s="127"/>
      <c r="AN180" s="128"/>
      <c r="AO180" s="128"/>
      <c r="AP180" s="151"/>
      <c r="AQ180" s="151"/>
      <c r="AR180" s="91"/>
      <c r="AS180" s="91"/>
      <c r="AT180" s="91"/>
      <c r="AU180" s="91"/>
      <c r="AV180" s="91"/>
      <c r="AW180" s="91"/>
      <c r="AX180" s="91"/>
      <c r="AY180" s="91"/>
      <c r="AZ180" s="91"/>
      <c r="BA180" s="91"/>
      <c r="BB180" s="91"/>
      <c r="BC180" s="91"/>
      <c r="BD180" s="91"/>
      <c r="BE180" s="91"/>
      <c r="BF180" s="91"/>
      <c r="BG180" s="91"/>
      <c r="BH180" s="91"/>
      <c r="BI180" s="91"/>
      <c r="BJ180" s="91"/>
      <c r="BK180" s="91"/>
      <c r="BL180" s="91"/>
      <c r="BM180" s="91"/>
      <c r="BN180" s="91"/>
      <c r="BO180" s="91"/>
      <c r="BP180" s="91"/>
      <c r="BQ180" s="91"/>
      <c r="BR180" s="91"/>
      <c r="BS180" s="91"/>
      <c r="BT180" s="91"/>
      <c r="BU180" s="91"/>
      <c r="BV180" s="91"/>
      <c r="BW180" s="91"/>
      <c r="BX180" s="91"/>
      <c r="BY180" s="91"/>
      <c r="BZ180" s="91"/>
      <c r="CA180" s="91"/>
      <c r="CB180" s="91"/>
      <c r="CC180" s="91"/>
      <c r="CD180" s="91"/>
      <c r="CE180" s="91"/>
      <c r="CF180" s="91"/>
      <c r="CG180" s="91"/>
      <c r="CH180" s="91"/>
      <c r="CI180" s="91"/>
      <c r="CJ180" s="91"/>
      <c r="CK180" s="91"/>
      <c r="CL180" s="91"/>
      <c r="CM180" s="91"/>
      <c r="CN180" s="91"/>
      <c r="CO180" s="91"/>
      <c r="CP180" s="91"/>
      <c r="CQ180" s="91"/>
      <c r="CR180" s="91"/>
      <c r="CS180" s="91"/>
      <c r="CT180" s="91"/>
      <c r="CU180" s="91"/>
      <c r="CV180" s="92"/>
      <c r="CW180" s="92"/>
      <c r="CX180" s="92"/>
      <c r="CY180" s="92"/>
      <c r="CZ180" s="92"/>
      <c r="DA180" s="92"/>
      <c r="DB180" s="92"/>
      <c r="DC180" s="92"/>
      <c r="DD180" s="92"/>
      <c r="DE180" s="92"/>
      <c r="DF180" s="92"/>
      <c r="DG180" s="92"/>
      <c r="DH180" s="92"/>
      <c r="DI180" s="92"/>
      <c r="DJ180" s="92"/>
      <c r="DK180" s="92"/>
      <c r="DL180" s="92"/>
      <c r="DM180" s="92"/>
      <c r="DN180" s="92"/>
      <c r="DO180" s="92"/>
      <c r="DP180" s="92"/>
      <c r="DQ180" s="92"/>
      <c r="DR180" s="92"/>
      <c r="DS180" s="92"/>
      <c r="DT180" s="92"/>
      <c r="DU180" s="92"/>
      <c r="DV180" s="92"/>
      <c r="DW180" s="92"/>
      <c r="DX180" s="92"/>
      <c r="DY180" s="92"/>
      <c r="DZ180" s="92"/>
      <c r="EA180" s="92"/>
      <c r="EB180" s="92"/>
      <c r="EC180" s="92"/>
      <c r="ED180" s="92"/>
      <c r="EE180" s="116"/>
      <c r="EF180" s="116"/>
      <c r="EG180" s="116"/>
      <c r="EH180" s="116"/>
      <c r="EI180" s="116"/>
      <c r="EJ180" s="116"/>
      <c r="EK180" s="116"/>
      <c r="EL180" s="116"/>
      <c r="EM180" s="116"/>
      <c r="EN180" s="116"/>
      <c r="EO180" s="116"/>
      <c r="EP180" s="116"/>
      <c r="EQ180" s="116"/>
      <c r="ER180" s="116"/>
      <c r="ES180" s="116"/>
      <c r="ET180" s="116"/>
      <c r="EU180" s="116"/>
      <c r="EV180" s="116"/>
      <c r="EW180" s="116"/>
      <c r="EX180" s="116"/>
      <c r="EY180" s="116"/>
      <c r="EZ180" s="116"/>
      <c r="FA180" s="116"/>
      <c r="FB180" s="116"/>
      <c r="FC180" s="116"/>
      <c r="FD180" s="116"/>
      <c r="FE180" s="116"/>
      <c r="FF180" s="116"/>
      <c r="FG180" s="116"/>
      <c r="FH180" s="116"/>
      <c r="FI180" s="116"/>
      <c r="FJ180" s="116"/>
      <c r="FK180" s="116"/>
      <c r="FL180" s="116"/>
      <c r="FM180" s="116"/>
      <c r="FN180" s="116"/>
    </row>
    <row r="181" spans="1:175" s="17" customFormat="1" ht="18" customHeight="1">
      <c r="A181" s="1808"/>
      <c r="B181" s="416">
        <v>187</v>
      </c>
      <c r="C181" s="21" t="str">
        <f>VLOOKUP(B181,Begriffe!$A$6:$E$442,Begriffe!$D$1+2)</f>
        <v>Wasserbedarf pro Person</v>
      </c>
      <c r="D181" s="21"/>
      <c r="E181" s="21"/>
      <c r="F181" s="21" t="str">
        <f>Begriffe!F332</f>
        <v>Warm- und Kaltwasser</v>
      </c>
      <c r="G181" s="21"/>
      <c r="H181" s="21"/>
      <c r="I181" s="215" t="s">
        <v>871</v>
      </c>
      <c r="J181" s="210" t="s">
        <v>825</v>
      </c>
      <c r="K181" s="188"/>
      <c r="L181" s="183"/>
      <c r="M181" s="984">
        <f>M179*M180</f>
        <v>60</v>
      </c>
      <c r="N181" s="266"/>
      <c r="O181" s="266"/>
      <c r="P181" s="493">
        <v>1</v>
      </c>
      <c r="Q181" s="493">
        <v>1</v>
      </c>
      <c r="R181" s="493">
        <v>0</v>
      </c>
      <c r="S181" s="127"/>
      <c r="V181" s="126"/>
      <c r="W181" s="306"/>
      <c r="X181" s="306"/>
      <c r="Y181" s="126"/>
      <c r="Z181" s="306"/>
      <c r="AA181" s="306"/>
      <c r="AB181" s="127"/>
      <c r="AC181" s="169"/>
      <c r="AD181" s="169"/>
      <c r="AE181" s="127"/>
      <c r="AF181" s="127"/>
      <c r="AG181" s="127"/>
      <c r="AH181" s="127"/>
      <c r="AI181" s="127"/>
      <c r="AJ181" s="127"/>
      <c r="AK181" s="127"/>
      <c r="AL181" s="127"/>
      <c r="AM181" s="127"/>
      <c r="AN181" s="128"/>
      <c r="AO181" s="128"/>
      <c r="AP181" s="151"/>
      <c r="AQ181" s="151"/>
      <c r="AR181" s="91"/>
      <c r="AS181" s="91"/>
      <c r="AT181" s="91"/>
      <c r="AU181" s="91"/>
      <c r="AV181" s="91"/>
      <c r="AW181" s="91"/>
      <c r="AX181" s="91"/>
      <c r="AY181" s="91"/>
      <c r="AZ181" s="91"/>
      <c r="BA181" s="91"/>
      <c r="BB181" s="91"/>
      <c r="BC181" s="91"/>
      <c r="BD181" s="91"/>
      <c r="BE181" s="91"/>
      <c r="BF181" s="91"/>
      <c r="BG181" s="91"/>
      <c r="BH181" s="91"/>
      <c r="BI181" s="91"/>
      <c r="BJ181" s="91"/>
      <c r="BK181" s="91"/>
      <c r="BL181" s="91"/>
      <c r="BM181" s="91"/>
      <c r="BN181" s="91"/>
      <c r="BO181" s="91"/>
      <c r="BP181" s="91"/>
      <c r="BQ181" s="91"/>
      <c r="BR181" s="91"/>
      <c r="BS181" s="91"/>
      <c r="BT181" s="91"/>
      <c r="BU181" s="91"/>
      <c r="BV181" s="91"/>
      <c r="BW181" s="91"/>
      <c r="BX181" s="91"/>
      <c r="BY181" s="91"/>
      <c r="BZ181" s="91"/>
      <c r="CA181" s="91"/>
      <c r="CB181" s="91"/>
      <c r="CC181" s="91"/>
      <c r="CD181" s="91"/>
      <c r="CE181" s="91"/>
      <c r="CF181" s="91"/>
      <c r="CG181" s="91"/>
      <c r="CH181" s="91"/>
      <c r="CI181" s="91"/>
      <c r="CJ181" s="91"/>
      <c r="CK181" s="91"/>
      <c r="CL181" s="91"/>
      <c r="CM181" s="91"/>
      <c r="CN181" s="91"/>
      <c r="CO181" s="91"/>
      <c r="CP181" s="91"/>
      <c r="CQ181" s="91"/>
      <c r="CR181" s="91"/>
      <c r="CS181" s="91"/>
      <c r="CT181" s="91"/>
      <c r="CU181" s="91"/>
      <c r="CV181" s="92"/>
      <c r="CW181" s="92"/>
      <c r="CX181" s="92"/>
      <c r="CY181" s="92"/>
      <c r="CZ181" s="92"/>
      <c r="DA181" s="92"/>
      <c r="DB181" s="92"/>
      <c r="DC181" s="92"/>
      <c r="DD181" s="92"/>
      <c r="DE181" s="92"/>
      <c r="DF181" s="92"/>
      <c r="DG181" s="92"/>
      <c r="DH181" s="92"/>
      <c r="DI181" s="92"/>
      <c r="DJ181" s="92"/>
      <c r="DK181" s="92"/>
      <c r="DL181" s="92"/>
      <c r="DM181" s="92"/>
      <c r="DN181" s="92"/>
      <c r="DO181" s="92"/>
      <c r="DP181" s="92"/>
      <c r="DQ181" s="92"/>
      <c r="DR181" s="92"/>
      <c r="DS181" s="92"/>
      <c r="DT181" s="92"/>
      <c r="DU181" s="92"/>
      <c r="DV181" s="92"/>
      <c r="DW181" s="92"/>
      <c r="DX181" s="92"/>
      <c r="DY181" s="92"/>
      <c r="DZ181" s="92"/>
      <c r="EA181" s="92"/>
      <c r="EB181" s="92"/>
      <c r="EC181" s="92"/>
      <c r="ED181" s="92"/>
      <c r="EE181" s="116"/>
      <c r="EF181" s="116"/>
      <c r="EG181" s="116"/>
      <c r="EH181" s="116"/>
      <c r="EI181" s="116"/>
      <c r="EJ181" s="116"/>
      <c r="EK181" s="116"/>
      <c r="EL181" s="116"/>
      <c r="EM181" s="116"/>
      <c r="EN181" s="116"/>
      <c r="EO181" s="116"/>
      <c r="EP181" s="116"/>
      <c r="EQ181" s="116"/>
      <c r="ER181" s="116"/>
      <c r="ES181" s="116"/>
      <c r="ET181" s="116"/>
      <c r="EU181" s="116"/>
      <c r="EV181" s="116"/>
      <c r="EW181" s="116"/>
      <c r="EX181" s="116"/>
      <c r="EY181" s="116"/>
      <c r="EZ181" s="116"/>
      <c r="FA181" s="116"/>
      <c r="FB181" s="116"/>
      <c r="FC181" s="116"/>
      <c r="FD181" s="116"/>
      <c r="FE181" s="116"/>
      <c r="FF181" s="116"/>
      <c r="FG181" s="116"/>
      <c r="FH181" s="116"/>
      <c r="FI181" s="116"/>
      <c r="FJ181" s="116"/>
      <c r="FK181" s="116"/>
      <c r="FL181" s="116"/>
      <c r="FM181" s="116"/>
      <c r="FN181" s="116"/>
    </row>
    <row r="182" spans="1:175" s="22" customFormat="1" ht="18" customHeight="1">
      <c r="A182" s="1809"/>
      <c r="B182" s="416">
        <v>139</v>
      </c>
      <c r="C182" s="1820" t="str">
        <f>VLOOKUP(B182,Begriffe!$A$6:$E$442,Begriffe!$D$1+2)</f>
        <v>Jährlicher Wärmebedarf für Warmwasser</v>
      </c>
      <c r="D182" s="1820"/>
      <c r="E182" s="1820"/>
      <c r="F182" s="21" t="s">
        <v>1194</v>
      </c>
      <c r="G182" s="21"/>
      <c r="H182" s="21"/>
      <c r="I182" s="215" t="s">
        <v>663</v>
      </c>
      <c r="J182" s="212" t="s">
        <v>77</v>
      </c>
      <c r="K182" s="212"/>
      <c r="L182" s="214"/>
      <c r="M182" s="1018">
        <f>IF($M$54=0,0,$M179*0.058*$M51/$M$54*$M$52)</f>
        <v>3.2438571428571428</v>
      </c>
      <c r="N182" s="1018">
        <f>IF($M$54=0,0,$M179*0.058*$M51/$M$54*$M$52)</f>
        <v>3.2438571428571428</v>
      </c>
      <c r="O182" s="1018">
        <f>IF($M$54=0,0,$M179*0.058*$M51/$M$54*$M$52)</f>
        <v>3.2438571428571428</v>
      </c>
      <c r="P182" s="493">
        <v>1</v>
      </c>
      <c r="Q182" s="920">
        <v>1</v>
      </c>
      <c r="R182" s="493">
        <v>0</v>
      </c>
      <c r="S182" s="22" t="s">
        <v>71</v>
      </c>
      <c r="T182" s="129"/>
      <c r="U182" s="129"/>
      <c r="V182" s="132"/>
      <c r="W182" s="132"/>
      <c r="X182" s="126"/>
      <c r="Y182" s="132"/>
      <c r="Z182" s="132"/>
      <c r="AA182" s="132"/>
      <c r="AB182" s="132"/>
      <c r="AC182" s="132"/>
      <c r="AD182" s="132"/>
      <c r="AE182" s="132"/>
      <c r="AF182" s="129"/>
      <c r="AG182" s="129"/>
      <c r="AH182" s="129"/>
      <c r="AI182" s="129"/>
      <c r="AJ182" s="129"/>
      <c r="AK182" s="129"/>
      <c r="AL182" s="129"/>
      <c r="AM182" s="129"/>
      <c r="AN182" s="129"/>
      <c r="AO182" s="129"/>
      <c r="AP182" s="129"/>
      <c r="AQ182" s="129"/>
      <c r="AR182" s="129"/>
      <c r="AS182" s="129"/>
      <c r="AT182" s="129"/>
      <c r="AU182" s="163"/>
      <c r="AV182" s="163"/>
      <c r="AW182" s="111"/>
      <c r="AX182" s="111"/>
      <c r="AY182" s="111"/>
      <c r="AZ182" s="111"/>
      <c r="BA182" s="111"/>
      <c r="BB182" s="111"/>
      <c r="BC182" s="111"/>
      <c r="BD182" s="111"/>
      <c r="BE182" s="111"/>
      <c r="BF182" s="111"/>
      <c r="BG182" s="111"/>
      <c r="BH182" s="111"/>
      <c r="BI182" s="111"/>
      <c r="BJ182" s="111"/>
      <c r="BK182" s="111"/>
      <c r="BL182" s="111"/>
      <c r="BM182" s="111"/>
      <c r="BN182" s="111"/>
      <c r="BO182" s="111"/>
      <c r="BP182" s="111"/>
      <c r="BQ182" s="111"/>
      <c r="BR182" s="111"/>
      <c r="BS182" s="111"/>
      <c r="BT182" s="111"/>
      <c r="BU182" s="111"/>
      <c r="BV182" s="111"/>
      <c r="BW182" s="111"/>
      <c r="BX182" s="111"/>
      <c r="BY182" s="111"/>
      <c r="BZ182" s="111"/>
      <c r="CA182" s="111"/>
      <c r="CB182" s="111"/>
      <c r="CC182" s="111"/>
      <c r="CD182" s="111"/>
      <c r="CE182" s="111"/>
      <c r="CF182" s="111"/>
      <c r="CG182" s="111"/>
      <c r="CH182" s="111"/>
      <c r="CI182" s="111"/>
      <c r="CJ182" s="111"/>
      <c r="CK182" s="111"/>
      <c r="CL182" s="111"/>
      <c r="CM182" s="111"/>
      <c r="CN182" s="111"/>
      <c r="CO182" s="111"/>
      <c r="CP182" s="111"/>
      <c r="CQ182" s="111"/>
      <c r="CR182" s="111"/>
      <c r="CS182" s="111"/>
      <c r="CT182" s="111"/>
      <c r="CU182" s="111"/>
      <c r="CV182" s="111"/>
      <c r="CW182" s="111"/>
      <c r="CX182" s="111"/>
      <c r="CY182" s="111"/>
      <c r="CZ182" s="111"/>
      <c r="DA182" s="111"/>
      <c r="DB182" s="111"/>
      <c r="DC182" s="111"/>
      <c r="DD182" s="111"/>
      <c r="DE182" s="111"/>
      <c r="DF182" s="111"/>
      <c r="DG182" s="111"/>
      <c r="DH182" s="111"/>
      <c r="DI182" s="111"/>
      <c r="DJ182" s="112"/>
      <c r="DK182" s="112"/>
      <c r="DL182" s="112"/>
      <c r="DM182" s="112"/>
      <c r="DN182" s="112"/>
      <c r="DO182" s="112"/>
      <c r="DP182" s="112"/>
      <c r="DQ182" s="112"/>
      <c r="DR182" s="112"/>
      <c r="DS182" s="112"/>
      <c r="DT182" s="112"/>
      <c r="DU182" s="112"/>
      <c r="DV182" s="112"/>
      <c r="DW182" s="112"/>
      <c r="DX182" s="112"/>
      <c r="DY182" s="112"/>
      <c r="DZ182" s="112"/>
      <c r="EA182" s="112"/>
      <c r="EB182" s="112"/>
      <c r="EC182" s="112"/>
      <c r="ED182" s="112"/>
      <c r="EE182" s="112"/>
      <c r="EF182" s="112"/>
      <c r="EG182" s="112"/>
      <c r="EH182" s="112"/>
      <c r="EI182" s="112"/>
      <c r="EJ182" s="111"/>
      <c r="EK182" s="111"/>
      <c r="EL182" s="111"/>
      <c r="EM182" s="111"/>
      <c r="EN182" s="111"/>
      <c r="EO182" s="111"/>
      <c r="EP182" s="111"/>
      <c r="EQ182" s="111"/>
      <c r="ER182" s="111"/>
      <c r="ES182" s="111"/>
      <c r="ET182" s="111"/>
      <c r="EU182" s="111"/>
      <c r="EV182" s="111"/>
      <c r="EW182" s="111"/>
      <c r="EX182" s="111"/>
      <c r="EY182" s="111"/>
      <c r="EZ182" s="111"/>
      <c r="FA182" s="111"/>
      <c r="FB182" s="111"/>
      <c r="FC182" s="111"/>
      <c r="FD182" s="111"/>
      <c r="FE182" s="111"/>
      <c r="FF182" s="111"/>
      <c r="FG182" s="111"/>
      <c r="FH182" s="111"/>
      <c r="FI182" s="111"/>
      <c r="FJ182" s="111"/>
      <c r="FK182" s="111"/>
      <c r="FL182" s="111"/>
      <c r="FM182" s="111"/>
      <c r="FN182" s="111"/>
      <c r="FO182" s="111"/>
      <c r="FP182" s="111"/>
      <c r="FQ182" s="111"/>
      <c r="FR182" s="111"/>
      <c r="FS182" s="111"/>
    </row>
    <row r="183" spans="1:175" s="9" customFormat="1" ht="1.5" customHeight="1">
      <c r="A183" s="198"/>
      <c r="B183" s="1142"/>
      <c r="C183" s="200"/>
      <c r="D183" s="200"/>
      <c r="E183" s="200"/>
      <c r="F183" s="200"/>
      <c r="G183" s="200"/>
      <c r="H183" s="200"/>
      <c r="I183" s="277"/>
      <c r="J183" s="207"/>
      <c r="K183" s="207"/>
      <c r="L183" s="208"/>
      <c r="M183" s="208"/>
      <c r="N183" s="997"/>
      <c r="O183" s="997"/>
      <c r="P183" s="991"/>
      <c r="Q183" s="920">
        <v>1</v>
      </c>
      <c r="R183" s="3"/>
      <c r="T183" s="3"/>
      <c r="U183" s="3"/>
      <c r="V183" s="164"/>
      <c r="W183" s="164"/>
      <c r="X183" s="165"/>
      <c r="Y183" s="165"/>
      <c r="Z183" s="165"/>
      <c r="AA183" s="165"/>
      <c r="AB183" s="165"/>
      <c r="AC183" s="165"/>
      <c r="AD183" s="165"/>
      <c r="AE183" s="165"/>
      <c r="AF183" s="166"/>
      <c r="AG183" s="166"/>
      <c r="AH183" s="166"/>
      <c r="AI183" s="166"/>
      <c r="AJ183" s="166"/>
      <c r="AK183" s="166"/>
      <c r="AL183" s="166"/>
      <c r="AM183" s="166"/>
      <c r="AN183" s="166"/>
      <c r="AO183" s="166"/>
      <c r="AP183" s="166"/>
      <c r="AQ183" s="166"/>
      <c r="AR183" s="166"/>
      <c r="AS183" s="167"/>
      <c r="AT183" s="167"/>
      <c r="AU183" s="168"/>
      <c r="AV183" s="168"/>
      <c r="AW183" s="113"/>
      <c r="AX183" s="113"/>
      <c r="AY183" s="113"/>
      <c r="AZ183" s="113"/>
      <c r="BA183" s="113"/>
      <c r="BB183" s="113"/>
      <c r="BC183" s="113"/>
      <c r="BD183" s="113"/>
      <c r="BE183" s="113"/>
      <c r="BF183" s="113"/>
      <c r="BG183" s="113"/>
      <c r="BH183" s="113"/>
      <c r="BI183" s="113"/>
      <c r="BJ183" s="113"/>
      <c r="BK183" s="113"/>
      <c r="BL183" s="113"/>
      <c r="BM183" s="113"/>
      <c r="BN183" s="113"/>
      <c r="BO183" s="113"/>
      <c r="BP183" s="113"/>
      <c r="BQ183" s="113"/>
      <c r="BR183" s="113"/>
      <c r="BS183" s="113"/>
      <c r="BT183" s="113"/>
      <c r="BU183" s="113"/>
      <c r="BV183" s="113"/>
      <c r="BW183" s="113"/>
      <c r="BX183" s="113"/>
      <c r="BY183" s="113"/>
      <c r="BZ183" s="113"/>
      <c r="CA183" s="113"/>
      <c r="CB183" s="113"/>
      <c r="CC183" s="113"/>
      <c r="CD183" s="113"/>
      <c r="CE183" s="113"/>
      <c r="CF183" s="113"/>
      <c r="CG183" s="113"/>
      <c r="CH183" s="113"/>
      <c r="CI183" s="113"/>
      <c r="CJ183" s="113"/>
      <c r="CK183" s="113"/>
      <c r="CL183" s="113"/>
      <c r="CM183" s="113"/>
      <c r="CN183" s="113"/>
      <c r="CO183" s="113"/>
      <c r="CP183" s="113"/>
      <c r="CQ183" s="113"/>
      <c r="CR183" s="113"/>
      <c r="CS183" s="113"/>
      <c r="CT183" s="113"/>
      <c r="CU183" s="113"/>
      <c r="CV183" s="113"/>
      <c r="CW183" s="113"/>
      <c r="CX183" s="113"/>
      <c r="CY183" s="113"/>
      <c r="CZ183" s="113"/>
      <c r="DA183" s="114"/>
      <c r="DB183" s="114"/>
      <c r="DC183" s="114"/>
      <c r="DD183" s="114"/>
      <c r="DE183" s="114"/>
      <c r="DF183" s="114"/>
      <c r="DG183" s="114"/>
      <c r="DH183" s="114"/>
      <c r="DI183" s="114"/>
      <c r="DJ183" s="114"/>
      <c r="DK183" s="114"/>
      <c r="DL183" s="114"/>
      <c r="DM183" s="114"/>
      <c r="DN183" s="114"/>
      <c r="DO183" s="114"/>
      <c r="DP183" s="114"/>
      <c r="DQ183" s="114"/>
      <c r="DR183" s="114"/>
      <c r="DS183" s="114"/>
      <c r="DT183" s="114"/>
      <c r="DU183" s="114"/>
      <c r="DV183" s="114"/>
      <c r="DW183" s="114"/>
      <c r="DX183" s="114"/>
      <c r="DY183" s="114"/>
      <c r="DZ183" s="114"/>
      <c r="EA183" s="114"/>
      <c r="EB183" s="114"/>
      <c r="EC183" s="114"/>
      <c r="ED183" s="114"/>
      <c r="EE183" s="114"/>
      <c r="EF183" s="114"/>
      <c r="EG183" s="114"/>
      <c r="EH183" s="114"/>
      <c r="EI183" s="114"/>
      <c r="EJ183" s="115"/>
      <c r="EK183" s="115"/>
      <c r="EL183" s="115"/>
      <c r="EM183" s="115"/>
      <c r="EN183" s="115"/>
      <c r="EO183" s="115"/>
      <c r="EP183" s="115"/>
      <c r="EQ183" s="115"/>
      <c r="ER183" s="115"/>
      <c r="ES183" s="115"/>
      <c r="ET183" s="115"/>
      <c r="EU183" s="115"/>
      <c r="EV183" s="115"/>
      <c r="EW183" s="115"/>
      <c r="EX183" s="115"/>
      <c r="EY183" s="115"/>
      <c r="EZ183" s="115"/>
      <c r="FA183" s="115"/>
      <c r="FB183" s="115"/>
      <c r="FC183" s="115"/>
      <c r="FD183" s="115"/>
      <c r="FE183" s="115"/>
      <c r="FF183" s="115"/>
      <c r="FG183" s="115"/>
      <c r="FH183" s="115"/>
      <c r="FI183" s="115"/>
      <c r="FJ183" s="115"/>
      <c r="FK183" s="115"/>
      <c r="FL183" s="115"/>
      <c r="FM183" s="115"/>
      <c r="FN183" s="115"/>
      <c r="FO183" s="115"/>
      <c r="FP183" s="115"/>
      <c r="FQ183" s="115"/>
      <c r="FR183" s="115"/>
      <c r="FS183" s="115"/>
    </row>
    <row r="184" spans="1:175" s="23" customFormat="1" ht="15.9" customHeight="1">
      <c r="A184" s="1810" t="str">
        <f>Begriffe!F308</f>
        <v>Energie- und Leistungsbedarf</v>
      </c>
      <c r="B184" s="416"/>
      <c r="C184" s="985" t="str">
        <f>Begriffe!F333</f>
        <v>Elektrischer und thermischer Energiebedarf</v>
      </c>
      <c r="D184" s="176"/>
      <c r="E184" s="176"/>
      <c r="F184" s="176"/>
      <c r="G184" s="176"/>
      <c r="H184" s="176"/>
      <c r="I184" s="176" t="str">
        <f>Begriffe!F334</f>
        <v xml:space="preserve">Elektrischer und thermischer Leistungsbedarf </v>
      </c>
      <c r="N184" s="218"/>
      <c r="O184" s="219"/>
      <c r="P184" s="992"/>
      <c r="Q184" s="22">
        <v>1</v>
      </c>
      <c r="R184" s="162"/>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89"/>
      <c r="AX184" s="89"/>
      <c r="AY184" s="89"/>
      <c r="AZ184" s="89"/>
      <c r="BA184" s="89"/>
      <c r="BB184" s="89"/>
      <c r="BC184" s="89"/>
      <c r="BD184" s="89"/>
      <c r="BE184" s="89"/>
      <c r="BF184" s="89"/>
      <c r="BG184" s="89"/>
      <c r="BH184" s="89"/>
      <c r="BI184" s="89"/>
      <c r="BJ184" s="89"/>
      <c r="BK184" s="89"/>
      <c r="BL184" s="89"/>
      <c r="BM184" s="89"/>
      <c r="BN184" s="89"/>
      <c r="BO184" s="89"/>
      <c r="BP184" s="89"/>
      <c r="BQ184" s="89"/>
      <c r="BR184" s="89"/>
      <c r="BS184" s="89"/>
      <c r="BT184" s="89"/>
      <c r="BU184" s="89"/>
      <c r="BV184" s="89"/>
      <c r="BW184" s="89"/>
      <c r="BX184" s="89"/>
      <c r="BY184" s="89"/>
      <c r="BZ184" s="89"/>
      <c r="CA184" s="89"/>
      <c r="CB184" s="89"/>
      <c r="CC184" s="89"/>
      <c r="CD184" s="89"/>
      <c r="CE184" s="89"/>
      <c r="CF184" s="89"/>
      <c r="CG184" s="89"/>
      <c r="CH184" s="89"/>
      <c r="CI184" s="89"/>
      <c r="CJ184" s="89"/>
      <c r="CK184" s="89"/>
      <c r="CL184" s="89"/>
      <c r="CM184" s="89"/>
      <c r="CN184" s="89"/>
      <c r="CO184" s="89"/>
      <c r="CP184" s="89"/>
      <c r="CQ184" s="89"/>
      <c r="CR184" s="89"/>
      <c r="CS184" s="89"/>
      <c r="CT184" s="89"/>
      <c r="CU184" s="89"/>
      <c r="CV184" s="89"/>
      <c r="CW184" s="89"/>
      <c r="CX184" s="89"/>
      <c r="CY184" s="89"/>
      <c r="CZ184" s="89"/>
      <c r="DA184" s="89"/>
      <c r="DB184" s="89"/>
      <c r="DC184" s="89"/>
      <c r="DD184" s="89"/>
      <c r="DE184" s="89"/>
      <c r="DF184" s="89"/>
      <c r="DG184" s="89"/>
      <c r="DH184" s="89"/>
      <c r="DI184" s="89"/>
      <c r="DJ184" s="117"/>
      <c r="DK184" s="117"/>
      <c r="DL184" s="117"/>
      <c r="DM184" s="117"/>
      <c r="DN184" s="117"/>
      <c r="DO184" s="117"/>
      <c r="DP184" s="117"/>
      <c r="DQ184" s="117"/>
      <c r="DR184" s="117"/>
      <c r="DS184" s="117"/>
      <c r="DT184" s="117"/>
      <c r="DU184" s="117"/>
      <c r="DV184" s="117"/>
      <c r="DW184" s="117"/>
      <c r="DX184" s="117"/>
      <c r="DY184" s="117"/>
      <c r="DZ184" s="117"/>
      <c r="EA184" s="117"/>
      <c r="EB184" s="117"/>
      <c r="EC184" s="117"/>
      <c r="ED184" s="117"/>
      <c r="EE184" s="117"/>
      <c r="EF184" s="117"/>
      <c r="EG184" s="117"/>
      <c r="EH184" s="117"/>
      <c r="EI184" s="117"/>
      <c r="EJ184" s="89"/>
      <c r="EK184" s="89"/>
      <c r="EL184" s="89"/>
      <c r="EM184" s="89"/>
      <c r="EN184" s="89"/>
      <c r="EO184" s="89"/>
      <c r="EP184" s="89"/>
      <c r="EQ184" s="89"/>
      <c r="ER184" s="89"/>
      <c r="ES184" s="89"/>
      <c r="ET184" s="89"/>
      <c r="EU184" s="89"/>
      <c r="EV184" s="89"/>
      <c r="EW184" s="89"/>
      <c r="EX184" s="89"/>
      <c r="EY184" s="89"/>
      <c r="EZ184" s="89"/>
      <c r="FA184" s="89"/>
      <c r="FB184" s="89"/>
      <c r="FC184" s="89"/>
      <c r="FD184" s="89"/>
      <c r="FE184" s="89"/>
      <c r="FF184" s="89"/>
      <c r="FG184" s="89"/>
      <c r="FH184" s="89"/>
      <c r="FI184" s="89"/>
      <c r="FJ184" s="89"/>
      <c r="FK184" s="89"/>
      <c r="FL184" s="89"/>
      <c r="FM184" s="89"/>
      <c r="FN184" s="89"/>
      <c r="FO184" s="89"/>
      <c r="FP184" s="89"/>
      <c r="FQ184" s="89"/>
      <c r="FR184" s="89"/>
      <c r="FS184" s="89"/>
    </row>
    <row r="185" spans="1:175" s="23" customFormat="1" ht="15.9" customHeight="1">
      <c r="A185" s="1808"/>
      <c r="B185" s="416"/>
      <c r="C185" s="21"/>
      <c r="D185" s="21"/>
      <c r="E185" s="21"/>
      <c r="F185" s="21"/>
      <c r="G185" s="21"/>
      <c r="H185" s="21"/>
      <c r="I185" s="21"/>
      <c r="J185" s="21"/>
      <c r="K185" s="21"/>
      <c r="L185" s="21"/>
      <c r="M185" s="21"/>
      <c r="N185" s="21"/>
      <c r="O185" s="196"/>
      <c r="P185" s="992"/>
      <c r="Q185" s="22">
        <v>1</v>
      </c>
      <c r="R185" s="129"/>
      <c r="T185" s="129"/>
      <c r="U185" s="129"/>
      <c r="V185" s="129"/>
      <c r="W185" s="129"/>
      <c r="X185" s="129"/>
      <c r="Y185" s="129"/>
      <c r="Z185" s="129"/>
      <c r="AA185" s="129"/>
      <c r="AB185" s="129"/>
      <c r="AC185" s="129"/>
      <c r="AD185" s="129"/>
      <c r="AE185" s="129"/>
      <c r="AF185" s="129"/>
      <c r="AG185" s="129"/>
      <c r="AH185" s="129"/>
      <c r="AI185" s="129"/>
      <c r="AJ185" s="129"/>
      <c r="AK185" s="129"/>
      <c r="AL185" s="129"/>
      <c r="AM185" s="129"/>
      <c r="AN185" s="129"/>
      <c r="AO185" s="129"/>
      <c r="AP185" s="129"/>
      <c r="AQ185" s="129"/>
      <c r="AR185" s="129"/>
      <c r="AS185" s="129"/>
      <c r="AT185" s="129"/>
      <c r="AU185" s="129"/>
      <c r="AV185" s="129"/>
      <c r="AW185" s="89"/>
      <c r="AX185" s="89"/>
      <c r="AY185" s="89"/>
      <c r="AZ185" s="89"/>
      <c r="BA185" s="89"/>
      <c r="BB185" s="89"/>
      <c r="BC185" s="89"/>
      <c r="BD185" s="89"/>
      <c r="BE185" s="89"/>
      <c r="BF185" s="89"/>
      <c r="BG185" s="89"/>
      <c r="BH185" s="89"/>
      <c r="BI185" s="89"/>
      <c r="BJ185" s="89"/>
      <c r="BK185" s="89"/>
      <c r="BL185" s="89"/>
      <c r="BM185" s="89"/>
      <c r="BN185" s="89"/>
      <c r="BO185" s="89"/>
      <c r="BP185" s="89"/>
      <c r="BQ185" s="89"/>
      <c r="BR185" s="89"/>
      <c r="BS185" s="89"/>
      <c r="BT185" s="89"/>
      <c r="BU185" s="89"/>
      <c r="BV185" s="89"/>
      <c r="BW185" s="89"/>
      <c r="BX185" s="89"/>
      <c r="BY185" s="89"/>
      <c r="BZ185" s="89"/>
      <c r="CA185" s="89"/>
      <c r="CB185" s="89"/>
      <c r="CC185" s="89"/>
      <c r="CD185" s="89"/>
      <c r="CE185" s="89"/>
      <c r="CF185" s="89"/>
      <c r="CG185" s="89"/>
      <c r="CH185" s="89"/>
      <c r="CI185" s="89"/>
      <c r="CJ185" s="89"/>
      <c r="CK185" s="89"/>
      <c r="CL185" s="89"/>
      <c r="CM185" s="89"/>
      <c r="CN185" s="89"/>
      <c r="CO185" s="89"/>
      <c r="CP185" s="89"/>
      <c r="CQ185" s="89"/>
      <c r="CR185" s="89"/>
      <c r="CS185" s="89"/>
      <c r="CT185" s="89"/>
      <c r="CU185" s="89"/>
      <c r="CV185" s="89"/>
      <c r="CW185" s="89"/>
      <c r="CX185" s="89"/>
      <c r="CY185" s="89"/>
      <c r="CZ185" s="89"/>
      <c r="DA185" s="89"/>
      <c r="DB185" s="89"/>
      <c r="DC185" s="89"/>
      <c r="DD185" s="89"/>
      <c r="DE185" s="89"/>
      <c r="DF185" s="89"/>
      <c r="DG185" s="89"/>
      <c r="DH185" s="89"/>
      <c r="DI185" s="89"/>
      <c r="DJ185" s="117"/>
      <c r="DK185" s="117"/>
      <c r="DL185" s="117"/>
      <c r="DM185" s="117"/>
      <c r="DN185" s="117"/>
      <c r="DO185" s="117"/>
      <c r="DP185" s="117"/>
      <c r="DQ185" s="117"/>
      <c r="DR185" s="117"/>
      <c r="DS185" s="117"/>
      <c r="DT185" s="117"/>
      <c r="DU185" s="117"/>
      <c r="DV185" s="117"/>
      <c r="DW185" s="117"/>
      <c r="DX185" s="117"/>
      <c r="DY185" s="117"/>
      <c r="DZ185" s="117"/>
      <c r="EA185" s="117"/>
      <c r="EB185" s="117"/>
      <c r="EC185" s="117"/>
      <c r="ED185" s="117"/>
      <c r="EE185" s="117"/>
      <c r="EF185" s="117"/>
      <c r="EG185" s="117"/>
      <c r="EH185" s="117"/>
      <c r="EI185" s="117"/>
      <c r="EJ185" s="89"/>
      <c r="EK185" s="89"/>
      <c r="EL185" s="89"/>
      <c r="EM185" s="89"/>
      <c r="EN185" s="89"/>
      <c r="EO185" s="89"/>
      <c r="EP185" s="89"/>
      <c r="EQ185" s="89"/>
      <c r="ER185" s="89"/>
      <c r="ES185" s="89"/>
      <c r="ET185" s="89"/>
      <c r="EU185" s="89"/>
      <c r="EV185" s="89"/>
      <c r="EW185" s="89"/>
      <c r="EX185" s="89"/>
      <c r="EY185" s="89"/>
      <c r="EZ185" s="89"/>
      <c r="FA185" s="89"/>
      <c r="FB185" s="89"/>
      <c r="FC185" s="89"/>
      <c r="FD185" s="89"/>
      <c r="FE185" s="89"/>
      <c r="FF185" s="89"/>
      <c r="FG185" s="89"/>
      <c r="FH185" s="89"/>
      <c r="FI185" s="89"/>
      <c r="FJ185" s="89"/>
      <c r="FK185" s="89"/>
      <c r="FL185" s="89"/>
      <c r="FM185" s="89"/>
      <c r="FN185" s="89"/>
      <c r="FO185" s="89"/>
      <c r="FP185" s="89"/>
      <c r="FQ185" s="89"/>
      <c r="FR185" s="89"/>
      <c r="FS185" s="89"/>
    </row>
    <row r="186" spans="1:175" s="23" customFormat="1" ht="15.9" customHeight="1">
      <c r="A186" s="1808"/>
      <c r="B186" s="416"/>
      <c r="C186" s="21"/>
      <c r="D186" s="21"/>
      <c r="E186" s="21"/>
      <c r="F186" s="21"/>
      <c r="G186" s="21"/>
      <c r="H186" s="21"/>
      <c r="I186" s="21"/>
      <c r="J186" s="21"/>
      <c r="K186" s="21"/>
      <c r="L186" s="21"/>
      <c r="M186" s="21"/>
      <c r="N186" s="21"/>
      <c r="O186" s="196"/>
      <c r="P186" s="992"/>
      <c r="Q186" s="22">
        <v>1</v>
      </c>
      <c r="R186" s="129"/>
      <c r="S186" s="129"/>
      <c r="T186" s="129"/>
      <c r="U186" s="129"/>
      <c r="V186" s="129"/>
      <c r="W186" s="129"/>
      <c r="X186" s="129"/>
      <c r="Y186" s="129"/>
      <c r="Z186" s="129"/>
      <c r="AA186" s="129"/>
      <c r="AB186" s="129"/>
      <c r="AC186" s="129"/>
      <c r="AD186" s="129"/>
      <c r="AE186" s="129"/>
      <c r="AF186" s="129"/>
      <c r="AG186" s="129"/>
      <c r="AH186" s="129"/>
      <c r="AI186" s="129"/>
      <c r="AJ186" s="129"/>
      <c r="AK186" s="129"/>
      <c r="AL186" s="129"/>
      <c r="AM186" s="129"/>
      <c r="AN186" s="129"/>
      <c r="AO186" s="129"/>
      <c r="AP186" s="129"/>
      <c r="AQ186" s="129"/>
      <c r="AR186" s="129"/>
      <c r="AS186" s="129"/>
      <c r="AT186" s="129"/>
      <c r="AU186" s="129"/>
      <c r="AV186" s="129"/>
      <c r="AW186" s="89"/>
      <c r="AX186" s="89"/>
      <c r="AY186" s="89"/>
      <c r="AZ186" s="89"/>
      <c r="BA186" s="89"/>
      <c r="BB186" s="89"/>
      <c r="BC186" s="89"/>
      <c r="BD186" s="89"/>
      <c r="BE186" s="89"/>
      <c r="BF186" s="89"/>
      <c r="BG186" s="89"/>
      <c r="BH186" s="89"/>
      <c r="BI186" s="89"/>
      <c r="BJ186" s="89"/>
      <c r="BK186" s="89"/>
      <c r="BL186" s="89"/>
      <c r="BM186" s="89"/>
      <c r="BN186" s="89"/>
      <c r="BO186" s="89"/>
      <c r="BP186" s="89"/>
      <c r="BQ186" s="89"/>
      <c r="BR186" s="89"/>
      <c r="BS186" s="89"/>
      <c r="BT186" s="89"/>
      <c r="BU186" s="89"/>
      <c r="BV186" s="89"/>
      <c r="BW186" s="89"/>
      <c r="BX186" s="89"/>
      <c r="BY186" s="89"/>
      <c r="BZ186" s="89"/>
      <c r="CA186" s="89"/>
      <c r="CB186" s="89"/>
      <c r="CC186" s="89"/>
      <c r="CD186" s="89"/>
      <c r="CE186" s="89"/>
      <c r="CF186" s="89"/>
      <c r="CG186" s="89"/>
      <c r="CH186" s="89"/>
      <c r="CI186" s="89"/>
      <c r="CJ186" s="89"/>
      <c r="CK186" s="89"/>
      <c r="CL186" s="89"/>
      <c r="CM186" s="89"/>
      <c r="CN186" s="89"/>
      <c r="CO186" s="89"/>
      <c r="CP186" s="89"/>
      <c r="CQ186" s="89"/>
      <c r="CR186" s="89"/>
      <c r="CS186" s="89"/>
      <c r="CT186" s="89"/>
      <c r="CU186" s="89"/>
      <c r="CV186" s="89"/>
      <c r="CW186" s="89"/>
      <c r="CX186" s="89"/>
      <c r="CY186" s="89"/>
      <c r="CZ186" s="89"/>
      <c r="DA186" s="89"/>
      <c r="DB186" s="89"/>
      <c r="DC186" s="89"/>
      <c r="DD186" s="89"/>
      <c r="DE186" s="89"/>
      <c r="DF186" s="89"/>
      <c r="DG186" s="89"/>
      <c r="DH186" s="89"/>
      <c r="DI186" s="89"/>
      <c r="DJ186" s="117"/>
      <c r="DK186" s="117"/>
      <c r="DL186" s="117"/>
      <c r="DM186" s="117"/>
      <c r="DN186" s="117"/>
      <c r="DO186" s="117"/>
      <c r="DP186" s="117"/>
      <c r="DQ186" s="117"/>
      <c r="DR186" s="117"/>
      <c r="DS186" s="117"/>
      <c r="DT186" s="117"/>
      <c r="DU186" s="117"/>
      <c r="DV186" s="117"/>
      <c r="DW186" s="117"/>
      <c r="DX186" s="117"/>
      <c r="DY186" s="117"/>
      <c r="DZ186" s="117"/>
      <c r="EA186" s="117"/>
      <c r="EB186" s="117"/>
      <c r="EC186" s="117"/>
      <c r="ED186" s="117"/>
      <c r="EE186" s="117"/>
      <c r="EF186" s="117"/>
      <c r="EG186" s="117"/>
      <c r="EH186" s="117"/>
      <c r="EI186" s="117"/>
      <c r="EJ186" s="89"/>
      <c r="EK186" s="89"/>
      <c r="EL186" s="89"/>
      <c r="EM186" s="89"/>
      <c r="EN186" s="89"/>
      <c r="EO186" s="89"/>
      <c r="EP186" s="89"/>
      <c r="EQ186" s="89"/>
      <c r="ER186" s="89"/>
      <c r="ES186" s="89"/>
      <c r="ET186" s="89"/>
      <c r="EU186" s="89"/>
      <c r="EV186" s="89"/>
      <c r="EW186" s="89"/>
      <c r="EX186" s="89"/>
      <c r="EY186" s="89"/>
      <c r="EZ186" s="89"/>
      <c r="FA186" s="89"/>
      <c r="FB186" s="89"/>
      <c r="FC186" s="89"/>
      <c r="FD186" s="89"/>
      <c r="FE186" s="89"/>
      <c r="FF186" s="89"/>
      <c r="FG186" s="89"/>
      <c r="FH186" s="89"/>
      <c r="FI186" s="89"/>
      <c r="FJ186" s="89"/>
      <c r="FK186" s="89"/>
      <c r="FL186" s="89"/>
      <c r="FM186" s="89"/>
      <c r="FN186" s="89"/>
      <c r="FO186" s="89"/>
      <c r="FP186" s="89"/>
      <c r="FQ186" s="89"/>
      <c r="FR186" s="89"/>
      <c r="FS186" s="89"/>
    </row>
    <row r="187" spans="1:175" s="23" customFormat="1" ht="15.9" customHeight="1">
      <c r="A187" s="1808"/>
      <c r="B187" s="416"/>
      <c r="C187" s="1818" t="str">
        <f>C241</f>
        <v>Energiebedarf, kWh/m2</v>
      </c>
      <c r="D187" s="1153" t="str">
        <f>Begriffe!F335</f>
        <v xml:space="preserve">Elektrischer Energiebedarf                              </v>
      </c>
      <c r="E187" s="1153"/>
      <c r="F187" s="1155"/>
      <c r="G187" s="1156" t="str">
        <f>Begriffe!F336</f>
        <v xml:space="preserve">Thermischer Energiebedarf                              </v>
      </c>
      <c r="H187" s="1153"/>
      <c r="I187" s="1818" t="str">
        <f>C236</f>
        <v>Leistungsbedarf, W/m2</v>
      </c>
      <c r="J187" s="1153" t="str">
        <f>Begriffe!F337</f>
        <v xml:space="preserve">Elektrischer Leistungsbedarf                              </v>
      </c>
      <c r="K187" s="1153"/>
      <c r="L187" s="1153"/>
      <c r="M187" s="1153"/>
      <c r="N187" s="1153" t="str">
        <f>Begriffe!F338</f>
        <v xml:space="preserve">Thermischer Leistungsbedarf                              </v>
      </c>
      <c r="O187" s="1154"/>
      <c r="P187" s="992"/>
      <c r="Q187" s="22">
        <v>1</v>
      </c>
      <c r="R187" s="129"/>
      <c r="S187" s="129"/>
      <c r="T187" s="129"/>
      <c r="U187" s="129"/>
      <c r="V187" s="129"/>
      <c r="W187" s="129"/>
      <c r="X187" s="129"/>
      <c r="Y187" s="129"/>
      <c r="Z187" s="129"/>
      <c r="AA187" s="129"/>
      <c r="AB187" s="129"/>
      <c r="AC187" s="129"/>
      <c r="AD187" s="129"/>
      <c r="AE187" s="129"/>
      <c r="AF187" s="129"/>
      <c r="AG187" s="129"/>
      <c r="AH187" s="129"/>
      <c r="AI187" s="129"/>
      <c r="AJ187" s="129"/>
      <c r="AK187" s="129"/>
      <c r="AL187" s="129"/>
      <c r="AM187" s="129"/>
      <c r="AN187" s="129"/>
      <c r="AO187" s="129"/>
      <c r="AP187" s="129"/>
      <c r="AQ187" s="129"/>
      <c r="AR187" s="129"/>
      <c r="AS187" s="129"/>
      <c r="AT187" s="129"/>
      <c r="AU187" s="129"/>
      <c r="AV187" s="129"/>
      <c r="AW187" s="89"/>
      <c r="AX187" s="89"/>
      <c r="AY187" s="89"/>
      <c r="AZ187" s="89"/>
      <c r="BA187" s="89"/>
      <c r="BB187" s="89"/>
      <c r="BC187" s="89"/>
      <c r="BD187" s="89"/>
      <c r="BE187" s="89"/>
      <c r="BF187" s="89"/>
      <c r="BG187" s="89"/>
      <c r="BH187" s="89"/>
      <c r="BI187" s="89"/>
      <c r="BJ187" s="89"/>
      <c r="BK187" s="89"/>
      <c r="BL187" s="89"/>
      <c r="BM187" s="89"/>
      <c r="BN187" s="89"/>
      <c r="BO187" s="89"/>
      <c r="BP187" s="89"/>
      <c r="BQ187" s="89"/>
      <c r="BR187" s="89"/>
      <c r="BS187" s="89"/>
      <c r="BT187" s="89"/>
      <c r="BU187" s="89"/>
      <c r="BV187" s="89"/>
      <c r="BW187" s="89"/>
      <c r="BX187" s="89"/>
      <c r="BY187" s="89"/>
      <c r="BZ187" s="89"/>
      <c r="CA187" s="89"/>
      <c r="CB187" s="89"/>
      <c r="CC187" s="89"/>
      <c r="CD187" s="89"/>
      <c r="CE187" s="89"/>
      <c r="CF187" s="89"/>
      <c r="CG187" s="89"/>
      <c r="CH187" s="89"/>
      <c r="CI187" s="89"/>
      <c r="CJ187" s="89"/>
      <c r="CK187" s="89"/>
      <c r="CL187" s="89"/>
      <c r="CM187" s="89"/>
      <c r="CN187" s="89"/>
      <c r="CO187" s="89"/>
      <c r="CP187" s="89"/>
      <c r="CQ187" s="89"/>
      <c r="CR187" s="89"/>
      <c r="CS187" s="89"/>
      <c r="CT187" s="89"/>
      <c r="CU187" s="89"/>
      <c r="CV187" s="89"/>
      <c r="CW187" s="89"/>
      <c r="CX187" s="89"/>
      <c r="CY187" s="89"/>
      <c r="CZ187" s="89"/>
      <c r="DA187" s="89"/>
      <c r="DB187" s="89"/>
      <c r="DC187" s="89"/>
      <c r="DD187" s="89"/>
      <c r="DE187" s="89"/>
      <c r="DF187" s="89"/>
      <c r="DG187" s="89"/>
      <c r="DH187" s="89"/>
      <c r="DI187" s="89"/>
      <c r="DJ187" s="117"/>
      <c r="DK187" s="117"/>
      <c r="DL187" s="117"/>
      <c r="DM187" s="117"/>
      <c r="DN187" s="117"/>
      <c r="DO187" s="117"/>
      <c r="DP187" s="117"/>
      <c r="DQ187" s="117"/>
      <c r="DR187" s="117"/>
      <c r="DS187" s="117"/>
      <c r="DT187" s="117"/>
      <c r="DU187" s="117"/>
      <c r="DV187" s="117"/>
      <c r="DW187" s="117"/>
      <c r="DX187" s="117"/>
      <c r="DY187" s="117"/>
      <c r="DZ187" s="117"/>
      <c r="EA187" s="117"/>
      <c r="EB187" s="117"/>
      <c r="EC187" s="117"/>
      <c r="ED187" s="117"/>
      <c r="EE187" s="117"/>
      <c r="EF187" s="117"/>
      <c r="EG187" s="117"/>
      <c r="EH187" s="117"/>
      <c r="EI187" s="117"/>
      <c r="EJ187" s="89"/>
      <c r="EK187" s="89"/>
      <c r="EL187" s="89"/>
      <c r="EM187" s="89"/>
      <c r="EN187" s="89"/>
      <c r="EO187" s="89"/>
      <c r="EP187" s="89"/>
      <c r="EQ187" s="89"/>
      <c r="ER187" s="89"/>
      <c r="ES187" s="89"/>
      <c r="ET187" s="89"/>
      <c r="EU187" s="89"/>
      <c r="EV187" s="89"/>
      <c r="EW187" s="89"/>
      <c r="EX187" s="89"/>
      <c r="EY187" s="89"/>
      <c r="EZ187" s="89"/>
      <c r="FA187" s="89"/>
      <c r="FB187" s="89"/>
      <c r="FC187" s="89"/>
      <c r="FD187" s="89"/>
      <c r="FE187" s="89"/>
      <c r="FF187" s="89"/>
      <c r="FG187" s="89"/>
      <c r="FH187" s="89"/>
      <c r="FI187" s="89"/>
      <c r="FJ187" s="89"/>
      <c r="FK187" s="89"/>
      <c r="FL187" s="89"/>
      <c r="FM187" s="89"/>
      <c r="FN187" s="89"/>
      <c r="FO187" s="89"/>
      <c r="FP187" s="89"/>
      <c r="FQ187" s="89"/>
      <c r="FR187" s="89"/>
      <c r="FS187" s="89"/>
    </row>
    <row r="188" spans="1:175" s="23" customFormat="1" ht="15.9" customHeight="1">
      <c r="A188" s="1808"/>
      <c r="B188" s="416"/>
      <c r="C188" s="1818"/>
      <c r="D188" s="21"/>
      <c r="E188" s="21"/>
      <c r="F188" s="21"/>
      <c r="G188" s="21"/>
      <c r="H188" s="21"/>
      <c r="I188" s="1818"/>
      <c r="J188" s="21"/>
      <c r="K188" s="21"/>
      <c r="L188" s="21"/>
      <c r="M188" s="21"/>
      <c r="N188" s="21"/>
      <c r="O188" s="196"/>
      <c r="P188" s="921"/>
      <c r="Q188" s="22">
        <v>1</v>
      </c>
      <c r="R188" s="129"/>
      <c r="S188" s="129"/>
      <c r="T188" s="129"/>
      <c r="U188" s="129"/>
      <c r="V188" s="129"/>
      <c r="W188" s="129"/>
      <c r="X188" s="129"/>
      <c r="Y188" s="129"/>
      <c r="Z188" s="129"/>
      <c r="AA188" s="129"/>
      <c r="AB188" s="129"/>
      <c r="AC188" s="129"/>
      <c r="AD188" s="129"/>
      <c r="AE188" s="129"/>
      <c r="AF188" s="129"/>
      <c r="AG188" s="129"/>
      <c r="AH188" s="129"/>
      <c r="AI188" s="129"/>
      <c r="AJ188" s="129"/>
      <c r="AK188" s="129"/>
      <c r="AL188" s="129"/>
      <c r="AM188" s="129"/>
      <c r="AN188" s="129"/>
      <c r="AO188" s="129"/>
      <c r="AP188" s="129"/>
      <c r="AQ188" s="129"/>
      <c r="AR188" s="129"/>
      <c r="AS188" s="129"/>
      <c r="AT188" s="129"/>
      <c r="AU188" s="129"/>
      <c r="AV188" s="129"/>
      <c r="AW188" s="89"/>
      <c r="AX188" s="89"/>
      <c r="AY188" s="89"/>
      <c r="AZ188" s="89"/>
      <c r="BA188" s="89"/>
      <c r="BB188" s="89"/>
      <c r="BC188" s="89"/>
      <c r="BD188" s="89"/>
      <c r="BE188" s="89"/>
      <c r="BF188" s="89"/>
      <c r="BG188" s="89"/>
      <c r="BH188" s="89"/>
      <c r="BI188" s="89"/>
      <c r="BJ188" s="89"/>
      <c r="BK188" s="89"/>
      <c r="BL188" s="89"/>
      <c r="BM188" s="89"/>
      <c r="BN188" s="89"/>
      <c r="BO188" s="89"/>
      <c r="BP188" s="89"/>
      <c r="BQ188" s="89"/>
      <c r="BR188" s="89"/>
      <c r="BS188" s="89"/>
      <c r="BT188" s="89"/>
      <c r="BU188" s="89"/>
      <c r="BV188" s="89"/>
      <c r="BW188" s="89"/>
      <c r="BX188" s="89"/>
      <c r="BY188" s="89"/>
      <c r="BZ188" s="89"/>
      <c r="CA188" s="89"/>
      <c r="CB188" s="89"/>
      <c r="CC188" s="89"/>
      <c r="CD188" s="89"/>
      <c r="CE188" s="89"/>
      <c r="CF188" s="89"/>
      <c r="CG188" s="89"/>
      <c r="CH188" s="89"/>
      <c r="CI188" s="89"/>
      <c r="CJ188" s="89"/>
      <c r="CK188" s="89"/>
      <c r="CL188" s="89"/>
      <c r="CM188" s="89"/>
      <c r="CN188" s="89"/>
      <c r="CO188" s="89"/>
      <c r="CP188" s="89"/>
      <c r="CQ188" s="89"/>
      <c r="CR188" s="89"/>
      <c r="CS188" s="89"/>
      <c r="CT188" s="89"/>
      <c r="CU188" s="89"/>
      <c r="CV188" s="89"/>
      <c r="CW188" s="89"/>
      <c r="CX188" s="89"/>
      <c r="CY188" s="89"/>
      <c r="CZ188" s="89"/>
      <c r="DA188" s="89"/>
      <c r="DB188" s="89"/>
      <c r="DC188" s="89"/>
      <c r="DD188" s="89"/>
      <c r="DE188" s="89"/>
      <c r="DF188" s="89"/>
      <c r="DG188" s="89"/>
      <c r="DH188" s="89"/>
      <c r="DI188" s="89"/>
      <c r="DJ188" s="117"/>
      <c r="DK188" s="117"/>
      <c r="DL188" s="117"/>
      <c r="DM188" s="117"/>
      <c r="DN188" s="117"/>
      <c r="DO188" s="117"/>
      <c r="DP188" s="117"/>
      <c r="DQ188" s="117"/>
      <c r="DR188" s="117"/>
      <c r="DS188" s="117"/>
      <c r="DT188" s="117"/>
      <c r="DU188" s="117"/>
      <c r="DV188" s="117"/>
      <c r="DW188" s="117"/>
      <c r="DX188" s="117"/>
      <c r="DY188" s="117"/>
      <c r="DZ188" s="117"/>
      <c r="EA188" s="117"/>
      <c r="EB188" s="117"/>
      <c r="EC188" s="117"/>
      <c r="ED188" s="117"/>
      <c r="EE188" s="117"/>
      <c r="EF188" s="117"/>
      <c r="EG188" s="117"/>
      <c r="EH188" s="117"/>
      <c r="EI188" s="117"/>
      <c r="EJ188" s="89"/>
      <c r="EK188" s="89"/>
      <c r="EL188" s="89"/>
      <c r="EM188" s="89"/>
      <c r="EN188" s="89"/>
      <c r="EO188" s="89"/>
      <c r="EP188" s="89"/>
      <c r="EQ188" s="89"/>
      <c r="ER188" s="89"/>
      <c r="ES188" s="89"/>
      <c r="ET188" s="89"/>
      <c r="EU188" s="89"/>
      <c r="EV188" s="89"/>
      <c r="EW188" s="89"/>
      <c r="EX188" s="89"/>
      <c r="EY188" s="89"/>
      <c r="EZ188" s="89"/>
      <c r="FA188" s="89"/>
      <c r="FB188" s="89"/>
      <c r="FC188" s="89"/>
      <c r="FD188" s="89"/>
      <c r="FE188" s="89"/>
      <c r="FF188" s="89"/>
      <c r="FG188" s="89"/>
      <c r="FH188" s="89"/>
      <c r="FI188" s="89"/>
      <c r="FJ188" s="89"/>
      <c r="FK188" s="89"/>
      <c r="FL188" s="89"/>
      <c r="FM188" s="89"/>
      <c r="FN188" s="89"/>
      <c r="FO188" s="89"/>
      <c r="FP188" s="89"/>
      <c r="FQ188" s="89"/>
      <c r="FR188" s="89"/>
      <c r="FS188" s="89"/>
    </row>
    <row r="189" spans="1:175" s="23" customFormat="1" ht="15.9" customHeight="1">
      <c r="A189" s="1808"/>
      <c r="B189" s="416"/>
      <c r="C189" s="1818"/>
      <c r="D189" s="179"/>
      <c r="E189" s="179"/>
      <c r="F189" s="179"/>
      <c r="G189" s="179"/>
      <c r="H189" s="21"/>
      <c r="I189" s="1818"/>
      <c r="J189" s="21"/>
      <c r="K189" s="21"/>
      <c r="L189" s="21"/>
      <c r="M189" s="21"/>
      <c r="N189" s="21"/>
      <c r="O189" s="196"/>
      <c r="P189" s="921"/>
      <c r="Q189" s="22">
        <v>1</v>
      </c>
      <c r="R189" s="129"/>
      <c r="S189" s="129"/>
      <c r="T189" s="129"/>
      <c r="U189" s="129"/>
      <c r="V189" s="129"/>
      <c r="W189" s="129"/>
      <c r="X189" s="129"/>
      <c r="Y189" s="129"/>
      <c r="Z189" s="129"/>
      <c r="AA189" s="129"/>
      <c r="AB189" s="129"/>
      <c r="AC189" s="129"/>
      <c r="AD189" s="129"/>
      <c r="AE189" s="129"/>
      <c r="AF189" s="129"/>
      <c r="AG189" s="129"/>
      <c r="AH189" s="129"/>
      <c r="AI189" s="129"/>
      <c r="AJ189" s="129"/>
      <c r="AK189" s="129"/>
      <c r="AL189" s="129"/>
      <c r="AM189" s="129"/>
      <c r="AN189" s="129"/>
      <c r="AO189" s="129"/>
      <c r="AP189" s="129"/>
      <c r="AQ189" s="129"/>
      <c r="AR189" s="129"/>
      <c r="AS189" s="129"/>
      <c r="AT189" s="129"/>
      <c r="AU189" s="129"/>
      <c r="AV189" s="129"/>
      <c r="AW189" s="89"/>
      <c r="AX189" s="89"/>
      <c r="AY189" s="89"/>
      <c r="AZ189" s="89"/>
      <c r="BA189" s="89"/>
      <c r="BB189" s="89"/>
      <c r="BC189" s="89"/>
      <c r="BD189" s="89"/>
      <c r="BE189" s="89"/>
      <c r="BF189" s="89"/>
      <c r="BG189" s="89"/>
      <c r="BH189" s="89"/>
      <c r="BI189" s="89"/>
      <c r="BJ189" s="89"/>
      <c r="BK189" s="89"/>
      <c r="BL189" s="89"/>
      <c r="BM189" s="89"/>
      <c r="BN189" s="89"/>
      <c r="BO189" s="89"/>
      <c r="BP189" s="89"/>
      <c r="BQ189" s="89"/>
      <c r="BR189" s="89"/>
      <c r="BS189" s="89"/>
      <c r="BT189" s="89"/>
      <c r="BU189" s="89"/>
      <c r="BV189" s="89"/>
      <c r="BW189" s="89"/>
      <c r="BX189" s="89"/>
      <c r="BY189" s="89"/>
      <c r="BZ189" s="89"/>
      <c r="CA189" s="89"/>
      <c r="CB189" s="89"/>
      <c r="CC189" s="89"/>
      <c r="CD189" s="89"/>
      <c r="CE189" s="89"/>
      <c r="CF189" s="89"/>
      <c r="CG189" s="89"/>
      <c r="CH189" s="89"/>
      <c r="CI189" s="89"/>
      <c r="CJ189" s="89"/>
      <c r="CK189" s="89"/>
      <c r="CL189" s="89"/>
      <c r="CM189" s="89"/>
      <c r="CN189" s="89"/>
      <c r="CO189" s="89"/>
      <c r="CP189" s="89"/>
      <c r="CQ189" s="89"/>
      <c r="CR189" s="89"/>
      <c r="CS189" s="89"/>
      <c r="CT189" s="89"/>
      <c r="CU189" s="89"/>
      <c r="CV189" s="89"/>
      <c r="CW189" s="89"/>
      <c r="CX189" s="89"/>
      <c r="CY189" s="89"/>
      <c r="CZ189" s="89"/>
      <c r="DA189" s="89"/>
      <c r="DB189" s="89"/>
      <c r="DC189" s="89"/>
      <c r="DD189" s="89"/>
      <c r="DE189" s="89"/>
      <c r="DF189" s="89"/>
      <c r="DG189" s="89"/>
      <c r="DH189" s="89"/>
      <c r="DI189" s="89"/>
      <c r="DJ189" s="117"/>
      <c r="DK189" s="117"/>
      <c r="DL189" s="117"/>
      <c r="DM189" s="117"/>
      <c r="DN189" s="117"/>
      <c r="DO189" s="117"/>
      <c r="DP189" s="117"/>
      <c r="DQ189" s="117"/>
      <c r="DR189" s="117"/>
      <c r="DS189" s="117"/>
      <c r="DT189" s="117"/>
      <c r="DU189" s="117"/>
      <c r="DV189" s="117"/>
      <c r="DW189" s="117"/>
      <c r="DX189" s="117"/>
      <c r="DY189" s="117"/>
      <c r="DZ189" s="117"/>
      <c r="EA189" s="117"/>
      <c r="EB189" s="117"/>
      <c r="EC189" s="117"/>
      <c r="ED189" s="117"/>
      <c r="EE189" s="117"/>
      <c r="EF189" s="117"/>
      <c r="EG189" s="117"/>
      <c r="EH189" s="117"/>
      <c r="EI189" s="117"/>
      <c r="EJ189" s="89"/>
      <c r="EK189" s="89"/>
      <c r="EL189" s="89"/>
      <c r="EM189" s="89"/>
      <c r="EN189" s="89"/>
      <c r="EO189" s="89"/>
      <c r="EP189" s="89"/>
      <c r="EQ189" s="89"/>
      <c r="ER189" s="89"/>
      <c r="ES189" s="89"/>
      <c r="ET189" s="89"/>
      <c r="EU189" s="89"/>
      <c r="EV189" s="89"/>
      <c r="EW189" s="89"/>
      <c r="EX189" s="89"/>
      <c r="EY189" s="89"/>
      <c r="EZ189" s="89"/>
      <c r="FA189" s="89"/>
      <c r="FB189" s="89"/>
      <c r="FC189" s="89"/>
      <c r="FD189" s="89"/>
      <c r="FE189" s="89"/>
      <c r="FF189" s="89"/>
      <c r="FG189" s="89"/>
      <c r="FH189" s="89"/>
      <c r="FI189" s="89"/>
      <c r="FJ189" s="89"/>
      <c r="FK189" s="89"/>
      <c r="FL189" s="89"/>
      <c r="FM189" s="89"/>
      <c r="FN189" s="89"/>
      <c r="FO189" s="89"/>
      <c r="FP189" s="89"/>
      <c r="FQ189" s="89"/>
      <c r="FR189" s="89"/>
      <c r="FS189" s="89"/>
    </row>
    <row r="190" spans="1:175" s="23" customFormat="1" ht="15.9" customHeight="1">
      <c r="A190" s="1808"/>
      <c r="B190" s="416"/>
      <c r="C190" s="1818"/>
      <c r="D190" s="21"/>
      <c r="E190" s="21"/>
      <c r="F190" s="21"/>
      <c r="G190" s="21"/>
      <c r="H190" s="21"/>
      <c r="I190" s="1818"/>
      <c r="J190" s="21"/>
      <c r="K190" s="21"/>
      <c r="L190" s="21"/>
      <c r="M190" s="21"/>
      <c r="N190" s="21"/>
      <c r="O190" s="196"/>
      <c r="P190" s="921"/>
      <c r="Q190" s="22">
        <v>1</v>
      </c>
      <c r="R190" s="129"/>
      <c r="S190" s="129"/>
      <c r="T190" s="129"/>
      <c r="U190" s="129"/>
      <c r="V190" s="129"/>
      <c r="W190" s="129"/>
      <c r="X190" s="129"/>
      <c r="Y190" s="129"/>
      <c r="Z190" s="129"/>
      <c r="AA190" s="129"/>
      <c r="AB190" s="129"/>
      <c r="AC190" s="129"/>
      <c r="AD190" s="129"/>
      <c r="AE190" s="129"/>
      <c r="AF190" s="129"/>
      <c r="AG190" s="129"/>
      <c r="AH190" s="129"/>
      <c r="AI190" s="129"/>
      <c r="AJ190" s="129"/>
      <c r="AK190" s="129"/>
      <c r="AL190" s="129"/>
      <c r="AM190" s="129"/>
      <c r="AN190" s="129"/>
      <c r="AO190" s="129"/>
      <c r="AP190" s="129"/>
      <c r="AQ190" s="129"/>
      <c r="AR190" s="129"/>
      <c r="AS190" s="129"/>
      <c r="AT190" s="129"/>
      <c r="AU190" s="129"/>
      <c r="AV190" s="129"/>
      <c r="AW190" s="89"/>
      <c r="AX190" s="89"/>
      <c r="AY190" s="89"/>
      <c r="AZ190" s="89"/>
      <c r="BA190" s="89"/>
      <c r="BB190" s="89"/>
      <c r="BC190" s="89"/>
      <c r="BD190" s="89"/>
      <c r="BE190" s="89"/>
      <c r="BF190" s="89"/>
      <c r="BG190" s="89"/>
      <c r="BH190" s="89"/>
      <c r="BI190" s="89"/>
      <c r="BJ190" s="89"/>
      <c r="BK190" s="89"/>
      <c r="BL190" s="89"/>
      <c r="BM190" s="89"/>
      <c r="BN190" s="89"/>
      <c r="BO190" s="89"/>
      <c r="BP190" s="89"/>
      <c r="BQ190" s="89"/>
      <c r="BR190" s="89"/>
      <c r="BS190" s="89"/>
      <c r="BT190" s="89"/>
      <c r="BU190" s="89"/>
      <c r="BV190" s="89"/>
      <c r="BW190" s="89"/>
      <c r="BX190" s="89"/>
      <c r="BY190" s="89"/>
      <c r="BZ190" s="89"/>
      <c r="CA190" s="89"/>
      <c r="CB190" s="89"/>
      <c r="CC190" s="89"/>
      <c r="CD190" s="89"/>
      <c r="CE190" s="89"/>
      <c r="CF190" s="89"/>
      <c r="CG190" s="89"/>
      <c r="CH190" s="89"/>
      <c r="CI190" s="89"/>
      <c r="CJ190" s="89"/>
      <c r="CK190" s="89"/>
      <c r="CL190" s="89"/>
      <c r="CM190" s="89"/>
      <c r="CN190" s="89"/>
      <c r="CO190" s="89"/>
      <c r="CP190" s="89"/>
      <c r="CQ190" s="89"/>
      <c r="CR190" s="89"/>
      <c r="CS190" s="89"/>
      <c r="CT190" s="89"/>
      <c r="CU190" s="89"/>
      <c r="CV190" s="89"/>
      <c r="CW190" s="89"/>
      <c r="CX190" s="89"/>
      <c r="CY190" s="89"/>
      <c r="CZ190" s="89"/>
      <c r="DA190" s="89"/>
      <c r="DB190" s="89"/>
      <c r="DC190" s="89"/>
      <c r="DD190" s="89"/>
      <c r="DE190" s="89"/>
      <c r="DF190" s="89"/>
      <c r="DG190" s="89"/>
      <c r="DH190" s="89"/>
      <c r="DI190" s="89"/>
      <c r="DJ190" s="117"/>
      <c r="DK190" s="117"/>
      <c r="DL190" s="117"/>
      <c r="DM190" s="117"/>
      <c r="DN190" s="117"/>
      <c r="DO190" s="117"/>
      <c r="DP190" s="117"/>
      <c r="DQ190" s="117"/>
      <c r="DR190" s="117"/>
      <c r="DS190" s="117"/>
      <c r="DT190" s="117"/>
      <c r="DU190" s="117"/>
      <c r="DV190" s="117"/>
      <c r="DW190" s="117"/>
      <c r="DX190" s="117"/>
      <c r="DY190" s="117"/>
      <c r="DZ190" s="117"/>
      <c r="EA190" s="117"/>
      <c r="EB190" s="117"/>
      <c r="EC190" s="117"/>
      <c r="ED190" s="117"/>
      <c r="EE190" s="117"/>
      <c r="EF190" s="117"/>
      <c r="EG190" s="117"/>
      <c r="EH190" s="117"/>
      <c r="EI190" s="117"/>
      <c r="EJ190" s="89"/>
      <c r="EK190" s="89"/>
      <c r="EL190" s="89"/>
      <c r="EM190" s="89"/>
      <c r="EN190" s="89"/>
      <c r="EO190" s="89"/>
      <c r="EP190" s="89"/>
      <c r="EQ190" s="89"/>
      <c r="ER190" s="89"/>
      <c r="ES190" s="89"/>
      <c r="ET190" s="89"/>
      <c r="EU190" s="89"/>
      <c r="EV190" s="89"/>
      <c r="EW190" s="89"/>
      <c r="EX190" s="89"/>
      <c r="EY190" s="89"/>
      <c r="EZ190" s="89"/>
      <c r="FA190" s="89"/>
      <c r="FB190" s="89"/>
      <c r="FC190" s="89"/>
      <c r="FD190" s="89"/>
      <c r="FE190" s="89"/>
      <c r="FF190" s="89"/>
      <c r="FG190" s="89"/>
      <c r="FH190" s="89"/>
      <c r="FI190" s="89"/>
      <c r="FJ190" s="89"/>
      <c r="FK190" s="89"/>
      <c r="FL190" s="89"/>
      <c r="FM190" s="89"/>
      <c r="FN190" s="89"/>
      <c r="FO190" s="89"/>
      <c r="FP190" s="89"/>
      <c r="FQ190" s="89"/>
      <c r="FR190" s="89"/>
      <c r="FS190" s="89"/>
    </row>
    <row r="191" spans="1:175" s="23" customFormat="1" ht="15.9" customHeight="1">
      <c r="A191" s="1808"/>
      <c r="B191" s="416"/>
      <c r="C191" s="1818"/>
      <c r="D191" s="21"/>
      <c r="E191" s="21"/>
      <c r="F191" s="21"/>
      <c r="G191" s="21"/>
      <c r="H191" s="21"/>
      <c r="I191" s="1818"/>
      <c r="J191" s="21"/>
      <c r="K191" s="21"/>
      <c r="L191" s="21"/>
      <c r="M191" s="21"/>
      <c r="N191" s="21"/>
      <c r="O191" s="196"/>
      <c r="P191" s="921"/>
      <c r="Q191" s="22">
        <v>1</v>
      </c>
      <c r="R191" s="129"/>
      <c r="S191" s="129"/>
      <c r="T191" s="129"/>
      <c r="U191" s="129"/>
      <c r="V191" s="129"/>
      <c r="W191" s="129"/>
      <c r="X191" s="129"/>
      <c r="Y191" s="129"/>
      <c r="Z191" s="129"/>
      <c r="AA191" s="129"/>
      <c r="AB191" s="129"/>
      <c r="AC191" s="129"/>
      <c r="AD191" s="129"/>
      <c r="AE191" s="129"/>
      <c r="AF191" s="129"/>
      <c r="AG191" s="129"/>
      <c r="AH191" s="129"/>
      <c r="AI191" s="129"/>
      <c r="AJ191" s="129"/>
      <c r="AK191" s="129"/>
      <c r="AL191" s="129"/>
      <c r="AM191" s="129"/>
      <c r="AN191" s="129"/>
      <c r="AO191" s="129"/>
      <c r="AP191" s="129"/>
      <c r="AQ191" s="129"/>
      <c r="AR191" s="129"/>
      <c r="AS191" s="129"/>
      <c r="AT191" s="129"/>
      <c r="AU191" s="129"/>
      <c r="AV191" s="129"/>
      <c r="AW191" s="89"/>
      <c r="AX191" s="89"/>
      <c r="AY191" s="89"/>
      <c r="AZ191" s="89"/>
      <c r="BA191" s="89"/>
      <c r="BB191" s="89"/>
      <c r="BC191" s="89"/>
      <c r="BD191" s="89"/>
      <c r="BE191" s="89"/>
      <c r="BF191" s="89"/>
      <c r="BG191" s="89"/>
      <c r="BH191" s="89"/>
      <c r="BI191" s="89"/>
      <c r="BJ191" s="89"/>
      <c r="BK191" s="89"/>
      <c r="BL191" s="89"/>
      <c r="BM191" s="89"/>
      <c r="BN191" s="89"/>
      <c r="BO191" s="89"/>
      <c r="BP191" s="89"/>
      <c r="BQ191" s="89"/>
      <c r="BR191" s="89"/>
      <c r="BS191" s="89"/>
      <c r="BT191" s="89"/>
      <c r="BU191" s="89"/>
      <c r="BV191" s="89"/>
      <c r="BW191" s="89"/>
      <c r="BX191" s="89"/>
      <c r="BY191" s="89"/>
      <c r="BZ191" s="89"/>
      <c r="CA191" s="89"/>
      <c r="CB191" s="89"/>
      <c r="CC191" s="89"/>
      <c r="CD191" s="89"/>
      <c r="CE191" s="89"/>
      <c r="CF191" s="89"/>
      <c r="CG191" s="89"/>
      <c r="CH191" s="89"/>
      <c r="CI191" s="89"/>
      <c r="CJ191" s="89"/>
      <c r="CK191" s="89"/>
      <c r="CL191" s="89"/>
      <c r="CM191" s="89"/>
      <c r="CN191" s="89"/>
      <c r="CO191" s="89"/>
      <c r="CP191" s="89"/>
      <c r="CQ191" s="89"/>
      <c r="CR191" s="89"/>
      <c r="CS191" s="89"/>
      <c r="CT191" s="89"/>
      <c r="CU191" s="89"/>
      <c r="CV191" s="89"/>
      <c r="CW191" s="89"/>
      <c r="CX191" s="89"/>
      <c r="CY191" s="89"/>
      <c r="CZ191" s="89"/>
      <c r="DA191" s="89"/>
      <c r="DB191" s="89"/>
      <c r="DC191" s="89"/>
      <c r="DD191" s="89"/>
      <c r="DE191" s="89"/>
      <c r="DF191" s="89"/>
      <c r="DG191" s="89"/>
      <c r="DH191" s="89"/>
      <c r="DI191" s="89"/>
      <c r="DJ191" s="117"/>
      <c r="DK191" s="117"/>
      <c r="DL191" s="117"/>
      <c r="DM191" s="117"/>
      <c r="DN191" s="117"/>
      <c r="DO191" s="117"/>
      <c r="DP191" s="117"/>
      <c r="DQ191" s="117"/>
      <c r="DR191" s="117"/>
      <c r="DS191" s="117"/>
      <c r="DT191" s="117"/>
      <c r="DU191" s="117"/>
      <c r="DV191" s="117"/>
      <c r="DW191" s="117"/>
      <c r="DX191" s="117"/>
      <c r="DY191" s="117"/>
      <c r="DZ191" s="117"/>
      <c r="EA191" s="117"/>
      <c r="EB191" s="117"/>
      <c r="EC191" s="117"/>
      <c r="ED191" s="117"/>
      <c r="EE191" s="117"/>
      <c r="EF191" s="117"/>
      <c r="EG191" s="117"/>
      <c r="EH191" s="117"/>
      <c r="EI191" s="117"/>
      <c r="EJ191" s="89"/>
      <c r="EK191" s="89"/>
      <c r="EL191" s="89"/>
      <c r="EM191" s="89"/>
      <c r="EN191" s="89"/>
      <c r="EO191" s="89"/>
      <c r="EP191" s="89"/>
      <c r="EQ191" s="89"/>
      <c r="ER191" s="89"/>
      <c r="ES191" s="89"/>
      <c r="ET191" s="89"/>
      <c r="EU191" s="89"/>
      <c r="EV191" s="89"/>
      <c r="EW191" s="89"/>
      <c r="EX191" s="89"/>
      <c r="EY191" s="89"/>
      <c r="EZ191" s="89"/>
      <c r="FA191" s="89"/>
      <c r="FB191" s="89"/>
      <c r="FC191" s="89"/>
      <c r="FD191" s="89"/>
      <c r="FE191" s="89"/>
      <c r="FF191" s="89"/>
      <c r="FG191" s="89"/>
      <c r="FH191" s="89"/>
      <c r="FI191" s="89"/>
      <c r="FJ191" s="89"/>
      <c r="FK191" s="89"/>
      <c r="FL191" s="89"/>
      <c r="FM191" s="89"/>
      <c r="FN191" s="89"/>
      <c r="FO191" s="89"/>
      <c r="FP191" s="89"/>
      <c r="FQ191" s="89"/>
      <c r="FR191" s="89"/>
      <c r="FS191" s="89"/>
    </row>
    <row r="192" spans="1:175" s="23" customFormat="1" ht="15.9" customHeight="1">
      <c r="A192" s="1808"/>
      <c r="B192" s="416"/>
      <c r="C192" s="1818"/>
      <c r="D192" s="21"/>
      <c r="E192" s="21"/>
      <c r="F192" s="21"/>
      <c r="G192" s="21"/>
      <c r="H192" s="21"/>
      <c r="I192" s="1818"/>
      <c r="J192" s="21"/>
      <c r="K192" s="21"/>
      <c r="L192" s="21"/>
      <c r="M192" s="21"/>
      <c r="N192" s="21"/>
      <c r="O192" s="196"/>
      <c r="P192" s="921"/>
      <c r="Q192" s="22">
        <v>1</v>
      </c>
      <c r="R192" s="129"/>
      <c r="S192" s="129"/>
      <c r="T192" s="129"/>
      <c r="U192" s="129"/>
      <c r="V192" s="129"/>
      <c r="W192" s="129"/>
      <c r="X192" s="129"/>
      <c r="Y192" s="129"/>
      <c r="Z192" s="129"/>
      <c r="AA192" s="129"/>
      <c r="AB192" s="129"/>
      <c r="AC192" s="129"/>
      <c r="AD192" s="129"/>
      <c r="AE192" s="129"/>
      <c r="AF192" s="129"/>
      <c r="AG192" s="129"/>
      <c r="AH192" s="129"/>
      <c r="AI192" s="129"/>
      <c r="AJ192" s="129"/>
      <c r="AK192" s="129"/>
      <c r="AL192" s="129"/>
      <c r="AM192" s="129"/>
      <c r="AN192" s="129"/>
      <c r="AO192" s="129"/>
      <c r="AP192" s="129"/>
      <c r="AQ192" s="129"/>
      <c r="AR192" s="129"/>
      <c r="AS192" s="129"/>
      <c r="AT192" s="129"/>
      <c r="AU192" s="129"/>
      <c r="AV192" s="129"/>
      <c r="AW192" s="89"/>
      <c r="AX192" s="89"/>
      <c r="AY192" s="89"/>
      <c r="AZ192" s="89"/>
      <c r="BA192" s="89"/>
      <c r="BB192" s="89"/>
      <c r="BC192" s="89"/>
      <c r="BD192" s="89"/>
      <c r="BE192" s="89"/>
      <c r="BF192" s="89"/>
      <c r="BG192" s="89"/>
      <c r="BH192" s="89"/>
      <c r="BI192" s="89"/>
      <c r="BJ192" s="89"/>
      <c r="BK192" s="89"/>
      <c r="BL192" s="89"/>
      <c r="BM192" s="89"/>
      <c r="BN192" s="89"/>
      <c r="BO192" s="89"/>
      <c r="BP192" s="89"/>
      <c r="BQ192" s="89"/>
      <c r="BR192" s="89"/>
      <c r="BS192" s="89"/>
      <c r="BT192" s="89"/>
      <c r="BU192" s="89"/>
      <c r="BV192" s="89"/>
      <c r="BW192" s="89"/>
      <c r="BX192" s="89"/>
      <c r="BY192" s="89"/>
      <c r="BZ192" s="89"/>
      <c r="CA192" s="89"/>
      <c r="CB192" s="89"/>
      <c r="CC192" s="89"/>
      <c r="CD192" s="89"/>
      <c r="CE192" s="89"/>
      <c r="CF192" s="89"/>
      <c r="CG192" s="89"/>
      <c r="CH192" s="89"/>
      <c r="CI192" s="89"/>
      <c r="CJ192" s="89"/>
      <c r="CK192" s="89"/>
      <c r="CL192" s="89"/>
      <c r="CM192" s="89"/>
      <c r="CN192" s="89"/>
      <c r="CO192" s="89"/>
      <c r="CP192" s="89"/>
      <c r="CQ192" s="89"/>
      <c r="CR192" s="89"/>
      <c r="CS192" s="89"/>
      <c r="CT192" s="89"/>
      <c r="CU192" s="89"/>
      <c r="CV192" s="89"/>
      <c r="CW192" s="89"/>
      <c r="CX192" s="89"/>
      <c r="CY192" s="89"/>
      <c r="CZ192" s="89"/>
      <c r="DA192" s="89"/>
      <c r="DB192" s="89"/>
      <c r="DC192" s="89"/>
      <c r="DD192" s="89"/>
      <c r="DE192" s="89"/>
      <c r="DF192" s="89"/>
      <c r="DG192" s="89"/>
      <c r="DH192" s="89"/>
      <c r="DI192" s="89"/>
      <c r="DJ192" s="117"/>
      <c r="DK192" s="117"/>
      <c r="DL192" s="117"/>
      <c r="DM192" s="117"/>
      <c r="DN192" s="117"/>
      <c r="DO192" s="117"/>
      <c r="DP192" s="117"/>
      <c r="DQ192" s="117"/>
      <c r="DR192" s="117"/>
      <c r="DS192" s="117"/>
      <c r="DT192" s="117"/>
      <c r="DU192" s="117"/>
      <c r="DV192" s="117"/>
      <c r="DW192" s="117"/>
      <c r="DX192" s="117"/>
      <c r="DY192" s="117"/>
      <c r="DZ192" s="117"/>
      <c r="EA192" s="117"/>
      <c r="EB192" s="117"/>
      <c r="EC192" s="117"/>
      <c r="ED192" s="117"/>
      <c r="EE192" s="117"/>
      <c r="EF192" s="117"/>
      <c r="EG192" s="117"/>
      <c r="EH192" s="117"/>
      <c r="EI192" s="117"/>
      <c r="EJ192" s="89"/>
      <c r="EK192" s="89"/>
      <c r="EL192" s="89"/>
      <c r="EM192" s="89"/>
      <c r="EN192" s="89"/>
      <c r="EO192" s="89"/>
      <c r="EP192" s="89"/>
      <c r="EQ192" s="89"/>
      <c r="ER192" s="89"/>
      <c r="ES192" s="89"/>
      <c r="ET192" s="89"/>
      <c r="EU192" s="89"/>
      <c r="EV192" s="89"/>
      <c r="EW192" s="89"/>
      <c r="EX192" s="89"/>
      <c r="EY192" s="89"/>
      <c r="EZ192" s="89"/>
      <c r="FA192" s="89"/>
      <c r="FB192" s="89"/>
      <c r="FC192" s="89"/>
      <c r="FD192" s="89"/>
      <c r="FE192" s="89"/>
      <c r="FF192" s="89"/>
      <c r="FG192" s="89"/>
      <c r="FH192" s="89"/>
      <c r="FI192" s="89"/>
      <c r="FJ192" s="89"/>
      <c r="FK192" s="89"/>
      <c r="FL192" s="89"/>
      <c r="FM192" s="89"/>
      <c r="FN192" s="89"/>
      <c r="FO192" s="89"/>
      <c r="FP192" s="89"/>
      <c r="FQ192" s="89"/>
      <c r="FR192" s="89"/>
      <c r="FS192" s="89"/>
    </row>
    <row r="193" spans="1:253" s="23" customFormat="1" ht="15.9" customHeight="1">
      <c r="A193" s="1808"/>
      <c r="B193" s="416"/>
      <c r="C193" s="1818"/>
      <c r="D193" s="21"/>
      <c r="E193" s="21"/>
      <c r="F193" s="21"/>
      <c r="G193" s="21"/>
      <c r="H193" s="21"/>
      <c r="I193" s="1818"/>
      <c r="J193" s="21"/>
      <c r="K193" s="21"/>
      <c r="L193" s="21"/>
      <c r="M193" s="21"/>
      <c r="N193" s="21"/>
      <c r="O193" s="196"/>
      <c r="P193" s="921"/>
      <c r="Q193" s="493">
        <v>1</v>
      </c>
      <c r="R193" s="13"/>
      <c r="S193" s="13"/>
      <c r="T193" s="129"/>
      <c r="U193" s="129"/>
      <c r="V193" s="129"/>
      <c r="W193" s="129"/>
      <c r="X193" s="129"/>
      <c r="Y193" s="129"/>
      <c r="Z193" s="129"/>
      <c r="AA193" s="129"/>
      <c r="AB193" s="129"/>
      <c r="AC193" s="129"/>
      <c r="AD193" s="129"/>
      <c r="AE193" s="129"/>
      <c r="AF193" s="13"/>
      <c r="AG193" s="13"/>
      <c r="AH193" s="13"/>
      <c r="AI193" s="13"/>
      <c r="AJ193" s="13"/>
      <c r="AK193" s="13"/>
      <c r="AL193" s="13"/>
      <c r="AM193" s="13"/>
      <c r="AN193" s="13"/>
      <c r="AO193" s="13"/>
      <c r="AP193" s="13"/>
      <c r="AQ193" s="13"/>
      <c r="AR193" s="13"/>
      <c r="AS193" s="13"/>
      <c r="AT193" s="13"/>
      <c r="AU193" s="13"/>
      <c r="AV193" s="13"/>
      <c r="AW193" s="88"/>
      <c r="AX193" s="88"/>
      <c r="AY193" s="88"/>
      <c r="AZ193" s="88"/>
      <c r="BA193" s="88"/>
      <c r="BB193" s="88"/>
      <c r="BC193" s="88"/>
      <c r="BD193" s="88"/>
      <c r="BE193" s="88"/>
      <c r="BF193" s="88"/>
      <c r="BG193" s="88"/>
      <c r="BH193" s="88"/>
      <c r="BI193" s="88"/>
      <c r="BJ193" s="88"/>
      <c r="BK193" s="88"/>
      <c r="BL193" s="88"/>
      <c r="BM193" s="88"/>
      <c r="BN193" s="88"/>
      <c r="BO193" s="88"/>
      <c r="BP193" s="88"/>
      <c r="BQ193" s="88"/>
      <c r="BR193" s="88"/>
      <c r="BS193" s="88"/>
      <c r="BT193" s="88"/>
      <c r="BU193" s="88"/>
      <c r="BV193" s="88"/>
      <c r="BW193" s="88"/>
      <c r="BX193" s="88"/>
      <c r="BY193" s="88"/>
      <c r="BZ193" s="88"/>
      <c r="CA193" s="88"/>
      <c r="CB193" s="88"/>
      <c r="CC193" s="88"/>
      <c r="CD193" s="88"/>
      <c r="CE193" s="88"/>
      <c r="CF193" s="88"/>
      <c r="CG193" s="88"/>
      <c r="CH193" s="88"/>
      <c r="CI193" s="88"/>
      <c r="CJ193" s="88"/>
      <c r="CK193" s="88"/>
      <c r="CL193" s="88"/>
      <c r="CM193" s="88"/>
      <c r="CN193" s="88"/>
      <c r="CO193" s="88"/>
      <c r="CP193" s="88"/>
      <c r="CQ193" s="88"/>
      <c r="CR193" s="88"/>
      <c r="CS193" s="88"/>
      <c r="CT193" s="88"/>
      <c r="CU193" s="88"/>
      <c r="CV193" s="88"/>
      <c r="CW193" s="88"/>
      <c r="CX193" s="88"/>
      <c r="CY193" s="88"/>
      <c r="CZ193" s="88"/>
      <c r="DA193" s="88"/>
      <c r="DB193" s="88"/>
      <c r="DC193" s="88"/>
      <c r="DD193" s="88"/>
      <c r="DE193" s="88"/>
      <c r="DF193" s="88"/>
      <c r="DG193" s="88"/>
      <c r="DH193" s="88"/>
      <c r="DI193" s="88"/>
      <c r="DJ193" s="103"/>
      <c r="DK193" s="103"/>
      <c r="DL193" s="103"/>
      <c r="DM193" s="103"/>
      <c r="DN193" s="103"/>
      <c r="DO193" s="103"/>
      <c r="DP193" s="103"/>
      <c r="DQ193" s="103"/>
      <c r="DR193" s="103"/>
      <c r="DS193" s="103"/>
      <c r="DT193" s="103"/>
      <c r="DU193" s="103"/>
      <c r="DV193" s="103"/>
      <c r="DW193" s="103"/>
      <c r="DX193" s="103"/>
      <c r="DY193" s="103"/>
      <c r="DZ193" s="103"/>
      <c r="EA193" s="103"/>
      <c r="EB193" s="103"/>
      <c r="EC193" s="103"/>
      <c r="ED193" s="103"/>
      <c r="EE193" s="103"/>
      <c r="EF193" s="103"/>
      <c r="EG193" s="103"/>
      <c r="EH193" s="103"/>
      <c r="EI193" s="103"/>
      <c r="EJ193" s="88"/>
      <c r="EK193" s="88"/>
      <c r="EL193" s="88"/>
      <c r="EM193" s="88"/>
      <c r="EN193" s="88"/>
      <c r="EO193" s="88"/>
      <c r="EP193" s="88"/>
      <c r="EQ193" s="88"/>
      <c r="ER193" s="88"/>
      <c r="ES193" s="88"/>
      <c r="ET193" s="88"/>
      <c r="EU193" s="88"/>
      <c r="EV193" s="88"/>
      <c r="EW193" s="88"/>
      <c r="EX193" s="88"/>
      <c r="EY193" s="88"/>
      <c r="EZ193" s="88"/>
      <c r="FA193" s="88"/>
      <c r="FB193" s="88"/>
      <c r="FC193" s="88"/>
      <c r="FD193" s="88"/>
      <c r="FE193" s="88"/>
      <c r="FF193" s="88"/>
      <c r="FG193" s="88"/>
      <c r="FH193" s="88"/>
      <c r="FI193" s="88"/>
      <c r="FJ193" s="88"/>
      <c r="FK193" s="88"/>
      <c r="FL193" s="88"/>
      <c r="FM193" s="88"/>
      <c r="FN193" s="88"/>
      <c r="FO193" s="88"/>
      <c r="FP193" s="88"/>
      <c r="FQ193" s="88"/>
      <c r="FR193" s="88"/>
      <c r="FS193" s="88"/>
      <c r="FT193" s="21"/>
      <c r="FU193" s="21"/>
      <c r="FV193" s="21"/>
      <c r="FW193" s="21"/>
      <c r="FX193" s="21"/>
      <c r="FY193" s="21"/>
      <c r="FZ193" s="21"/>
      <c r="GA193" s="21"/>
      <c r="GB193" s="21"/>
      <c r="GC193" s="21"/>
      <c r="GD193" s="21"/>
      <c r="GE193" s="21"/>
      <c r="GF193" s="21"/>
      <c r="GG193" s="21"/>
      <c r="GH193" s="21"/>
      <c r="GI193" s="21"/>
      <c r="GJ193" s="21"/>
      <c r="GK193" s="21"/>
      <c r="GL193" s="21"/>
      <c r="GM193" s="21"/>
      <c r="GN193" s="21"/>
      <c r="GO193" s="21"/>
      <c r="GP193" s="21"/>
      <c r="GQ193" s="21"/>
      <c r="GR193" s="21"/>
      <c r="GS193" s="21"/>
      <c r="GT193" s="21"/>
      <c r="GU193" s="21"/>
      <c r="GV193" s="21"/>
      <c r="GW193" s="21"/>
      <c r="GX193" s="21"/>
      <c r="GY193" s="21"/>
      <c r="GZ193" s="21"/>
      <c r="HA193" s="21"/>
      <c r="HB193" s="21"/>
      <c r="HC193" s="21"/>
      <c r="HD193" s="21"/>
      <c r="HE193" s="21"/>
      <c r="HF193" s="21"/>
      <c r="HG193" s="21"/>
      <c r="HH193" s="21"/>
      <c r="HI193" s="21"/>
      <c r="HJ193" s="21"/>
      <c r="HK193" s="21"/>
      <c r="HL193" s="21"/>
      <c r="HM193" s="21"/>
      <c r="HN193" s="21"/>
      <c r="HO193" s="21"/>
      <c r="HP193" s="21"/>
      <c r="HQ193" s="21"/>
      <c r="HR193" s="21"/>
      <c r="HS193" s="21"/>
      <c r="HT193" s="21"/>
      <c r="HU193" s="21"/>
      <c r="HV193" s="21"/>
      <c r="HW193" s="21"/>
      <c r="HX193" s="21"/>
      <c r="HY193" s="21"/>
      <c r="HZ193" s="21"/>
      <c r="IA193" s="21"/>
      <c r="IB193" s="21"/>
      <c r="IC193" s="21"/>
      <c r="ID193" s="21"/>
      <c r="IE193" s="21"/>
      <c r="IF193" s="21"/>
      <c r="IG193" s="21"/>
      <c r="IH193" s="21"/>
      <c r="II193" s="21"/>
      <c r="IJ193" s="21"/>
      <c r="IK193" s="21"/>
      <c r="IL193" s="21"/>
      <c r="IM193" s="21"/>
      <c r="IN193" s="21"/>
      <c r="IO193" s="21"/>
      <c r="IP193" s="21"/>
      <c r="IQ193" s="21"/>
      <c r="IR193" s="21"/>
      <c r="IS193" s="21"/>
    </row>
    <row r="194" spans="1:253" s="23" customFormat="1" ht="15.9" customHeight="1">
      <c r="A194" s="1808"/>
      <c r="B194" s="416"/>
      <c r="C194" s="1818"/>
      <c r="D194" s="21"/>
      <c r="E194" s="21"/>
      <c r="F194" s="21"/>
      <c r="G194" s="21"/>
      <c r="H194" s="21"/>
      <c r="I194" s="1818"/>
      <c r="J194" s="21"/>
      <c r="K194" s="21"/>
      <c r="L194" s="21"/>
      <c r="M194" s="21"/>
      <c r="N194" s="21"/>
      <c r="O194" s="196"/>
      <c r="P194" s="921"/>
      <c r="Q194" s="493">
        <v>1</v>
      </c>
      <c r="R194" s="13"/>
      <c r="S194" s="13"/>
      <c r="T194" s="13"/>
      <c r="U194" s="13"/>
      <c r="V194" s="125"/>
      <c r="W194" s="125"/>
      <c r="X194" s="150"/>
      <c r="Y194" s="125"/>
      <c r="Z194" s="125"/>
      <c r="AA194" s="125"/>
      <c r="AB194" s="125"/>
      <c r="AC194" s="125"/>
      <c r="AD194" s="125"/>
      <c r="AE194" s="125"/>
      <c r="AF194" s="13"/>
      <c r="AG194" s="13"/>
      <c r="AH194" s="13"/>
      <c r="AI194" s="13"/>
      <c r="AJ194" s="13"/>
      <c r="AK194" s="13"/>
      <c r="AL194" s="13"/>
      <c r="AM194" s="13"/>
      <c r="AN194" s="13"/>
      <c r="AO194" s="13"/>
      <c r="AP194" s="13"/>
      <c r="AQ194" s="13"/>
      <c r="AR194" s="13"/>
      <c r="AS194" s="13"/>
      <c r="AT194" s="13"/>
      <c r="AU194" s="13"/>
      <c r="AV194" s="13"/>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c r="BS194" s="88"/>
      <c r="BT194" s="88"/>
      <c r="BU194" s="88"/>
      <c r="BV194" s="88"/>
      <c r="BW194" s="88"/>
      <c r="BX194" s="88"/>
      <c r="BY194" s="88"/>
      <c r="BZ194" s="88"/>
      <c r="CA194" s="88"/>
      <c r="CB194" s="88"/>
      <c r="CC194" s="88"/>
      <c r="CD194" s="88"/>
      <c r="CE194" s="88"/>
      <c r="CF194" s="88"/>
      <c r="CG194" s="88"/>
      <c r="CH194" s="88"/>
      <c r="CI194" s="88"/>
      <c r="CJ194" s="88"/>
      <c r="CK194" s="88"/>
      <c r="CL194" s="88"/>
      <c r="CM194" s="88"/>
      <c r="CN194" s="88"/>
      <c r="CO194" s="88"/>
      <c r="CP194" s="88"/>
      <c r="CQ194" s="88"/>
      <c r="CR194" s="88"/>
      <c r="CS194" s="88"/>
      <c r="CT194" s="88"/>
      <c r="CU194" s="88"/>
      <c r="CV194" s="88"/>
      <c r="CW194" s="88"/>
      <c r="CX194" s="88"/>
      <c r="CY194" s="88"/>
      <c r="CZ194" s="88"/>
      <c r="DA194" s="88"/>
      <c r="DB194" s="88"/>
      <c r="DC194" s="88"/>
      <c r="DD194" s="88"/>
      <c r="DE194" s="88"/>
      <c r="DF194" s="88"/>
      <c r="DG194" s="88"/>
      <c r="DH194" s="88"/>
      <c r="DI194" s="88"/>
      <c r="DJ194" s="103"/>
      <c r="DK194" s="103"/>
      <c r="DL194" s="103"/>
      <c r="DM194" s="103"/>
      <c r="DN194" s="103"/>
      <c r="DO194" s="103"/>
      <c r="DP194" s="103"/>
      <c r="DQ194" s="103"/>
      <c r="DR194" s="103"/>
      <c r="DS194" s="103"/>
      <c r="DT194" s="103"/>
      <c r="DU194" s="103"/>
      <c r="DV194" s="103"/>
      <c r="DW194" s="103"/>
      <c r="DX194" s="103"/>
      <c r="DY194" s="103"/>
      <c r="DZ194" s="103"/>
      <c r="EA194" s="103"/>
      <c r="EB194" s="103"/>
      <c r="EC194" s="103"/>
      <c r="ED194" s="103"/>
      <c r="EE194" s="103"/>
      <c r="EF194" s="103"/>
      <c r="EG194" s="103"/>
      <c r="EH194" s="103"/>
      <c r="EI194" s="103"/>
      <c r="EJ194" s="88"/>
      <c r="EK194" s="88"/>
      <c r="EL194" s="88"/>
      <c r="EM194" s="88"/>
      <c r="EN194" s="88"/>
      <c r="EO194" s="88"/>
      <c r="EP194" s="88"/>
      <c r="EQ194" s="88"/>
      <c r="ER194" s="88"/>
      <c r="ES194" s="88"/>
      <c r="ET194" s="88"/>
      <c r="EU194" s="88"/>
      <c r="EV194" s="88"/>
      <c r="EW194" s="88"/>
      <c r="EX194" s="88"/>
      <c r="EY194" s="88"/>
      <c r="EZ194" s="88"/>
      <c r="FA194" s="88"/>
      <c r="FB194" s="88"/>
      <c r="FC194" s="88"/>
      <c r="FD194" s="88"/>
      <c r="FE194" s="88"/>
      <c r="FF194" s="88"/>
      <c r="FG194" s="88"/>
      <c r="FH194" s="88"/>
      <c r="FI194" s="88"/>
      <c r="FJ194" s="88"/>
      <c r="FK194" s="88"/>
      <c r="FL194" s="88"/>
      <c r="FM194" s="88"/>
      <c r="FN194" s="88"/>
      <c r="FO194" s="88"/>
      <c r="FP194" s="88"/>
      <c r="FQ194" s="88"/>
      <c r="FR194" s="88"/>
      <c r="FS194" s="88"/>
      <c r="FT194" s="21"/>
      <c r="FU194" s="21"/>
      <c r="FV194" s="21"/>
      <c r="FW194" s="21"/>
      <c r="FX194" s="21"/>
      <c r="FY194" s="21"/>
      <c r="FZ194" s="21"/>
      <c r="GA194" s="21"/>
      <c r="GB194" s="21"/>
      <c r="GC194" s="21"/>
      <c r="GD194" s="21"/>
      <c r="GE194" s="21"/>
      <c r="GF194" s="21"/>
      <c r="GG194" s="21"/>
      <c r="GH194" s="21"/>
      <c r="GI194" s="21"/>
      <c r="GJ194" s="21"/>
      <c r="GK194" s="21"/>
      <c r="GL194" s="21"/>
      <c r="GM194" s="21"/>
      <c r="GN194" s="21"/>
      <c r="GO194" s="21"/>
      <c r="GP194" s="21"/>
      <c r="GQ194" s="21"/>
      <c r="GR194" s="21"/>
      <c r="GS194" s="21"/>
      <c r="GT194" s="21"/>
      <c r="GU194" s="21"/>
      <c r="GV194" s="21"/>
      <c r="GW194" s="21"/>
      <c r="GX194" s="21"/>
      <c r="GY194" s="21"/>
      <c r="GZ194" s="21"/>
      <c r="HA194" s="21"/>
      <c r="HB194" s="21"/>
      <c r="HC194" s="21"/>
      <c r="HD194" s="21"/>
      <c r="HE194" s="21"/>
      <c r="HF194" s="21"/>
      <c r="HG194" s="21"/>
      <c r="HH194" s="21"/>
      <c r="HI194" s="21"/>
      <c r="HJ194" s="21"/>
      <c r="HK194" s="21"/>
      <c r="HL194" s="21"/>
      <c r="HM194" s="21"/>
      <c r="HN194" s="21"/>
      <c r="HO194" s="21"/>
      <c r="HP194" s="21"/>
      <c r="HQ194" s="21"/>
      <c r="HR194" s="21"/>
      <c r="HS194" s="21"/>
      <c r="HT194" s="21"/>
      <c r="HU194" s="21"/>
      <c r="HV194" s="21"/>
      <c r="HW194" s="21"/>
      <c r="HX194" s="21"/>
      <c r="HY194" s="21"/>
      <c r="HZ194" s="21"/>
      <c r="IA194" s="21"/>
      <c r="IB194" s="21"/>
      <c r="IC194" s="21"/>
      <c r="ID194" s="21"/>
      <c r="IE194" s="21"/>
      <c r="IF194" s="21"/>
      <c r="IG194" s="21"/>
      <c r="IH194" s="21"/>
      <c r="II194" s="21"/>
      <c r="IJ194" s="21"/>
      <c r="IK194" s="21"/>
      <c r="IL194" s="21"/>
      <c r="IM194" s="21"/>
      <c r="IN194" s="21"/>
      <c r="IO194" s="21"/>
      <c r="IP194" s="21"/>
      <c r="IQ194" s="21"/>
      <c r="IR194" s="21"/>
      <c r="IS194" s="21"/>
    </row>
    <row r="195" spans="1:253" s="23" customFormat="1" ht="15.9" customHeight="1">
      <c r="A195" s="1808"/>
      <c r="B195" s="416"/>
      <c r="C195" s="21"/>
      <c r="D195" s="21"/>
      <c r="E195" s="21"/>
      <c r="F195" s="21"/>
      <c r="G195" s="21"/>
      <c r="H195" s="21"/>
      <c r="I195" s="21"/>
      <c r="J195" s="21"/>
      <c r="K195" s="21"/>
      <c r="L195" s="21"/>
      <c r="M195" s="21"/>
      <c r="N195" s="21"/>
      <c r="O195" s="196"/>
      <c r="P195" s="992"/>
      <c r="Q195" s="493">
        <v>1</v>
      </c>
      <c r="R195" s="13"/>
      <c r="S195" s="13"/>
      <c r="T195" s="13"/>
      <c r="U195" s="13"/>
      <c r="V195" s="125"/>
      <c r="W195" s="125"/>
      <c r="X195" s="150"/>
      <c r="Y195" s="125"/>
      <c r="Z195" s="125"/>
      <c r="AA195" s="125"/>
      <c r="AB195" s="125"/>
      <c r="AC195" s="125"/>
      <c r="AD195" s="125"/>
      <c r="AE195" s="125"/>
      <c r="AF195" s="13"/>
      <c r="AG195" s="13"/>
      <c r="AH195" s="13"/>
      <c r="AI195" s="13"/>
      <c r="AJ195" s="13"/>
      <c r="AK195" s="13"/>
      <c r="AL195" s="13"/>
      <c r="AM195" s="13"/>
      <c r="AN195" s="13"/>
      <c r="AO195" s="13"/>
      <c r="AP195" s="13"/>
      <c r="AQ195" s="13"/>
      <c r="AR195" s="13"/>
      <c r="AS195" s="13"/>
      <c r="AT195" s="13"/>
      <c r="AU195" s="13"/>
      <c r="AV195" s="13"/>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c r="BS195" s="88"/>
      <c r="BT195" s="88"/>
      <c r="BU195" s="88"/>
      <c r="BV195" s="88"/>
      <c r="BW195" s="88"/>
      <c r="BX195" s="88"/>
      <c r="BY195" s="88"/>
      <c r="BZ195" s="88"/>
      <c r="CA195" s="88"/>
      <c r="CB195" s="88"/>
      <c r="CC195" s="88"/>
      <c r="CD195" s="88"/>
      <c r="CE195" s="88"/>
      <c r="CF195" s="88"/>
      <c r="CG195" s="88"/>
      <c r="CH195" s="88"/>
      <c r="CI195" s="88"/>
      <c r="CJ195" s="88"/>
      <c r="CK195" s="88"/>
      <c r="CL195" s="88"/>
      <c r="CM195" s="88"/>
      <c r="CN195" s="88"/>
      <c r="CO195" s="88"/>
      <c r="CP195" s="88"/>
      <c r="CQ195" s="88"/>
      <c r="CR195" s="88"/>
      <c r="CS195" s="88"/>
      <c r="CT195" s="88"/>
      <c r="CU195" s="88"/>
      <c r="CV195" s="88"/>
      <c r="CW195" s="88"/>
      <c r="CX195" s="88"/>
      <c r="CY195" s="88"/>
      <c r="CZ195" s="88"/>
      <c r="DA195" s="88"/>
      <c r="DB195" s="88"/>
      <c r="DC195" s="88"/>
      <c r="DD195" s="88"/>
      <c r="DE195" s="88"/>
      <c r="DF195" s="88"/>
      <c r="DG195" s="88"/>
      <c r="DH195" s="88"/>
      <c r="DI195" s="88"/>
      <c r="DJ195" s="103"/>
      <c r="DK195" s="103"/>
      <c r="DL195" s="103"/>
      <c r="DM195" s="103"/>
      <c r="DN195" s="103"/>
      <c r="DO195" s="103"/>
      <c r="DP195" s="103"/>
      <c r="DQ195" s="103"/>
      <c r="DR195" s="103"/>
      <c r="DS195" s="103"/>
      <c r="DT195" s="103"/>
      <c r="DU195" s="103"/>
      <c r="DV195" s="103"/>
      <c r="DW195" s="103"/>
      <c r="DX195" s="103"/>
      <c r="DY195" s="103"/>
      <c r="DZ195" s="103"/>
      <c r="EA195" s="103"/>
      <c r="EB195" s="103"/>
      <c r="EC195" s="103"/>
      <c r="ED195" s="103"/>
      <c r="EE195" s="103"/>
      <c r="EF195" s="103"/>
      <c r="EG195" s="103"/>
      <c r="EH195" s="103"/>
      <c r="EI195" s="103"/>
      <c r="EJ195" s="88"/>
      <c r="EK195" s="88"/>
      <c r="EL195" s="88"/>
      <c r="EM195" s="88"/>
      <c r="EN195" s="88"/>
      <c r="EO195" s="88"/>
      <c r="EP195" s="88"/>
      <c r="EQ195" s="88"/>
      <c r="ER195" s="88"/>
      <c r="ES195" s="88"/>
      <c r="ET195" s="88"/>
      <c r="EU195" s="88"/>
      <c r="EV195" s="88"/>
      <c r="EW195" s="88"/>
      <c r="EX195" s="88"/>
      <c r="EY195" s="88"/>
      <c r="EZ195" s="88"/>
      <c r="FA195" s="88"/>
      <c r="FB195" s="88"/>
      <c r="FC195" s="88"/>
      <c r="FD195" s="88"/>
      <c r="FE195" s="88"/>
      <c r="FF195" s="88"/>
      <c r="FG195" s="88"/>
      <c r="FH195" s="88"/>
      <c r="FI195" s="88"/>
      <c r="FJ195" s="88"/>
      <c r="FK195" s="88"/>
      <c r="FL195" s="88"/>
      <c r="FM195" s="88"/>
      <c r="FN195" s="88"/>
      <c r="FO195" s="88"/>
      <c r="FP195" s="88"/>
      <c r="FQ195" s="88"/>
      <c r="FR195" s="88"/>
      <c r="FS195" s="88"/>
      <c r="FT195" s="21"/>
      <c r="FU195" s="21"/>
      <c r="FV195" s="21"/>
      <c r="FW195" s="21"/>
      <c r="FX195" s="21"/>
      <c r="FY195" s="21"/>
      <c r="FZ195" s="21"/>
      <c r="GA195" s="21"/>
      <c r="GB195" s="21"/>
      <c r="GC195" s="21"/>
      <c r="GD195" s="21"/>
      <c r="GE195" s="21"/>
      <c r="GF195" s="21"/>
      <c r="GG195" s="21"/>
      <c r="GH195" s="21"/>
      <c r="GI195" s="21"/>
      <c r="GJ195" s="21"/>
      <c r="GK195" s="21"/>
      <c r="GL195" s="21"/>
      <c r="GM195" s="21"/>
      <c r="GN195" s="21"/>
      <c r="GO195" s="21"/>
      <c r="GP195" s="21"/>
      <c r="GQ195" s="21"/>
      <c r="GR195" s="21"/>
      <c r="GS195" s="21"/>
      <c r="GT195" s="21"/>
      <c r="GU195" s="21"/>
      <c r="GV195" s="21"/>
      <c r="GW195" s="21"/>
      <c r="GX195" s="21"/>
      <c r="GY195" s="21"/>
      <c r="GZ195" s="21"/>
      <c r="HA195" s="21"/>
      <c r="HB195" s="21"/>
      <c r="HC195" s="21"/>
      <c r="HD195" s="21"/>
      <c r="HE195" s="21"/>
      <c r="HF195" s="21"/>
      <c r="HG195" s="21"/>
      <c r="HH195" s="21"/>
      <c r="HI195" s="21"/>
      <c r="HJ195" s="21"/>
      <c r="HK195" s="21"/>
      <c r="HL195" s="21"/>
      <c r="HM195" s="21"/>
      <c r="HN195" s="21"/>
      <c r="HO195" s="21"/>
      <c r="HP195" s="21"/>
      <c r="HQ195" s="21"/>
      <c r="HR195" s="21"/>
      <c r="HS195" s="21"/>
      <c r="HT195" s="21"/>
      <c r="HU195" s="21"/>
      <c r="HV195" s="21"/>
      <c r="HW195" s="21"/>
      <c r="HX195" s="21"/>
      <c r="HY195" s="21"/>
      <c r="HZ195" s="21"/>
      <c r="IA195" s="21"/>
      <c r="IB195" s="21"/>
      <c r="IC195" s="21"/>
      <c r="ID195" s="21"/>
      <c r="IE195" s="21"/>
      <c r="IF195" s="21"/>
      <c r="IG195" s="21"/>
      <c r="IH195" s="21"/>
      <c r="II195" s="21"/>
      <c r="IJ195" s="21"/>
      <c r="IK195" s="21"/>
      <c r="IL195" s="21"/>
      <c r="IM195" s="21"/>
      <c r="IN195" s="21"/>
      <c r="IO195" s="21"/>
      <c r="IP195" s="21"/>
      <c r="IQ195" s="21"/>
      <c r="IR195" s="21"/>
      <c r="IS195" s="21"/>
    </row>
    <row r="196" spans="1:253" s="23" customFormat="1" ht="15.9" customHeight="1">
      <c r="A196" s="1809"/>
      <c r="B196" s="416"/>
      <c r="C196" s="21"/>
      <c r="D196" s="21"/>
      <c r="E196" s="21"/>
      <c r="F196" s="21"/>
      <c r="G196" s="21"/>
      <c r="H196" s="21"/>
      <c r="I196" s="21"/>
      <c r="J196" s="21"/>
      <c r="K196" s="21"/>
      <c r="L196" s="21"/>
      <c r="M196" s="21"/>
      <c r="N196" s="21"/>
      <c r="O196" s="196"/>
      <c r="P196" s="992"/>
      <c r="Q196" s="493">
        <v>1</v>
      </c>
      <c r="R196" s="13"/>
      <c r="S196" s="13"/>
      <c r="T196" s="13"/>
      <c r="U196" s="13"/>
      <c r="V196" s="125"/>
      <c r="W196" s="125"/>
      <c r="X196" s="150"/>
      <c r="Y196" s="125"/>
      <c r="Z196" s="125"/>
      <c r="AA196" s="125"/>
      <c r="AB196" s="125"/>
      <c r="AC196" s="125"/>
      <c r="AD196" s="125"/>
      <c r="AE196" s="125"/>
      <c r="AF196" s="13"/>
      <c r="AG196" s="13"/>
      <c r="AH196" s="13"/>
      <c r="AI196" s="13"/>
      <c r="AJ196" s="13"/>
      <c r="AK196" s="13"/>
      <c r="AL196" s="13"/>
      <c r="AM196" s="13"/>
      <c r="AN196" s="13"/>
      <c r="AO196" s="13"/>
      <c r="AP196" s="13"/>
      <c r="AQ196" s="13"/>
      <c r="AR196" s="13"/>
      <c r="AS196" s="13"/>
      <c r="AT196" s="13"/>
      <c r="AU196" s="13"/>
      <c r="AV196" s="13"/>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c r="BS196" s="88"/>
      <c r="BT196" s="88"/>
      <c r="BU196" s="88"/>
      <c r="BV196" s="88"/>
      <c r="BW196" s="88"/>
      <c r="BX196" s="88"/>
      <c r="BY196" s="88"/>
      <c r="BZ196" s="88"/>
      <c r="CA196" s="88"/>
      <c r="CB196" s="88"/>
      <c r="CC196" s="88"/>
      <c r="CD196" s="88"/>
      <c r="CE196" s="88"/>
      <c r="CF196" s="88"/>
      <c r="CG196" s="88"/>
      <c r="CH196" s="88"/>
      <c r="CI196" s="88"/>
      <c r="CJ196" s="88"/>
      <c r="CK196" s="88"/>
      <c r="CL196" s="88"/>
      <c r="CM196" s="88"/>
      <c r="CN196" s="88"/>
      <c r="CO196" s="88"/>
      <c r="CP196" s="88"/>
      <c r="CQ196" s="88"/>
      <c r="CR196" s="88"/>
      <c r="CS196" s="88"/>
      <c r="CT196" s="88"/>
      <c r="CU196" s="88"/>
      <c r="CV196" s="88"/>
      <c r="CW196" s="88"/>
      <c r="CX196" s="88"/>
      <c r="CY196" s="88"/>
      <c r="CZ196" s="88"/>
      <c r="DA196" s="88"/>
      <c r="DB196" s="88"/>
      <c r="DC196" s="88"/>
      <c r="DD196" s="88"/>
      <c r="DE196" s="88"/>
      <c r="DF196" s="88"/>
      <c r="DG196" s="88"/>
      <c r="DH196" s="88"/>
      <c r="DI196" s="88"/>
      <c r="DJ196" s="103"/>
      <c r="DK196" s="103"/>
      <c r="DL196" s="103"/>
      <c r="DM196" s="103"/>
      <c r="DN196" s="103"/>
      <c r="DO196" s="103"/>
      <c r="DP196" s="103"/>
      <c r="DQ196" s="103"/>
      <c r="DR196" s="103"/>
      <c r="DS196" s="103"/>
      <c r="DT196" s="103"/>
      <c r="DU196" s="103"/>
      <c r="DV196" s="103"/>
      <c r="DW196" s="103"/>
      <c r="DX196" s="103"/>
      <c r="DY196" s="103"/>
      <c r="DZ196" s="103"/>
      <c r="EA196" s="103"/>
      <c r="EB196" s="103"/>
      <c r="EC196" s="103"/>
      <c r="ED196" s="103"/>
      <c r="EE196" s="103"/>
      <c r="EF196" s="103"/>
      <c r="EG196" s="103"/>
      <c r="EH196" s="103"/>
      <c r="EI196" s="103"/>
      <c r="EJ196" s="88"/>
      <c r="EK196" s="88"/>
      <c r="EL196" s="88"/>
      <c r="EM196" s="88"/>
      <c r="EN196" s="88"/>
      <c r="EO196" s="88"/>
      <c r="EP196" s="88"/>
      <c r="EQ196" s="88"/>
      <c r="ER196" s="88"/>
      <c r="ES196" s="88"/>
      <c r="ET196" s="88"/>
      <c r="EU196" s="88"/>
      <c r="EV196" s="88"/>
      <c r="EW196" s="88"/>
      <c r="EX196" s="88"/>
      <c r="EY196" s="88"/>
      <c r="EZ196" s="88"/>
      <c r="FA196" s="88"/>
      <c r="FB196" s="88"/>
      <c r="FC196" s="88"/>
      <c r="FD196" s="88"/>
      <c r="FE196" s="88"/>
      <c r="FF196" s="88"/>
      <c r="FG196" s="88"/>
      <c r="FH196" s="88"/>
      <c r="FI196" s="88"/>
      <c r="FJ196" s="88"/>
      <c r="FK196" s="88"/>
      <c r="FL196" s="88"/>
      <c r="FM196" s="88"/>
      <c r="FN196" s="88"/>
      <c r="FO196" s="88"/>
      <c r="FP196" s="88"/>
      <c r="FQ196" s="88"/>
      <c r="FR196" s="88"/>
      <c r="FS196" s="88"/>
      <c r="FT196" s="21"/>
      <c r="FU196" s="21"/>
      <c r="FV196" s="21"/>
      <c r="FW196" s="21"/>
      <c r="FX196" s="21"/>
      <c r="FY196" s="21"/>
      <c r="FZ196" s="21"/>
      <c r="GA196" s="21"/>
      <c r="GB196" s="21"/>
      <c r="GC196" s="21"/>
      <c r="GD196" s="21"/>
      <c r="GE196" s="21"/>
      <c r="GF196" s="21"/>
      <c r="GG196" s="21"/>
      <c r="GH196" s="21"/>
      <c r="GI196" s="21"/>
      <c r="GJ196" s="21"/>
      <c r="GK196" s="21"/>
      <c r="GL196" s="21"/>
      <c r="GM196" s="21"/>
      <c r="GN196" s="21"/>
      <c r="GO196" s="21"/>
      <c r="GP196" s="21"/>
      <c r="GQ196" s="21"/>
      <c r="GR196" s="21"/>
      <c r="GS196" s="21"/>
      <c r="GT196" s="21"/>
      <c r="GU196" s="21"/>
      <c r="GV196" s="21"/>
      <c r="GW196" s="21"/>
      <c r="GX196" s="21"/>
      <c r="GY196" s="21"/>
      <c r="GZ196" s="21"/>
      <c r="HA196" s="21"/>
      <c r="HB196" s="21"/>
      <c r="HC196" s="21"/>
      <c r="HD196" s="21"/>
      <c r="HE196" s="21"/>
      <c r="HF196" s="21"/>
      <c r="HG196" s="21"/>
      <c r="HH196" s="21"/>
      <c r="HI196" s="21"/>
      <c r="HJ196" s="21"/>
      <c r="HK196" s="21"/>
      <c r="HL196" s="21"/>
      <c r="HM196" s="21"/>
      <c r="HN196" s="21"/>
      <c r="HO196" s="21"/>
      <c r="HP196" s="21"/>
      <c r="HQ196" s="21"/>
      <c r="HR196" s="21"/>
      <c r="HS196" s="21"/>
      <c r="HT196" s="21"/>
      <c r="HU196" s="21"/>
      <c r="HV196" s="21"/>
      <c r="HW196" s="21"/>
      <c r="HX196" s="21"/>
      <c r="HY196" s="21"/>
      <c r="HZ196" s="21"/>
      <c r="IA196" s="21"/>
      <c r="IB196" s="21"/>
      <c r="IC196" s="21"/>
      <c r="ID196" s="21"/>
      <c r="IE196" s="21"/>
      <c r="IF196" s="21"/>
      <c r="IG196" s="21"/>
      <c r="IH196" s="21"/>
      <c r="II196" s="21"/>
      <c r="IJ196" s="21"/>
      <c r="IK196" s="21"/>
      <c r="IL196" s="21"/>
      <c r="IM196" s="21"/>
      <c r="IN196" s="21"/>
      <c r="IO196" s="21"/>
      <c r="IP196" s="21"/>
      <c r="IQ196" s="21"/>
      <c r="IR196" s="21"/>
      <c r="IS196" s="21"/>
    </row>
    <row r="197" spans="1:253" s="23" customFormat="1" ht="2.1" customHeight="1">
      <c r="A197" s="198"/>
      <c r="B197" s="1142"/>
      <c r="C197" s="200"/>
      <c r="D197" s="200"/>
      <c r="E197" s="200"/>
      <c r="F197" s="200"/>
      <c r="G197" s="200"/>
      <c r="H197" s="200"/>
      <c r="I197" s="201"/>
      <c r="J197" s="200"/>
      <c r="K197" s="200"/>
      <c r="L197" s="202"/>
      <c r="M197" s="202"/>
      <c r="N197" s="997"/>
      <c r="O197" s="998"/>
      <c r="P197" s="992"/>
      <c r="Q197" s="992">
        <v>1</v>
      </c>
      <c r="R197" s="129"/>
      <c r="S197" s="129"/>
      <c r="T197" s="129"/>
      <c r="U197" s="129"/>
      <c r="V197" s="132"/>
      <c r="W197" s="132"/>
      <c r="X197" s="126"/>
      <c r="Y197" s="132"/>
      <c r="Z197" s="132"/>
      <c r="AA197" s="132"/>
      <c r="AB197" s="132"/>
      <c r="AC197" s="132"/>
      <c r="AD197" s="132"/>
      <c r="AE197" s="132"/>
      <c r="AF197" s="129"/>
      <c r="AG197" s="129"/>
      <c r="AH197" s="129"/>
      <c r="AI197" s="129"/>
      <c r="AJ197" s="129"/>
      <c r="AK197" s="129"/>
      <c r="AL197" s="129"/>
      <c r="AM197" s="129"/>
      <c r="AN197" s="129"/>
      <c r="AO197" s="129"/>
      <c r="AP197" s="129"/>
      <c r="AQ197" s="129"/>
      <c r="AR197" s="129"/>
      <c r="AS197" s="129"/>
      <c r="AT197" s="129"/>
      <c r="AU197" s="129"/>
      <c r="AV197" s="129"/>
      <c r="AW197" s="89"/>
      <c r="AX197" s="89"/>
      <c r="AY197" s="89"/>
      <c r="AZ197" s="89"/>
      <c r="BA197" s="89"/>
      <c r="BB197" s="89"/>
      <c r="BC197" s="89"/>
      <c r="BD197" s="89"/>
      <c r="BE197" s="89"/>
      <c r="BF197" s="89"/>
      <c r="BG197" s="89"/>
      <c r="BH197" s="89"/>
      <c r="BI197" s="89"/>
      <c r="BJ197" s="89"/>
      <c r="BK197" s="89"/>
      <c r="BL197" s="89"/>
      <c r="BM197" s="89"/>
      <c r="BN197" s="89"/>
      <c r="BO197" s="89"/>
      <c r="BP197" s="89"/>
      <c r="BQ197" s="89"/>
      <c r="BR197" s="89"/>
      <c r="BS197" s="89"/>
      <c r="BT197" s="89"/>
      <c r="BU197" s="89"/>
      <c r="BV197" s="89"/>
      <c r="BW197" s="89"/>
      <c r="BX197" s="89"/>
      <c r="BY197" s="89"/>
      <c r="BZ197" s="89"/>
      <c r="CA197" s="89"/>
      <c r="CB197" s="89"/>
      <c r="CC197" s="89"/>
      <c r="CD197" s="89"/>
      <c r="CE197" s="89"/>
      <c r="CF197" s="89"/>
      <c r="CG197" s="89"/>
      <c r="CH197" s="89"/>
      <c r="CI197" s="89"/>
      <c r="CJ197" s="89"/>
      <c r="CK197" s="89"/>
      <c r="CL197" s="89"/>
      <c r="CM197" s="89"/>
      <c r="CN197" s="89"/>
      <c r="CO197" s="89"/>
      <c r="CP197" s="89"/>
      <c r="CQ197" s="89"/>
      <c r="CR197" s="89"/>
      <c r="CS197" s="89"/>
      <c r="CT197" s="89"/>
      <c r="CU197" s="89"/>
      <c r="CV197" s="89"/>
      <c r="CW197" s="89"/>
      <c r="CX197" s="89"/>
      <c r="CY197" s="89"/>
      <c r="CZ197" s="89"/>
      <c r="DA197" s="89"/>
      <c r="DB197" s="89"/>
      <c r="DC197" s="89"/>
      <c r="DD197" s="89"/>
      <c r="DE197" s="89"/>
      <c r="DF197" s="89"/>
      <c r="DG197" s="89"/>
      <c r="DH197" s="89"/>
      <c r="DI197" s="89"/>
      <c r="DJ197" s="117"/>
      <c r="DK197" s="117"/>
      <c r="DL197" s="117"/>
      <c r="DM197" s="117"/>
      <c r="DN197" s="117"/>
      <c r="DO197" s="117"/>
      <c r="DP197" s="117"/>
      <c r="DQ197" s="117"/>
      <c r="DR197" s="117"/>
      <c r="DS197" s="117"/>
      <c r="DT197" s="117"/>
      <c r="DU197" s="117"/>
      <c r="DV197" s="117"/>
      <c r="DW197" s="117"/>
      <c r="DX197" s="117"/>
      <c r="DY197" s="117"/>
      <c r="DZ197" s="117"/>
      <c r="EA197" s="117"/>
      <c r="EB197" s="117"/>
      <c r="EC197" s="117"/>
      <c r="ED197" s="117"/>
      <c r="EE197" s="117"/>
      <c r="EF197" s="117"/>
      <c r="EG197" s="117"/>
      <c r="EH197" s="117"/>
      <c r="EI197" s="117"/>
      <c r="EJ197" s="89"/>
      <c r="EK197" s="89"/>
      <c r="EL197" s="89"/>
      <c r="EM197" s="89"/>
      <c r="EN197" s="89"/>
      <c r="EO197" s="89"/>
      <c r="EP197" s="89"/>
      <c r="EQ197" s="89"/>
      <c r="ER197" s="89"/>
      <c r="ES197" s="89"/>
      <c r="ET197" s="89"/>
      <c r="EU197" s="89"/>
      <c r="EV197" s="89"/>
      <c r="EW197" s="89"/>
      <c r="EX197" s="89"/>
      <c r="EY197" s="89"/>
      <c r="EZ197" s="89"/>
      <c r="FA197" s="89"/>
      <c r="FB197" s="89"/>
      <c r="FC197" s="89"/>
      <c r="FD197" s="89"/>
      <c r="FE197" s="89"/>
      <c r="FF197" s="89"/>
      <c r="FG197" s="89"/>
      <c r="FH197" s="89"/>
      <c r="FI197" s="89"/>
      <c r="FJ197" s="89"/>
      <c r="FK197" s="89"/>
      <c r="FL197" s="89"/>
      <c r="FM197" s="89"/>
      <c r="FN197" s="89"/>
      <c r="FO197" s="89"/>
      <c r="FP197" s="89"/>
      <c r="FQ197" s="89"/>
      <c r="FR197" s="89"/>
      <c r="FS197" s="89"/>
    </row>
    <row r="198" spans="1:253" s="23" customFormat="1" ht="15.9" customHeight="1">
      <c r="A198" s="1810" t="str">
        <f>Begriffe!F218</f>
        <v>Kommentare</v>
      </c>
      <c r="B198" s="416"/>
      <c r="C198" s="16"/>
      <c r="D198" s="16"/>
      <c r="E198" s="16"/>
      <c r="F198" s="16"/>
      <c r="G198" s="21"/>
      <c r="H198" s="21"/>
      <c r="I198" s="16"/>
      <c r="J198" s="16"/>
      <c r="K198" s="16"/>
      <c r="L198" s="16"/>
      <c r="M198" s="16"/>
      <c r="N198" s="21"/>
      <c r="O198" s="221"/>
      <c r="P198" s="921"/>
      <c r="Q198" s="989">
        <v>1</v>
      </c>
      <c r="R198" s="131"/>
      <c r="S198" s="131"/>
      <c r="T198" s="131"/>
      <c r="U198" s="131"/>
      <c r="V198" s="131"/>
      <c r="W198" s="132"/>
      <c r="X198" s="126"/>
      <c r="Y198" s="126"/>
      <c r="Z198" s="126"/>
      <c r="AA198" s="126"/>
      <c r="AB198" s="126"/>
      <c r="AC198" s="126"/>
      <c r="AD198" s="126"/>
      <c r="AE198" s="126"/>
      <c r="AF198" s="127"/>
      <c r="AG198" s="127"/>
      <c r="AH198" s="127"/>
      <c r="AI198" s="127"/>
      <c r="AJ198" s="127"/>
      <c r="AK198" s="127"/>
      <c r="AL198" s="127"/>
      <c r="AM198" s="127"/>
      <c r="AN198" s="127"/>
      <c r="AO198" s="127"/>
      <c r="AP198" s="127"/>
      <c r="AQ198" s="127"/>
      <c r="AR198" s="127"/>
      <c r="AS198" s="128"/>
      <c r="AT198" s="128"/>
      <c r="AU198" s="128"/>
      <c r="AV198" s="128"/>
      <c r="AW198" s="90"/>
      <c r="AX198" s="90"/>
      <c r="AY198" s="90"/>
      <c r="AZ198" s="90"/>
      <c r="BA198" s="90"/>
      <c r="BB198" s="90"/>
      <c r="BC198" s="90"/>
      <c r="BD198" s="90"/>
      <c r="BE198" s="90"/>
      <c r="BF198" s="90"/>
      <c r="BG198" s="90"/>
      <c r="BH198" s="90"/>
      <c r="BI198" s="90"/>
      <c r="BJ198" s="90"/>
      <c r="BK198" s="90"/>
      <c r="BL198" s="90"/>
      <c r="BM198" s="90"/>
      <c r="BN198" s="90"/>
      <c r="BO198" s="90"/>
      <c r="BP198" s="90"/>
      <c r="BQ198" s="90"/>
      <c r="BR198" s="90"/>
      <c r="BS198" s="90"/>
      <c r="BT198" s="90"/>
      <c r="BU198" s="90"/>
      <c r="BV198" s="90"/>
      <c r="BW198" s="90"/>
      <c r="BX198" s="90"/>
      <c r="BY198" s="90"/>
      <c r="BZ198" s="90"/>
      <c r="CA198" s="90"/>
      <c r="CB198" s="90"/>
      <c r="CC198" s="90"/>
      <c r="CD198" s="90"/>
      <c r="CE198" s="90"/>
      <c r="CF198" s="90"/>
      <c r="CG198" s="90"/>
      <c r="CH198" s="90"/>
      <c r="CI198" s="90"/>
      <c r="CJ198" s="90"/>
      <c r="CK198" s="90"/>
      <c r="CL198" s="90"/>
      <c r="CM198" s="90"/>
      <c r="CN198" s="90"/>
      <c r="CO198" s="90"/>
      <c r="CP198" s="90"/>
      <c r="CQ198" s="90"/>
      <c r="CR198" s="90"/>
      <c r="CS198" s="90"/>
      <c r="CT198" s="90"/>
      <c r="CU198" s="90"/>
      <c r="CV198" s="90"/>
      <c r="CW198" s="90"/>
      <c r="CX198" s="90"/>
      <c r="CY198" s="90"/>
      <c r="CZ198" s="90"/>
      <c r="DA198" s="117"/>
      <c r="DB198" s="117"/>
      <c r="DC198" s="117"/>
      <c r="DD198" s="117"/>
      <c r="DE198" s="117"/>
      <c r="DF198" s="117"/>
      <c r="DG198" s="117"/>
      <c r="DH198" s="117"/>
      <c r="DI198" s="117"/>
      <c r="DJ198" s="117"/>
      <c r="DK198" s="117"/>
      <c r="DL198" s="117"/>
      <c r="DM198" s="117"/>
      <c r="DN198" s="117"/>
      <c r="DO198" s="117"/>
      <c r="DP198" s="117"/>
      <c r="DQ198" s="117"/>
      <c r="DR198" s="117"/>
      <c r="DS198" s="117"/>
      <c r="DT198" s="117"/>
      <c r="DU198" s="117"/>
      <c r="DV198" s="117"/>
      <c r="DW198" s="117"/>
      <c r="DX198" s="117"/>
      <c r="DY198" s="117"/>
      <c r="DZ198" s="117"/>
      <c r="EA198" s="117"/>
      <c r="EB198" s="117"/>
      <c r="EC198" s="117"/>
      <c r="ED198" s="117"/>
      <c r="EE198" s="117"/>
      <c r="EF198" s="117"/>
      <c r="EG198" s="117"/>
      <c r="EH198" s="117"/>
      <c r="EI198" s="117"/>
      <c r="EJ198" s="89"/>
      <c r="EK198" s="89"/>
      <c r="EL198" s="89"/>
      <c r="EM198" s="89"/>
      <c r="EN198" s="89"/>
      <c r="EO198" s="89"/>
      <c r="EP198" s="89"/>
      <c r="EQ198" s="89"/>
      <c r="ER198" s="89"/>
      <c r="ES198" s="89"/>
      <c r="ET198" s="89"/>
      <c r="EU198" s="89"/>
      <c r="EV198" s="89"/>
      <c r="EW198" s="89"/>
      <c r="EX198" s="89"/>
      <c r="EY198" s="89"/>
      <c r="EZ198" s="89"/>
      <c r="FA198" s="89"/>
      <c r="FB198" s="89"/>
      <c r="FC198" s="89"/>
      <c r="FD198" s="89"/>
      <c r="FE198" s="89"/>
      <c r="FF198" s="89"/>
      <c r="FG198" s="89"/>
      <c r="FH198" s="89"/>
      <c r="FI198" s="89"/>
      <c r="FJ198" s="89"/>
      <c r="FK198" s="89"/>
      <c r="FL198" s="89"/>
      <c r="FM198" s="89"/>
      <c r="FN198" s="89"/>
      <c r="FO198" s="89"/>
      <c r="FP198" s="89"/>
      <c r="FQ198" s="89"/>
      <c r="FR198" s="89"/>
      <c r="FS198" s="89"/>
    </row>
    <row r="199" spans="1:253" s="23" customFormat="1" ht="15.9" customHeight="1">
      <c r="A199" s="1808"/>
      <c r="B199" s="416" t="s">
        <v>180</v>
      </c>
      <c r="C199" s="16" t="str">
        <f>IF(INDEX(Eingabedaten!$FV$10:$GE$54,nutzid,MATCH($B199,Eingabedaten!$FV$7:$GZ$7,0))=0,"",INDEX(Eingabedaten!$FV$10:$GE$54,nutzid,MATCH($B199,Eingabedaten!$FV$7:$GZ$7,0)))</f>
        <v>- Im Direktionsbüro erhöhter Schallschutz</v>
      </c>
      <c r="D199" s="16"/>
      <c r="E199" s="16"/>
      <c r="F199" s="16"/>
      <c r="G199" s="21"/>
      <c r="H199" s="21"/>
      <c r="I199" s="16"/>
      <c r="J199" s="16"/>
      <c r="K199" s="16"/>
      <c r="L199" s="16"/>
      <c r="M199" s="16"/>
      <c r="N199" s="21"/>
      <c r="O199" s="196"/>
      <c r="P199" s="921"/>
      <c r="Q199" s="989">
        <v>1</v>
      </c>
      <c r="R199" s="131"/>
      <c r="S199" s="131"/>
      <c r="T199" s="131"/>
      <c r="U199" s="131"/>
      <c r="V199" s="131"/>
      <c r="W199" s="132"/>
      <c r="X199" s="126"/>
      <c r="Y199" s="126"/>
      <c r="Z199" s="126"/>
      <c r="AA199" s="126"/>
      <c r="AB199" s="126"/>
      <c r="AC199" s="126"/>
      <c r="AD199" s="126"/>
      <c r="AE199" s="126"/>
      <c r="AF199" s="127"/>
      <c r="AG199" s="127"/>
      <c r="AH199" s="127"/>
      <c r="AI199" s="127"/>
      <c r="AJ199" s="127"/>
      <c r="AK199" s="127"/>
      <c r="AL199" s="127"/>
      <c r="AM199" s="127"/>
      <c r="AN199" s="127"/>
      <c r="AO199" s="127"/>
      <c r="AP199" s="127"/>
      <c r="AQ199" s="127"/>
      <c r="AR199" s="127"/>
      <c r="AS199" s="128"/>
      <c r="AT199" s="128"/>
      <c r="AU199" s="128"/>
      <c r="AV199" s="128"/>
      <c r="AW199" s="90"/>
      <c r="AX199" s="90"/>
      <c r="AY199" s="90"/>
      <c r="AZ199" s="90"/>
      <c r="BA199" s="90"/>
      <c r="BB199" s="90"/>
      <c r="BC199" s="90"/>
      <c r="BD199" s="90"/>
      <c r="BE199" s="90"/>
      <c r="BF199" s="90"/>
      <c r="BG199" s="90"/>
      <c r="BH199" s="90"/>
      <c r="BI199" s="90"/>
      <c r="BJ199" s="90"/>
      <c r="BK199" s="90"/>
      <c r="BL199" s="90"/>
      <c r="BM199" s="90"/>
      <c r="BN199" s="90"/>
      <c r="BO199" s="90"/>
      <c r="BP199" s="90"/>
      <c r="BQ199" s="90"/>
      <c r="BR199" s="90"/>
      <c r="BS199" s="90"/>
      <c r="BT199" s="90"/>
      <c r="BU199" s="90"/>
      <c r="BV199" s="90"/>
      <c r="BW199" s="90"/>
      <c r="BX199" s="90"/>
      <c r="BY199" s="90"/>
      <c r="BZ199" s="90"/>
      <c r="CA199" s="90"/>
      <c r="CB199" s="90"/>
      <c r="CC199" s="90"/>
      <c r="CD199" s="90"/>
      <c r="CE199" s="90"/>
      <c r="CF199" s="90"/>
      <c r="CG199" s="90"/>
      <c r="CH199" s="90"/>
      <c r="CI199" s="90"/>
      <c r="CJ199" s="90"/>
      <c r="CK199" s="90"/>
      <c r="CL199" s="90"/>
      <c r="CM199" s="90"/>
      <c r="CN199" s="90"/>
      <c r="CO199" s="90"/>
      <c r="CP199" s="90"/>
      <c r="CQ199" s="90"/>
      <c r="CR199" s="90"/>
      <c r="CS199" s="90"/>
      <c r="CT199" s="90"/>
      <c r="CU199" s="90"/>
      <c r="CV199" s="90"/>
      <c r="CW199" s="90"/>
      <c r="CX199" s="90"/>
      <c r="CY199" s="90"/>
      <c r="CZ199" s="90"/>
      <c r="DA199" s="117"/>
      <c r="DB199" s="117"/>
      <c r="DC199" s="117"/>
      <c r="DD199" s="117"/>
      <c r="DE199" s="117"/>
      <c r="DF199" s="117"/>
      <c r="DG199" s="117"/>
      <c r="DH199" s="117"/>
      <c r="DI199" s="117"/>
      <c r="DJ199" s="117"/>
      <c r="DK199" s="117"/>
      <c r="DL199" s="117"/>
      <c r="DM199" s="117"/>
      <c r="DN199" s="117"/>
      <c r="DO199" s="117"/>
      <c r="DP199" s="117"/>
      <c r="DQ199" s="117"/>
      <c r="DR199" s="117"/>
      <c r="DS199" s="117"/>
      <c r="DT199" s="117"/>
      <c r="DU199" s="117"/>
      <c r="DV199" s="117"/>
      <c r="DW199" s="117"/>
      <c r="DX199" s="117"/>
      <c r="DY199" s="117"/>
      <c r="DZ199" s="117"/>
      <c r="EA199" s="117"/>
      <c r="EB199" s="117"/>
      <c r="EC199" s="117"/>
      <c r="ED199" s="117"/>
      <c r="EE199" s="117"/>
      <c r="EF199" s="117"/>
      <c r="EG199" s="117"/>
      <c r="EH199" s="117"/>
      <c r="EI199" s="117"/>
      <c r="EJ199" s="89"/>
      <c r="EK199" s="89"/>
      <c r="EL199" s="89"/>
      <c r="EM199" s="89"/>
      <c r="EN199" s="89"/>
      <c r="EO199" s="89"/>
      <c r="EP199" s="89"/>
      <c r="EQ199" s="89"/>
      <c r="ER199" s="89"/>
      <c r="ES199" s="89"/>
      <c r="ET199" s="89"/>
      <c r="EU199" s="89"/>
      <c r="EV199" s="89"/>
      <c r="EW199" s="89"/>
      <c r="EX199" s="89"/>
      <c r="EY199" s="89"/>
      <c r="EZ199" s="89"/>
      <c r="FA199" s="89"/>
      <c r="FB199" s="89"/>
      <c r="FC199" s="89"/>
      <c r="FD199" s="89"/>
      <c r="FE199" s="89"/>
      <c r="FF199" s="89"/>
      <c r="FG199" s="89"/>
      <c r="FH199" s="89"/>
      <c r="FI199" s="89"/>
      <c r="FJ199" s="89"/>
      <c r="FK199" s="89"/>
      <c r="FL199" s="89"/>
      <c r="FM199" s="89"/>
      <c r="FN199" s="89"/>
      <c r="FO199" s="89"/>
      <c r="FP199" s="89"/>
      <c r="FQ199" s="89"/>
      <c r="FR199" s="89"/>
      <c r="FS199" s="89"/>
    </row>
    <row r="200" spans="1:253" s="23" customFormat="1" ht="5.25" customHeight="1">
      <c r="A200" s="1808"/>
      <c r="B200" s="416"/>
      <c r="C200" s="16"/>
      <c r="D200" s="16"/>
      <c r="E200" s="16"/>
      <c r="F200" s="16"/>
      <c r="G200" s="21"/>
      <c r="H200" s="21"/>
      <c r="I200" s="16"/>
      <c r="J200" s="16"/>
      <c r="K200" s="16"/>
      <c r="L200" s="16"/>
      <c r="M200" s="16"/>
      <c r="N200" s="21"/>
      <c r="O200" s="196"/>
      <c r="P200" s="921"/>
      <c r="Q200" s="989">
        <v>1</v>
      </c>
      <c r="R200" s="131"/>
      <c r="S200" s="131"/>
      <c r="T200" s="131"/>
      <c r="U200" s="131"/>
      <c r="V200" s="131"/>
      <c r="W200" s="132"/>
      <c r="X200" s="126"/>
      <c r="Y200" s="126"/>
      <c r="Z200" s="126"/>
      <c r="AA200" s="126"/>
      <c r="AB200" s="126"/>
      <c r="AC200" s="126"/>
      <c r="AD200" s="126"/>
      <c r="AE200" s="126"/>
      <c r="AF200" s="127"/>
      <c r="AG200" s="127"/>
      <c r="AH200" s="127"/>
      <c r="AI200" s="127"/>
      <c r="AJ200" s="127"/>
      <c r="AK200" s="127"/>
      <c r="AL200" s="127"/>
      <c r="AM200" s="127"/>
      <c r="AN200" s="127"/>
      <c r="AO200" s="127"/>
      <c r="AP200" s="127"/>
      <c r="AQ200" s="127"/>
      <c r="AR200" s="127"/>
      <c r="AS200" s="128"/>
      <c r="AT200" s="128"/>
      <c r="AU200" s="128"/>
      <c r="AV200" s="128"/>
      <c r="AW200" s="90"/>
      <c r="AX200" s="90"/>
      <c r="AY200" s="90"/>
      <c r="AZ200" s="90"/>
      <c r="BA200" s="90"/>
      <c r="BB200" s="90"/>
      <c r="BC200" s="90"/>
      <c r="BD200" s="90"/>
      <c r="BE200" s="90"/>
      <c r="BF200" s="90"/>
      <c r="BG200" s="90"/>
      <c r="BH200" s="90"/>
      <c r="BI200" s="90"/>
      <c r="BJ200" s="90"/>
      <c r="BK200" s="90"/>
      <c r="BL200" s="90"/>
      <c r="BM200" s="90"/>
      <c r="BN200" s="90"/>
      <c r="BO200" s="90"/>
      <c r="BP200" s="90"/>
      <c r="BQ200" s="90"/>
      <c r="BR200" s="90"/>
      <c r="BS200" s="90"/>
      <c r="BT200" s="90"/>
      <c r="BU200" s="90"/>
      <c r="BV200" s="90"/>
      <c r="BW200" s="90"/>
      <c r="BX200" s="90"/>
      <c r="BY200" s="90"/>
      <c r="BZ200" s="90"/>
      <c r="CA200" s="90"/>
      <c r="CB200" s="90"/>
      <c r="CC200" s="90"/>
      <c r="CD200" s="90"/>
      <c r="CE200" s="90"/>
      <c r="CF200" s="90"/>
      <c r="CG200" s="90"/>
      <c r="CH200" s="90"/>
      <c r="CI200" s="90"/>
      <c r="CJ200" s="90"/>
      <c r="CK200" s="90"/>
      <c r="CL200" s="90"/>
      <c r="CM200" s="90"/>
      <c r="CN200" s="90"/>
      <c r="CO200" s="90"/>
      <c r="CP200" s="90"/>
      <c r="CQ200" s="90"/>
      <c r="CR200" s="90"/>
      <c r="CS200" s="90"/>
      <c r="CT200" s="90"/>
      <c r="CU200" s="90"/>
      <c r="CV200" s="90"/>
      <c r="CW200" s="90"/>
      <c r="CX200" s="90"/>
      <c r="CY200" s="90"/>
      <c r="CZ200" s="90"/>
      <c r="DA200" s="117"/>
      <c r="DB200" s="117"/>
      <c r="DC200" s="117"/>
      <c r="DD200" s="117"/>
      <c r="DE200" s="117"/>
      <c r="DF200" s="117"/>
      <c r="DG200" s="117"/>
      <c r="DH200" s="117"/>
      <c r="DI200" s="117"/>
      <c r="DJ200" s="117"/>
      <c r="DK200" s="117"/>
      <c r="DL200" s="117"/>
      <c r="DM200" s="117"/>
      <c r="DN200" s="117"/>
      <c r="DO200" s="117"/>
      <c r="DP200" s="117"/>
      <c r="DQ200" s="117"/>
      <c r="DR200" s="117"/>
      <c r="DS200" s="117"/>
      <c r="DT200" s="117"/>
      <c r="DU200" s="117"/>
      <c r="DV200" s="117"/>
      <c r="DW200" s="117"/>
      <c r="DX200" s="117"/>
      <c r="DY200" s="117"/>
      <c r="DZ200" s="117"/>
      <c r="EA200" s="117"/>
      <c r="EB200" s="117"/>
      <c r="EC200" s="117"/>
      <c r="ED200" s="117"/>
      <c r="EE200" s="117"/>
      <c r="EF200" s="117"/>
      <c r="EG200" s="117"/>
      <c r="EH200" s="117"/>
      <c r="EI200" s="117"/>
      <c r="EJ200" s="89"/>
      <c r="EK200" s="89"/>
      <c r="EL200" s="89"/>
      <c r="EM200" s="89"/>
      <c r="EN200" s="89"/>
      <c r="EO200" s="89"/>
      <c r="EP200" s="89"/>
      <c r="EQ200" s="89"/>
      <c r="ER200" s="89"/>
      <c r="ES200" s="89"/>
      <c r="ET200" s="89"/>
      <c r="EU200" s="89"/>
      <c r="EV200" s="89"/>
      <c r="EW200" s="89"/>
      <c r="EX200" s="89"/>
      <c r="EY200" s="89"/>
      <c r="EZ200" s="89"/>
      <c r="FA200" s="89"/>
      <c r="FB200" s="89"/>
      <c r="FC200" s="89"/>
      <c r="FD200" s="89"/>
      <c r="FE200" s="89"/>
      <c r="FF200" s="89"/>
      <c r="FG200" s="89"/>
      <c r="FH200" s="89"/>
      <c r="FI200" s="89"/>
      <c r="FJ200" s="89"/>
      <c r="FK200" s="89"/>
      <c r="FL200" s="89"/>
      <c r="FM200" s="89"/>
      <c r="FN200" s="89"/>
      <c r="FO200" s="89"/>
      <c r="FP200" s="89"/>
      <c r="FQ200" s="89"/>
      <c r="FR200" s="89"/>
      <c r="FS200" s="89"/>
    </row>
    <row r="201" spans="1:253" s="23" customFormat="1" ht="15.9" customHeight="1">
      <c r="A201" s="1808"/>
      <c r="B201" s="416" t="s">
        <v>181</v>
      </c>
      <c r="C201" s="16" t="str">
        <f>IF(INDEX(Eingabedaten!$FV$10:$GE$54,nutzid,MATCH($B201,Eingabedaten!$FV$7:$GZ$7,0))=0,"",INDEX(Eingabedaten!$FV$10:$GE$54,nutzid,MATCH($B201,Eingabedaten!$FV$7:$GZ$7,0)))</f>
        <v/>
      </c>
      <c r="D201" s="16"/>
      <c r="E201" s="16"/>
      <c r="F201" s="16"/>
      <c r="G201" s="21"/>
      <c r="H201" s="21"/>
      <c r="I201" s="16"/>
      <c r="J201" s="16"/>
      <c r="K201" s="16"/>
      <c r="L201" s="16"/>
      <c r="M201" s="16"/>
      <c r="N201" s="21"/>
      <c r="O201" s="196"/>
      <c r="P201" s="921"/>
      <c r="Q201" s="989">
        <v>1</v>
      </c>
      <c r="R201" s="131"/>
      <c r="S201" s="131"/>
      <c r="T201" s="131"/>
      <c r="U201" s="131"/>
      <c r="V201" s="131"/>
      <c r="W201" s="132"/>
      <c r="X201" s="126"/>
      <c r="Y201" s="126"/>
      <c r="Z201" s="126"/>
      <c r="AA201" s="126"/>
      <c r="AB201" s="126"/>
      <c r="AC201" s="126"/>
      <c r="AD201" s="126"/>
      <c r="AE201" s="126"/>
      <c r="AF201" s="127"/>
      <c r="AG201" s="127"/>
      <c r="AH201" s="127"/>
      <c r="AI201" s="127"/>
      <c r="AJ201" s="127"/>
      <c r="AK201" s="127"/>
      <c r="AL201" s="127"/>
      <c r="AM201" s="127"/>
      <c r="AN201" s="127"/>
      <c r="AO201" s="127"/>
      <c r="AP201" s="127"/>
      <c r="AQ201" s="127"/>
      <c r="AR201" s="127"/>
      <c r="AS201" s="128"/>
      <c r="AT201" s="128"/>
      <c r="AU201" s="128"/>
      <c r="AV201" s="128"/>
      <c r="AW201" s="90"/>
      <c r="AX201" s="90"/>
      <c r="AY201" s="90"/>
      <c r="AZ201" s="90"/>
      <c r="BA201" s="90"/>
      <c r="BB201" s="90"/>
      <c r="BC201" s="90"/>
      <c r="BD201" s="90"/>
      <c r="BE201" s="90"/>
      <c r="BF201" s="90"/>
      <c r="BG201" s="90"/>
      <c r="BH201" s="90"/>
      <c r="BI201" s="90"/>
      <c r="BJ201" s="90"/>
      <c r="BK201" s="90"/>
      <c r="BL201" s="90"/>
      <c r="BM201" s="90"/>
      <c r="BN201" s="90"/>
      <c r="BO201" s="90"/>
      <c r="BP201" s="90"/>
      <c r="BQ201" s="90"/>
      <c r="BR201" s="90"/>
      <c r="BS201" s="90"/>
      <c r="BT201" s="90"/>
      <c r="BU201" s="90"/>
      <c r="BV201" s="90"/>
      <c r="BW201" s="90"/>
      <c r="BX201" s="90"/>
      <c r="BY201" s="90"/>
      <c r="BZ201" s="90"/>
      <c r="CA201" s="90"/>
      <c r="CB201" s="90"/>
      <c r="CC201" s="90"/>
      <c r="CD201" s="90"/>
      <c r="CE201" s="90"/>
      <c r="CF201" s="90"/>
      <c r="CG201" s="90"/>
      <c r="CH201" s="90"/>
      <c r="CI201" s="90"/>
      <c r="CJ201" s="90"/>
      <c r="CK201" s="90"/>
      <c r="CL201" s="90"/>
      <c r="CM201" s="90"/>
      <c r="CN201" s="90"/>
      <c r="CO201" s="90"/>
      <c r="CP201" s="90"/>
      <c r="CQ201" s="90"/>
      <c r="CR201" s="90"/>
      <c r="CS201" s="90"/>
      <c r="CT201" s="90"/>
      <c r="CU201" s="90"/>
      <c r="CV201" s="90"/>
      <c r="CW201" s="90"/>
      <c r="CX201" s="90"/>
      <c r="CY201" s="90"/>
      <c r="CZ201" s="90"/>
      <c r="DA201" s="117"/>
      <c r="DB201" s="117"/>
      <c r="DC201" s="117"/>
      <c r="DD201" s="117"/>
      <c r="DE201" s="117"/>
      <c r="DF201" s="117"/>
      <c r="DG201" s="117"/>
      <c r="DH201" s="117"/>
      <c r="DI201" s="117"/>
      <c r="DJ201" s="117"/>
      <c r="DK201" s="117"/>
      <c r="DL201" s="117"/>
      <c r="DM201" s="117"/>
      <c r="DN201" s="117"/>
      <c r="DO201" s="117"/>
      <c r="DP201" s="117"/>
      <c r="DQ201" s="117"/>
      <c r="DR201" s="117"/>
      <c r="DS201" s="117"/>
      <c r="DT201" s="117"/>
      <c r="DU201" s="117"/>
      <c r="DV201" s="117"/>
      <c r="DW201" s="117"/>
      <c r="DX201" s="117"/>
      <c r="DY201" s="117"/>
      <c r="DZ201" s="117"/>
      <c r="EA201" s="117"/>
      <c r="EB201" s="117"/>
      <c r="EC201" s="117"/>
      <c r="ED201" s="117"/>
      <c r="EE201" s="117"/>
      <c r="EF201" s="117"/>
      <c r="EG201" s="117"/>
      <c r="EH201" s="117"/>
      <c r="EI201" s="117"/>
      <c r="EJ201" s="89"/>
      <c r="EK201" s="89"/>
      <c r="EL201" s="89"/>
      <c r="EM201" s="89"/>
      <c r="EN201" s="89"/>
      <c r="EO201" s="89"/>
      <c r="EP201" s="89"/>
      <c r="EQ201" s="89"/>
      <c r="ER201" s="89"/>
      <c r="ES201" s="89"/>
      <c r="ET201" s="89"/>
      <c r="EU201" s="89"/>
      <c r="EV201" s="89"/>
      <c r="EW201" s="89"/>
      <c r="EX201" s="89"/>
      <c r="EY201" s="89"/>
      <c r="EZ201" s="89"/>
      <c r="FA201" s="89"/>
      <c r="FB201" s="89"/>
      <c r="FC201" s="89"/>
      <c r="FD201" s="89"/>
      <c r="FE201" s="89"/>
      <c r="FF201" s="89"/>
      <c r="FG201" s="89"/>
      <c r="FH201" s="89"/>
      <c r="FI201" s="89"/>
      <c r="FJ201" s="89"/>
      <c r="FK201" s="89"/>
      <c r="FL201" s="89"/>
      <c r="FM201" s="89"/>
      <c r="FN201" s="89"/>
      <c r="FO201" s="89"/>
      <c r="FP201" s="89"/>
      <c r="FQ201" s="89"/>
      <c r="FR201" s="89"/>
      <c r="FS201" s="89"/>
    </row>
    <row r="202" spans="1:253" s="23" customFormat="1" ht="5.25" customHeight="1">
      <c r="A202" s="1808"/>
      <c r="B202" s="416"/>
      <c r="C202" s="16"/>
      <c r="D202" s="16"/>
      <c r="E202" s="16"/>
      <c r="F202" s="16"/>
      <c r="G202" s="21"/>
      <c r="H202" s="21"/>
      <c r="I202" s="16"/>
      <c r="J202" s="16"/>
      <c r="K202" s="16"/>
      <c r="L202" s="16"/>
      <c r="M202" s="16"/>
      <c r="N202" s="21"/>
      <c r="O202" s="196"/>
      <c r="P202" s="921"/>
      <c r="Q202" s="989">
        <v>1</v>
      </c>
      <c r="R202" s="131"/>
      <c r="S202" s="131"/>
      <c r="T202" s="131"/>
      <c r="U202" s="131"/>
      <c r="V202" s="131"/>
      <c r="W202" s="132"/>
      <c r="X202" s="126"/>
      <c r="Y202" s="126"/>
      <c r="Z202" s="126"/>
      <c r="AA202" s="126"/>
      <c r="AB202" s="126"/>
      <c r="AC202" s="126"/>
      <c r="AD202" s="126"/>
      <c r="AE202" s="126"/>
      <c r="AF202" s="127"/>
      <c r="AG202" s="127"/>
      <c r="AH202" s="127"/>
      <c r="AI202" s="127"/>
      <c r="AJ202" s="127"/>
      <c r="AK202" s="127"/>
      <c r="AL202" s="127"/>
      <c r="AM202" s="127"/>
      <c r="AN202" s="127"/>
      <c r="AO202" s="127"/>
      <c r="AP202" s="127"/>
      <c r="AQ202" s="127"/>
      <c r="AR202" s="127"/>
      <c r="AS202" s="128"/>
      <c r="AT202" s="128"/>
      <c r="AU202" s="128"/>
      <c r="AV202" s="128"/>
      <c r="AW202" s="90"/>
      <c r="AX202" s="90"/>
      <c r="AY202" s="90"/>
      <c r="AZ202" s="90"/>
      <c r="BA202" s="90"/>
      <c r="BB202" s="90"/>
      <c r="BC202" s="90"/>
      <c r="BD202" s="90"/>
      <c r="BE202" s="90"/>
      <c r="BF202" s="90"/>
      <c r="BG202" s="90"/>
      <c r="BH202" s="90"/>
      <c r="BI202" s="90"/>
      <c r="BJ202" s="90"/>
      <c r="BK202" s="90"/>
      <c r="BL202" s="90"/>
      <c r="BM202" s="90"/>
      <c r="BN202" s="90"/>
      <c r="BO202" s="90"/>
      <c r="BP202" s="90"/>
      <c r="BQ202" s="90"/>
      <c r="BR202" s="90"/>
      <c r="BS202" s="90"/>
      <c r="BT202" s="90"/>
      <c r="BU202" s="90"/>
      <c r="BV202" s="90"/>
      <c r="BW202" s="90"/>
      <c r="BX202" s="90"/>
      <c r="BY202" s="90"/>
      <c r="BZ202" s="90"/>
      <c r="CA202" s="90"/>
      <c r="CB202" s="90"/>
      <c r="CC202" s="90"/>
      <c r="CD202" s="90"/>
      <c r="CE202" s="90"/>
      <c r="CF202" s="90"/>
      <c r="CG202" s="90"/>
      <c r="CH202" s="90"/>
      <c r="CI202" s="90"/>
      <c r="CJ202" s="90"/>
      <c r="CK202" s="90"/>
      <c r="CL202" s="90"/>
      <c r="CM202" s="90"/>
      <c r="CN202" s="90"/>
      <c r="CO202" s="90"/>
      <c r="CP202" s="90"/>
      <c r="CQ202" s="90"/>
      <c r="CR202" s="90"/>
      <c r="CS202" s="90"/>
      <c r="CT202" s="90"/>
      <c r="CU202" s="90"/>
      <c r="CV202" s="90"/>
      <c r="CW202" s="90"/>
      <c r="CX202" s="90"/>
      <c r="CY202" s="90"/>
      <c r="CZ202" s="90"/>
      <c r="DA202" s="117"/>
      <c r="DB202" s="117"/>
      <c r="DC202" s="117"/>
      <c r="DD202" s="117"/>
      <c r="DE202" s="117"/>
      <c r="DF202" s="117"/>
      <c r="DG202" s="117"/>
      <c r="DH202" s="117"/>
      <c r="DI202" s="117"/>
      <c r="DJ202" s="117"/>
      <c r="DK202" s="117"/>
      <c r="DL202" s="117"/>
      <c r="DM202" s="117"/>
      <c r="DN202" s="117"/>
      <c r="DO202" s="117"/>
      <c r="DP202" s="117"/>
      <c r="DQ202" s="117"/>
      <c r="DR202" s="117"/>
      <c r="DS202" s="117"/>
      <c r="DT202" s="117"/>
      <c r="DU202" s="117"/>
      <c r="DV202" s="117"/>
      <c r="DW202" s="117"/>
      <c r="DX202" s="117"/>
      <c r="DY202" s="117"/>
      <c r="DZ202" s="117"/>
      <c r="EA202" s="117"/>
      <c r="EB202" s="117"/>
      <c r="EC202" s="117"/>
      <c r="ED202" s="117"/>
      <c r="EE202" s="117"/>
      <c r="EF202" s="117"/>
      <c r="EG202" s="117"/>
      <c r="EH202" s="117"/>
      <c r="EI202" s="117"/>
      <c r="EJ202" s="89"/>
      <c r="EK202" s="89"/>
      <c r="EL202" s="89"/>
      <c r="EM202" s="89"/>
      <c r="EN202" s="89"/>
      <c r="EO202" s="89"/>
      <c r="EP202" s="89"/>
      <c r="EQ202" s="89"/>
      <c r="ER202" s="89"/>
      <c r="ES202" s="89"/>
      <c r="ET202" s="89"/>
      <c r="EU202" s="89"/>
      <c r="EV202" s="89"/>
      <c r="EW202" s="89"/>
      <c r="EX202" s="89"/>
      <c r="EY202" s="89"/>
      <c r="EZ202" s="89"/>
      <c r="FA202" s="89"/>
      <c r="FB202" s="89"/>
      <c r="FC202" s="89"/>
      <c r="FD202" s="89"/>
      <c r="FE202" s="89"/>
      <c r="FF202" s="89"/>
      <c r="FG202" s="89"/>
      <c r="FH202" s="89"/>
      <c r="FI202" s="89"/>
      <c r="FJ202" s="89"/>
      <c r="FK202" s="89"/>
      <c r="FL202" s="89"/>
      <c r="FM202" s="89"/>
      <c r="FN202" s="89"/>
      <c r="FO202" s="89"/>
      <c r="FP202" s="89"/>
      <c r="FQ202" s="89"/>
      <c r="FR202" s="89"/>
      <c r="FS202" s="89"/>
    </row>
    <row r="203" spans="1:253" s="23" customFormat="1" ht="15.9" customHeight="1">
      <c r="A203" s="1808"/>
      <c r="B203" s="416" t="s">
        <v>182</v>
      </c>
      <c r="C203" s="16" t="str">
        <f>IF(INDEX(Eingabedaten!$FV$10:$GE$54,nutzid,MATCH($B203,Eingabedaten!$FV$7:$GZ$7,0))=0,"",INDEX(Eingabedaten!$FV$10:$GE$54,nutzid,MATCH($B203,Eingabedaten!$FV$7:$GZ$7,0)))</f>
        <v/>
      </c>
      <c r="D203" s="16"/>
      <c r="E203" s="16"/>
      <c r="F203" s="16"/>
      <c r="G203" s="21"/>
      <c r="H203" s="21"/>
      <c r="I203" s="16"/>
      <c r="J203" s="16"/>
      <c r="K203" s="16"/>
      <c r="L203" s="16"/>
      <c r="M203" s="16"/>
      <c r="N203" s="21"/>
      <c r="O203" s="196"/>
      <c r="P203" s="921"/>
      <c r="Q203" s="989">
        <v>1</v>
      </c>
      <c r="R203" s="131"/>
      <c r="S203" s="131"/>
      <c r="T203" s="131"/>
      <c r="U203" s="131"/>
      <c r="V203" s="131"/>
      <c r="W203" s="132"/>
      <c r="X203" s="126"/>
      <c r="Y203" s="126"/>
      <c r="Z203" s="126"/>
      <c r="AA203" s="126"/>
      <c r="AB203" s="126"/>
      <c r="AC203" s="126"/>
      <c r="AD203" s="126"/>
      <c r="AE203" s="126"/>
      <c r="AF203" s="127"/>
      <c r="AG203" s="127"/>
      <c r="AH203" s="127"/>
      <c r="AI203" s="127"/>
      <c r="AJ203" s="127"/>
      <c r="AK203" s="127"/>
      <c r="AL203" s="127"/>
      <c r="AM203" s="127"/>
      <c r="AN203" s="127"/>
      <c r="AO203" s="127"/>
      <c r="AP203" s="127"/>
      <c r="AQ203" s="127"/>
      <c r="AR203" s="127"/>
      <c r="AS203" s="128"/>
      <c r="AT203" s="128"/>
      <c r="AU203" s="128"/>
      <c r="AV203" s="128"/>
      <c r="AW203" s="90"/>
      <c r="AX203" s="90"/>
      <c r="AY203" s="90"/>
      <c r="AZ203" s="90"/>
      <c r="BA203" s="90"/>
      <c r="BB203" s="90"/>
      <c r="BC203" s="90"/>
      <c r="BD203" s="90"/>
      <c r="BE203" s="90"/>
      <c r="BF203" s="90"/>
      <c r="BG203" s="90"/>
      <c r="BH203" s="90"/>
      <c r="BI203" s="90"/>
      <c r="BJ203" s="90"/>
      <c r="BK203" s="90"/>
      <c r="BL203" s="90"/>
      <c r="BM203" s="90"/>
      <c r="BN203" s="90"/>
      <c r="BO203" s="90"/>
      <c r="BP203" s="90"/>
      <c r="BQ203" s="90"/>
      <c r="BR203" s="90"/>
      <c r="BS203" s="90"/>
      <c r="BT203" s="90"/>
      <c r="BU203" s="90"/>
      <c r="BV203" s="90"/>
      <c r="BW203" s="90"/>
      <c r="BX203" s="90"/>
      <c r="BY203" s="90"/>
      <c r="BZ203" s="90"/>
      <c r="CA203" s="90"/>
      <c r="CB203" s="90"/>
      <c r="CC203" s="90"/>
      <c r="CD203" s="90"/>
      <c r="CE203" s="90"/>
      <c r="CF203" s="90"/>
      <c r="CG203" s="90"/>
      <c r="CH203" s="90"/>
      <c r="CI203" s="90"/>
      <c r="CJ203" s="90"/>
      <c r="CK203" s="90"/>
      <c r="CL203" s="90"/>
      <c r="CM203" s="90"/>
      <c r="CN203" s="90"/>
      <c r="CO203" s="90"/>
      <c r="CP203" s="90"/>
      <c r="CQ203" s="90"/>
      <c r="CR203" s="90"/>
      <c r="CS203" s="90"/>
      <c r="CT203" s="90"/>
      <c r="CU203" s="90"/>
      <c r="CV203" s="90"/>
      <c r="CW203" s="90"/>
      <c r="CX203" s="90"/>
      <c r="CY203" s="90"/>
      <c r="CZ203" s="90"/>
      <c r="DA203" s="117"/>
      <c r="DB203" s="117"/>
      <c r="DC203" s="117"/>
      <c r="DD203" s="117"/>
      <c r="DE203" s="117"/>
      <c r="DF203" s="117"/>
      <c r="DG203" s="117"/>
      <c r="DH203" s="117"/>
      <c r="DI203" s="117"/>
      <c r="DJ203" s="117"/>
      <c r="DK203" s="117"/>
      <c r="DL203" s="117"/>
      <c r="DM203" s="117"/>
      <c r="DN203" s="117"/>
      <c r="DO203" s="117"/>
      <c r="DP203" s="117"/>
      <c r="DQ203" s="117"/>
      <c r="DR203" s="117"/>
      <c r="DS203" s="117"/>
      <c r="DT203" s="117"/>
      <c r="DU203" s="117"/>
      <c r="DV203" s="117"/>
      <c r="DW203" s="117"/>
      <c r="DX203" s="117"/>
      <c r="DY203" s="117"/>
      <c r="DZ203" s="117"/>
      <c r="EA203" s="117"/>
      <c r="EB203" s="117"/>
      <c r="EC203" s="117"/>
      <c r="ED203" s="117"/>
      <c r="EE203" s="117"/>
      <c r="EF203" s="117"/>
      <c r="EG203" s="117"/>
      <c r="EH203" s="117"/>
      <c r="EI203" s="117"/>
      <c r="EJ203" s="89"/>
      <c r="EK203" s="89"/>
      <c r="EL203" s="89"/>
      <c r="EM203" s="89"/>
      <c r="EN203" s="89"/>
      <c r="EO203" s="89"/>
      <c r="EP203" s="89"/>
      <c r="EQ203" s="89"/>
      <c r="ER203" s="89"/>
      <c r="ES203" s="89"/>
      <c r="ET203" s="89"/>
      <c r="EU203" s="89"/>
      <c r="EV203" s="89"/>
      <c r="EW203" s="89"/>
      <c r="EX203" s="89"/>
      <c r="EY203" s="89"/>
      <c r="EZ203" s="89"/>
      <c r="FA203" s="89"/>
      <c r="FB203" s="89"/>
      <c r="FC203" s="89"/>
      <c r="FD203" s="89"/>
      <c r="FE203" s="89"/>
      <c r="FF203" s="89"/>
      <c r="FG203" s="89"/>
      <c r="FH203" s="89"/>
      <c r="FI203" s="89"/>
      <c r="FJ203" s="89"/>
      <c r="FK203" s="89"/>
      <c r="FL203" s="89"/>
      <c r="FM203" s="89"/>
      <c r="FN203" s="89"/>
      <c r="FO203" s="89"/>
      <c r="FP203" s="89"/>
      <c r="FQ203" s="89"/>
      <c r="FR203" s="89"/>
      <c r="FS203" s="89"/>
    </row>
    <row r="204" spans="1:253" s="23" customFormat="1" ht="5.25" customHeight="1">
      <c r="A204" s="1808"/>
      <c r="B204" s="416"/>
      <c r="C204" s="16"/>
      <c r="D204" s="16"/>
      <c r="E204" s="16"/>
      <c r="F204" s="16"/>
      <c r="G204" s="21"/>
      <c r="H204" s="21"/>
      <c r="I204" s="16"/>
      <c r="J204" s="16"/>
      <c r="K204" s="16"/>
      <c r="L204" s="16"/>
      <c r="M204" s="16"/>
      <c r="N204" s="21"/>
      <c r="O204" s="196"/>
      <c r="P204" s="921"/>
      <c r="Q204" s="989">
        <v>1</v>
      </c>
      <c r="R204" s="131"/>
      <c r="S204" s="131"/>
      <c r="T204" s="131"/>
      <c r="U204" s="131"/>
      <c r="V204" s="131"/>
      <c r="W204" s="132"/>
      <c r="X204" s="126"/>
      <c r="Y204" s="126"/>
      <c r="Z204" s="126"/>
      <c r="AA204" s="126"/>
      <c r="AB204" s="126"/>
      <c r="AC204" s="126"/>
      <c r="AD204" s="126"/>
      <c r="AE204" s="126"/>
      <c r="AF204" s="127"/>
      <c r="AG204" s="127"/>
      <c r="AH204" s="127"/>
      <c r="AI204" s="127"/>
      <c r="AJ204" s="127"/>
      <c r="AK204" s="127"/>
      <c r="AL204" s="127"/>
      <c r="AM204" s="127"/>
      <c r="AN204" s="127"/>
      <c r="AO204" s="127"/>
      <c r="AP204" s="127"/>
      <c r="AQ204" s="127"/>
      <c r="AR204" s="127"/>
      <c r="AS204" s="128"/>
      <c r="AT204" s="128"/>
      <c r="AU204" s="128"/>
      <c r="AV204" s="128"/>
      <c r="AW204" s="90"/>
      <c r="AX204" s="90"/>
      <c r="AY204" s="90"/>
      <c r="AZ204" s="90"/>
      <c r="BA204" s="90"/>
      <c r="BB204" s="90"/>
      <c r="BC204" s="90"/>
      <c r="BD204" s="90"/>
      <c r="BE204" s="90"/>
      <c r="BF204" s="90"/>
      <c r="BG204" s="90"/>
      <c r="BH204" s="90"/>
      <c r="BI204" s="90"/>
      <c r="BJ204" s="90"/>
      <c r="BK204" s="90"/>
      <c r="BL204" s="90"/>
      <c r="BM204" s="90"/>
      <c r="BN204" s="90"/>
      <c r="BO204" s="90"/>
      <c r="BP204" s="90"/>
      <c r="BQ204" s="90"/>
      <c r="BR204" s="90"/>
      <c r="BS204" s="90"/>
      <c r="BT204" s="90"/>
      <c r="BU204" s="90"/>
      <c r="BV204" s="90"/>
      <c r="BW204" s="90"/>
      <c r="BX204" s="90"/>
      <c r="BY204" s="90"/>
      <c r="BZ204" s="90"/>
      <c r="CA204" s="90"/>
      <c r="CB204" s="90"/>
      <c r="CC204" s="90"/>
      <c r="CD204" s="90"/>
      <c r="CE204" s="90"/>
      <c r="CF204" s="90"/>
      <c r="CG204" s="90"/>
      <c r="CH204" s="90"/>
      <c r="CI204" s="90"/>
      <c r="CJ204" s="90"/>
      <c r="CK204" s="90"/>
      <c r="CL204" s="90"/>
      <c r="CM204" s="90"/>
      <c r="CN204" s="90"/>
      <c r="CO204" s="90"/>
      <c r="CP204" s="90"/>
      <c r="CQ204" s="90"/>
      <c r="CR204" s="90"/>
      <c r="CS204" s="90"/>
      <c r="CT204" s="90"/>
      <c r="CU204" s="90"/>
      <c r="CV204" s="90"/>
      <c r="CW204" s="90"/>
      <c r="CX204" s="90"/>
      <c r="CY204" s="90"/>
      <c r="CZ204" s="90"/>
      <c r="DA204" s="117"/>
      <c r="DB204" s="117"/>
      <c r="DC204" s="117"/>
      <c r="DD204" s="117"/>
      <c r="DE204" s="117"/>
      <c r="DF204" s="117"/>
      <c r="DG204" s="117"/>
      <c r="DH204" s="117"/>
      <c r="DI204" s="117"/>
      <c r="DJ204" s="117"/>
      <c r="DK204" s="117"/>
      <c r="DL204" s="117"/>
      <c r="DM204" s="117"/>
      <c r="DN204" s="117"/>
      <c r="DO204" s="117"/>
      <c r="DP204" s="117"/>
      <c r="DQ204" s="117"/>
      <c r="DR204" s="117"/>
      <c r="DS204" s="117"/>
      <c r="DT204" s="117"/>
      <c r="DU204" s="117"/>
      <c r="DV204" s="117"/>
      <c r="DW204" s="117"/>
      <c r="DX204" s="117"/>
      <c r="DY204" s="117"/>
      <c r="DZ204" s="117"/>
      <c r="EA204" s="117"/>
      <c r="EB204" s="117"/>
      <c r="EC204" s="117"/>
      <c r="ED204" s="117"/>
      <c r="EE204" s="117"/>
      <c r="EF204" s="117"/>
      <c r="EG204" s="117"/>
      <c r="EH204" s="117"/>
      <c r="EI204" s="117"/>
      <c r="EJ204" s="89"/>
      <c r="EK204" s="89"/>
      <c r="EL204" s="89"/>
      <c r="EM204" s="89"/>
      <c r="EN204" s="89"/>
      <c r="EO204" s="89"/>
      <c r="EP204" s="89"/>
      <c r="EQ204" s="89"/>
      <c r="ER204" s="89"/>
      <c r="ES204" s="89"/>
      <c r="ET204" s="89"/>
      <c r="EU204" s="89"/>
      <c r="EV204" s="89"/>
      <c r="EW204" s="89"/>
      <c r="EX204" s="89"/>
      <c r="EY204" s="89"/>
      <c r="EZ204" s="89"/>
      <c r="FA204" s="89"/>
      <c r="FB204" s="89"/>
      <c r="FC204" s="89"/>
      <c r="FD204" s="89"/>
      <c r="FE204" s="89"/>
      <c r="FF204" s="89"/>
      <c r="FG204" s="89"/>
      <c r="FH204" s="89"/>
      <c r="FI204" s="89"/>
      <c r="FJ204" s="89"/>
      <c r="FK204" s="89"/>
      <c r="FL204" s="89"/>
      <c r="FM204" s="89"/>
      <c r="FN204" s="89"/>
      <c r="FO204" s="89"/>
      <c r="FP204" s="89"/>
      <c r="FQ204" s="89"/>
      <c r="FR204" s="89"/>
      <c r="FS204" s="89"/>
    </row>
    <row r="205" spans="1:253" s="23" customFormat="1" ht="15.9" customHeight="1">
      <c r="A205" s="1808"/>
      <c r="B205" s="416" t="s">
        <v>183</v>
      </c>
      <c r="C205" s="16" t="str">
        <f>IF(INDEX(Eingabedaten!$FV$10:$GE$54,nutzid,MATCH($B205,Eingabedaten!$FV$7:$GZ$7,0))=0,"",INDEX(Eingabedaten!$FV$10:$GE$54,nutzid,MATCH($B205,Eingabedaten!$FV$7:$GZ$7,0)))</f>
        <v>- Wasser- und Warmwasserbedarf pro Person, ohne Personalrestaurant</v>
      </c>
      <c r="D205" s="16"/>
      <c r="E205" s="16"/>
      <c r="F205" s="16"/>
      <c r="G205" s="21"/>
      <c r="H205" s="21"/>
      <c r="I205" s="16"/>
      <c r="J205" s="16"/>
      <c r="K205" s="16"/>
      <c r="L205" s="16"/>
      <c r="M205" s="16"/>
      <c r="N205" s="21"/>
      <c r="O205" s="196"/>
      <c r="P205" s="921"/>
      <c r="Q205" s="989">
        <v>1</v>
      </c>
      <c r="R205" s="131"/>
      <c r="S205" s="131"/>
      <c r="T205" s="131"/>
      <c r="U205" s="131"/>
      <c r="V205" s="131"/>
      <c r="W205" s="132"/>
      <c r="X205" s="126"/>
      <c r="Y205" s="126"/>
      <c r="Z205" s="126"/>
      <c r="AA205" s="126"/>
      <c r="AB205" s="126"/>
      <c r="AC205" s="126"/>
      <c r="AD205" s="126"/>
      <c r="AE205" s="126"/>
      <c r="AF205" s="127"/>
      <c r="AG205" s="127"/>
      <c r="AH205" s="127"/>
      <c r="AI205" s="127"/>
      <c r="AJ205" s="127"/>
      <c r="AK205" s="127"/>
      <c r="AL205" s="127"/>
      <c r="AM205" s="127"/>
      <c r="AN205" s="127"/>
      <c r="AO205" s="127"/>
      <c r="AP205" s="127"/>
      <c r="AQ205" s="127"/>
      <c r="AR205" s="127"/>
      <c r="AS205" s="128"/>
      <c r="AT205" s="128"/>
      <c r="AU205" s="128"/>
      <c r="AV205" s="128"/>
      <c r="AW205" s="90"/>
      <c r="AX205" s="90"/>
      <c r="AY205" s="90"/>
      <c r="AZ205" s="90"/>
      <c r="BA205" s="90"/>
      <c r="BB205" s="90"/>
      <c r="BC205" s="90"/>
      <c r="BD205" s="90"/>
      <c r="BE205" s="90"/>
      <c r="BF205" s="90"/>
      <c r="BG205" s="90"/>
      <c r="BH205" s="90"/>
      <c r="BI205" s="90"/>
      <c r="BJ205" s="90"/>
      <c r="BK205" s="90"/>
      <c r="BL205" s="90"/>
      <c r="BM205" s="90"/>
      <c r="BN205" s="90"/>
      <c r="BO205" s="90"/>
      <c r="BP205" s="90"/>
      <c r="BQ205" s="90"/>
      <c r="BR205" s="90"/>
      <c r="BS205" s="90"/>
      <c r="BT205" s="90"/>
      <c r="BU205" s="90"/>
      <c r="BV205" s="90"/>
      <c r="BW205" s="90"/>
      <c r="BX205" s="90"/>
      <c r="BY205" s="90"/>
      <c r="BZ205" s="90"/>
      <c r="CA205" s="90"/>
      <c r="CB205" s="90"/>
      <c r="CC205" s="90"/>
      <c r="CD205" s="90"/>
      <c r="CE205" s="90"/>
      <c r="CF205" s="90"/>
      <c r="CG205" s="90"/>
      <c r="CH205" s="90"/>
      <c r="CI205" s="90"/>
      <c r="CJ205" s="90"/>
      <c r="CK205" s="90"/>
      <c r="CL205" s="90"/>
      <c r="CM205" s="90"/>
      <c r="CN205" s="90"/>
      <c r="CO205" s="90"/>
      <c r="CP205" s="90"/>
      <c r="CQ205" s="90"/>
      <c r="CR205" s="90"/>
      <c r="CS205" s="90"/>
      <c r="CT205" s="90"/>
      <c r="CU205" s="90"/>
      <c r="CV205" s="90"/>
      <c r="CW205" s="90"/>
      <c r="CX205" s="90"/>
      <c r="CY205" s="90"/>
      <c r="CZ205" s="90"/>
      <c r="DA205" s="117"/>
      <c r="DB205" s="117"/>
      <c r="DC205" s="117"/>
      <c r="DD205" s="117"/>
      <c r="DE205" s="117"/>
      <c r="DF205" s="117"/>
      <c r="DG205" s="117"/>
      <c r="DH205" s="117"/>
      <c r="DI205" s="117"/>
      <c r="DJ205" s="117"/>
      <c r="DK205" s="117"/>
      <c r="DL205" s="117"/>
      <c r="DM205" s="117"/>
      <c r="DN205" s="117"/>
      <c r="DO205" s="117"/>
      <c r="DP205" s="117"/>
      <c r="DQ205" s="117"/>
      <c r="DR205" s="117"/>
      <c r="DS205" s="117"/>
      <c r="DT205" s="117"/>
      <c r="DU205" s="117"/>
      <c r="DV205" s="117"/>
      <c r="DW205" s="117"/>
      <c r="DX205" s="117"/>
      <c r="DY205" s="117"/>
      <c r="DZ205" s="117"/>
      <c r="EA205" s="117"/>
      <c r="EB205" s="117"/>
      <c r="EC205" s="117"/>
      <c r="ED205" s="117"/>
      <c r="EE205" s="117"/>
      <c r="EF205" s="117"/>
      <c r="EG205" s="117"/>
      <c r="EH205" s="117"/>
      <c r="EI205" s="117"/>
      <c r="EJ205" s="89"/>
      <c r="EK205" s="89"/>
      <c r="EL205" s="89"/>
      <c r="EM205" s="89"/>
      <c r="EN205" s="89"/>
      <c r="EO205" s="89"/>
      <c r="EP205" s="89"/>
      <c r="EQ205" s="89"/>
      <c r="ER205" s="89"/>
      <c r="ES205" s="89"/>
      <c r="ET205" s="89"/>
      <c r="EU205" s="89"/>
      <c r="EV205" s="89"/>
      <c r="EW205" s="89"/>
      <c r="EX205" s="89"/>
      <c r="EY205" s="89"/>
      <c r="EZ205" s="89"/>
      <c r="FA205" s="89"/>
      <c r="FB205" s="89"/>
      <c r="FC205" s="89"/>
      <c r="FD205" s="89"/>
      <c r="FE205" s="89"/>
      <c r="FF205" s="89"/>
      <c r="FG205" s="89"/>
      <c r="FH205" s="89"/>
      <c r="FI205" s="89"/>
      <c r="FJ205" s="89"/>
      <c r="FK205" s="89"/>
      <c r="FL205" s="89"/>
      <c r="FM205" s="89"/>
      <c r="FN205" s="89"/>
      <c r="FO205" s="89"/>
      <c r="FP205" s="89"/>
      <c r="FQ205" s="89"/>
      <c r="FR205" s="89"/>
      <c r="FS205" s="89"/>
    </row>
    <row r="206" spans="1:253" s="23" customFormat="1" ht="5.25" customHeight="1">
      <c r="A206" s="1808"/>
      <c r="B206" s="416"/>
      <c r="C206" s="16"/>
      <c r="D206" s="16"/>
      <c r="E206" s="16"/>
      <c r="F206" s="16"/>
      <c r="G206" s="21"/>
      <c r="H206" s="21"/>
      <c r="I206" s="16"/>
      <c r="J206" s="16"/>
      <c r="K206" s="16"/>
      <c r="L206" s="16"/>
      <c r="M206" s="16"/>
      <c r="N206" s="21"/>
      <c r="O206" s="196"/>
      <c r="P206" s="921"/>
      <c r="Q206" s="989">
        <v>1</v>
      </c>
      <c r="R206" s="131"/>
      <c r="S206" s="131"/>
      <c r="T206" s="131"/>
      <c r="U206" s="131"/>
      <c r="V206" s="131"/>
      <c r="W206" s="132"/>
      <c r="X206" s="126"/>
      <c r="Y206" s="126"/>
      <c r="Z206" s="126"/>
      <c r="AA206" s="126"/>
      <c r="AB206" s="126"/>
      <c r="AC206" s="126"/>
      <c r="AD206" s="126"/>
      <c r="AE206" s="126"/>
      <c r="AF206" s="127"/>
      <c r="AG206" s="127"/>
      <c r="AH206" s="127"/>
      <c r="AI206" s="127"/>
      <c r="AJ206" s="127"/>
      <c r="AK206" s="127"/>
      <c r="AL206" s="127"/>
      <c r="AM206" s="127"/>
      <c r="AN206" s="127"/>
      <c r="AO206" s="127"/>
      <c r="AP206" s="127"/>
      <c r="AQ206" s="127"/>
      <c r="AR206" s="127"/>
      <c r="AS206" s="128"/>
      <c r="AT206" s="128"/>
      <c r="AU206" s="128"/>
      <c r="AV206" s="128"/>
      <c r="AW206" s="90"/>
      <c r="AX206" s="90"/>
      <c r="AY206" s="90"/>
      <c r="AZ206" s="90"/>
      <c r="BA206" s="90"/>
      <c r="BB206" s="90"/>
      <c r="BC206" s="90"/>
      <c r="BD206" s="90"/>
      <c r="BE206" s="90"/>
      <c r="BF206" s="90"/>
      <c r="BG206" s="90"/>
      <c r="BH206" s="90"/>
      <c r="BI206" s="90"/>
      <c r="BJ206" s="90"/>
      <c r="BK206" s="90"/>
      <c r="BL206" s="90"/>
      <c r="BM206" s="90"/>
      <c r="BN206" s="90"/>
      <c r="BO206" s="90"/>
      <c r="BP206" s="90"/>
      <c r="BQ206" s="90"/>
      <c r="BR206" s="90"/>
      <c r="BS206" s="90"/>
      <c r="BT206" s="90"/>
      <c r="BU206" s="90"/>
      <c r="BV206" s="90"/>
      <c r="BW206" s="90"/>
      <c r="BX206" s="90"/>
      <c r="BY206" s="90"/>
      <c r="BZ206" s="90"/>
      <c r="CA206" s="90"/>
      <c r="CB206" s="90"/>
      <c r="CC206" s="90"/>
      <c r="CD206" s="90"/>
      <c r="CE206" s="90"/>
      <c r="CF206" s="90"/>
      <c r="CG206" s="90"/>
      <c r="CH206" s="90"/>
      <c r="CI206" s="90"/>
      <c r="CJ206" s="90"/>
      <c r="CK206" s="90"/>
      <c r="CL206" s="90"/>
      <c r="CM206" s="90"/>
      <c r="CN206" s="90"/>
      <c r="CO206" s="90"/>
      <c r="CP206" s="90"/>
      <c r="CQ206" s="90"/>
      <c r="CR206" s="90"/>
      <c r="CS206" s="90"/>
      <c r="CT206" s="90"/>
      <c r="CU206" s="90"/>
      <c r="CV206" s="90"/>
      <c r="CW206" s="90"/>
      <c r="CX206" s="90"/>
      <c r="CY206" s="90"/>
      <c r="CZ206" s="90"/>
      <c r="DA206" s="117"/>
      <c r="DB206" s="117"/>
      <c r="DC206" s="117"/>
      <c r="DD206" s="117"/>
      <c r="DE206" s="117"/>
      <c r="DF206" s="117"/>
      <c r="DG206" s="117"/>
      <c r="DH206" s="117"/>
      <c r="DI206" s="117"/>
      <c r="DJ206" s="117"/>
      <c r="DK206" s="117"/>
      <c r="DL206" s="117"/>
      <c r="DM206" s="117"/>
      <c r="DN206" s="117"/>
      <c r="DO206" s="117"/>
      <c r="DP206" s="117"/>
      <c r="DQ206" s="117"/>
      <c r="DR206" s="117"/>
      <c r="DS206" s="117"/>
      <c r="DT206" s="117"/>
      <c r="DU206" s="117"/>
      <c r="DV206" s="117"/>
      <c r="DW206" s="117"/>
      <c r="DX206" s="117"/>
      <c r="DY206" s="117"/>
      <c r="DZ206" s="117"/>
      <c r="EA206" s="117"/>
      <c r="EB206" s="117"/>
      <c r="EC206" s="117"/>
      <c r="ED206" s="117"/>
      <c r="EE206" s="117"/>
      <c r="EF206" s="117"/>
      <c r="EG206" s="117"/>
      <c r="EH206" s="117"/>
      <c r="EI206" s="117"/>
      <c r="EJ206" s="89"/>
      <c r="EK206" s="89"/>
      <c r="EL206" s="89"/>
      <c r="EM206" s="89"/>
      <c r="EN206" s="89"/>
      <c r="EO206" s="89"/>
      <c r="EP206" s="89"/>
      <c r="EQ206" s="89"/>
      <c r="ER206" s="89"/>
      <c r="ES206" s="89"/>
      <c r="ET206" s="89"/>
      <c r="EU206" s="89"/>
      <c r="EV206" s="89"/>
      <c r="EW206" s="89"/>
      <c r="EX206" s="89"/>
      <c r="EY206" s="89"/>
      <c r="EZ206" s="89"/>
      <c r="FA206" s="89"/>
      <c r="FB206" s="89"/>
      <c r="FC206" s="89"/>
      <c r="FD206" s="89"/>
      <c r="FE206" s="89"/>
      <c r="FF206" s="89"/>
      <c r="FG206" s="89"/>
      <c r="FH206" s="89"/>
      <c r="FI206" s="89"/>
      <c r="FJ206" s="89"/>
      <c r="FK206" s="89"/>
      <c r="FL206" s="89"/>
      <c r="FM206" s="89"/>
      <c r="FN206" s="89"/>
      <c r="FO206" s="89"/>
      <c r="FP206" s="89"/>
      <c r="FQ206" s="89"/>
      <c r="FR206" s="89"/>
      <c r="FS206" s="89"/>
    </row>
    <row r="207" spans="1:253" s="23" customFormat="1" ht="15.9" customHeight="1">
      <c r="A207" s="1808"/>
      <c r="B207" s="416" t="s">
        <v>184</v>
      </c>
      <c r="C207" s="16" t="str">
        <f>IF(INDEX(Eingabedaten!$FV$10:$GE$54,nutzid,MATCH($B207,Eingabedaten!$FV$7:$GZ$7,0))=0,"",INDEX(Eingabedaten!$FV$10:$GE$54,nutzid,MATCH($B207,Eingabedaten!$FV$7:$GZ$7,0)))</f>
        <v/>
      </c>
      <c r="D207" s="16"/>
      <c r="E207" s="16"/>
      <c r="F207" s="16"/>
      <c r="G207" s="21"/>
      <c r="H207" s="21"/>
      <c r="I207" s="16"/>
      <c r="J207" s="16"/>
      <c r="K207" s="16"/>
      <c r="L207" s="16"/>
      <c r="M207" s="16"/>
      <c r="N207" s="21"/>
      <c r="O207" s="196"/>
      <c r="P207" s="921"/>
      <c r="Q207" s="989">
        <v>1</v>
      </c>
      <c r="R207" s="131"/>
      <c r="S207" s="131"/>
      <c r="T207" s="131"/>
      <c r="U207" s="131"/>
      <c r="V207" s="131"/>
      <c r="W207" s="132"/>
      <c r="X207" s="126"/>
      <c r="Y207" s="126"/>
      <c r="Z207" s="126"/>
      <c r="AA207" s="126"/>
      <c r="AB207" s="126"/>
      <c r="AC207" s="126"/>
      <c r="AD207" s="126"/>
      <c r="AE207" s="126"/>
      <c r="AF207" s="127"/>
      <c r="AG207" s="127"/>
      <c r="AH207" s="127"/>
      <c r="AI207" s="127"/>
      <c r="AJ207" s="127"/>
      <c r="AK207" s="127"/>
      <c r="AL207" s="127"/>
      <c r="AM207" s="127"/>
      <c r="AN207" s="127"/>
      <c r="AO207" s="127"/>
      <c r="AP207" s="127"/>
      <c r="AQ207" s="127"/>
      <c r="AR207" s="127"/>
      <c r="AS207" s="128"/>
      <c r="AT207" s="128"/>
      <c r="AU207" s="128"/>
      <c r="AV207" s="128"/>
      <c r="AW207" s="90"/>
      <c r="AX207" s="90"/>
      <c r="AY207" s="90"/>
      <c r="AZ207" s="90"/>
      <c r="BA207" s="90"/>
      <c r="BB207" s="90"/>
      <c r="BC207" s="90"/>
      <c r="BD207" s="90"/>
      <c r="BE207" s="90"/>
      <c r="BF207" s="90"/>
      <c r="BG207" s="90"/>
      <c r="BH207" s="90"/>
      <c r="BI207" s="90"/>
      <c r="BJ207" s="90"/>
      <c r="BK207" s="90"/>
      <c r="BL207" s="90"/>
      <c r="BM207" s="90"/>
      <c r="BN207" s="90"/>
      <c r="BO207" s="90"/>
      <c r="BP207" s="90"/>
      <c r="BQ207" s="90"/>
      <c r="BR207" s="90"/>
      <c r="BS207" s="90"/>
      <c r="BT207" s="90"/>
      <c r="BU207" s="90"/>
      <c r="BV207" s="90"/>
      <c r="BW207" s="90"/>
      <c r="BX207" s="90"/>
      <c r="BY207" s="90"/>
      <c r="BZ207" s="90"/>
      <c r="CA207" s="90"/>
      <c r="CB207" s="90"/>
      <c r="CC207" s="90"/>
      <c r="CD207" s="90"/>
      <c r="CE207" s="90"/>
      <c r="CF207" s="90"/>
      <c r="CG207" s="90"/>
      <c r="CH207" s="90"/>
      <c r="CI207" s="90"/>
      <c r="CJ207" s="90"/>
      <c r="CK207" s="90"/>
      <c r="CL207" s="90"/>
      <c r="CM207" s="90"/>
      <c r="CN207" s="90"/>
      <c r="CO207" s="90"/>
      <c r="CP207" s="90"/>
      <c r="CQ207" s="90"/>
      <c r="CR207" s="90"/>
      <c r="CS207" s="90"/>
      <c r="CT207" s="90"/>
      <c r="CU207" s="90"/>
      <c r="CV207" s="90"/>
      <c r="CW207" s="90"/>
      <c r="CX207" s="90"/>
      <c r="CY207" s="90"/>
      <c r="CZ207" s="90"/>
      <c r="DA207" s="117"/>
      <c r="DB207" s="117"/>
      <c r="DC207" s="117"/>
      <c r="DD207" s="117"/>
      <c r="DE207" s="117"/>
      <c r="DF207" s="117"/>
      <c r="DG207" s="117"/>
      <c r="DH207" s="117"/>
      <c r="DI207" s="117"/>
      <c r="DJ207" s="117"/>
      <c r="DK207" s="117"/>
      <c r="DL207" s="117"/>
      <c r="DM207" s="117"/>
      <c r="DN207" s="117"/>
      <c r="DO207" s="117"/>
      <c r="DP207" s="117"/>
      <c r="DQ207" s="117"/>
      <c r="DR207" s="117"/>
      <c r="DS207" s="117"/>
      <c r="DT207" s="117"/>
      <c r="DU207" s="117"/>
      <c r="DV207" s="117"/>
      <c r="DW207" s="117"/>
      <c r="DX207" s="117"/>
      <c r="DY207" s="117"/>
      <c r="DZ207" s="117"/>
      <c r="EA207" s="117"/>
      <c r="EB207" s="117"/>
      <c r="EC207" s="117"/>
      <c r="ED207" s="117"/>
      <c r="EE207" s="117"/>
      <c r="EF207" s="117"/>
      <c r="EG207" s="117"/>
      <c r="EH207" s="117"/>
      <c r="EI207" s="117"/>
      <c r="EJ207" s="89"/>
      <c r="EK207" s="89"/>
      <c r="EL207" s="89"/>
      <c r="EM207" s="89"/>
      <c r="EN207" s="89"/>
      <c r="EO207" s="89"/>
      <c r="EP207" s="89"/>
      <c r="EQ207" s="89"/>
      <c r="ER207" s="89"/>
      <c r="ES207" s="89"/>
      <c r="ET207" s="89"/>
      <c r="EU207" s="89"/>
      <c r="EV207" s="89"/>
      <c r="EW207" s="89"/>
      <c r="EX207" s="89"/>
      <c r="EY207" s="89"/>
      <c r="EZ207" s="89"/>
      <c r="FA207" s="89"/>
      <c r="FB207" s="89"/>
      <c r="FC207" s="89"/>
      <c r="FD207" s="89"/>
      <c r="FE207" s="89"/>
      <c r="FF207" s="89"/>
      <c r="FG207" s="89"/>
      <c r="FH207" s="89"/>
      <c r="FI207" s="89"/>
      <c r="FJ207" s="89"/>
      <c r="FK207" s="89"/>
      <c r="FL207" s="89"/>
      <c r="FM207" s="89"/>
      <c r="FN207" s="89"/>
      <c r="FO207" s="89"/>
      <c r="FP207" s="89"/>
      <c r="FQ207" s="89"/>
      <c r="FR207" s="89"/>
      <c r="FS207" s="89"/>
    </row>
    <row r="208" spans="1:253" s="23" customFormat="1" ht="5.25" customHeight="1">
      <c r="A208" s="1808"/>
      <c r="B208" s="416"/>
      <c r="C208" s="16"/>
      <c r="D208" s="16"/>
      <c r="E208" s="16"/>
      <c r="F208" s="16"/>
      <c r="G208" s="21"/>
      <c r="H208" s="21"/>
      <c r="I208" s="16"/>
      <c r="J208" s="16"/>
      <c r="K208" s="16"/>
      <c r="L208" s="16"/>
      <c r="M208" s="16"/>
      <c r="N208" s="21"/>
      <c r="O208" s="196"/>
      <c r="P208" s="921"/>
      <c r="Q208" s="989">
        <v>1</v>
      </c>
      <c r="R208" s="131"/>
      <c r="S208" s="131"/>
      <c r="T208" s="131"/>
      <c r="U208" s="131"/>
      <c r="V208" s="131"/>
      <c r="W208" s="132"/>
      <c r="X208" s="126"/>
      <c r="Y208" s="126"/>
      <c r="Z208" s="126"/>
      <c r="AA208" s="126"/>
      <c r="AB208" s="126"/>
      <c r="AC208" s="126"/>
      <c r="AD208" s="126"/>
      <c r="AE208" s="126"/>
      <c r="AF208" s="127"/>
      <c r="AG208" s="127"/>
      <c r="AH208" s="127"/>
      <c r="AI208" s="127"/>
      <c r="AJ208" s="127"/>
      <c r="AK208" s="127"/>
      <c r="AL208" s="127"/>
      <c r="AM208" s="127"/>
      <c r="AN208" s="127"/>
      <c r="AO208" s="127"/>
      <c r="AP208" s="127"/>
      <c r="AQ208" s="127"/>
      <c r="AR208" s="127"/>
      <c r="AS208" s="128"/>
      <c r="AT208" s="128"/>
      <c r="AU208" s="128"/>
      <c r="AV208" s="128"/>
      <c r="AW208" s="90"/>
      <c r="AX208" s="90"/>
      <c r="AY208" s="90"/>
      <c r="AZ208" s="90"/>
      <c r="BA208" s="90"/>
      <c r="BB208" s="90"/>
      <c r="BC208" s="90"/>
      <c r="BD208" s="90"/>
      <c r="BE208" s="90"/>
      <c r="BF208" s="90"/>
      <c r="BG208" s="90"/>
      <c r="BH208" s="90"/>
      <c r="BI208" s="90"/>
      <c r="BJ208" s="90"/>
      <c r="BK208" s="90"/>
      <c r="BL208" s="90"/>
      <c r="BM208" s="90"/>
      <c r="BN208" s="90"/>
      <c r="BO208" s="90"/>
      <c r="BP208" s="90"/>
      <c r="BQ208" s="90"/>
      <c r="BR208" s="90"/>
      <c r="BS208" s="90"/>
      <c r="BT208" s="90"/>
      <c r="BU208" s="90"/>
      <c r="BV208" s="90"/>
      <c r="BW208" s="90"/>
      <c r="BX208" s="90"/>
      <c r="BY208" s="90"/>
      <c r="BZ208" s="90"/>
      <c r="CA208" s="90"/>
      <c r="CB208" s="90"/>
      <c r="CC208" s="90"/>
      <c r="CD208" s="90"/>
      <c r="CE208" s="90"/>
      <c r="CF208" s="90"/>
      <c r="CG208" s="90"/>
      <c r="CH208" s="90"/>
      <c r="CI208" s="90"/>
      <c r="CJ208" s="90"/>
      <c r="CK208" s="90"/>
      <c r="CL208" s="90"/>
      <c r="CM208" s="90"/>
      <c r="CN208" s="90"/>
      <c r="CO208" s="90"/>
      <c r="CP208" s="90"/>
      <c r="CQ208" s="90"/>
      <c r="CR208" s="90"/>
      <c r="CS208" s="90"/>
      <c r="CT208" s="90"/>
      <c r="CU208" s="90"/>
      <c r="CV208" s="90"/>
      <c r="CW208" s="90"/>
      <c r="CX208" s="90"/>
      <c r="CY208" s="90"/>
      <c r="CZ208" s="90"/>
      <c r="DA208" s="117"/>
      <c r="DB208" s="117"/>
      <c r="DC208" s="117"/>
      <c r="DD208" s="117"/>
      <c r="DE208" s="117"/>
      <c r="DF208" s="117"/>
      <c r="DG208" s="117"/>
      <c r="DH208" s="117"/>
      <c r="DI208" s="117"/>
      <c r="DJ208" s="117"/>
      <c r="DK208" s="117"/>
      <c r="DL208" s="117"/>
      <c r="DM208" s="117"/>
      <c r="DN208" s="117"/>
      <c r="DO208" s="117"/>
      <c r="DP208" s="117"/>
      <c r="DQ208" s="117"/>
      <c r="DR208" s="117"/>
      <c r="DS208" s="117"/>
      <c r="DT208" s="117"/>
      <c r="DU208" s="117"/>
      <c r="DV208" s="117"/>
      <c r="DW208" s="117"/>
      <c r="DX208" s="117"/>
      <c r="DY208" s="117"/>
      <c r="DZ208" s="117"/>
      <c r="EA208" s="117"/>
      <c r="EB208" s="117"/>
      <c r="EC208" s="117"/>
      <c r="ED208" s="117"/>
      <c r="EE208" s="117"/>
      <c r="EF208" s="117"/>
      <c r="EG208" s="117"/>
      <c r="EH208" s="117"/>
      <c r="EI208" s="117"/>
      <c r="EJ208" s="89"/>
      <c r="EK208" s="89"/>
      <c r="EL208" s="89"/>
      <c r="EM208" s="89"/>
      <c r="EN208" s="89"/>
      <c r="EO208" s="89"/>
      <c r="EP208" s="89"/>
      <c r="EQ208" s="89"/>
      <c r="ER208" s="89"/>
      <c r="ES208" s="89"/>
      <c r="ET208" s="89"/>
      <c r="EU208" s="89"/>
      <c r="EV208" s="89"/>
      <c r="EW208" s="89"/>
      <c r="EX208" s="89"/>
      <c r="EY208" s="89"/>
      <c r="EZ208" s="89"/>
      <c r="FA208" s="89"/>
      <c r="FB208" s="89"/>
      <c r="FC208" s="89"/>
      <c r="FD208" s="89"/>
      <c r="FE208" s="89"/>
      <c r="FF208" s="89"/>
      <c r="FG208" s="89"/>
      <c r="FH208" s="89"/>
      <c r="FI208" s="89"/>
      <c r="FJ208" s="89"/>
      <c r="FK208" s="89"/>
      <c r="FL208" s="89"/>
      <c r="FM208" s="89"/>
      <c r="FN208" s="89"/>
      <c r="FO208" s="89"/>
      <c r="FP208" s="89"/>
      <c r="FQ208" s="89"/>
      <c r="FR208" s="89"/>
      <c r="FS208" s="89"/>
    </row>
    <row r="209" spans="1:175" s="23" customFormat="1" ht="15.9" customHeight="1">
      <c r="A209" s="1808"/>
      <c r="B209" s="416" t="s">
        <v>185</v>
      </c>
      <c r="C209" s="16" t="str">
        <f>IF(INDEX(Eingabedaten!$FV$10:$GE$54,nutzid,MATCH($B209,Eingabedaten!$FV$7:$GZ$7,0))=0,"",INDEX(Eingabedaten!$FV$10:$GE$54,nutzid,MATCH($B209,Eingabedaten!$FV$7:$GZ$7,0)))</f>
        <v/>
      </c>
      <c r="D209" s="16"/>
      <c r="E209" s="16"/>
      <c r="F209" s="16"/>
      <c r="G209" s="21"/>
      <c r="H209" s="21"/>
      <c r="I209" s="16"/>
      <c r="J209" s="16"/>
      <c r="K209" s="16"/>
      <c r="L209" s="16"/>
      <c r="M209" s="16"/>
      <c r="N209" s="21"/>
      <c r="O209" s="196"/>
      <c r="P209" s="921"/>
      <c r="Q209" s="989">
        <v>1</v>
      </c>
      <c r="R209" s="131"/>
      <c r="S209" s="131"/>
      <c r="T209" s="131"/>
      <c r="U209" s="131"/>
      <c r="V209" s="131"/>
      <c r="W209" s="132"/>
      <c r="X209" s="126"/>
      <c r="Y209" s="126"/>
      <c r="Z209" s="126"/>
      <c r="AA209" s="126"/>
      <c r="AB209" s="126"/>
      <c r="AC209" s="126"/>
      <c r="AD209" s="126"/>
      <c r="AE209" s="126"/>
      <c r="AF209" s="127"/>
      <c r="AG209" s="127"/>
      <c r="AH209" s="127"/>
      <c r="AI209" s="127"/>
      <c r="AJ209" s="127"/>
      <c r="AK209" s="127"/>
      <c r="AL209" s="127"/>
      <c r="AM209" s="127"/>
      <c r="AN209" s="127"/>
      <c r="AO209" s="127"/>
      <c r="AP209" s="127"/>
      <c r="AQ209" s="127"/>
      <c r="AR209" s="127"/>
      <c r="AS209" s="128"/>
      <c r="AT209" s="128"/>
      <c r="AU209" s="128"/>
      <c r="AV209" s="128"/>
      <c r="AW209" s="90"/>
      <c r="AX209" s="90"/>
      <c r="AY209" s="90"/>
      <c r="AZ209" s="90"/>
      <c r="BA209" s="90"/>
      <c r="BB209" s="90"/>
      <c r="BC209" s="90"/>
      <c r="BD209" s="90"/>
      <c r="BE209" s="90"/>
      <c r="BF209" s="90"/>
      <c r="BG209" s="90"/>
      <c r="BH209" s="90"/>
      <c r="BI209" s="90"/>
      <c r="BJ209" s="90"/>
      <c r="BK209" s="90"/>
      <c r="BL209" s="90"/>
      <c r="BM209" s="90"/>
      <c r="BN209" s="90"/>
      <c r="BO209" s="90"/>
      <c r="BP209" s="90"/>
      <c r="BQ209" s="90"/>
      <c r="BR209" s="90"/>
      <c r="BS209" s="90"/>
      <c r="BT209" s="90"/>
      <c r="BU209" s="90"/>
      <c r="BV209" s="90"/>
      <c r="BW209" s="90"/>
      <c r="BX209" s="90"/>
      <c r="BY209" s="90"/>
      <c r="BZ209" s="90"/>
      <c r="CA209" s="90"/>
      <c r="CB209" s="90"/>
      <c r="CC209" s="90"/>
      <c r="CD209" s="90"/>
      <c r="CE209" s="90"/>
      <c r="CF209" s="90"/>
      <c r="CG209" s="90"/>
      <c r="CH209" s="90"/>
      <c r="CI209" s="90"/>
      <c r="CJ209" s="90"/>
      <c r="CK209" s="90"/>
      <c r="CL209" s="90"/>
      <c r="CM209" s="90"/>
      <c r="CN209" s="90"/>
      <c r="CO209" s="90"/>
      <c r="CP209" s="90"/>
      <c r="CQ209" s="90"/>
      <c r="CR209" s="90"/>
      <c r="CS209" s="90"/>
      <c r="CT209" s="90"/>
      <c r="CU209" s="90"/>
      <c r="CV209" s="90"/>
      <c r="CW209" s="90"/>
      <c r="CX209" s="90"/>
      <c r="CY209" s="90"/>
      <c r="CZ209" s="90"/>
      <c r="DA209" s="117"/>
      <c r="DB209" s="117"/>
      <c r="DC209" s="117"/>
      <c r="DD209" s="117"/>
      <c r="DE209" s="117"/>
      <c r="DF209" s="117"/>
      <c r="DG209" s="117"/>
      <c r="DH209" s="117"/>
      <c r="DI209" s="117"/>
      <c r="DJ209" s="117"/>
      <c r="DK209" s="117"/>
      <c r="DL209" s="117"/>
      <c r="DM209" s="117"/>
      <c r="DN209" s="117"/>
      <c r="DO209" s="117"/>
      <c r="DP209" s="117"/>
      <c r="DQ209" s="117"/>
      <c r="DR209" s="117"/>
      <c r="DS209" s="117"/>
      <c r="DT209" s="117"/>
      <c r="DU209" s="117"/>
      <c r="DV209" s="117"/>
      <c r="DW209" s="117"/>
      <c r="DX209" s="117"/>
      <c r="DY209" s="117"/>
      <c r="DZ209" s="117"/>
      <c r="EA209" s="117"/>
      <c r="EB209" s="117"/>
      <c r="EC209" s="117"/>
      <c r="ED209" s="117"/>
      <c r="EE209" s="117"/>
      <c r="EF209" s="117"/>
      <c r="EG209" s="117"/>
      <c r="EH209" s="117"/>
      <c r="EI209" s="117"/>
      <c r="EJ209" s="89"/>
      <c r="EK209" s="89"/>
      <c r="EL209" s="89"/>
      <c r="EM209" s="89"/>
      <c r="EN209" s="89"/>
      <c r="EO209" s="89"/>
      <c r="EP209" s="89"/>
      <c r="EQ209" s="89"/>
      <c r="ER209" s="89"/>
      <c r="ES209" s="89"/>
      <c r="ET209" s="89"/>
      <c r="EU209" s="89"/>
      <c r="EV209" s="89"/>
      <c r="EW209" s="89"/>
      <c r="EX209" s="89"/>
      <c r="EY209" s="89"/>
      <c r="EZ209" s="89"/>
      <c r="FA209" s="89"/>
      <c r="FB209" s="89"/>
      <c r="FC209" s="89"/>
      <c r="FD209" s="89"/>
      <c r="FE209" s="89"/>
      <c r="FF209" s="89"/>
      <c r="FG209" s="89"/>
      <c r="FH209" s="89"/>
      <c r="FI209" s="89"/>
      <c r="FJ209" s="89"/>
      <c r="FK209" s="89"/>
      <c r="FL209" s="89"/>
      <c r="FM209" s="89"/>
      <c r="FN209" s="89"/>
      <c r="FO209" s="89"/>
      <c r="FP209" s="89"/>
      <c r="FQ209" s="89"/>
      <c r="FR209" s="89"/>
      <c r="FS209" s="89"/>
    </row>
    <row r="210" spans="1:175" s="23" customFormat="1" ht="5.25" customHeight="1">
      <c r="A210" s="172"/>
      <c r="B210" s="416"/>
      <c r="C210" s="16"/>
      <c r="D210" s="16"/>
      <c r="E210" s="16"/>
      <c r="F210" s="16"/>
      <c r="G210" s="21"/>
      <c r="H210" s="21"/>
      <c r="I210" s="16"/>
      <c r="J210" s="16"/>
      <c r="K210" s="16"/>
      <c r="L210" s="16"/>
      <c r="M210" s="16"/>
      <c r="N210" s="21"/>
      <c r="O210" s="220"/>
      <c r="P210" s="921"/>
      <c r="Q210" s="989">
        <v>1</v>
      </c>
      <c r="R210" s="131"/>
      <c r="S210" s="131"/>
      <c r="T210" s="131"/>
      <c r="U210" s="131"/>
      <c r="V210" s="131"/>
      <c r="W210" s="132"/>
      <c r="X210" s="126"/>
      <c r="Y210" s="126"/>
      <c r="Z210" s="126"/>
      <c r="AA210" s="126"/>
      <c r="AB210" s="126"/>
      <c r="AC210" s="126"/>
      <c r="AD210" s="126"/>
      <c r="AE210" s="126"/>
      <c r="AF210" s="127"/>
      <c r="AG210" s="127"/>
      <c r="AH210" s="127"/>
      <c r="AI210" s="127"/>
      <c r="AJ210" s="127"/>
      <c r="AK210" s="127"/>
      <c r="AL210" s="127"/>
      <c r="AM210" s="127"/>
      <c r="AN210" s="127"/>
      <c r="AO210" s="127"/>
      <c r="AP210" s="127"/>
      <c r="AQ210" s="127"/>
      <c r="AR210" s="127"/>
      <c r="AS210" s="128"/>
      <c r="AT210" s="128"/>
      <c r="AU210" s="128"/>
      <c r="AV210" s="128"/>
      <c r="AW210" s="90"/>
      <c r="AX210" s="90"/>
      <c r="AY210" s="90"/>
      <c r="AZ210" s="90"/>
      <c r="BA210" s="90"/>
      <c r="BB210" s="90"/>
      <c r="BC210" s="90"/>
      <c r="BD210" s="90"/>
      <c r="BE210" s="90"/>
      <c r="BF210" s="90"/>
      <c r="BG210" s="90"/>
      <c r="BH210" s="90"/>
      <c r="BI210" s="90"/>
      <c r="BJ210" s="90"/>
      <c r="BK210" s="90"/>
      <c r="BL210" s="90"/>
      <c r="BM210" s="90"/>
      <c r="BN210" s="90"/>
      <c r="BO210" s="90"/>
      <c r="BP210" s="90"/>
      <c r="BQ210" s="90"/>
      <c r="BR210" s="90"/>
      <c r="BS210" s="90"/>
      <c r="BT210" s="90"/>
      <c r="BU210" s="90"/>
      <c r="BV210" s="90"/>
      <c r="BW210" s="90"/>
      <c r="BX210" s="90"/>
      <c r="BY210" s="90"/>
      <c r="BZ210" s="90"/>
      <c r="CA210" s="90"/>
      <c r="CB210" s="90"/>
      <c r="CC210" s="90"/>
      <c r="CD210" s="90"/>
      <c r="CE210" s="90"/>
      <c r="CF210" s="90"/>
      <c r="CG210" s="90"/>
      <c r="CH210" s="90"/>
      <c r="CI210" s="90"/>
      <c r="CJ210" s="90"/>
      <c r="CK210" s="90"/>
      <c r="CL210" s="90"/>
      <c r="CM210" s="90"/>
      <c r="CN210" s="90"/>
      <c r="CO210" s="90"/>
      <c r="CP210" s="90"/>
      <c r="CQ210" s="90"/>
      <c r="CR210" s="90"/>
      <c r="CS210" s="90"/>
      <c r="CT210" s="90"/>
      <c r="CU210" s="90"/>
      <c r="CV210" s="90"/>
      <c r="CW210" s="90"/>
      <c r="CX210" s="90"/>
      <c r="CY210" s="90"/>
      <c r="CZ210" s="90"/>
      <c r="DA210" s="117"/>
      <c r="DB210" s="117"/>
      <c r="DC210" s="117"/>
      <c r="DD210" s="117"/>
      <c r="DE210" s="117"/>
      <c r="DF210" s="117"/>
      <c r="DG210" s="117"/>
      <c r="DH210" s="117"/>
      <c r="DI210" s="117"/>
      <c r="DJ210" s="117"/>
      <c r="DK210" s="117"/>
      <c r="DL210" s="117"/>
      <c r="DM210" s="117"/>
      <c r="DN210" s="117"/>
      <c r="DO210" s="117"/>
      <c r="DP210" s="117"/>
      <c r="DQ210" s="117"/>
      <c r="DR210" s="117"/>
      <c r="DS210" s="117"/>
      <c r="DT210" s="117"/>
      <c r="DU210" s="117"/>
      <c r="DV210" s="117"/>
      <c r="DW210" s="117"/>
      <c r="DX210" s="117"/>
      <c r="DY210" s="117"/>
      <c r="DZ210" s="117"/>
      <c r="EA210" s="117"/>
      <c r="EB210" s="117"/>
      <c r="EC210" s="117"/>
      <c r="ED210" s="117"/>
      <c r="EE210" s="117"/>
      <c r="EF210" s="117"/>
      <c r="EG210" s="117"/>
      <c r="EH210" s="117"/>
      <c r="EI210" s="117"/>
      <c r="EJ210" s="89"/>
      <c r="EK210" s="89"/>
      <c r="EL210" s="89"/>
      <c r="EM210" s="89"/>
      <c r="EN210" s="89"/>
      <c r="EO210" s="89"/>
      <c r="EP210" s="89"/>
      <c r="EQ210" s="89"/>
      <c r="ER210" s="89"/>
      <c r="ES210" s="89"/>
      <c r="ET210" s="89"/>
      <c r="EU210" s="89"/>
      <c r="EV210" s="89"/>
      <c r="EW210" s="89"/>
      <c r="EX210" s="89"/>
      <c r="EY210" s="89"/>
      <c r="EZ210" s="89"/>
      <c r="FA210" s="89"/>
      <c r="FB210" s="89"/>
      <c r="FC210" s="89"/>
      <c r="FD210" s="89"/>
      <c r="FE210" s="89"/>
      <c r="FF210" s="89"/>
      <c r="FG210" s="89"/>
      <c r="FH210" s="89"/>
      <c r="FI210" s="89"/>
      <c r="FJ210" s="89"/>
      <c r="FK210" s="89"/>
      <c r="FL210" s="89"/>
      <c r="FM210" s="89"/>
      <c r="FN210" s="89"/>
      <c r="FO210" s="89"/>
      <c r="FP210" s="89"/>
      <c r="FQ210" s="89"/>
      <c r="FR210" s="89"/>
      <c r="FS210" s="89"/>
    </row>
    <row r="211" spans="1:175" s="23" customFormat="1" ht="2.1" customHeight="1">
      <c r="A211" s="198"/>
      <c r="B211" s="1142" t="s">
        <v>26</v>
      </c>
      <c r="C211" s="230" t="s">
        <v>26</v>
      </c>
      <c r="D211" s="200"/>
      <c r="E211" s="200"/>
      <c r="F211" s="200"/>
      <c r="G211" s="200"/>
      <c r="H211" s="200"/>
      <c r="I211" s="201"/>
      <c r="J211" s="200"/>
      <c r="K211" s="200"/>
      <c r="L211" s="202"/>
      <c r="M211" s="202"/>
      <c r="N211" s="997"/>
      <c r="O211" s="998"/>
      <c r="P211" s="493"/>
      <c r="Q211" s="494"/>
      <c r="R211" s="131"/>
      <c r="S211" s="131"/>
      <c r="T211" s="131"/>
      <c r="U211" s="131"/>
      <c r="V211" s="131"/>
      <c r="W211" s="132"/>
      <c r="X211" s="126"/>
      <c r="Y211" s="126"/>
      <c r="Z211" s="126"/>
      <c r="AA211" s="126"/>
      <c r="AB211" s="126"/>
      <c r="AC211" s="126"/>
      <c r="AD211" s="126"/>
      <c r="AE211" s="126"/>
      <c r="AF211" s="127"/>
      <c r="AG211" s="127"/>
      <c r="AH211" s="127"/>
      <c r="AI211" s="127"/>
      <c r="AJ211" s="127"/>
      <c r="AK211" s="127"/>
      <c r="AL211" s="127"/>
      <c r="AM211" s="127"/>
      <c r="AN211" s="127"/>
      <c r="AO211" s="127"/>
      <c r="AP211" s="127"/>
      <c r="AQ211" s="127"/>
      <c r="AR211" s="127"/>
      <c r="AS211" s="128"/>
      <c r="AT211" s="128"/>
      <c r="AU211" s="128"/>
      <c r="AV211" s="128"/>
      <c r="AW211" s="90"/>
      <c r="AX211" s="90"/>
      <c r="AY211" s="90"/>
      <c r="AZ211" s="90"/>
      <c r="BA211" s="90"/>
      <c r="BB211" s="90"/>
      <c r="BC211" s="90"/>
      <c r="BD211" s="90"/>
      <c r="BE211" s="90"/>
      <c r="BF211" s="90"/>
      <c r="BG211" s="90"/>
      <c r="BH211" s="90"/>
      <c r="BI211" s="90"/>
      <c r="BJ211" s="90"/>
      <c r="BK211" s="90"/>
      <c r="BL211" s="90"/>
      <c r="BM211" s="90"/>
      <c r="BN211" s="90"/>
      <c r="BO211" s="90"/>
      <c r="BP211" s="90"/>
      <c r="BQ211" s="90"/>
      <c r="BR211" s="90"/>
      <c r="BS211" s="90"/>
      <c r="BT211" s="90"/>
      <c r="BU211" s="90"/>
      <c r="BV211" s="90"/>
      <c r="BW211" s="90"/>
      <c r="BX211" s="90"/>
      <c r="BY211" s="90"/>
      <c r="BZ211" s="90"/>
      <c r="CA211" s="90"/>
      <c r="CB211" s="90"/>
      <c r="CC211" s="90"/>
      <c r="CD211" s="90"/>
      <c r="CE211" s="90"/>
      <c r="CF211" s="90"/>
      <c r="CG211" s="90"/>
      <c r="CH211" s="90"/>
      <c r="CI211" s="90"/>
      <c r="CJ211" s="90"/>
      <c r="CK211" s="90"/>
      <c r="CL211" s="90"/>
      <c r="CM211" s="90"/>
      <c r="CN211" s="90"/>
      <c r="CO211" s="90"/>
      <c r="CP211" s="90"/>
      <c r="CQ211" s="90"/>
      <c r="CR211" s="90"/>
      <c r="CS211" s="90"/>
      <c r="CT211" s="90"/>
      <c r="CU211" s="90"/>
      <c r="CV211" s="90"/>
      <c r="CW211" s="90"/>
      <c r="CX211" s="90"/>
      <c r="CY211" s="90"/>
      <c r="CZ211" s="90"/>
      <c r="DA211" s="117"/>
      <c r="DB211" s="117"/>
      <c r="DC211" s="117"/>
      <c r="DD211" s="117"/>
      <c r="DE211" s="117"/>
      <c r="DF211" s="117"/>
      <c r="DG211" s="117"/>
      <c r="DH211" s="117"/>
      <c r="DI211" s="117"/>
      <c r="DJ211" s="117"/>
      <c r="DK211" s="117"/>
      <c r="DL211" s="117"/>
      <c r="DM211" s="117"/>
      <c r="DN211" s="117"/>
      <c r="DO211" s="117"/>
      <c r="DP211" s="117"/>
      <c r="DQ211" s="117"/>
      <c r="DR211" s="117"/>
      <c r="DS211" s="117"/>
      <c r="DT211" s="117"/>
      <c r="DU211" s="117"/>
      <c r="DV211" s="117"/>
      <c r="DW211" s="117"/>
      <c r="DX211" s="117"/>
      <c r="DY211" s="117"/>
      <c r="DZ211" s="117"/>
      <c r="EA211" s="117"/>
      <c r="EB211" s="117"/>
      <c r="EC211" s="117"/>
      <c r="ED211" s="117"/>
      <c r="EE211" s="117"/>
      <c r="EF211" s="117"/>
      <c r="EG211" s="117"/>
      <c r="EH211" s="117"/>
      <c r="EI211" s="117"/>
      <c r="EJ211" s="89"/>
      <c r="EK211" s="89"/>
      <c r="EL211" s="89"/>
      <c r="EM211" s="89"/>
      <c r="EN211" s="89"/>
      <c r="EO211" s="89"/>
      <c r="EP211" s="89"/>
      <c r="EQ211" s="89"/>
      <c r="ER211" s="89"/>
      <c r="ES211" s="89"/>
      <c r="ET211" s="89"/>
      <c r="EU211" s="89"/>
      <c r="EV211" s="89"/>
      <c r="EW211" s="89"/>
      <c r="EX211" s="89"/>
      <c r="EY211" s="89"/>
      <c r="EZ211" s="89"/>
      <c r="FA211" s="89"/>
      <c r="FB211" s="89"/>
      <c r="FC211" s="89"/>
      <c r="FD211" s="89"/>
      <c r="FE211" s="89"/>
      <c r="FF211" s="89"/>
      <c r="FG211" s="89"/>
      <c r="FH211" s="89"/>
      <c r="FI211" s="89"/>
      <c r="FJ211" s="89"/>
      <c r="FK211" s="89"/>
      <c r="FL211" s="89"/>
      <c r="FM211" s="89"/>
      <c r="FN211" s="89"/>
      <c r="FO211" s="89"/>
      <c r="FP211" s="89"/>
      <c r="FQ211" s="89"/>
      <c r="FR211" s="89"/>
      <c r="FS211" s="89"/>
    </row>
    <row r="212" spans="1:175" s="23" customFormat="1" ht="9.75" customHeight="1">
      <c r="A212" s="242"/>
      <c r="B212" s="1145"/>
      <c r="C212" s="234" t="s">
        <v>26</v>
      </c>
      <c r="D212" s="234" t="s">
        <v>26</v>
      </c>
      <c r="E212" s="234" t="s">
        <v>26</v>
      </c>
      <c r="F212" s="234" t="s">
        <v>26</v>
      </c>
      <c r="G212" s="234" t="s">
        <v>26</v>
      </c>
      <c r="H212" s="234" t="s">
        <v>26</v>
      </c>
      <c r="I212" s="236" t="s">
        <v>26</v>
      </c>
      <c r="J212" s="234" t="s">
        <v>26</v>
      </c>
      <c r="K212" s="234"/>
      <c r="L212" s="237" t="s">
        <v>26</v>
      </c>
      <c r="M212" s="237" t="s">
        <v>26</v>
      </c>
      <c r="N212" s="238" t="s">
        <v>26</v>
      </c>
      <c r="O212" s="238" t="s">
        <v>26</v>
      </c>
      <c r="P212" s="493"/>
      <c r="Q212" s="494"/>
      <c r="R212" s="131"/>
      <c r="S212" s="131"/>
      <c r="T212" s="131"/>
      <c r="U212" s="131"/>
      <c r="V212" s="131"/>
      <c r="W212" s="132"/>
      <c r="X212" s="126"/>
      <c r="Y212" s="126"/>
      <c r="Z212" s="126"/>
      <c r="AA212" s="126"/>
      <c r="AB212" s="126"/>
      <c r="AC212" s="126"/>
      <c r="AD212" s="126"/>
      <c r="AE212" s="126"/>
      <c r="AF212" s="127"/>
      <c r="AG212" s="127"/>
      <c r="AH212" s="127"/>
      <c r="AI212" s="127"/>
      <c r="AJ212" s="127"/>
      <c r="AK212" s="127"/>
      <c r="AL212" s="127"/>
      <c r="AM212" s="127"/>
      <c r="AN212" s="127"/>
      <c r="AO212" s="127"/>
      <c r="AP212" s="127"/>
      <c r="AQ212" s="127"/>
      <c r="AR212" s="127"/>
      <c r="AS212" s="128"/>
      <c r="AT212" s="128"/>
      <c r="AU212" s="128"/>
      <c r="AV212" s="128"/>
      <c r="AW212" s="90"/>
      <c r="AX212" s="90"/>
      <c r="AY212" s="90"/>
      <c r="AZ212" s="90"/>
      <c r="BA212" s="90"/>
      <c r="BB212" s="90"/>
      <c r="BC212" s="90"/>
      <c r="BD212" s="90"/>
      <c r="BE212" s="90"/>
      <c r="BF212" s="90"/>
      <c r="BG212" s="90"/>
      <c r="BH212" s="90"/>
      <c r="BI212" s="90"/>
      <c r="BJ212" s="90"/>
      <c r="BK212" s="90"/>
      <c r="BL212" s="90"/>
      <c r="BM212" s="90"/>
      <c r="BN212" s="90"/>
      <c r="BO212" s="90"/>
      <c r="BP212" s="90"/>
      <c r="BQ212" s="90"/>
      <c r="BR212" s="90"/>
      <c r="BS212" s="90"/>
      <c r="BT212" s="90"/>
      <c r="BU212" s="90"/>
      <c r="BV212" s="90"/>
      <c r="BW212" s="90"/>
      <c r="BX212" s="90"/>
      <c r="BY212" s="90"/>
      <c r="BZ212" s="90"/>
      <c r="CA212" s="90"/>
      <c r="CB212" s="90"/>
      <c r="CC212" s="90"/>
      <c r="CD212" s="90"/>
      <c r="CE212" s="90"/>
      <c r="CF212" s="90"/>
      <c r="CG212" s="90"/>
      <c r="CH212" s="90"/>
      <c r="CI212" s="90"/>
      <c r="CJ212" s="90"/>
      <c r="CK212" s="90"/>
      <c r="CL212" s="90"/>
      <c r="CM212" s="90"/>
      <c r="CN212" s="90"/>
      <c r="CO212" s="90"/>
      <c r="CP212" s="90"/>
      <c r="CQ212" s="90"/>
      <c r="CR212" s="90"/>
      <c r="CS212" s="90"/>
      <c r="CT212" s="90"/>
      <c r="CU212" s="90"/>
      <c r="CV212" s="90"/>
      <c r="CW212" s="90"/>
      <c r="CX212" s="90"/>
      <c r="CY212" s="90"/>
      <c r="CZ212" s="90"/>
      <c r="DA212" s="117"/>
      <c r="DB212" s="117"/>
      <c r="DC212" s="117"/>
      <c r="DD212" s="117"/>
      <c r="DE212" s="117"/>
      <c r="DF212" s="117"/>
      <c r="DG212" s="117"/>
      <c r="DH212" s="117"/>
      <c r="DI212" s="117"/>
      <c r="DJ212" s="117"/>
      <c r="DK212" s="117"/>
      <c r="DL212" s="117"/>
      <c r="DM212" s="117"/>
      <c r="DN212" s="117"/>
      <c r="DO212" s="117"/>
      <c r="DP212" s="117"/>
      <c r="DQ212" s="117"/>
      <c r="DR212" s="117"/>
      <c r="DS212" s="117"/>
      <c r="DT212" s="117"/>
      <c r="DU212" s="117"/>
      <c r="DV212" s="117"/>
      <c r="DW212" s="117"/>
      <c r="DX212" s="117"/>
      <c r="DY212" s="117"/>
      <c r="DZ212" s="117"/>
      <c r="EA212" s="117"/>
      <c r="EB212" s="117"/>
      <c r="EC212" s="117"/>
      <c r="ED212" s="117"/>
      <c r="EE212" s="117"/>
      <c r="EF212" s="117"/>
      <c r="EG212" s="117"/>
      <c r="EH212" s="117"/>
      <c r="EI212" s="117"/>
      <c r="EJ212" s="89"/>
      <c r="EK212" s="89"/>
      <c r="EL212" s="89"/>
      <c r="EM212" s="89"/>
      <c r="EN212" s="89"/>
      <c r="EO212" s="89"/>
      <c r="EP212" s="89"/>
      <c r="EQ212" s="89"/>
      <c r="ER212" s="89"/>
      <c r="ES212" s="89"/>
      <c r="ET212" s="89"/>
      <c r="EU212" s="89"/>
      <c r="EV212" s="89"/>
      <c r="EW212" s="89"/>
      <c r="EX212" s="89"/>
      <c r="EY212" s="89"/>
      <c r="EZ212" s="89"/>
      <c r="FA212" s="89"/>
      <c r="FB212" s="89"/>
      <c r="FC212" s="89"/>
      <c r="FD212" s="89"/>
      <c r="FE212" s="89"/>
      <c r="FF212" s="89"/>
      <c r="FG212" s="89"/>
      <c r="FH212" s="89"/>
      <c r="FI212" s="89"/>
      <c r="FJ212" s="89"/>
      <c r="FK212" s="89"/>
      <c r="FL212" s="89"/>
      <c r="FM212" s="89"/>
      <c r="FN212" s="89"/>
      <c r="FO212" s="89"/>
      <c r="FP212" s="89"/>
      <c r="FQ212" s="89"/>
      <c r="FR212" s="89"/>
      <c r="FS212" s="89"/>
    </row>
    <row r="213" spans="1:175" s="23" customFormat="1" ht="9.75" customHeight="1">
      <c r="A213" s="233"/>
      <c r="B213" s="1145"/>
      <c r="C213" s="234"/>
      <c r="D213" s="235"/>
      <c r="E213" s="235"/>
      <c r="F213" s="235"/>
      <c r="G213" s="235"/>
      <c r="H213" s="235"/>
      <c r="I213" s="236"/>
      <c r="J213" s="235"/>
      <c r="K213" s="235"/>
      <c r="L213" s="237"/>
      <c r="M213" s="237"/>
      <c r="N213" s="238"/>
      <c r="O213" s="238"/>
      <c r="P213" s="493"/>
      <c r="Q213" s="494"/>
      <c r="R213" s="131"/>
      <c r="S213" s="131"/>
      <c r="T213" s="131"/>
      <c r="U213" s="131"/>
      <c r="V213" s="131"/>
      <c r="W213" s="132"/>
      <c r="X213" s="126"/>
      <c r="Y213" s="126"/>
      <c r="Z213" s="126"/>
      <c r="AA213" s="126"/>
      <c r="AB213" s="126"/>
      <c r="AC213" s="126"/>
      <c r="AD213" s="126"/>
      <c r="AE213" s="126"/>
      <c r="AF213" s="127"/>
      <c r="AG213" s="127"/>
      <c r="AH213" s="127"/>
      <c r="AI213" s="127"/>
      <c r="AJ213" s="127"/>
      <c r="AK213" s="127"/>
      <c r="AL213" s="127"/>
      <c r="AM213" s="127"/>
      <c r="AN213" s="127"/>
      <c r="AO213" s="127"/>
      <c r="AP213" s="127"/>
      <c r="AQ213" s="127"/>
      <c r="AR213" s="127"/>
      <c r="AS213" s="128"/>
      <c r="AT213" s="128"/>
      <c r="AU213" s="128"/>
      <c r="AV213" s="128"/>
      <c r="AW213" s="90"/>
      <c r="AX213" s="90"/>
      <c r="AY213" s="90"/>
      <c r="AZ213" s="90"/>
      <c r="BA213" s="90"/>
      <c r="BB213" s="90"/>
      <c r="BC213" s="90"/>
      <c r="BD213" s="90"/>
      <c r="BE213" s="90"/>
      <c r="BF213" s="90"/>
      <c r="BG213" s="90"/>
      <c r="BH213" s="90"/>
      <c r="BI213" s="90"/>
      <c r="BJ213" s="90"/>
      <c r="BK213" s="90"/>
      <c r="BL213" s="90"/>
      <c r="BM213" s="90"/>
      <c r="BN213" s="90"/>
      <c r="BO213" s="90"/>
      <c r="BP213" s="90"/>
      <c r="BQ213" s="90"/>
      <c r="BR213" s="90"/>
      <c r="BS213" s="90"/>
      <c r="BT213" s="90"/>
      <c r="BU213" s="90"/>
      <c r="BV213" s="90"/>
      <c r="BW213" s="90"/>
      <c r="BX213" s="90"/>
      <c r="BY213" s="90"/>
      <c r="BZ213" s="90"/>
      <c r="CA213" s="90"/>
      <c r="CB213" s="90"/>
      <c r="CC213" s="90"/>
      <c r="CD213" s="90"/>
      <c r="CE213" s="90"/>
      <c r="CF213" s="90"/>
      <c r="CG213" s="90"/>
      <c r="CH213" s="90"/>
      <c r="CI213" s="90"/>
      <c r="CJ213" s="90"/>
      <c r="CK213" s="90"/>
      <c r="CL213" s="90"/>
      <c r="CM213" s="90"/>
      <c r="CN213" s="90"/>
      <c r="CO213" s="90"/>
      <c r="CP213" s="90"/>
      <c r="CQ213" s="90"/>
      <c r="CR213" s="90"/>
      <c r="CS213" s="90"/>
      <c r="CT213" s="90"/>
      <c r="CU213" s="90"/>
      <c r="CV213" s="90"/>
      <c r="CW213" s="90"/>
      <c r="CX213" s="90"/>
      <c r="CY213" s="90"/>
      <c r="CZ213" s="90"/>
      <c r="DA213" s="117"/>
      <c r="DB213" s="117"/>
      <c r="DC213" s="117"/>
      <c r="DD213" s="117"/>
      <c r="DE213" s="117"/>
      <c r="DF213" s="117"/>
      <c r="DG213" s="117"/>
      <c r="DH213" s="117"/>
      <c r="DI213" s="117"/>
      <c r="DJ213" s="117"/>
      <c r="DK213" s="117"/>
      <c r="DL213" s="117"/>
      <c r="DM213" s="117"/>
      <c r="DN213" s="117"/>
      <c r="DO213" s="117"/>
      <c r="DP213" s="117"/>
      <c r="DQ213" s="117"/>
      <c r="DR213" s="117"/>
      <c r="DS213" s="117"/>
      <c r="DT213" s="117"/>
      <c r="DU213" s="117"/>
      <c r="DV213" s="117"/>
      <c r="DW213" s="117"/>
      <c r="DX213" s="117"/>
      <c r="DY213" s="117"/>
      <c r="DZ213" s="117"/>
      <c r="EA213" s="117"/>
      <c r="EB213" s="117"/>
      <c r="EC213" s="117"/>
      <c r="ED213" s="117"/>
      <c r="EE213" s="117"/>
      <c r="EF213" s="117"/>
      <c r="EG213" s="117"/>
      <c r="EH213" s="117"/>
      <c r="EI213" s="117"/>
      <c r="EJ213" s="89"/>
      <c r="EK213" s="89"/>
      <c r="EL213" s="89"/>
      <c r="EM213" s="89"/>
      <c r="EN213" s="89"/>
      <c r="EO213" s="89"/>
      <c r="EP213" s="89"/>
      <c r="EQ213" s="89"/>
      <c r="ER213" s="89"/>
      <c r="ES213" s="89"/>
      <c r="ET213" s="89"/>
      <c r="EU213" s="89"/>
      <c r="EV213" s="89"/>
      <c r="EW213" s="89"/>
      <c r="EX213" s="89"/>
      <c r="EY213" s="89"/>
      <c r="EZ213" s="89"/>
      <c r="FA213" s="89"/>
      <c r="FB213" s="89"/>
      <c r="FC213" s="89"/>
      <c r="FD213" s="89"/>
      <c r="FE213" s="89"/>
      <c r="FF213" s="89"/>
      <c r="FG213" s="89"/>
      <c r="FH213" s="89"/>
      <c r="FI213" s="89"/>
      <c r="FJ213" s="89"/>
      <c r="FK213" s="89"/>
      <c r="FL213" s="89"/>
      <c r="FM213" s="89"/>
      <c r="FN213" s="89"/>
      <c r="FO213" s="89"/>
      <c r="FP213" s="89"/>
      <c r="FQ213" s="89"/>
      <c r="FR213" s="89"/>
      <c r="FS213" s="89"/>
    </row>
    <row r="214" spans="1:175" s="23" customFormat="1" ht="9.75" customHeight="1">
      <c r="A214" s="233"/>
      <c r="B214" s="1145"/>
      <c r="C214" s="234"/>
      <c r="D214" s="235"/>
      <c r="E214" s="235"/>
      <c r="F214" s="235"/>
      <c r="G214" s="235"/>
      <c r="H214" s="235"/>
      <c r="I214" s="236"/>
      <c r="J214" s="235"/>
      <c r="K214" s="235"/>
      <c r="L214" s="237"/>
      <c r="M214" s="237"/>
      <c r="N214" s="238"/>
      <c r="O214" s="238"/>
      <c r="P214" s="493"/>
      <c r="Q214" s="494"/>
      <c r="R214" s="131"/>
      <c r="S214" s="131"/>
      <c r="T214" s="131"/>
      <c r="U214" s="131"/>
      <c r="V214" s="131"/>
      <c r="W214" s="132"/>
      <c r="X214" s="126"/>
      <c r="Y214" s="126"/>
      <c r="Z214" s="126"/>
      <c r="AA214" s="126"/>
      <c r="AB214" s="126"/>
      <c r="AC214" s="126"/>
      <c r="AD214" s="126"/>
      <c r="AE214" s="126"/>
      <c r="AF214" s="127"/>
      <c r="AG214" s="127"/>
      <c r="AH214" s="127"/>
      <c r="AI214" s="127"/>
      <c r="AJ214" s="127"/>
      <c r="AK214" s="127"/>
      <c r="AL214" s="127"/>
      <c r="AM214" s="127"/>
      <c r="AN214" s="127"/>
      <c r="AO214" s="127"/>
      <c r="AP214" s="127"/>
      <c r="AQ214" s="127"/>
      <c r="AR214" s="127"/>
      <c r="AS214" s="128"/>
      <c r="AT214" s="128"/>
      <c r="AU214" s="128"/>
      <c r="AV214" s="128"/>
      <c r="AW214" s="90"/>
      <c r="AX214" s="90"/>
      <c r="AY214" s="90"/>
      <c r="AZ214" s="90"/>
      <c r="BA214" s="90"/>
      <c r="BB214" s="90"/>
      <c r="BC214" s="90"/>
      <c r="BD214" s="90"/>
      <c r="BE214" s="90"/>
      <c r="BF214" s="90"/>
      <c r="BG214" s="90"/>
      <c r="BH214" s="90"/>
      <c r="BI214" s="90"/>
      <c r="BJ214" s="90"/>
      <c r="BK214" s="90"/>
      <c r="BL214" s="90"/>
      <c r="BM214" s="90"/>
      <c r="BN214" s="90"/>
      <c r="BO214" s="90"/>
      <c r="BP214" s="90"/>
      <c r="BQ214" s="90"/>
      <c r="BR214" s="90"/>
      <c r="BS214" s="90"/>
      <c r="BT214" s="90"/>
      <c r="BU214" s="90"/>
      <c r="BV214" s="90"/>
      <c r="BW214" s="90"/>
      <c r="BX214" s="90"/>
      <c r="BY214" s="90"/>
      <c r="BZ214" s="90"/>
      <c r="CA214" s="90"/>
      <c r="CB214" s="90"/>
      <c r="CC214" s="90"/>
      <c r="CD214" s="90"/>
      <c r="CE214" s="90"/>
      <c r="CF214" s="90"/>
      <c r="CG214" s="90"/>
      <c r="CH214" s="90"/>
      <c r="CI214" s="90"/>
      <c r="CJ214" s="90"/>
      <c r="CK214" s="90"/>
      <c r="CL214" s="90"/>
      <c r="CM214" s="90"/>
      <c r="CN214" s="90"/>
      <c r="CO214" s="90"/>
      <c r="CP214" s="90"/>
      <c r="CQ214" s="90"/>
      <c r="CR214" s="90"/>
      <c r="CS214" s="90"/>
      <c r="CT214" s="90"/>
      <c r="CU214" s="90"/>
      <c r="CV214" s="90"/>
      <c r="CW214" s="90"/>
      <c r="CX214" s="90"/>
      <c r="CY214" s="90"/>
      <c r="CZ214" s="90"/>
      <c r="DA214" s="117"/>
      <c r="DB214" s="117"/>
      <c r="DC214" s="117"/>
      <c r="DD214" s="117"/>
      <c r="DE214" s="117"/>
      <c r="DF214" s="117"/>
      <c r="DG214" s="117"/>
      <c r="DH214" s="117"/>
      <c r="DI214" s="117"/>
      <c r="DJ214" s="117"/>
      <c r="DK214" s="117"/>
      <c r="DL214" s="117"/>
      <c r="DM214" s="117"/>
      <c r="DN214" s="117"/>
      <c r="DO214" s="117"/>
      <c r="DP214" s="117"/>
      <c r="DQ214" s="117"/>
      <c r="DR214" s="117"/>
      <c r="DS214" s="117"/>
      <c r="DT214" s="117"/>
      <c r="DU214" s="117"/>
      <c r="DV214" s="117"/>
      <c r="DW214" s="117"/>
      <c r="DX214" s="117"/>
      <c r="DY214" s="117"/>
      <c r="DZ214" s="117"/>
      <c r="EA214" s="117"/>
      <c r="EB214" s="117"/>
      <c r="EC214" s="117"/>
      <c r="ED214" s="117"/>
      <c r="EE214" s="117"/>
      <c r="EF214" s="117"/>
      <c r="EG214" s="117"/>
      <c r="EH214" s="117"/>
      <c r="EI214" s="117"/>
      <c r="EJ214" s="89"/>
      <c r="EK214" s="89"/>
      <c r="EL214" s="89"/>
      <c r="EM214" s="89"/>
      <c r="EN214" s="89"/>
      <c r="EO214" s="89"/>
      <c r="EP214" s="89"/>
      <c r="EQ214" s="89"/>
      <c r="ER214" s="89"/>
      <c r="ES214" s="89"/>
      <c r="ET214" s="89"/>
      <c r="EU214" s="89"/>
      <c r="EV214" s="89"/>
      <c r="EW214" s="89"/>
      <c r="EX214" s="89"/>
      <c r="EY214" s="89"/>
      <c r="EZ214" s="89"/>
      <c r="FA214" s="89"/>
      <c r="FB214" s="89"/>
      <c r="FC214" s="89"/>
      <c r="FD214" s="89"/>
      <c r="FE214" s="89"/>
      <c r="FF214" s="89"/>
      <c r="FG214" s="89"/>
      <c r="FH214" s="89"/>
      <c r="FI214" s="89"/>
      <c r="FJ214" s="89"/>
      <c r="FK214" s="89"/>
      <c r="FL214" s="89"/>
      <c r="FM214" s="89"/>
      <c r="FN214" s="89"/>
      <c r="FO214" s="89"/>
      <c r="FP214" s="89"/>
      <c r="FQ214" s="89"/>
      <c r="FR214" s="89"/>
      <c r="FS214" s="89"/>
    </row>
    <row r="215" spans="1:175" s="23" customFormat="1" ht="9.75" customHeight="1">
      <c r="A215" s="233"/>
      <c r="B215" s="1145"/>
      <c r="C215" s="234"/>
      <c r="D215" s="235"/>
      <c r="E215" s="235"/>
      <c r="F215" s="235"/>
      <c r="G215" s="235"/>
      <c r="H215" s="235"/>
      <c r="I215" s="236"/>
      <c r="J215" s="235"/>
      <c r="K215" s="235"/>
      <c r="L215" s="237"/>
      <c r="M215" s="237"/>
      <c r="N215" s="238"/>
      <c r="O215" s="238"/>
      <c r="P215" s="493"/>
      <c r="Q215" s="494"/>
      <c r="R215" s="131"/>
      <c r="S215" s="131"/>
      <c r="T215" s="131"/>
      <c r="U215" s="131"/>
      <c r="V215" s="131"/>
      <c r="W215" s="132"/>
      <c r="X215" s="126"/>
      <c r="Y215" s="126"/>
      <c r="Z215" s="126"/>
      <c r="AA215" s="126"/>
      <c r="AB215" s="126"/>
      <c r="AC215" s="126"/>
      <c r="AD215" s="126"/>
      <c r="AE215" s="126"/>
      <c r="AF215" s="127"/>
      <c r="AG215" s="127"/>
      <c r="AH215" s="127"/>
      <c r="AI215" s="127"/>
      <c r="AJ215" s="127"/>
      <c r="AK215" s="127"/>
      <c r="AL215" s="127"/>
      <c r="AM215" s="127"/>
      <c r="AN215" s="127"/>
      <c r="AO215" s="127"/>
      <c r="AP215" s="127"/>
      <c r="AQ215" s="127"/>
      <c r="AR215" s="127"/>
      <c r="AS215" s="128"/>
      <c r="AT215" s="128"/>
      <c r="AU215" s="128"/>
      <c r="AV215" s="128"/>
      <c r="AW215" s="90"/>
      <c r="AX215" s="90"/>
      <c r="AY215" s="90"/>
      <c r="AZ215" s="90"/>
      <c r="BA215" s="90"/>
      <c r="BB215" s="90"/>
      <c r="BC215" s="90"/>
      <c r="BD215" s="90"/>
      <c r="BE215" s="90"/>
      <c r="BF215" s="90"/>
      <c r="BG215" s="90"/>
      <c r="BH215" s="90"/>
      <c r="BI215" s="90"/>
      <c r="BJ215" s="90"/>
      <c r="BK215" s="90"/>
      <c r="BL215" s="90"/>
      <c r="BM215" s="90"/>
      <c r="BN215" s="90"/>
      <c r="BO215" s="90"/>
      <c r="BP215" s="90"/>
      <c r="BQ215" s="90"/>
      <c r="BR215" s="90"/>
      <c r="BS215" s="90"/>
      <c r="BT215" s="90"/>
      <c r="BU215" s="90"/>
      <c r="BV215" s="90"/>
      <c r="BW215" s="90"/>
      <c r="BX215" s="90"/>
      <c r="BY215" s="90"/>
      <c r="BZ215" s="90"/>
      <c r="CA215" s="90"/>
      <c r="CB215" s="90"/>
      <c r="CC215" s="90"/>
      <c r="CD215" s="90"/>
      <c r="CE215" s="90"/>
      <c r="CF215" s="90"/>
      <c r="CG215" s="90"/>
      <c r="CH215" s="90"/>
      <c r="CI215" s="90"/>
      <c r="CJ215" s="90"/>
      <c r="CK215" s="90"/>
      <c r="CL215" s="90"/>
      <c r="CM215" s="90"/>
      <c r="CN215" s="90"/>
      <c r="CO215" s="90"/>
      <c r="CP215" s="90"/>
      <c r="CQ215" s="90"/>
      <c r="CR215" s="90"/>
      <c r="CS215" s="90"/>
      <c r="CT215" s="90"/>
      <c r="CU215" s="90"/>
      <c r="CV215" s="90"/>
      <c r="CW215" s="90"/>
      <c r="CX215" s="90"/>
      <c r="CY215" s="90"/>
      <c r="CZ215" s="90"/>
      <c r="DA215" s="117"/>
      <c r="DB215" s="117"/>
      <c r="DC215" s="117"/>
      <c r="DD215" s="117"/>
      <c r="DE215" s="117"/>
      <c r="DF215" s="117"/>
      <c r="DG215" s="117"/>
      <c r="DH215" s="117"/>
      <c r="DI215" s="117"/>
      <c r="DJ215" s="117"/>
      <c r="DK215" s="117"/>
      <c r="DL215" s="117"/>
      <c r="DM215" s="117"/>
      <c r="DN215" s="117"/>
      <c r="DO215" s="117"/>
      <c r="DP215" s="117"/>
      <c r="DQ215" s="117"/>
      <c r="DR215" s="117"/>
      <c r="DS215" s="117"/>
      <c r="DT215" s="117"/>
      <c r="DU215" s="117"/>
      <c r="DV215" s="117"/>
      <c r="DW215" s="117"/>
      <c r="DX215" s="117"/>
      <c r="DY215" s="117"/>
      <c r="DZ215" s="117"/>
      <c r="EA215" s="117"/>
      <c r="EB215" s="117"/>
      <c r="EC215" s="117"/>
      <c r="ED215" s="117"/>
      <c r="EE215" s="117"/>
      <c r="EF215" s="117"/>
      <c r="EG215" s="117"/>
      <c r="EH215" s="117"/>
      <c r="EI215" s="117"/>
      <c r="EJ215" s="89"/>
      <c r="EK215" s="89"/>
      <c r="EL215" s="89"/>
      <c r="EM215" s="89"/>
      <c r="EN215" s="89"/>
      <c r="EO215" s="89"/>
      <c r="EP215" s="89"/>
      <c r="EQ215" s="89"/>
      <c r="ER215" s="89"/>
      <c r="ES215" s="89"/>
      <c r="ET215" s="89"/>
      <c r="EU215" s="89"/>
      <c r="EV215" s="89"/>
      <c r="EW215" s="89"/>
      <c r="EX215" s="89"/>
      <c r="EY215" s="89"/>
      <c r="EZ215" s="89"/>
      <c r="FA215" s="89"/>
      <c r="FB215" s="89"/>
      <c r="FC215" s="89"/>
      <c r="FD215" s="89"/>
      <c r="FE215" s="89"/>
      <c r="FF215" s="89"/>
      <c r="FG215" s="89"/>
      <c r="FH215" s="89"/>
      <c r="FI215" s="89"/>
      <c r="FJ215" s="89"/>
      <c r="FK215" s="89"/>
      <c r="FL215" s="89"/>
      <c r="FM215" s="89"/>
      <c r="FN215" s="89"/>
      <c r="FO215" s="89"/>
      <c r="FP215" s="89"/>
      <c r="FQ215" s="89"/>
      <c r="FR215" s="89"/>
      <c r="FS215" s="89"/>
    </row>
    <row r="216" spans="1:175" s="23" customFormat="1" ht="9.75" customHeight="1">
      <c r="A216" s="233"/>
      <c r="B216" s="1145"/>
      <c r="C216" s="234"/>
      <c r="D216" s="235"/>
      <c r="E216" s="235"/>
      <c r="F216" s="235"/>
      <c r="G216" s="235"/>
      <c r="H216" s="235"/>
      <c r="I216" s="236"/>
      <c r="J216" s="235"/>
      <c r="K216" s="235"/>
      <c r="L216" s="237"/>
      <c r="M216" s="237"/>
      <c r="N216" s="238"/>
      <c r="O216" s="238"/>
      <c r="P216" s="493"/>
      <c r="Q216" s="494"/>
      <c r="R216" s="131"/>
      <c r="S216" s="131"/>
      <c r="T216" s="131"/>
      <c r="U216" s="131"/>
      <c r="V216" s="131"/>
      <c r="W216" s="132"/>
      <c r="X216" s="126"/>
      <c r="Y216" s="126"/>
      <c r="Z216" s="126"/>
      <c r="AA216" s="126"/>
      <c r="AB216" s="126"/>
      <c r="AC216" s="126"/>
      <c r="AD216" s="126"/>
      <c r="AE216" s="126"/>
      <c r="AF216" s="127"/>
      <c r="AG216" s="127"/>
      <c r="AH216" s="127"/>
      <c r="AI216" s="127"/>
      <c r="AJ216" s="127"/>
      <c r="AK216" s="127"/>
      <c r="AL216" s="127"/>
      <c r="AM216" s="127"/>
      <c r="AN216" s="127"/>
      <c r="AO216" s="127"/>
      <c r="AP216" s="127"/>
      <c r="AQ216" s="127"/>
      <c r="AR216" s="127"/>
      <c r="AS216" s="128"/>
      <c r="AT216" s="128"/>
      <c r="AU216" s="128"/>
      <c r="AV216" s="128"/>
      <c r="AW216" s="90"/>
      <c r="AX216" s="90"/>
      <c r="AY216" s="90"/>
      <c r="AZ216" s="90"/>
      <c r="BA216" s="90"/>
      <c r="BB216" s="90"/>
      <c r="BC216" s="90"/>
      <c r="BD216" s="90"/>
      <c r="BE216" s="90"/>
      <c r="BF216" s="90"/>
      <c r="BG216" s="90"/>
      <c r="BH216" s="90"/>
      <c r="BI216" s="90"/>
      <c r="BJ216" s="90"/>
      <c r="BK216" s="90"/>
      <c r="BL216" s="90"/>
      <c r="BM216" s="90"/>
      <c r="BN216" s="90"/>
      <c r="BO216" s="90"/>
      <c r="BP216" s="90"/>
      <c r="BQ216" s="90"/>
      <c r="BR216" s="90"/>
      <c r="BS216" s="90"/>
      <c r="BT216" s="90"/>
      <c r="BU216" s="90"/>
      <c r="BV216" s="90"/>
      <c r="BW216" s="90"/>
      <c r="BX216" s="90"/>
      <c r="BY216" s="90"/>
      <c r="BZ216" s="90"/>
      <c r="CA216" s="90"/>
      <c r="CB216" s="90"/>
      <c r="CC216" s="90"/>
      <c r="CD216" s="90"/>
      <c r="CE216" s="90"/>
      <c r="CF216" s="90"/>
      <c r="CG216" s="90"/>
      <c r="CH216" s="90"/>
      <c r="CI216" s="90"/>
      <c r="CJ216" s="90"/>
      <c r="CK216" s="90"/>
      <c r="CL216" s="90"/>
      <c r="CM216" s="90"/>
      <c r="CN216" s="90"/>
      <c r="CO216" s="90"/>
      <c r="CP216" s="90"/>
      <c r="CQ216" s="90"/>
      <c r="CR216" s="90"/>
      <c r="CS216" s="90"/>
      <c r="CT216" s="90"/>
      <c r="CU216" s="90"/>
      <c r="CV216" s="90"/>
      <c r="CW216" s="90"/>
      <c r="CX216" s="90"/>
      <c r="CY216" s="90"/>
      <c r="CZ216" s="90"/>
      <c r="DA216" s="117"/>
      <c r="DB216" s="117"/>
      <c r="DC216" s="117"/>
      <c r="DD216" s="117"/>
      <c r="DE216" s="117"/>
      <c r="DF216" s="117"/>
      <c r="DG216" s="117"/>
      <c r="DH216" s="117"/>
      <c r="DI216" s="117"/>
      <c r="DJ216" s="117"/>
      <c r="DK216" s="117"/>
      <c r="DL216" s="117"/>
      <c r="DM216" s="117"/>
      <c r="DN216" s="117"/>
      <c r="DO216" s="117"/>
      <c r="DP216" s="117"/>
      <c r="DQ216" s="117"/>
      <c r="DR216" s="117"/>
      <c r="DS216" s="117"/>
      <c r="DT216" s="117"/>
      <c r="DU216" s="117"/>
      <c r="DV216" s="117"/>
      <c r="DW216" s="117"/>
      <c r="DX216" s="117"/>
      <c r="DY216" s="117"/>
      <c r="DZ216" s="117"/>
      <c r="EA216" s="117"/>
      <c r="EB216" s="117"/>
      <c r="EC216" s="117"/>
      <c r="ED216" s="117"/>
      <c r="EE216" s="117"/>
      <c r="EF216" s="117"/>
      <c r="EG216" s="117"/>
      <c r="EH216" s="117"/>
      <c r="EI216" s="117"/>
      <c r="EJ216" s="89"/>
      <c r="EK216" s="89"/>
      <c r="EL216" s="89"/>
      <c r="EM216" s="89"/>
      <c r="EN216" s="89"/>
      <c r="EO216" s="89"/>
      <c r="EP216" s="89"/>
      <c r="EQ216" s="89"/>
      <c r="ER216" s="89"/>
      <c r="ES216" s="89"/>
      <c r="ET216" s="89"/>
      <c r="EU216" s="89"/>
      <c r="EV216" s="89"/>
      <c r="EW216" s="89"/>
      <c r="EX216" s="89"/>
      <c r="EY216" s="89"/>
      <c r="EZ216" s="89"/>
      <c r="FA216" s="89"/>
      <c r="FB216" s="89"/>
      <c r="FC216" s="89"/>
      <c r="FD216" s="89"/>
      <c r="FE216" s="89"/>
      <c r="FF216" s="89"/>
      <c r="FG216" s="89"/>
      <c r="FH216" s="89"/>
      <c r="FI216" s="89"/>
      <c r="FJ216" s="89"/>
      <c r="FK216" s="89"/>
      <c r="FL216" s="89"/>
      <c r="FM216" s="89"/>
      <c r="FN216" s="89"/>
      <c r="FO216" s="89"/>
      <c r="FP216" s="89"/>
      <c r="FQ216" s="89"/>
      <c r="FR216" s="89"/>
      <c r="FS216" s="89"/>
    </row>
    <row r="217" spans="1:175" s="23" customFormat="1" ht="9.75" customHeight="1">
      <c r="A217" s="233"/>
      <c r="B217" s="1145"/>
      <c r="C217" s="234"/>
      <c r="D217" s="235"/>
      <c r="E217" s="235"/>
      <c r="F217" s="235"/>
      <c r="G217" s="235"/>
      <c r="H217" s="235"/>
      <c r="I217" s="236"/>
      <c r="J217" s="235"/>
      <c r="K217" s="235"/>
      <c r="L217" s="237"/>
      <c r="M217" s="237"/>
      <c r="N217" s="238"/>
      <c r="O217" s="238"/>
      <c r="P217" s="493"/>
      <c r="Q217" s="494"/>
      <c r="R217" s="131"/>
      <c r="S217" s="131"/>
      <c r="T217" s="131"/>
      <c r="U217" s="131"/>
      <c r="V217" s="131"/>
      <c r="W217" s="132"/>
      <c r="X217" s="126"/>
      <c r="Y217" s="126"/>
      <c r="Z217" s="126"/>
      <c r="AA217" s="126"/>
      <c r="AB217" s="126"/>
      <c r="AC217" s="126"/>
      <c r="AD217" s="126"/>
      <c r="AE217" s="126"/>
      <c r="AF217" s="127"/>
      <c r="AG217" s="127"/>
      <c r="AH217" s="127"/>
      <c r="AI217" s="127"/>
      <c r="AJ217" s="127"/>
      <c r="AK217" s="127"/>
      <c r="AL217" s="127"/>
      <c r="AM217" s="127"/>
      <c r="AN217" s="127"/>
      <c r="AO217" s="127"/>
      <c r="AP217" s="127"/>
      <c r="AQ217" s="127"/>
      <c r="AR217" s="127"/>
      <c r="AS217" s="128"/>
      <c r="AT217" s="128"/>
      <c r="AU217" s="128"/>
      <c r="AV217" s="128"/>
      <c r="AW217" s="90"/>
      <c r="AX217" s="90"/>
      <c r="AY217" s="90"/>
      <c r="AZ217" s="90"/>
      <c r="BA217" s="90"/>
      <c r="BB217" s="90"/>
      <c r="BC217" s="90"/>
      <c r="BD217" s="90"/>
      <c r="BE217" s="90"/>
      <c r="BF217" s="90"/>
      <c r="BG217" s="90"/>
      <c r="BH217" s="90"/>
      <c r="BI217" s="90"/>
      <c r="BJ217" s="90"/>
      <c r="BK217" s="90"/>
      <c r="BL217" s="90"/>
      <c r="BM217" s="90"/>
      <c r="BN217" s="90"/>
      <c r="BO217" s="90"/>
      <c r="BP217" s="90"/>
      <c r="BQ217" s="90"/>
      <c r="BR217" s="90"/>
      <c r="BS217" s="90"/>
      <c r="BT217" s="90"/>
      <c r="BU217" s="90"/>
      <c r="BV217" s="90"/>
      <c r="BW217" s="90"/>
      <c r="BX217" s="90"/>
      <c r="BY217" s="90"/>
      <c r="BZ217" s="90"/>
      <c r="CA217" s="90"/>
      <c r="CB217" s="90"/>
      <c r="CC217" s="90"/>
      <c r="CD217" s="90"/>
      <c r="CE217" s="90"/>
      <c r="CF217" s="90"/>
      <c r="CG217" s="90"/>
      <c r="CH217" s="90"/>
      <c r="CI217" s="90"/>
      <c r="CJ217" s="90"/>
      <c r="CK217" s="90"/>
      <c r="CL217" s="90"/>
      <c r="CM217" s="90"/>
      <c r="CN217" s="90"/>
      <c r="CO217" s="90"/>
      <c r="CP217" s="90"/>
      <c r="CQ217" s="90"/>
      <c r="CR217" s="90"/>
      <c r="CS217" s="90"/>
      <c r="CT217" s="90"/>
      <c r="CU217" s="90"/>
      <c r="CV217" s="90"/>
      <c r="CW217" s="90"/>
      <c r="CX217" s="90"/>
      <c r="CY217" s="90"/>
      <c r="CZ217" s="90"/>
      <c r="DA217" s="117"/>
      <c r="DB217" s="117"/>
      <c r="DC217" s="117"/>
      <c r="DD217" s="117"/>
      <c r="DE217" s="117"/>
      <c r="DF217" s="117"/>
      <c r="DG217" s="117"/>
      <c r="DH217" s="117"/>
      <c r="DI217" s="117"/>
      <c r="DJ217" s="117"/>
      <c r="DK217" s="117"/>
      <c r="DL217" s="117"/>
      <c r="DM217" s="117"/>
      <c r="DN217" s="117"/>
      <c r="DO217" s="117"/>
      <c r="DP217" s="117"/>
      <c r="DQ217" s="117"/>
      <c r="DR217" s="117"/>
      <c r="DS217" s="117"/>
      <c r="DT217" s="117"/>
      <c r="DU217" s="117"/>
      <c r="DV217" s="117"/>
      <c r="DW217" s="117"/>
      <c r="DX217" s="117"/>
      <c r="DY217" s="117"/>
      <c r="DZ217" s="117"/>
      <c r="EA217" s="117"/>
      <c r="EB217" s="117"/>
      <c r="EC217" s="117"/>
      <c r="ED217" s="117"/>
      <c r="EE217" s="117"/>
      <c r="EF217" s="117"/>
      <c r="EG217" s="117"/>
      <c r="EH217" s="117"/>
      <c r="EI217" s="117"/>
      <c r="EJ217" s="89"/>
      <c r="EK217" s="89"/>
      <c r="EL217" s="89"/>
      <c r="EM217" s="89"/>
      <c r="EN217" s="89"/>
      <c r="EO217" s="89"/>
      <c r="EP217" s="89"/>
      <c r="EQ217" s="89"/>
      <c r="ER217" s="89"/>
      <c r="ES217" s="89"/>
      <c r="ET217" s="89"/>
      <c r="EU217" s="89"/>
      <c r="EV217" s="89"/>
      <c r="EW217" s="89"/>
      <c r="EX217" s="89"/>
      <c r="EY217" s="89"/>
      <c r="EZ217" s="89"/>
      <c r="FA217" s="89"/>
      <c r="FB217" s="89"/>
      <c r="FC217" s="89"/>
      <c r="FD217" s="89"/>
      <c r="FE217" s="89"/>
      <c r="FF217" s="89"/>
      <c r="FG217" s="89"/>
      <c r="FH217" s="89"/>
      <c r="FI217" s="89"/>
      <c r="FJ217" s="89"/>
      <c r="FK217" s="89"/>
      <c r="FL217" s="89"/>
      <c r="FM217" s="89"/>
      <c r="FN217" s="89"/>
      <c r="FO217" s="89"/>
      <c r="FP217" s="89"/>
      <c r="FQ217" s="89"/>
      <c r="FR217" s="89"/>
      <c r="FS217" s="89"/>
    </row>
    <row r="218" spans="1:175" s="23" customFormat="1" ht="9.75" customHeight="1">
      <c r="A218" s="233"/>
      <c r="B218" s="1145"/>
      <c r="C218" s="234"/>
      <c r="D218" s="235"/>
      <c r="E218" s="235"/>
      <c r="F218" s="235"/>
      <c r="G218" s="235"/>
      <c r="H218" s="235"/>
      <c r="I218" s="236"/>
      <c r="J218" s="235"/>
      <c r="K218" s="235"/>
      <c r="L218" s="237"/>
      <c r="M218" s="237"/>
      <c r="N218" s="238"/>
      <c r="O218" s="238"/>
      <c r="P218" s="493"/>
      <c r="Q218" s="494"/>
      <c r="R218" s="131"/>
      <c r="S218" s="131"/>
      <c r="T218" s="131"/>
      <c r="U218" s="131"/>
      <c r="V218" s="131"/>
      <c r="W218" s="132"/>
      <c r="X218" s="126"/>
      <c r="Y218" s="126"/>
      <c r="Z218" s="126"/>
      <c r="AA218" s="126"/>
      <c r="AB218" s="126"/>
      <c r="AC218" s="126"/>
      <c r="AD218" s="126"/>
      <c r="AE218" s="126"/>
      <c r="AF218" s="127"/>
      <c r="AG218" s="127"/>
      <c r="AH218" s="127"/>
      <c r="AI218" s="127"/>
      <c r="AJ218" s="127"/>
      <c r="AK218" s="127"/>
      <c r="AL218" s="127"/>
      <c r="AM218" s="127"/>
      <c r="AN218" s="127"/>
      <c r="AO218" s="127"/>
      <c r="AP218" s="127"/>
      <c r="AQ218" s="127"/>
      <c r="AR218" s="127"/>
      <c r="AS218" s="128"/>
      <c r="AT218" s="128"/>
      <c r="AU218" s="128"/>
      <c r="AV218" s="128"/>
      <c r="AW218" s="90"/>
      <c r="AX218" s="90"/>
      <c r="AY218" s="90"/>
      <c r="AZ218" s="90"/>
      <c r="BA218" s="90"/>
      <c r="BB218" s="90"/>
      <c r="BC218" s="90"/>
      <c r="BD218" s="90"/>
      <c r="BE218" s="90"/>
      <c r="BF218" s="90"/>
      <c r="BG218" s="90"/>
      <c r="BH218" s="90"/>
      <c r="BI218" s="90"/>
      <c r="BJ218" s="90"/>
      <c r="BK218" s="90"/>
      <c r="BL218" s="90"/>
      <c r="BM218" s="90"/>
      <c r="BN218" s="90"/>
      <c r="BO218" s="90"/>
      <c r="BP218" s="90"/>
      <c r="BQ218" s="90"/>
      <c r="BR218" s="90"/>
      <c r="BS218" s="90"/>
      <c r="BT218" s="90"/>
      <c r="BU218" s="90"/>
      <c r="BV218" s="90"/>
      <c r="BW218" s="90"/>
      <c r="BX218" s="90"/>
      <c r="BY218" s="90"/>
      <c r="BZ218" s="90"/>
      <c r="CA218" s="90"/>
      <c r="CB218" s="90"/>
      <c r="CC218" s="90"/>
      <c r="CD218" s="90"/>
      <c r="CE218" s="90"/>
      <c r="CF218" s="90"/>
      <c r="CG218" s="90"/>
      <c r="CH218" s="90"/>
      <c r="CI218" s="90"/>
      <c r="CJ218" s="90"/>
      <c r="CK218" s="90"/>
      <c r="CL218" s="90"/>
      <c r="CM218" s="90"/>
      <c r="CN218" s="90"/>
      <c r="CO218" s="90"/>
      <c r="CP218" s="90"/>
      <c r="CQ218" s="90"/>
      <c r="CR218" s="90"/>
      <c r="CS218" s="90"/>
      <c r="CT218" s="90"/>
      <c r="CU218" s="90"/>
      <c r="CV218" s="90"/>
      <c r="CW218" s="90"/>
      <c r="CX218" s="90"/>
      <c r="CY218" s="90"/>
      <c r="CZ218" s="90"/>
      <c r="DA218" s="117"/>
      <c r="DB218" s="117"/>
      <c r="DC218" s="117"/>
      <c r="DD218" s="117"/>
      <c r="DE218" s="117"/>
      <c r="DF218" s="117"/>
      <c r="DG218" s="117"/>
      <c r="DH218" s="117"/>
      <c r="DI218" s="117"/>
      <c r="DJ218" s="117"/>
      <c r="DK218" s="117"/>
      <c r="DL218" s="117"/>
      <c r="DM218" s="117"/>
      <c r="DN218" s="117"/>
      <c r="DO218" s="117"/>
      <c r="DP218" s="117"/>
      <c r="DQ218" s="117"/>
      <c r="DR218" s="117"/>
      <c r="DS218" s="117"/>
      <c r="DT218" s="117"/>
      <c r="DU218" s="117"/>
      <c r="DV218" s="117"/>
      <c r="DW218" s="117"/>
      <c r="DX218" s="117"/>
      <c r="DY218" s="117"/>
      <c r="DZ218" s="117"/>
      <c r="EA218" s="117"/>
      <c r="EB218" s="117"/>
      <c r="EC218" s="117"/>
      <c r="ED218" s="117"/>
      <c r="EE218" s="117"/>
      <c r="EF218" s="117"/>
      <c r="EG218" s="117"/>
      <c r="EH218" s="117"/>
      <c r="EI218" s="117"/>
      <c r="EJ218" s="89"/>
      <c r="EK218" s="89"/>
      <c r="EL218" s="89"/>
      <c r="EM218" s="89"/>
      <c r="EN218" s="89"/>
      <c r="EO218" s="89"/>
      <c r="EP218" s="89"/>
      <c r="EQ218" s="89"/>
      <c r="ER218" s="89"/>
      <c r="ES218" s="89"/>
      <c r="ET218" s="89"/>
      <c r="EU218" s="89"/>
      <c r="EV218" s="89"/>
      <c r="EW218" s="89"/>
      <c r="EX218" s="89"/>
      <c r="EY218" s="89"/>
      <c r="EZ218" s="89"/>
      <c r="FA218" s="89"/>
      <c r="FB218" s="89"/>
      <c r="FC218" s="89"/>
      <c r="FD218" s="89"/>
      <c r="FE218" s="89"/>
      <c r="FF218" s="89"/>
      <c r="FG218" s="89"/>
      <c r="FH218" s="89"/>
      <c r="FI218" s="89"/>
      <c r="FJ218" s="89"/>
      <c r="FK218" s="89"/>
      <c r="FL218" s="89"/>
      <c r="FM218" s="89"/>
      <c r="FN218" s="89"/>
      <c r="FO218" s="89"/>
      <c r="FP218" s="89"/>
      <c r="FQ218" s="89"/>
      <c r="FR218" s="89"/>
      <c r="FS218" s="89"/>
    </row>
    <row r="219" spans="1:175" s="23" customFormat="1" ht="9.75" customHeight="1">
      <c r="A219" s="233"/>
      <c r="B219" s="1145"/>
      <c r="C219" s="234"/>
      <c r="D219" s="235"/>
      <c r="E219" s="235"/>
      <c r="F219" s="235"/>
      <c r="G219" s="235"/>
      <c r="H219" s="235"/>
      <c r="I219" s="236"/>
      <c r="J219" s="235"/>
      <c r="K219" s="235"/>
      <c r="L219" s="237"/>
      <c r="M219" s="237"/>
      <c r="N219" s="238"/>
      <c r="O219" s="238"/>
      <c r="P219" s="493"/>
      <c r="Q219" s="494"/>
      <c r="R219" s="131"/>
      <c r="S219" s="131"/>
      <c r="T219" s="131"/>
      <c r="U219" s="131"/>
      <c r="V219" s="131"/>
      <c r="W219" s="132"/>
      <c r="X219" s="126"/>
      <c r="Y219" s="126"/>
      <c r="Z219" s="126"/>
      <c r="AA219" s="126"/>
      <c r="AB219" s="126"/>
      <c r="AC219" s="126"/>
      <c r="AD219" s="126"/>
      <c r="AE219" s="126"/>
      <c r="AF219" s="127"/>
      <c r="AG219" s="127"/>
      <c r="AH219" s="127"/>
      <c r="AI219" s="127"/>
      <c r="AJ219" s="127"/>
      <c r="AK219" s="127"/>
      <c r="AL219" s="127"/>
      <c r="AM219" s="127"/>
      <c r="AN219" s="127"/>
      <c r="AO219" s="127"/>
      <c r="AP219" s="127"/>
      <c r="AQ219" s="127"/>
      <c r="AR219" s="127"/>
      <c r="AS219" s="128"/>
      <c r="AT219" s="128"/>
      <c r="AU219" s="128"/>
      <c r="AV219" s="128"/>
      <c r="AW219" s="90"/>
      <c r="AX219" s="90"/>
      <c r="AY219" s="90"/>
      <c r="AZ219" s="90"/>
      <c r="BA219" s="90"/>
      <c r="BB219" s="90"/>
      <c r="BC219" s="90"/>
      <c r="BD219" s="90"/>
      <c r="BE219" s="90"/>
      <c r="BF219" s="90"/>
      <c r="BG219" s="90"/>
      <c r="BH219" s="90"/>
      <c r="BI219" s="90"/>
      <c r="BJ219" s="90"/>
      <c r="BK219" s="90"/>
      <c r="BL219" s="90"/>
      <c r="BM219" s="90"/>
      <c r="BN219" s="90"/>
      <c r="BO219" s="90"/>
      <c r="BP219" s="90"/>
      <c r="BQ219" s="90"/>
      <c r="BR219" s="90"/>
      <c r="BS219" s="90"/>
      <c r="BT219" s="90"/>
      <c r="BU219" s="90"/>
      <c r="BV219" s="90"/>
      <c r="BW219" s="90"/>
      <c r="BX219" s="90"/>
      <c r="BY219" s="90"/>
      <c r="BZ219" s="90"/>
      <c r="CA219" s="90"/>
      <c r="CB219" s="90"/>
      <c r="CC219" s="90"/>
      <c r="CD219" s="90"/>
      <c r="CE219" s="90"/>
      <c r="CF219" s="90"/>
      <c r="CG219" s="90"/>
      <c r="CH219" s="90"/>
      <c r="CI219" s="90"/>
      <c r="CJ219" s="90"/>
      <c r="CK219" s="90"/>
      <c r="CL219" s="90"/>
      <c r="CM219" s="90"/>
      <c r="CN219" s="90"/>
      <c r="CO219" s="90"/>
      <c r="CP219" s="90"/>
      <c r="CQ219" s="90"/>
      <c r="CR219" s="90"/>
      <c r="CS219" s="90"/>
      <c r="CT219" s="90"/>
      <c r="CU219" s="90"/>
      <c r="CV219" s="90"/>
      <c r="CW219" s="90"/>
      <c r="CX219" s="90"/>
      <c r="CY219" s="90"/>
      <c r="CZ219" s="90"/>
      <c r="DA219" s="117"/>
      <c r="DB219" s="117"/>
      <c r="DC219" s="117"/>
      <c r="DD219" s="117"/>
      <c r="DE219" s="117"/>
      <c r="DF219" s="117"/>
      <c r="DG219" s="117"/>
      <c r="DH219" s="117"/>
      <c r="DI219" s="117"/>
      <c r="DJ219" s="117"/>
      <c r="DK219" s="117"/>
      <c r="DL219" s="117"/>
      <c r="DM219" s="117"/>
      <c r="DN219" s="117"/>
      <c r="DO219" s="117"/>
      <c r="DP219" s="117"/>
      <c r="DQ219" s="117"/>
      <c r="DR219" s="117"/>
      <c r="DS219" s="117"/>
      <c r="DT219" s="117"/>
      <c r="DU219" s="117"/>
      <c r="DV219" s="117"/>
      <c r="DW219" s="117"/>
      <c r="DX219" s="117"/>
      <c r="DY219" s="117"/>
      <c r="DZ219" s="117"/>
      <c r="EA219" s="117"/>
      <c r="EB219" s="117"/>
      <c r="EC219" s="117"/>
      <c r="ED219" s="117"/>
      <c r="EE219" s="117"/>
      <c r="EF219" s="117"/>
      <c r="EG219" s="117"/>
      <c r="EH219" s="117"/>
      <c r="EI219" s="117"/>
      <c r="EJ219" s="89"/>
      <c r="EK219" s="89"/>
      <c r="EL219" s="89"/>
      <c r="EM219" s="89"/>
      <c r="EN219" s="89"/>
      <c r="EO219" s="89"/>
      <c r="EP219" s="89"/>
      <c r="EQ219" s="89"/>
      <c r="ER219" s="89"/>
      <c r="ES219" s="89"/>
      <c r="ET219" s="89"/>
      <c r="EU219" s="89"/>
      <c r="EV219" s="89"/>
      <c r="EW219" s="89"/>
      <c r="EX219" s="89"/>
      <c r="EY219" s="89"/>
      <c r="EZ219" s="89"/>
      <c r="FA219" s="89"/>
      <c r="FB219" s="89"/>
      <c r="FC219" s="89"/>
      <c r="FD219" s="89"/>
      <c r="FE219" s="89"/>
      <c r="FF219" s="89"/>
      <c r="FG219" s="89"/>
      <c r="FH219" s="89"/>
      <c r="FI219" s="89"/>
      <c r="FJ219" s="89"/>
      <c r="FK219" s="89"/>
      <c r="FL219" s="89"/>
      <c r="FM219" s="89"/>
      <c r="FN219" s="89"/>
      <c r="FO219" s="89"/>
      <c r="FP219" s="89"/>
      <c r="FQ219" s="89"/>
      <c r="FR219" s="89"/>
      <c r="FS219" s="89"/>
    </row>
    <row r="220" spans="1:175" s="23" customFormat="1" ht="9.75" customHeight="1">
      <c r="A220" s="233"/>
      <c r="B220" s="1145"/>
      <c r="C220" s="234"/>
      <c r="D220" s="235"/>
      <c r="E220" s="235"/>
      <c r="F220" s="235"/>
      <c r="G220" s="235"/>
      <c r="H220" s="235"/>
      <c r="I220" s="236"/>
      <c r="J220" s="235"/>
      <c r="K220" s="235"/>
      <c r="L220" s="237"/>
      <c r="M220" s="237"/>
      <c r="N220" s="238"/>
      <c r="O220" s="238"/>
      <c r="P220" s="493"/>
      <c r="Q220" s="494"/>
      <c r="R220" s="131"/>
      <c r="S220" s="131"/>
      <c r="T220" s="131"/>
      <c r="U220" s="131"/>
      <c r="V220" s="131"/>
      <c r="W220" s="132"/>
      <c r="X220" s="126"/>
      <c r="Y220" s="126"/>
      <c r="Z220" s="126"/>
      <c r="AA220" s="126"/>
      <c r="AB220" s="126"/>
      <c r="AC220" s="126"/>
      <c r="AD220" s="126"/>
      <c r="AE220" s="126"/>
      <c r="AF220" s="127"/>
      <c r="AG220" s="127"/>
      <c r="AH220" s="127"/>
      <c r="AI220" s="127"/>
      <c r="AJ220" s="127"/>
      <c r="AK220" s="127"/>
      <c r="AL220" s="127"/>
      <c r="AM220" s="127"/>
      <c r="AN220" s="127"/>
      <c r="AO220" s="127"/>
      <c r="AP220" s="127"/>
      <c r="AQ220" s="127"/>
      <c r="AR220" s="127"/>
      <c r="AS220" s="128"/>
      <c r="AT220" s="128"/>
      <c r="AU220" s="128"/>
      <c r="AV220" s="128"/>
      <c r="AW220" s="90"/>
      <c r="AX220" s="90"/>
      <c r="AY220" s="90"/>
      <c r="AZ220" s="90"/>
      <c r="BA220" s="90"/>
      <c r="BB220" s="90"/>
      <c r="BC220" s="90"/>
      <c r="BD220" s="90"/>
      <c r="BE220" s="90"/>
      <c r="BF220" s="90"/>
      <c r="BG220" s="90"/>
      <c r="BH220" s="90"/>
      <c r="BI220" s="90"/>
      <c r="BJ220" s="90"/>
      <c r="BK220" s="90"/>
      <c r="BL220" s="90"/>
      <c r="BM220" s="90"/>
      <c r="BN220" s="90"/>
      <c r="BO220" s="90"/>
      <c r="BP220" s="90"/>
      <c r="BQ220" s="90"/>
      <c r="BR220" s="90"/>
      <c r="BS220" s="90"/>
      <c r="BT220" s="90"/>
      <c r="BU220" s="90"/>
      <c r="BV220" s="90"/>
      <c r="BW220" s="90"/>
      <c r="BX220" s="90"/>
      <c r="BY220" s="90"/>
      <c r="BZ220" s="90"/>
      <c r="CA220" s="90"/>
      <c r="CB220" s="90"/>
      <c r="CC220" s="90"/>
      <c r="CD220" s="90"/>
      <c r="CE220" s="90"/>
      <c r="CF220" s="90"/>
      <c r="CG220" s="90"/>
      <c r="CH220" s="90"/>
      <c r="CI220" s="90"/>
      <c r="CJ220" s="90"/>
      <c r="CK220" s="90"/>
      <c r="CL220" s="90"/>
      <c r="CM220" s="90"/>
      <c r="CN220" s="90"/>
      <c r="CO220" s="90"/>
      <c r="CP220" s="90"/>
      <c r="CQ220" s="90"/>
      <c r="CR220" s="90"/>
      <c r="CS220" s="90"/>
      <c r="CT220" s="90"/>
      <c r="CU220" s="90"/>
      <c r="CV220" s="90"/>
      <c r="CW220" s="90"/>
      <c r="CX220" s="90"/>
      <c r="CY220" s="90"/>
      <c r="CZ220" s="90"/>
      <c r="DA220" s="117"/>
      <c r="DB220" s="117"/>
      <c r="DC220" s="117"/>
      <c r="DD220" s="117"/>
      <c r="DE220" s="117"/>
      <c r="DF220" s="117"/>
      <c r="DG220" s="117"/>
      <c r="DH220" s="117"/>
      <c r="DI220" s="117"/>
      <c r="DJ220" s="117"/>
      <c r="DK220" s="117"/>
      <c r="DL220" s="117"/>
      <c r="DM220" s="117"/>
      <c r="DN220" s="117"/>
      <c r="DO220" s="117"/>
      <c r="DP220" s="117"/>
      <c r="DQ220" s="117"/>
      <c r="DR220" s="117"/>
      <c r="DS220" s="117"/>
      <c r="DT220" s="117"/>
      <c r="DU220" s="117"/>
      <c r="DV220" s="117"/>
      <c r="DW220" s="117"/>
      <c r="DX220" s="117"/>
      <c r="DY220" s="117"/>
      <c r="DZ220" s="117"/>
      <c r="EA220" s="117"/>
      <c r="EB220" s="117"/>
      <c r="EC220" s="117"/>
      <c r="ED220" s="117"/>
      <c r="EE220" s="117"/>
      <c r="EF220" s="117"/>
      <c r="EG220" s="117"/>
      <c r="EH220" s="117"/>
      <c r="EI220" s="117"/>
      <c r="EJ220" s="89"/>
      <c r="EK220" s="89"/>
      <c r="EL220" s="89"/>
      <c r="EM220" s="89"/>
      <c r="EN220" s="89"/>
      <c r="EO220" s="89"/>
      <c r="EP220" s="89"/>
      <c r="EQ220" s="89"/>
      <c r="ER220" s="89"/>
      <c r="ES220" s="89"/>
      <c r="ET220" s="89"/>
      <c r="EU220" s="89"/>
      <c r="EV220" s="89"/>
      <c r="EW220" s="89"/>
      <c r="EX220" s="89"/>
      <c r="EY220" s="89"/>
      <c r="EZ220" s="89"/>
      <c r="FA220" s="89"/>
      <c r="FB220" s="89"/>
      <c r="FC220" s="89"/>
      <c r="FD220" s="89"/>
      <c r="FE220" s="89"/>
      <c r="FF220" s="89"/>
      <c r="FG220" s="89"/>
      <c r="FH220" s="89"/>
      <c r="FI220" s="89"/>
      <c r="FJ220" s="89"/>
      <c r="FK220" s="89"/>
      <c r="FL220" s="89"/>
      <c r="FM220" s="89"/>
      <c r="FN220" s="89"/>
      <c r="FO220" s="89"/>
      <c r="FP220" s="89"/>
      <c r="FQ220" s="89"/>
      <c r="FR220" s="89"/>
      <c r="FS220" s="89"/>
    </row>
    <row r="221" spans="1:175" s="23" customFormat="1" ht="9.75" customHeight="1">
      <c r="A221" s="233"/>
      <c r="B221" s="1145"/>
      <c r="C221" s="234"/>
      <c r="D221" s="235"/>
      <c r="E221" s="235"/>
      <c r="F221" s="235"/>
      <c r="G221" s="235"/>
      <c r="H221" s="235"/>
      <c r="I221" s="236"/>
      <c r="J221" s="235"/>
      <c r="K221" s="235"/>
      <c r="L221" s="237"/>
      <c r="M221" s="237"/>
      <c r="N221" s="238"/>
      <c r="O221" s="238"/>
      <c r="P221" s="493"/>
      <c r="Q221" s="494"/>
      <c r="R221" s="131"/>
      <c r="S221" s="131"/>
      <c r="T221" s="131"/>
      <c r="U221" s="131"/>
      <c r="V221" s="131"/>
      <c r="W221" s="132"/>
      <c r="X221" s="126"/>
      <c r="Y221" s="126"/>
      <c r="Z221" s="126"/>
      <c r="AA221" s="126"/>
      <c r="AB221" s="126"/>
      <c r="AC221" s="126"/>
      <c r="AD221" s="126"/>
      <c r="AE221" s="126"/>
      <c r="AF221" s="127"/>
      <c r="AG221" s="127"/>
      <c r="AH221" s="127"/>
      <c r="AI221" s="127"/>
      <c r="AJ221" s="127"/>
      <c r="AK221" s="127"/>
      <c r="AL221" s="127"/>
      <c r="AM221" s="127"/>
      <c r="AN221" s="127"/>
      <c r="AO221" s="127"/>
      <c r="AP221" s="127"/>
      <c r="AQ221" s="127"/>
      <c r="AR221" s="127"/>
      <c r="AS221" s="128"/>
      <c r="AT221" s="128"/>
      <c r="AU221" s="128"/>
      <c r="AV221" s="128"/>
      <c r="AW221" s="90"/>
      <c r="AX221" s="90"/>
      <c r="AY221" s="90"/>
      <c r="AZ221" s="90"/>
      <c r="BA221" s="90"/>
      <c r="BB221" s="90"/>
      <c r="BC221" s="90"/>
      <c r="BD221" s="90"/>
      <c r="BE221" s="90"/>
      <c r="BF221" s="90"/>
      <c r="BG221" s="90"/>
      <c r="BH221" s="90"/>
      <c r="BI221" s="90"/>
      <c r="BJ221" s="90"/>
      <c r="BK221" s="90"/>
      <c r="BL221" s="90"/>
      <c r="BM221" s="90"/>
      <c r="BN221" s="90"/>
      <c r="BO221" s="90"/>
      <c r="BP221" s="90"/>
      <c r="BQ221" s="90"/>
      <c r="BR221" s="90"/>
      <c r="BS221" s="90"/>
      <c r="BT221" s="90"/>
      <c r="BU221" s="90"/>
      <c r="BV221" s="90"/>
      <c r="BW221" s="90"/>
      <c r="BX221" s="90"/>
      <c r="BY221" s="90"/>
      <c r="BZ221" s="90"/>
      <c r="CA221" s="90"/>
      <c r="CB221" s="90"/>
      <c r="CC221" s="90"/>
      <c r="CD221" s="90"/>
      <c r="CE221" s="90"/>
      <c r="CF221" s="90"/>
      <c r="CG221" s="90"/>
      <c r="CH221" s="90"/>
      <c r="CI221" s="90"/>
      <c r="CJ221" s="90"/>
      <c r="CK221" s="90"/>
      <c r="CL221" s="90"/>
      <c r="CM221" s="90"/>
      <c r="CN221" s="90"/>
      <c r="CO221" s="90"/>
      <c r="CP221" s="90"/>
      <c r="CQ221" s="90"/>
      <c r="CR221" s="90"/>
      <c r="CS221" s="90"/>
      <c r="CT221" s="90"/>
      <c r="CU221" s="90"/>
      <c r="CV221" s="90"/>
      <c r="CW221" s="90"/>
      <c r="CX221" s="90"/>
      <c r="CY221" s="90"/>
      <c r="CZ221" s="90"/>
      <c r="DA221" s="117"/>
      <c r="DB221" s="117"/>
      <c r="DC221" s="117"/>
      <c r="DD221" s="117"/>
      <c r="DE221" s="117"/>
      <c r="DF221" s="117"/>
      <c r="DG221" s="117"/>
      <c r="DH221" s="117"/>
      <c r="DI221" s="117"/>
      <c r="DJ221" s="117"/>
      <c r="DK221" s="117"/>
      <c r="DL221" s="117"/>
      <c r="DM221" s="117"/>
      <c r="DN221" s="117"/>
      <c r="DO221" s="117"/>
      <c r="DP221" s="117"/>
      <c r="DQ221" s="117"/>
      <c r="DR221" s="117"/>
      <c r="DS221" s="117"/>
      <c r="DT221" s="117"/>
      <c r="DU221" s="117"/>
      <c r="DV221" s="117"/>
      <c r="DW221" s="117"/>
      <c r="DX221" s="117"/>
      <c r="DY221" s="117"/>
      <c r="DZ221" s="117"/>
      <c r="EA221" s="117"/>
      <c r="EB221" s="117"/>
      <c r="EC221" s="117"/>
      <c r="ED221" s="117"/>
      <c r="EE221" s="117"/>
      <c r="EF221" s="117"/>
      <c r="EG221" s="117"/>
      <c r="EH221" s="117"/>
      <c r="EI221" s="117"/>
      <c r="EJ221" s="89"/>
      <c r="EK221" s="89"/>
      <c r="EL221" s="89"/>
      <c r="EM221" s="89"/>
      <c r="EN221" s="89"/>
      <c r="EO221" s="89"/>
      <c r="EP221" s="89"/>
      <c r="EQ221" s="89"/>
      <c r="ER221" s="89"/>
      <c r="ES221" s="89"/>
      <c r="ET221" s="89"/>
      <c r="EU221" s="89"/>
      <c r="EV221" s="89"/>
      <c r="EW221" s="89"/>
      <c r="EX221" s="89"/>
      <c r="EY221" s="89"/>
      <c r="EZ221" s="89"/>
      <c r="FA221" s="89"/>
      <c r="FB221" s="89"/>
      <c r="FC221" s="89"/>
      <c r="FD221" s="89"/>
      <c r="FE221" s="89"/>
      <c r="FF221" s="89"/>
      <c r="FG221" s="89"/>
      <c r="FH221" s="89"/>
      <c r="FI221" s="89"/>
      <c r="FJ221" s="89"/>
      <c r="FK221" s="89"/>
      <c r="FL221" s="89"/>
      <c r="FM221" s="89"/>
      <c r="FN221" s="89"/>
      <c r="FO221" s="89"/>
      <c r="FP221" s="89"/>
      <c r="FQ221" s="89"/>
      <c r="FR221" s="89"/>
      <c r="FS221" s="89"/>
    </row>
    <row r="222" spans="1:175" s="23" customFormat="1" ht="9.75" customHeight="1">
      <c r="A222" s="233"/>
      <c r="B222" s="1145"/>
      <c r="C222" s="234"/>
      <c r="D222" s="235"/>
      <c r="E222" s="235"/>
      <c r="F222" s="235"/>
      <c r="G222" s="235"/>
      <c r="H222" s="235"/>
      <c r="I222" s="236"/>
      <c r="J222" s="235"/>
      <c r="K222" s="235"/>
      <c r="L222" s="237"/>
      <c r="M222" s="237"/>
      <c r="N222" s="238"/>
      <c r="O222" s="238"/>
      <c r="P222" s="493"/>
      <c r="Q222" s="494"/>
      <c r="R222" s="131"/>
      <c r="S222" s="131"/>
      <c r="T222" s="131"/>
      <c r="U222" s="131"/>
      <c r="V222" s="131"/>
      <c r="W222" s="132"/>
      <c r="X222" s="126"/>
      <c r="Y222" s="126"/>
      <c r="Z222" s="126"/>
      <c r="AA222" s="126"/>
      <c r="AB222" s="126"/>
      <c r="AC222" s="126"/>
      <c r="AD222" s="126"/>
      <c r="AE222" s="126"/>
      <c r="AF222" s="127"/>
      <c r="AG222" s="127"/>
      <c r="AH222" s="127"/>
      <c r="AI222" s="127"/>
      <c r="AJ222" s="127"/>
      <c r="AK222" s="127"/>
      <c r="AL222" s="127"/>
      <c r="AM222" s="127"/>
      <c r="AN222" s="127"/>
      <c r="AO222" s="127"/>
      <c r="AP222" s="127"/>
      <c r="AQ222" s="127"/>
      <c r="AR222" s="127"/>
      <c r="AS222" s="128"/>
      <c r="AT222" s="128"/>
      <c r="AU222" s="128"/>
      <c r="AV222" s="128"/>
      <c r="AW222" s="90"/>
      <c r="AX222" s="90"/>
      <c r="AY222" s="90"/>
      <c r="AZ222" s="90"/>
      <c r="BA222" s="90"/>
      <c r="BB222" s="90"/>
      <c r="BC222" s="90"/>
      <c r="BD222" s="90"/>
      <c r="BE222" s="90"/>
      <c r="BF222" s="90"/>
      <c r="BG222" s="90"/>
      <c r="BH222" s="90"/>
      <c r="BI222" s="90"/>
      <c r="BJ222" s="90"/>
      <c r="BK222" s="90"/>
      <c r="BL222" s="90"/>
      <c r="BM222" s="90"/>
      <c r="BN222" s="90"/>
      <c r="BO222" s="90"/>
      <c r="BP222" s="90"/>
      <c r="BQ222" s="90"/>
      <c r="BR222" s="90"/>
      <c r="BS222" s="90"/>
      <c r="BT222" s="90"/>
      <c r="BU222" s="90"/>
      <c r="BV222" s="90"/>
      <c r="BW222" s="90"/>
      <c r="BX222" s="90"/>
      <c r="BY222" s="90"/>
      <c r="BZ222" s="90"/>
      <c r="CA222" s="90"/>
      <c r="CB222" s="90"/>
      <c r="CC222" s="90"/>
      <c r="CD222" s="90"/>
      <c r="CE222" s="90"/>
      <c r="CF222" s="90"/>
      <c r="CG222" s="90"/>
      <c r="CH222" s="90"/>
      <c r="CI222" s="90"/>
      <c r="CJ222" s="90"/>
      <c r="CK222" s="90"/>
      <c r="CL222" s="90"/>
      <c r="CM222" s="90"/>
      <c r="CN222" s="90"/>
      <c r="CO222" s="90"/>
      <c r="CP222" s="90"/>
      <c r="CQ222" s="90"/>
      <c r="CR222" s="90"/>
      <c r="CS222" s="90"/>
      <c r="CT222" s="90"/>
      <c r="CU222" s="90"/>
      <c r="CV222" s="90"/>
      <c r="CW222" s="90"/>
      <c r="CX222" s="90"/>
      <c r="CY222" s="90"/>
      <c r="CZ222" s="90"/>
      <c r="DA222" s="117"/>
      <c r="DB222" s="117"/>
      <c r="DC222" s="117"/>
      <c r="DD222" s="117"/>
      <c r="DE222" s="117"/>
      <c r="DF222" s="117"/>
      <c r="DG222" s="117"/>
      <c r="DH222" s="117"/>
      <c r="DI222" s="117"/>
      <c r="DJ222" s="117"/>
      <c r="DK222" s="117"/>
      <c r="DL222" s="117"/>
      <c r="DM222" s="117"/>
      <c r="DN222" s="117"/>
      <c r="DO222" s="117"/>
      <c r="DP222" s="117"/>
      <c r="DQ222" s="117"/>
      <c r="DR222" s="117"/>
      <c r="DS222" s="117"/>
      <c r="DT222" s="117"/>
      <c r="DU222" s="117"/>
      <c r="DV222" s="117"/>
      <c r="DW222" s="117"/>
      <c r="DX222" s="117"/>
      <c r="DY222" s="117"/>
      <c r="DZ222" s="117"/>
      <c r="EA222" s="117"/>
      <c r="EB222" s="117"/>
      <c r="EC222" s="117"/>
      <c r="ED222" s="117"/>
      <c r="EE222" s="117"/>
      <c r="EF222" s="117"/>
      <c r="EG222" s="117"/>
      <c r="EH222" s="117"/>
      <c r="EI222" s="117"/>
      <c r="EJ222" s="89"/>
      <c r="EK222" s="89"/>
      <c r="EL222" s="89"/>
      <c r="EM222" s="89"/>
      <c r="EN222" s="89"/>
      <c r="EO222" s="89"/>
      <c r="EP222" s="89"/>
      <c r="EQ222" s="89"/>
      <c r="ER222" s="89"/>
      <c r="ES222" s="89"/>
      <c r="ET222" s="89"/>
      <c r="EU222" s="89"/>
      <c r="EV222" s="89"/>
      <c r="EW222" s="89"/>
      <c r="EX222" s="89"/>
      <c r="EY222" s="89"/>
      <c r="EZ222" s="89"/>
      <c r="FA222" s="89"/>
      <c r="FB222" s="89"/>
      <c r="FC222" s="89"/>
      <c r="FD222" s="89"/>
      <c r="FE222" s="89"/>
      <c r="FF222" s="89"/>
      <c r="FG222" s="89"/>
      <c r="FH222" s="89"/>
      <c r="FI222" s="89"/>
      <c r="FJ222" s="89"/>
      <c r="FK222" s="89"/>
      <c r="FL222" s="89"/>
      <c r="FM222" s="89"/>
      <c r="FN222" s="89"/>
      <c r="FO222" s="89"/>
      <c r="FP222" s="89"/>
      <c r="FQ222" s="89"/>
      <c r="FR222" s="89"/>
      <c r="FS222" s="89"/>
    </row>
    <row r="223" spans="1:175" s="23" customFormat="1" ht="9.75" customHeight="1">
      <c r="A223" s="233"/>
      <c r="B223" s="1145"/>
      <c r="C223" s="234"/>
      <c r="D223" s="235"/>
      <c r="E223" s="235"/>
      <c r="F223" s="235"/>
      <c r="G223" s="235"/>
      <c r="H223" s="235"/>
      <c r="I223" s="236"/>
      <c r="J223" s="235"/>
      <c r="K223" s="235"/>
      <c r="L223" s="237"/>
      <c r="M223" s="237"/>
      <c r="N223" s="238"/>
      <c r="O223" s="238"/>
      <c r="P223" s="493"/>
      <c r="Q223" s="494"/>
      <c r="R223" s="131"/>
      <c r="S223" s="131"/>
      <c r="T223" s="131"/>
      <c r="U223" s="131"/>
      <c r="V223" s="131"/>
      <c r="W223" s="132"/>
      <c r="X223" s="126"/>
      <c r="Y223" s="126"/>
      <c r="Z223" s="126"/>
      <c r="AA223" s="126"/>
      <c r="AB223" s="126"/>
      <c r="AC223" s="126"/>
      <c r="AD223" s="126"/>
      <c r="AE223" s="126"/>
      <c r="AF223" s="127"/>
      <c r="AG223" s="127"/>
      <c r="AH223" s="127"/>
      <c r="AI223" s="127"/>
      <c r="AJ223" s="127"/>
      <c r="AK223" s="127"/>
      <c r="AL223" s="127"/>
      <c r="AM223" s="127"/>
      <c r="AN223" s="127"/>
      <c r="AO223" s="127"/>
      <c r="AP223" s="127"/>
      <c r="AQ223" s="127"/>
      <c r="AR223" s="127"/>
      <c r="AS223" s="128"/>
      <c r="AT223" s="128"/>
      <c r="AU223" s="128"/>
      <c r="AV223" s="128"/>
      <c r="AW223" s="90"/>
      <c r="AX223" s="90"/>
      <c r="AY223" s="90"/>
      <c r="AZ223" s="90"/>
      <c r="BA223" s="90"/>
      <c r="BB223" s="90"/>
      <c r="BC223" s="90"/>
      <c r="BD223" s="90"/>
      <c r="BE223" s="90"/>
      <c r="BF223" s="90"/>
      <c r="BG223" s="90"/>
      <c r="BH223" s="90"/>
      <c r="BI223" s="90"/>
      <c r="BJ223" s="90"/>
      <c r="BK223" s="90"/>
      <c r="BL223" s="90"/>
      <c r="BM223" s="90"/>
      <c r="BN223" s="90"/>
      <c r="BO223" s="90"/>
      <c r="BP223" s="90"/>
      <c r="BQ223" s="90"/>
      <c r="BR223" s="90"/>
      <c r="BS223" s="90"/>
      <c r="BT223" s="90"/>
      <c r="BU223" s="90"/>
      <c r="BV223" s="90"/>
      <c r="BW223" s="90"/>
      <c r="BX223" s="90"/>
      <c r="BY223" s="90"/>
      <c r="BZ223" s="90"/>
      <c r="CA223" s="90"/>
      <c r="CB223" s="90"/>
      <c r="CC223" s="90"/>
      <c r="CD223" s="90"/>
      <c r="CE223" s="90"/>
      <c r="CF223" s="90"/>
      <c r="CG223" s="90"/>
      <c r="CH223" s="90"/>
      <c r="CI223" s="90"/>
      <c r="CJ223" s="90"/>
      <c r="CK223" s="90"/>
      <c r="CL223" s="90"/>
      <c r="CM223" s="90"/>
      <c r="CN223" s="90"/>
      <c r="CO223" s="90"/>
      <c r="CP223" s="90"/>
      <c r="CQ223" s="90"/>
      <c r="CR223" s="90"/>
      <c r="CS223" s="90"/>
      <c r="CT223" s="90"/>
      <c r="CU223" s="90"/>
      <c r="CV223" s="90"/>
      <c r="CW223" s="90"/>
      <c r="CX223" s="90"/>
      <c r="CY223" s="90"/>
      <c r="CZ223" s="90"/>
      <c r="DA223" s="117"/>
      <c r="DB223" s="117"/>
      <c r="DC223" s="117"/>
      <c r="DD223" s="117"/>
      <c r="DE223" s="117"/>
      <c r="DF223" s="117"/>
      <c r="DG223" s="117"/>
      <c r="DH223" s="117"/>
      <c r="DI223" s="117"/>
      <c r="DJ223" s="117"/>
      <c r="DK223" s="117"/>
      <c r="DL223" s="117"/>
      <c r="DM223" s="117"/>
      <c r="DN223" s="117"/>
      <c r="DO223" s="117"/>
      <c r="DP223" s="117"/>
      <c r="DQ223" s="117"/>
      <c r="DR223" s="117"/>
      <c r="DS223" s="117"/>
      <c r="DT223" s="117"/>
      <c r="DU223" s="117"/>
      <c r="DV223" s="117"/>
      <c r="DW223" s="117"/>
      <c r="DX223" s="117"/>
      <c r="DY223" s="117"/>
      <c r="DZ223" s="117"/>
      <c r="EA223" s="117"/>
      <c r="EB223" s="117"/>
      <c r="EC223" s="117"/>
      <c r="ED223" s="117"/>
      <c r="EE223" s="117"/>
      <c r="EF223" s="117"/>
      <c r="EG223" s="117"/>
      <c r="EH223" s="117"/>
      <c r="EI223" s="117"/>
      <c r="EJ223" s="89"/>
      <c r="EK223" s="89"/>
      <c r="EL223" s="89"/>
      <c r="EM223" s="89"/>
      <c r="EN223" s="89"/>
      <c r="EO223" s="89"/>
      <c r="EP223" s="89"/>
      <c r="EQ223" s="89"/>
      <c r="ER223" s="89"/>
      <c r="ES223" s="89"/>
      <c r="ET223" s="89"/>
      <c r="EU223" s="89"/>
      <c r="EV223" s="89"/>
      <c r="EW223" s="89"/>
      <c r="EX223" s="89"/>
      <c r="EY223" s="89"/>
      <c r="EZ223" s="89"/>
      <c r="FA223" s="89"/>
      <c r="FB223" s="89"/>
      <c r="FC223" s="89"/>
      <c r="FD223" s="89"/>
      <c r="FE223" s="89"/>
      <c r="FF223" s="89"/>
      <c r="FG223" s="89"/>
      <c r="FH223" s="89"/>
      <c r="FI223" s="89"/>
      <c r="FJ223" s="89"/>
      <c r="FK223" s="89"/>
      <c r="FL223" s="89"/>
      <c r="FM223" s="89"/>
      <c r="FN223" s="89"/>
      <c r="FO223" s="89"/>
      <c r="FP223" s="89"/>
      <c r="FQ223" s="89"/>
      <c r="FR223" s="89"/>
      <c r="FS223" s="89"/>
    </row>
    <row r="224" spans="1:175" s="23" customFormat="1" ht="9.75" customHeight="1">
      <c r="A224" s="233"/>
      <c r="B224" s="1145"/>
      <c r="C224" s="234"/>
      <c r="D224" s="235"/>
      <c r="E224" s="235"/>
      <c r="F224" s="235"/>
      <c r="G224" s="235"/>
      <c r="H224" s="235"/>
      <c r="I224" s="236"/>
      <c r="J224" s="235"/>
      <c r="K224" s="235"/>
      <c r="L224" s="237"/>
      <c r="M224" s="237"/>
      <c r="N224" s="238"/>
      <c r="O224" s="238"/>
      <c r="P224" s="493"/>
      <c r="Q224" s="494"/>
      <c r="R224" s="131"/>
      <c r="S224" s="131"/>
      <c r="T224" s="131"/>
      <c r="U224" s="131"/>
      <c r="V224" s="131"/>
      <c r="W224" s="132"/>
      <c r="X224" s="126"/>
      <c r="Y224" s="126"/>
      <c r="Z224" s="126"/>
      <c r="AA224" s="126"/>
      <c r="AB224" s="126"/>
      <c r="AC224" s="126"/>
      <c r="AD224" s="126"/>
      <c r="AE224" s="126"/>
      <c r="AF224" s="127"/>
      <c r="AG224" s="127"/>
      <c r="AH224" s="127"/>
      <c r="AI224" s="127"/>
      <c r="AJ224" s="127"/>
      <c r="AK224" s="127"/>
      <c r="AL224" s="127"/>
      <c r="AM224" s="127"/>
      <c r="AN224" s="127"/>
      <c r="AO224" s="127"/>
      <c r="AP224" s="127"/>
      <c r="AQ224" s="127"/>
      <c r="AR224" s="127"/>
      <c r="AS224" s="128"/>
      <c r="AT224" s="128"/>
      <c r="AU224" s="128"/>
      <c r="AV224" s="128"/>
      <c r="AW224" s="90"/>
      <c r="AX224" s="90"/>
      <c r="AY224" s="90"/>
      <c r="AZ224" s="90"/>
      <c r="BA224" s="90"/>
      <c r="BB224" s="90"/>
      <c r="BC224" s="90"/>
      <c r="BD224" s="90"/>
      <c r="BE224" s="90"/>
      <c r="BF224" s="90"/>
      <c r="BG224" s="90"/>
      <c r="BH224" s="90"/>
      <c r="BI224" s="90"/>
      <c r="BJ224" s="90"/>
      <c r="BK224" s="90"/>
      <c r="BL224" s="90"/>
      <c r="BM224" s="90"/>
      <c r="BN224" s="90"/>
      <c r="BO224" s="90"/>
      <c r="BP224" s="90"/>
      <c r="BQ224" s="90"/>
      <c r="BR224" s="90"/>
      <c r="BS224" s="90"/>
      <c r="BT224" s="90"/>
      <c r="BU224" s="90"/>
      <c r="BV224" s="90"/>
      <c r="BW224" s="90"/>
      <c r="BX224" s="90"/>
      <c r="BY224" s="90"/>
      <c r="BZ224" s="90"/>
      <c r="CA224" s="90"/>
      <c r="CB224" s="90"/>
      <c r="CC224" s="90"/>
      <c r="CD224" s="90"/>
      <c r="CE224" s="90"/>
      <c r="CF224" s="90"/>
      <c r="CG224" s="90"/>
      <c r="CH224" s="90"/>
      <c r="CI224" s="90"/>
      <c r="CJ224" s="90"/>
      <c r="CK224" s="90"/>
      <c r="CL224" s="90"/>
      <c r="CM224" s="90"/>
      <c r="CN224" s="90"/>
      <c r="CO224" s="90"/>
      <c r="CP224" s="90"/>
      <c r="CQ224" s="90"/>
      <c r="CR224" s="90"/>
      <c r="CS224" s="90"/>
      <c r="CT224" s="90"/>
      <c r="CU224" s="90"/>
      <c r="CV224" s="90"/>
      <c r="CW224" s="90"/>
      <c r="CX224" s="90"/>
      <c r="CY224" s="90"/>
      <c r="CZ224" s="90"/>
      <c r="DA224" s="117"/>
      <c r="DB224" s="117"/>
      <c r="DC224" s="117"/>
      <c r="DD224" s="117"/>
      <c r="DE224" s="117"/>
      <c r="DF224" s="117"/>
      <c r="DG224" s="117"/>
      <c r="DH224" s="117"/>
      <c r="DI224" s="117"/>
      <c r="DJ224" s="117"/>
      <c r="DK224" s="117"/>
      <c r="DL224" s="117"/>
      <c r="DM224" s="117"/>
      <c r="DN224" s="117"/>
      <c r="DO224" s="117"/>
      <c r="DP224" s="117"/>
      <c r="DQ224" s="117"/>
      <c r="DR224" s="117"/>
      <c r="DS224" s="117"/>
      <c r="DT224" s="117"/>
      <c r="DU224" s="117"/>
      <c r="DV224" s="117"/>
      <c r="DW224" s="117"/>
      <c r="DX224" s="117"/>
      <c r="DY224" s="117"/>
      <c r="DZ224" s="117"/>
      <c r="EA224" s="117"/>
      <c r="EB224" s="117"/>
      <c r="EC224" s="117"/>
      <c r="ED224" s="117"/>
      <c r="EE224" s="117"/>
      <c r="EF224" s="117"/>
      <c r="EG224" s="117"/>
      <c r="EH224" s="117"/>
      <c r="EI224" s="117"/>
      <c r="EJ224" s="89"/>
      <c r="EK224" s="89"/>
      <c r="EL224" s="89"/>
      <c r="EM224" s="89"/>
      <c r="EN224" s="89"/>
      <c r="EO224" s="89"/>
      <c r="EP224" s="89"/>
      <c r="EQ224" s="89"/>
      <c r="ER224" s="89"/>
      <c r="ES224" s="89"/>
      <c r="ET224" s="89"/>
      <c r="EU224" s="89"/>
      <c r="EV224" s="89"/>
      <c r="EW224" s="89"/>
      <c r="EX224" s="89"/>
      <c r="EY224" s="89"/>
      <c r="EZ224" s="89"/>
      <c r="FA224" s="89"/>
      <c r="FB224" s="89"/>
      <c r="FC224" s="89"/>
      <c r="FD224" s="89"/>
      <c r="FE224" s="89"/>
      <c r="FF224" s="89"/>
      <c r="FG224" s="89"/>
      <c r="FH224" s="89"/>
      <c r="FI224" s="89"/>
      <c r="FJ224" s="89"/>
      <c r="FK224" s="89"/>
      <c r="FL224" s="89"/>
      <c r="FM224" s="89"/>
      <c r="FN224" s="89"/>
      <c r="FO224" s="89"/>
      <c r="FP224" s="89"/>
      <c r="FQ224" s="89"/>
      <c r="FR224" s="89"/>
      <c r="FS224" s="89"/>
    </row>
    <row r="225" spans="1:175" s="23" customFormat="1" ht="9.75" customHeight="1">
      <c r="A225" s="233"/>
      <c r="B225" s="1145"/>
      <c r="C225" s="234"/>
      <c r="D225" s="235"/>
      <c r="E225" s="235"/>
      <c r="F225" s="235"/>
      <c r="G225" s="235"/>
      <c r="H225" s="235"/>
      <c r="I225" s="236"/>
      <c r="J225" s="235"/>
      <c r="K225" s="235"/>
      <c r="L225" s="237"/>
      <c r="M225" s="237"/>
      <c r="N225" s="238"/>
      <c r="O225" s="238"/>
      <c r="P225" s="493"/>
      <c r="Q225" s="494"/>
      <c r="R225" s="131"/>
      <c r="S225" s="131"/>
      <c r="T225" s="131"/>
      <c r="U225" s="131"/>
      <c r="V225" s="131"/>
      <c r="W225" s="132"/>
      <c r="X225" s="126"/>
      <c r="Y225" s="126"/>
      <c r="Z225" s="126"/>
      <c r="AA225" s="126"/>
      <c r="AB225" s="126"/>
      <c r="AC225" s="126"/>
      <c r="AD225" s="126"/>
      <c r="AE225" s="126"/>
      <c r="AF225" s="127"/>
      <c r="AG225" s="127"/>
      <c r="AH225" s="127"/>
      <c r="AI225" s="127"/>
      <c r="AJ225" s="127"/>
      <c r="AK225" s="127"/>
      <c r="AL225" s="127"/>
      <c r="AM225" s="127"/>
      <c r="AN225" s="127"/>
      <c r="AO225" s="127"/>
      <c r="AP225" s="127"/>
      <c r="AQ225" s="127"/>
      <c r="AR225" s="127"/>
      <c r="AS225" s="128"/>
      <c r="AT225" s="128"/>
      <c r="AU225" s="128"/>
      <c r="AV225" s="128"/>
      <c r="AW225" s="90"/>
      <c r="AX225" s="90"/>
      <c r="AY225" s="90"/>
      <c r="AZ225" s="90"/>
      <c r="BA225" s="90"/>
      <c r="BB225" s="90"/>
      <c r="BC225" s="90"/>
      <c r="BD225" s="90"/>
      <c r="BE225" s="90"/>
      <c r="BF225" s="90"/>
      <c r="BG225" s="90"/>
      <c r="BH225" s="90"/>
      <c r="BI225" s="90"/>
      <c r="BJ225" s="90"/>
      <c r="BK225" s="90"/>
      <c r="BL225" s="90"/>
      <c r="BM225" s="90"/>
      <c r="BN225" s="90"/>
      <c r="BO225" s="90"/>
      <c r="BP225" s="90"/>
      <c r="BQ225" s="90"/>
      <c r="BR225" s="90"/>
      <c r="BS225" s="90"/>
      <c r="BT225" s="90"/>
      <c r="BU225" s="90"/>
      <c r="BV225" s="90"/>
      <c r="BW225" s="90"/>
      <c r="BX225" s="90"/>
      <c r="BY225" s="90"/>
      <c r="BZ225" s="90"/>
      <c r="CA225" s="90"/>
      <c r="CB225" s="90"/>
      <c r="CC225" s="90"/>
      <c r="CD225" s="90"/>
      <c r="CE225" s="90"/>
      <c r="CF225" s="90"/>
      <c r="CG225" s="90"/>
      <c r="CH225" s="90"/>
      <c r="CI225" s="90"/>
      <c r="CJ225" s="90"/>
      <c r="CK225" s="90"/>
      <c r="CL225" s="90"/>
      <c r="CM225" s="90"/>
      <c r="CN225" s="90"/>
      <c r="CO225" s="90"/>
      <c r="CP225" s="90"/>
      <c r="CQ225" s="90"/>
      <c r="CR225" s="90"/>
      <c r="CS225" s="90"/>
      <c r="CT225" s="90"/>
      <c r="CU225" s="90"/>
      <c r="CV225" s="90"/>
      <c r="CW225" s="90"/>
      <c r="CX225" s="90"/>
      <c r="CY225" s="90"/>
      <c r="CZ225" s="90"/>
      <c r="DA225" s="117"/>
      <c r="DB225" s="117"/>
      <c r="DC225" s="117"/>
      <c r="DD225" s="117"/>
      <c r="DE225" s="117"/>
      <c r="DF225" s="117"/>
      <c r="DG225" s="117"/>
      <c r="DH225" s="117"/>
      <c r="DI225" s="117"/>
      <c r="DJ225" s="117"/>
      <c r="DK225" s="117"/>
      <c r="DL225" s="117"/>
      <c r="DM225" s="117"/>
      <c r="DN225" s="117"/>
      <c r="DO225" s="117"/>
      <c r="DP225" s="117"/>
      <c r="DQ225" s="117"/>
      <c r="DR225" s="117"/>
      <c r="DS225" s="117"/>
      <c r="DT225" s="117"/>
      <c r="DU225" s="117"/>
      <c r="DV225" s="117"/>
      <c r="DW225" s="117"/>
      <c r="DX225" s="117"/>
      <c r="DY225" s="117"/>
      <c r="DZ225" s="117"/>
      <c r="EA225" s="117"/>
      <c r="EB225" s="117"/>
      <c r="EC225" s="117"/>
      <c r="ED225" s="117"/>
      <c r="EE225" s="117"/>
      <c r="EF225" s="117"/>
      <c r="EG225" s="117"/>
      <c r="EH225" s="117"/>
      <c r="EI225" s="117"/>
      <c r="EJ225" s="89"/>
      <c r="EK225" s="89"/>
      <c r="EL225" s="89"/>
      <c r="EM225" s="89"/>
      <c r="EN225" s="89"/>
      <c r="EO225" s="89"/>
      <c r="EP225" s="89"/>
      <c r="EQ225" s="89"/>
      <c r="ER225" s="89"/>
      <c r="ES225" s="89"/>
      <c r="ET225" s="89"/>
      <c r="EU225" s="89"/>
      <c r="EV225" s="89"/>
      <c r="EW225" s="89"/>
      <c r="EX225" s="89"/>
      <c r="EY225" s="89"/>
      <c r="EZ225" s="89"/>
      <c r="FA225" s="89"/>
      <c r="FB225" s="89"/>
      <c r="FC225" s="89"/>
      <c r="FD225" s="89"/>
      <c r="FE225" s="89"/>
      <c r="FF225" s="89"/>
      <c r="FG225" s="89"/>
      <c r="FH225" s="89"/>
      <c r="FI225" s="89"/>
      <c r="FJ225" s="89"/>
      <c r="FK225" s="89"/>
      <c r="FL225" s="89"/>
      <c r="FM225" s="89"/>
      <c r="FN225" s="89"/>
      <c r="FO225" s="89"/>
      <c r="FP225" s="89"/>
      <c r="FQ225" s="89"/>
      <c r="FR225" s="89"/>
      <c r="FS225" s="89"/>
    </row>
    <row r="226" spans="1:175" s="23" customFormat="1" ht="9.75" customHeight="1">
      <c r="A226" s="233"/>
      <c r="B226" s="1145"/>
      <c r="C226" s="234"/>
      <c r="D226" s="235"/>
      <c r="E226" s="235"/>
      <c r="F226" s="235"/>
      <c r="G226" s="235"/>
      <c r="H226" s="235"/>
      <c r="I226" s="236"/>
      <c r="J226" s="235"/>
      <c r="K226" s="235"/>
      <c r="L226" s="237"/>
      <c r="M226" s="237"/>
      <c r="N226" s="238"/>
      <c r="O226" s="238"/>
      <c r="P226" s="493"/>
      <c r="Q226" s="494"/>
      <c r="R226" s="131"/>
      <c r="S226" s="131"/>
      <c r="T226" s="131"/>
      <c r="U226" s="131"/>
      <c r="V226" s="131"/>
      <c r="W226" s="132"/>
      <c r="X226" s="126"/>
      <c r="Y226" s="126"/>
      <c r="Z226" s="126"/>
      <c r="AA226" s="126"/>
      <c r="AB226" s="126"/>
      <c r="AC226" s="126"/>
      <c r="AD226" s="126"/>
      <c r="AE226" s="126"/>
      <c r="AF226" s="127"/>
      <c r="AG226" s="127"/>
      <c r="AH226" s="127"/>
      <c r="AI226" s="127"/>
      <c r="AJ226" s="127"/>
      <c r="AK226" s="127"/>
      <c r="AL226" s="127"/>
      <c r="AM226" s="127"/>
      <c r="AN226" s="127"/>
      <c r="AO226" s="127"/>
      <c r="AP226" s="127"/>
      <c r="AQ226" s="127"/>
      <c r="AR226" s="127"/>
      <c r="AS226" s="128"/>
      <c r="AT226" s="128"/>
      <c r="AU226" s="128"/>
      <c r="AV226" s="128"/>
      <c r="AW226" s="90"/>
      <c r="AX226" s="90"/>
      <c r="AY226" s="90"/>
      <c r="AZ226" s="90"/>
      <c r="BA226" s="90"/>
      <c r="BB226" s="90"/>
      <c r="BC226" s="90"/>
      <c r="BD226" s="90"/>
      <c r="BE226" s="90"/>
      <c r="BF226" s="90"/>
      <c r="BG226" s="90"/>
      <c r="BH226" s="90"/>
      <c r="BI226" s="90"/>
      <c r="BJ226" s="90"/>
      <c r="BK226" s="90"/>
      <c r="BL226" s="90"/>
      <c r="BM226" s="90"/>
      <c r="BN226" s="90"/>
      <c r="BO226" s="90"/>
      <c r="BP226" s="90"/>
      <c r="BQ226" s="90"/>
      <c r="BR226" s="90"/>
      <c r="BS226" s="90"/>
      <c r="BT226" s="90"/>
      <c r="BU226" s="90"/>
      <c r="BV226" s="90"/>
      <c r="BW226" s="90"/>
      <c r="BX226" s="90"/>
      <c r="BY226" s="90"/>
      <c r="BZ226" s="90"/>
      <c r="CA226" s="90"/>
      <c r="CB226" s="90"/>
      <c r="CC226" s="90"/>
      <c r="CD226" s="90"/>
      <c r="CE226" s="90"/>
      <c r="CF226" s="90"/>
      <c r="CG226" s="90"/>
      <c r="CH226" s="90"/>
      <c r="CI226" s="90"/>
      <c r="CJ226" s="90"/>
      <c r="CK226" s="90"/>
      <c r="CL226" s="90"/>
      <c r="CM226" s="90"/>
      <c r="CN226" s="90"/>
      <c r="CO226" s="90"/>
      <c r="CP226" s="90"/>
      <c r="CQ226" s="90"/>
      <c r="CR226" s="90"/>
      <c r="CS226" s="90"/>
      <c r="CT226" s="90"/>
      <c r="CU226" s="90"/>
      <c r="CV226" s="90"/>
      <c r="CW226" s="90"/>
      <c r="CX226" s="90"/>
      <c r="CY226" s="90"/>
      <c r="CZ226" s="90"/>
      <c r="DA226" s="117"/>
      <c r="DB226" s="117"/>
      <c r="DC226" s="117"/>
      <c r="DD226" s="117"/>
      <c r="DE226" s="117"/>
      <c r="DF226" s="117"/>
      <c r="DG226" s="117"/>
      <c r="DH226" s="117"/>
      <c r="DI226" s="117"/>
      <c r="DJ226" s="117"/>
      <c r="DK226" s="117"/>
      <c r="DL226" s="117"/>
      <c r="DM226" s="117"/>
      <c r="DN226" s="117"/>
      <c r="DO226" s="117"/>
      <c r="DP226" s="117"/>
      <c r="DQ226" s="117"/>
      <c r="DR226" s="117"/>
      <c r="DS226" s="117"/>
      <c r="DT226" s="117"/>
      <c r="DU226" s="117"/>
      <c r="DV226" s="117"/>
      <c r="DW226" s="117"/>
      <c r="DX226" s="117"/>
      <c r="DY226" s="117"/>
      <c r="DZ226" s="117"/>
      <c r="EA226" s="117"/>
      <c r="EB226" s="117"/>
      <c r="EC226" s="117"/>
      <c r="ED226" s="117"/>
      <c r="EE226" s="117"/>
      <c r="EF226" s="117"/>
      <c r="EG226" s="117"/>
      <c r="EH226" s="117"/>
      <c r="EI226" s="117"/>
      <c r="EJ226" s="89"/>
      <c r="EK226" s="89"/>
      <c r="EL226" s="89"/>
      <c r="EM226" s="89"/>
      <c r="EN226" s="89"/>
      <c r="EO226" s="89"/>
      <c r="EP226" s="89"/>
      <c r="EQ226" s="89"/>
      <c r="ER226" s="89"/>
      <c r="ES226" s="89"/>
      <c r="ET226" s="89"/>
      <c r="EU226" s="89"/>
      <c r="EV226" s="89"/>
      <c r="EW226" s="89"/>
      <c r="EX226" s="89"/>
      <c r="EY226" s="89"/>
      <c r="EZ226" s="89"/>
      <c r="FA226" s="89"/>
      <c r="FB226" s="89"/>
      <c r="FC226" s="89"/>
      <c r="FD226" s="89"/>
      <c r="FE226" s="89"/>
      <c r="FF226" s="89"/>
      <c r="FG226" s="89"/>
      <c r="FH226" s="89"/>
      <c r="FI226" s="89"/>
      <c r="FJ226" s="89"/>
      <c r="FK226" s="89"/>
      <c r="FL226" s="89"/>
      <c r="FM226" s="89"/>
      <c r="FN226" s="89"/>
      <c r="FO226" s="89"/>
      <c r="FP226" s="89"/>
      <c r="FQ226" s="89"/>
      <c r="FR226" s="89"/>
      <c r="FS226" s="89"/>
    </row>
    <row r="227" spans="1:175" s="23" customFormat="1" ht="9.75" customHeight="1">
      <c r="A227" s="233"/>
      <c r="B227" s="1145"/>
      <c r="C227" s="234"/>
      <c r="D227" s="235"/>
      <c r="E227" s="235"/>
      <c r="F227" s="235"/>
      <c r="G227" s="235"/>
      <c r="H227" s="235"/>
      <c r="I227" s="236"/>
      <c r="J227" s="235"/>
      <c r="K227" s="235"/>
      <c r="L227" s="237"/>
      <c r="M227" s="237"/>
      <c r="N227" s="238"/>
      <c r="O227" s="238"/>
      <c r="P227" s="493"/>
      <c r="Q227" s="494"/>
      <c r="R227" s="131"/>
      <c r="S227" s="131"/>
      <c r="T227" s="131"/>
      <c r="U227" s="131"/>
      <c r="V227" s="131"/>
      <c r="W227" s="132"/>
      <c r="X227" s="126"/>
      <c r="Y227" s="126"/>
      <c r="Z227" s="126"/>
      <c r="AA227" s="126"/>
      <c r="AB227" s="126"/>
      <c r="AC227" s="126"/>
      <c r="AD227" s="126"/>
      <c r="AE227" s="126"/>
      <c r="AF227" s="127"/>
      <c r="AG227" s="127"/>
      <c r="AH227" s="127"/>
      <c r="AI227" s="127"/>
      <c r="AJ227" s="127"/>
      <c r="AK227" s="127"/>
      <c r="AL227" s="127"/>
      <c r="AM227" s="127"/>
      <c r="AN227" s="127"/>
      <c r="AO227" s="127"/>
      <c r="AP227" s="127"/>
      <c r="AQ227" s="127"/>
      <c r="AR227" s="127"/>
      <c r="AS227" s="128"/>
      <c r="AT227" s="128"/>
      <c r="AU227" s="128"/>
      <c r="AV227" s="128"/>
      <c r="AW227" s="90"/>
      <c r="AX227" s="90"/>
      <c r="AY227" s="90"/>
      <c r="AZ227" s="90"/>
      <c r="BA227" s="90"/>
      <c r="BB227" s="90"/>
      <c r="BC227" s="90"/>
      <c r="BD227" s="90"/>
      <c r="BE227" s="90"/>
      <c r="BF227" s="90"/>
      <c r="BG227" s="90"/>
      <c r="BH227" s="90"/>
      <c r="BI227" s="90"/>
      <c r="BJ227" s="90"/>
      <c r="BK227" s="90"/>
      <c r="BL227" s="90"/>
      <c r="BM227" s="90"/>
      <c r="BN227" s="90"/>
      <c r="BO227" s="90"/>
      <c r="BP227" s="90"/>
      <c r="BQ227" s="90"/>
      <c r="BR227" s="90"/>
      <c r="BS227" s="90"/>
      <c r="BT227" s="90"/>
      <c r="BU227" s="90"/>
      <c r="BV227" s="90"/>
      <c r="BW227" s="90"/>
      <c r="BX227" s="90"/>
      <c r="BY227" s="90"/>
      <c r="BZ227" s="90"/>
      <c r="CA227" s="90"/>
      <c r="CB227" s="90"/>
      <c r="CC227" s="90"/>
      <c r="CD227" s="90"/>
      <c r="CE227" s="90"/>
      <c r="CF227" s="90"/>
      <c r="CG227" s="90"/>
      <c r="CH227" s="90"/>
      <c r="CI227" s="90"/>
      <c r="CJ227" s="90"/>
      <c r="CK227" s="90"/>
      <c r="CL227" s="90"/>
      <c r="CM227" s="90"/>
      <c r="CN227" s="90"/>
      <c r="CO227" s="90"/>
      <c r="CP227" s="90"/>
      <c r="CQ227" s="90"/>
      <c r="CR227" s="90"/>
      <c r="CS227" s="90"/>
      <c r="CT227" s="90"/>
      <c r="CU227" s="90"/>
      <c r="CV227" s="90"/>
      <c r="CW227" s="90"/>
      <c r="CX227" s="90"/>
      <c r="CY227" s="90"/>
      <c r="CZ227" s="90"/>
      <c r="DA227" s="117"/>
      <c r="DB227" s="117"/>
      <c r="DC227" s="117"/>
      <c r="DD227" s="117"/>
      <c r="DE227" s="117"/>
      <c r="DF227" s="117"/>
      <c r="DG227" s="117"/>
      <c r="DH227" s="117"/>
      <c r="DI227" s="117"/>
      <c r="DJ227" s="117"/>
      <c r="DK227" s="117"/>
      <c r="DL227" s="117"/>
      <c r="DM227" s="117"/>
      <c r="DN227" s="117"/>
      <c r="DO227" s="117"/>
      <c r="DP227" s="117"/>
      <c r="DQ227" s="117"/>
      <c r="DR227" s="117"/>
      <c r="DS227" s="117"/>
      <c r="DT227" s="117"/>
      <c r="DU227" s="117"/>
      <c r="DV227" s="117"/>
      <c r="DW227" s="117"/>
      <c r="DX227" s="117"/>
      <c r="DY227" s="117"/>
      <c r="DZ227" s="117"/>
      <c r="EA227" s="117"/>
      <c r="EB227" s="117"/>
      <c r="EC227" s="117"/>
      <c r="ED227" s="117"/>
      <c r="EE227" s="117"/>
      <c r="EF227" s="117"/>
      <c r="EG227" s="117"/>
      <c r="EH227" s="117"/>
      <c r="EI227" s="117"/>
      <c r="EJ227" s="89"/>
      <c r="EK227" s="89"/>
      <c r="EL227" s="89"/>
      <c r="EM227" s="89"/>
      <c r="EN227" s="89"/>
      <c r="EO227" s="89"/>
      <c r="EP227" s="89"/>
      <c r="EQ227" s="89"/>
      <c r="ER227" s="89"/>
      <c r="ES227" s="89"/>
      <c r="ET227" s="89"/>
      <c r="EU227" s="89"/>
      <c r="EV227" s="89"/>
      <c r="EW227" s="89"/>
      <c r="EX227" s="89"/>
      <c r="EY227" s="89"/>
      <c r="EZ227" s="89"/>
      <c r="FA227" s="89"/>
      <c r="FB227" s="89"/>
      <c r="FC227" s="89"/>
      <c r="FD227" s="89"/>
      <c r="FE227" s="89"/>
      <c r="FF227" s="89"/>
      <c r="FG227" s="89"/>
      <c r="FH227" s="89"/>
      <c r="FI227" s="89"/>
      <c r="FJ227" s="89"/>
      <c r="FK227" s="89"/>
      <c r="FL227" s="89"/>
      <c r="FM227" s="89"/>
      <c r="FN227" s="89"/>
      <c r="FO227" s="89"/>
      <c r="FP227" s="89"/>
      <c r="FQ227" s="89"/>
      <c r="FR227" s="89"/>
      <c r="FS227" s="89"/>
    </row>
    <row r="228" spans="1:175" s="23" customFormat="1" ht="9.75" customHeight="1">
      <c r="A228" s="233"/>
      <c r="B228" s="1145"/>
      <c r="C228" s="234"/>
      <c r="D228" s="235"/>
      <c r="E228" s="235"/>
      <c r="F228" s="235"/>
      <c r="G228" s="235"/>
      <c r="H228" s="235"/>
      <c r="I228" s="236"/>
      <c r="J228" s="235"/>
      <c r="K228" s="235"/>
      <c r="L228" s="237"/>
      <c r="M228" s="237"/>
      <c r="N228" s="238"/>
      <c r="O228" s="238"/>
      <c r="P228" s="493"/>
      <c r="Q228" s="494"/>
      <c r="R228" s="131"/>
      <c r="S228" s="131"/>
      <c r="T228" s="131"/>
      <c r="U228" s="131"/>
      <c r="V228" s="131"/>
      <c r="W228" s="132"/>
      <c r="X228" s="126"/>
      <c r="Y228" s="126"/>
      <c r="Z228" s="126"/>
      <c r="AA228" s="126"/>
      <c r="AB228" s="126"/>
      <c r="AC228" s="126"/>
      <c r="AD228" s="126"/>
      <c r="AE228" s="126"/>
      <c r="AF228" s="127"/>
      <c r="AG228" s="127"/>
      <c r="AH228" s="127"/>
      <c r="AI228" s="127"/>
      <c r="AJ228" s="127"/>
      <c r="AK228" s="127"/>
      <c r="AL228" s="127"/>
      <c r="AM228" s="127"/>
      <c r="AN228" s="127"/>
      <c r="AO228" s="127"/>
      <c r="AP228" s="127"/>
      <c r="AQ228" s="127"/>
      <c r="AR228" s="127"/>
      <c r="AS228" s="128"/>
      <c r="AT228" s="128"/>
      <c r="AU228" s="128"/>
      <c r="AV228" s="128"/>
      <c r="AW228" s="90"/>
      <c r="AX228" s="90"/>
      <c r="AY228" s="90"/>
      <c r="AZ228" s="90"/>
      <c r="BA228" s="90"/>
      <c r="BB228" s="90"/>
      <c r="BC228" s="90"/>
      <c r="BD228" s="90"/>
      <c r="BE228" s="90"/>
      <c r="BF228" s="90"/>
      <c r="BG228" s="90"/>
      <c r="BH228" s="90"/>
      <c r="BI228" s="90"/>
      <c r="BJ228" s="90"/>
      <c r="BK228" s="90"/>
      <c r="BL228" s="90"/>
      <c r="BM228" s="90"/>
      <c r="BN228" s="90"/>
      <c r="BO228" s="90"/>
      <c r="BP228" s="90"/>
      <c r="BQ228" s="90"/>
      <c r="BR228" s="90"/>
      <c r="BS228" s="90"/>
      <c r="BT228" s="90"/>
      <c r="BU228" s="90"/>
      <c r="BV228" s="90"/>
      <c r="BW228" s="90"/>
      <c r="BX228" s="90"/>
      <c r="BY228" s="90"/>
      <c r="BZ228" s="90"/>
      <c r="CA228" s="90"/>
      <c r="CB228" s="90"/>
      <c r="CC228" s="90"/>
      <c r="CD228" s="90"/>
      <c r="CE228" s="90"/>
      <c r="CF228" s="90"/>
      <c r="CG228" s="90"/>
      <c r="CH228" s="90"/>
      <c r="CI228" s="90"/>
      <c r="CJ228" s="90"/>
      <c r="CK228" s="90"/>
      <c r="CL228" s="90"/>
      <c r="CM228" s="90"/>
      <c r="CN228" s="90"/>
      <c r="CO228" s="90"/>
      <c r="CP228" s="90"/>
      <c r="CQ228" s="90"/>
      <c r="CR228" s="90"/>
      <c r="CS228" s="90"/>
      <c r="CT228" s="90"/>
      <c r="CU228" s="90"/>
      <c r="CV228" s="90"/>
      <c r="CW228" s="90"/>
      <c r="CX228" s="90"/>
      <c r="CY228" s="90"/>
      <c r="CZ228" s="90"/>
      <c r="DA228" s="117"/>
      <c r="DB228" s="117"/>
      <c r="DC228" s="117"/>
      <c r="DD228" s="117"/>
      <c r="DE228" s="117"/>
      <c r="DF228" s="117"/>
      <c r="DG228" s="117"/>
      <c r="DH228" s="117"/>
      <c r="DI228" s="117"/>
      <c r="DJ228" s="117"/>
      <c r="DK228" s="117"/>
      <c r="DL228" s="117"/>
      <c r="DM228" s="117"/>
      <c r="DN228" s="117"/>
      <c r="DO228" s="117"/>
      <c r="DP228" s="117"/>
      <c r="DQ228" s="117"/>
      <c r="DR228" s="117"/>
      <c r="DS228" s="117"/>
      <c r="DT228" s="117"/>
      <c r="DU228" s="117"/>
      <c r="DV228" s="117"/>
      <c r="DW228" s="117"/>
      <c r="DX228" s="117"/>
      <c r="DY228" s="117"/>
      <c r="DZ228" s="117"/>
      <c r="EA228" s="117"/>
      <c r="EB228" s="117"/>
      <c r="EC228" s="117"/>
      <c r="ED228" s="117"/>
      <c r="EE228" s="117"/>
      <c r="EF228" s="117"/>
      <c r="EG228" s="117"/>
      <c r="EH228" s="117"/>
      <c r="EI228" s="117"/>
      <c r="EJ228" s="89"/>
      <c r="EK228" s="89"/>
      <c r="EL228" s="89"/>
      <c r="EM228" s="89"/>
      <c r="EN228" s="89"/>
      <c r="EO228" s="89"/>
      <c r="EP228" s="89"/>
      <c r="EQ228" s="89"/>
      <c r="ER228" s="89"/>
      <c r="ES228" s="89"/>
      <c r="ET228" s="89"/>
      <c r="EU228" s="89"/>
      <c r="EV228" s="89"/>
      <c r="EW228" s="89"/>
      <c r="EX228" s="89"/>
      <c r="EY228" s="89"/>
      <c r="EZ228" s="89"/>
      <c r="FA228" s="89"/>
      <c r="FB228" s="89"/>
      <c r="FC228" s="89"/>
      <c r="FD228" s="89"/>
      <c r="FE228" s="89"/>
      <c r="FF228" s="89"/>
      <c r="FG228" s="89"/>
      <c r="FH228" s="89"/>
      <c r="FI228" s="89"/>
      <c r="FJ228" s="89"/>
      <c r="FK228" s="89"/>
      <c r="FL228" s="89"/>
      <c r="FM228" s="89"/>
      <c r="FN228" s="89"/>
      <c r="FO228" s="89"/>
      <c r="FP228" s="89"/>
      <c r="FQ228" s="89"/>
      <c r="FR228" s="89"/>
      <c r="FS228" s="89"/>
    </row>
    <row r="229" spans="1:175" s="23" customFormat="1" ht="26.25" customHeight="1">
      <c r="A229" s="123"/>
      <c r="B229" s="493"/>
      <c r="P229" s="493"/>
      <c r="Q229" s="494"/>
      <c r="R229" s="131"/>
      <c r="S229" s="131"/>
      <c r="T229" s="131"/>
      <c r="U229" s="131"/>
      <c r="V229" s="131"/>
      <c r="W229" s="132"/>
      <c r="X229" s="126"/>
      <c r="Y229" s="126"/>
      <c r="Z229" s="126"/>
      <c r="AA229" s="126"/>
      <c r="AB229" s="126"/>
      <c r="AC229" s="126"/>
      <c r="AD229" s="126"/>
      <c r="AE229" s="126"/>
      <c r="AF229" s="127"/>
      <c r="AG229" s="127"/>
      <c r="AH229" s="127"/>
      <c r="AI229" s="127"/>
      <c r="AJ229" s="127"/>
      <c r="AK229" s="127"/>
      <c r="AL229" s="127"/>
      <c r="AM229" s="127"/>
      <c r="AN229" s="127"/>
      <c r="AO229" s="127"/>
      <c r="AP229" s="127"/>
      <c r="AQ229" s="127"/>
      <c r="AR229" s="127"/>
      <c r="AS229" s="128"/>
      <c r="AT229" s="128"/>
      <c r="AU229" s="128"/>
      <c r="AV229" s="128"/>
      <c r="AW229" s="90"/>
      <c r="AX229" s="90"/>
      <c r="AY229" s="90"/>
      <c r="AZ229" s="90"/>
      <c r="BA229" s="90"/>
      <c r="BB229" s="90"/>
      <c r="BC229" s="90"/>
      <c r="BD229" s="90"/>
      <c r="BE229" s="90"/>
      <c r="BF229" s="90"/>
      <c r="BG229" s="90"/>
      <c r="BH229" s="90"/>
      <c r="BI229" s="90"/>
      <c r="BJ229" s="90"/>
      <c r="BK229" s="90"/>
      <c r="BL229" s="90"/>
      <c r="BM229" s="90"/>
      <c r="BN229" s="90"/>
      <c r="BO229" s="90"/>
      <c r="BP229" s="90"/>
      <c r="BQ229" s="90"/>
      <c r="BR229" s="90"/>
      <c r="BS229" s="90"/>
      <c r="BT229" s="90"/>
      <c r="BU229" s="90"/>
      <c r="BV229" s="90"/>
      <c r="BW229" s="90"/>
      <c r="BX229" s="90"/>
      <c r="BY229" s="90"/>
      <c r="BZ229" s="90"/>
      <c r="CA229" s="90"/>
      <c r="CB229" s="90"/>
      <c r="CC229" s="90"/>
      <c r="CD229" s="90"/>
      <c r="CE229" s="90"/>
      <c r="CF229" s="90"/>
      <c r="CG229" s="90"/>
      <c r="CH229" s="90"/>
      <c r="CI229" s="90"/>
      <c r="CJ229" s="90"/>
      <c r="CK229" s="90"/>
      <c r="CL229" s="90"/>
      <c r="CM229" s="90"/>
      <c r="CN229" s="90"/>
      <c r="CO229" s="90"/>
      <c r="CP229" s="90"/>
      <c r="CQ229" s="90"/>
      <c r="CR229" s="90"/>
      <c r="CS229" s="90"/>
      <c r="CT229" s="90"/>
      <c r="CU229" s="90"/>
      <c r="CV229" s="90"/>
      <c r="CW229" s="90"/>
      <c r="CX229" s="90"/>
      <c r="CY229" s="90"/>
      <c r="CZ229" s="90"/>
      <c r="DA229" s="117"/>
      <c r="DB229" s="117"/>
      <c r="DC229" s="117"/>
      <c r="DD229" s="117"/>
      <c r="DE229" s="117"/>
      <c r="DF229" s="117"/>
      <c r="DG229" s="117"/>
      <c r="DH229" s="117"/>
      <c r="DI229" s="117"/>
      <c r="DJ229" s="117"/>
      <c r="DK229" s="117"/>
      <c r="DL229" s="117"/>
      <c r="DM229" s="117"/>
      <c r="DN229" s="117"/>
      <c r="DO229" s="117"/>
      <c r="DP229" s="117"/>
      <c r="DQ229" s="117"/>
      <c r="DR229" s="117"/>
      <c r="DS229" s="117"/>
      <c r="DT229" s="117"/>
      <c r="DU229" s="117"/>
      <c r="DV229" s="117"/>
      <c r="DW229" s="117"/>
      <c r="DX229" s="117"/>
      <c r="DY229" s="117"/>
      <c r="DZ229" s="117"/>
      <c r="EA229" s="117"/>
      <c r="EB229" s="117"/>
      <c r="EC229" s="117"/>
      <c r="ED229" s="117"/>
      <c r="EE229" s="117"/>
      <c r="EF229" s="117"/>
      <c r="EG229" s="117"/>
      <c r="EH229" s="117"/>
      <c r="EI229" s="117"/>
      <c r="EJ229" s="89"/>
      <c r="EK229" s="89"/>
      <c r="EL229" s="89"/>
      <c r="EM229" s="89"/>
      <c r="EN229" s="89"/>
      <c r="EO229" s="89"/>
      <c r="EP229" s="89"/>
      <c r="EQ229" s="89"/>
      <c r="ER229" s="89"/>
      <c r="ES229" s="89"/>
      <c r="ET229" s="89"/>
      <c r="EU229" s="89"/>
      <c r="EV229" s="89"/>
      <c r="EW229" s="89"/>
      <c r="EX229" s="89"/>
      <c r="EY229" s="89"/>
      <c r="EZ229" s="89"/>
      <c r="FA229" s="89"/>
      <c r="FB229" s="89"/>
      <c r="FC229" s="89"/>
      <c r="FD229" s="89"/>
      <c r="FE229" s="89"/>
      <c r="FF229" s="89"/>
      <c r="FG229" s="89"/>
      <c r="FH229" s="89"/>
      <c r="FI229" s="89"/>
      <c r="FJ229" s="89"/>
      <c r="FK229" s="89"/>
      <c r="FL229" s="89"/>
      <c r="FM229" s="89"/>
      <c r="FN229" s="89"/>
      <c r="FO229" s="89"/>
      <c r="FP229" s="89"/>
      <c r="FQ229" s="89"/>
      <c r="FR229" s="89"/>
      <c r="FS229" s="89"/>
    </row>
    <row r="230" spans="1:175" s="23" customFormat="1" ht="15.9" customHeight="1">
      <c r="A230" s="123"/>
      <c r="B230" s="493"/>
      <c r="P230" s="493"/>
      <c r="Q230" s="494"/>
      <c r="R230" s="131"/>
      <c r="S230" s="131"/>
      <c r="T230" s="131"/>
      <c r="U230" s="131"/>
      <c r="V230" s="131"/>
      <c r="W230" s="132"/>
      <c r="X230" s="126"/>
      <c r="Y230" s="126"/>
      <c r="Z230" s="126"/>
      <c r="AA230" s="126"/>
      <c r="AB230" s="126"/>
      <c r="AC230" s="126"/>
      <c r="AD230" s="126"/>
      <c r="AE230" s="126"/>
      <c r="AF230" s="127"/>
      <c r="AG230" s="127"/>
      <c r="AH230" s="127"/>
      <c r="AI230" s="127"/>
      <c r="AJ230" s="127"/>
      <c r="AK230" s="127"/>
      <c r="AL230" s="127"/>
      <c r="AM230" s="127"/>
      <c r="AN230" s="127"/>
      <c r="AO230" s="127"/>
      <c r="AP230" s="127"/>
      <c r="AQ230" s="127"/>
      <c r="AR230" s="127"/>
      <c r="AS230" s="128"/>
      <c r="AT230" s="128"/>
      <c r="AU230" s="128"/>
      <c r="AV230" s="128"/>
      <c r="AW230" s="90"/>
      <c r="AX230" s="90"/>
      <c r="AY230" s="90"/>
      <c r="AZ230" s="90"/>
      <c r="BA230" s="90"/>
      <c r="BB230" s="90"/>
      <c r="BC230" s="90"/>
      <c r="BD230" s="90"/>
      <c r="BE230" s="90"/>
      <c r="BF230" s="90"/>
      <c r="BG230" s="90"/>
      <c r="BH230" s="90"/>
      <c r="BI230" s="90"/>
      <c r="BJ230" s="90"/>
      <c r="BK230" s="90"/>
      <c r="BL230" s="90"/>
      <c r="BM230" s="90"/>
      <c r="BN230" s="90"/>
      <c r="BO230" s="90"/>
      <c r="BP230" s="90"/>
      <c r="BQ230" s="90"/>
      <c r="BR230" s="90"/>
      <c r="BS230" s="90"/>
      <c r="BT230" s="90"/>
      <c r="BU230" s="90"/>
      <c r="BV230" s="90"/>
      <c r="BW230" s="90"/>
      <c r="BX230" s="90"/>
      <c r="BY230" s="90"/>
      <c r="BZ230" s="90"/>
      <c r="CA230" s="90"/>
      <c r="CB230" s="90"/>
      <c r="CC230" s="90"/>
      <c r="CD230" s="90"/>
      <c r="CE230" s="90"/>
      <c r="CF230" s="90"/>
      <c r="CG230" s="90"/>
      <c r="CH230" s="90"/>
      <c r="CI230" s="90"/>
      <c r="CJ230" s="90"/>
      <c r="CK230" s="90"/>
      <c r="CL230" s="90"/>
      <c r="CM230" s="90"/>
      <c r="CN230" s="90"/>
      <c r="CO230" s="90"/>
      <c r="CP230" s="90"/>
      <c r="CQ230" s="90"/>
      <c r="CR230" s="90"/>
      <c r="CS230" s="90"/>
      <c r="CT230" s="90"/>
      <c r="CU230" s="90"/>
      <c r="CV230" s="90"/>
      <c r="CW230" s="90"/>
      <c r="CX230" s="90"/>
      <c r="CY230" s="90"/>
      <c r="CZ230" s="90"/>
      <c r="DA230" s="117"/>
      <c r="DB230" s="117"/>
      <c r="DC230" s="117"/>
      <c r="DD230" s="117"/>
      <c r="DE230" s="117"/>
      <c r="DF230" s="117"/>
      <c r="DG230" s="117"/>
      <c r="DH230" s="117"/>
      <c r="DI230" s="117"/>
      <c r="DJ230" s="117"/>
      <c r="DK230" s="117"/>
      <c r="DL230" s="117"/>
      <c r="DM230" s="117"/>
      <c r="DN230" s="117"/>
      <c r="DO230" s="117"/>
      <c r="DP230" s="117"/>
      <c r="DQ230" s="117"/>
      <c r="DR230" s="117"/>
      <c r="DS230" s="117"/>
      <c r="DT230" s="117"/>
      <c r="DU230" s="117"/>
      <c r="DV230" s="117"/>
      <c r="DW230" s="117"/>
      <c r="DX230" s="117"/>
      <c r="DY230" s="117"/>
      <c r="DZ230" s="117"/>
      <c r="EA230" s="117"/>
      <c r="EB230" s="117"/>
      <c r="EC230" s="117"/>
      <c r="ED230" s="117"/>
      <c r="EE230" s="117"/>
      <c r="EF230" s="117"/>
      <c r="EG230" s="117"/>
      <c r="EH230" s="117"/>
      <c r="EI230" s="117"/>
      <c r="EJ230" s="89"/>
      <c r="EK230" s="89"/>
      <c r="EL230" s="89"/>
      <c r="EM230" s="89"/>
      <c r="EN230" s="89"/>
      <c r="EO230" s="89"/>
      <c r="EP230" s="89"/>
      <c r="EQ230" s="89"/>
      <c r="ER230" s="89"/>
      <c r="ES230" s="89"/>
      <c r="ET230" s="89"/>
      <c r="EU230" s="89"/>
      <c r="EV230" s="89"/>
      <c r="EW230" s="89"/>
      <c r="EX230" s="89"/>
      <c r="EY230" s="89"/>
      <c r="EZ230" s="89"/>
      <c r="FA230" s="89"/>
      <c r="FB230" s="89"/>
      <c r="FC230" s="89"/>
      <c r="FD230" s="89"/>
      <c r="FE230" s="89"/>
      <c r="FF230" s="89"/>
      <c r="FG230" s="89"/>
      <c r="FH230" s="89"/>
      <c r="FI230" s="89"/>
      <c r="FJ230" s="89"/>
      <c r="FK230" s="89"/>
      <c r="FL230" s="89"/>
      <c r="FM230" s="89"/>
      <c r="FN230" s="89"/>
      <c r="FO230" s="89"/>
      <c r="FP230" s="89"/>
      <c r="FQ230" s="89"/>
      <c r="FR230" s="89"/>
      <c r="FS230" s="89"/>
    </row>
    <row r="231" spans="1:175" s="23" customFormat="1" ht="15.9" customHeight="1">
      <c r="A231" s="123"/>
      <c r="B231" s="493"/>
      <c r="P231" s="493"/>
      <c r="Q231" s="494"/>
      <c r="R231" s="131"/>
      <c r="S231" s="131"/>
      <c r="T231" s="131"/>
      <c r="U231" s="131"/>
      <c r="V231" s="131"/>
      <c r="W231" s="132"/>
      <c r="X231" s="126"/>
      <c r="Y231" s="126"/>
      <c r="Z231" s="126"/>
      <c r="AA231" s="126"/>
      <c r="AB231" s="126"/>
      <c r="AC231" s="126"/>
      <c r="AD231" s="126"/>
      <c r="AE231" s="126"/>
      <c r="AF231" s="127"/>
      <c r="AG231" s="127"/>
      <c r="AH231" s="127"/>
      <c r="AI231" s="127"/>
      <c r="AJ231" s="127"/>
      <c r="AK231" s="127"/>
      <c r="AL231" s="127"/>
      <c r="AM231" s="127"/>
      <c r="AN231" s="127"/>
      <c r="AO231" s="127"/>
      <c r="AP231" s="127"/>
      <c r="AQ231" s="127"/>
      <c r="AR231" s="127"/>
      <c r="AS231" s="128"/>
      <c r="AT231" s="128"/>
      <c r="AU231" s="128"/>
      <c r="AV231" s="128"/>
      <c r="AW231" s="90"/>
      <c r="AX231" s="90"/>
      <c r="AY231" s="90"/>
      <c r="AZ231" s="90"/>
      <c r="BA231" s="90"/>
      <c r="BB231" s="90"/>
      <c r="BC231" s="90"/>
      <c r="BD231" s="90"/>
      <c r="BE231" s="90"/>
      <c r="BF231" s="90"/>
      <c r="BG231" s="90"/>
      <c r="BH231" s="90"/>
      <c r="BI231" s="90"/>
      <c r="BJ231" s="90"/>
      <c r="BK231" s="90"/>
      <c r="BL231" s="90"/>
      <c r="BM231" s="90"/>
      <c r="BN231" s="90"/>
      <c r="BO231" s="90"/>
      <c r="BP231" s="90"/>
      <c r="BQ231" s="90"/>
      <c r="BR231" s="90"/>
      <c r="BS231" s="90"/>
      <c r="BT231" s="90"/>
      <c r="BU231" s="90"/>
      <c r="BV231" s="90"/>
      <c r="BW231" s="90"/>
      <c r="BX231" s="90"/>
      <c r="BY231" s="90"/>
      <c r="BZ231" s="90"/>
      <c r="CA231" s="90"/>
      <c r="CB231" s="90"/>
      <c r="CC231" s="90"/>
      <c r="CD231" s="90"/>
      <c r="CE231" s="90"/>
      <c r="CF231" s="90"/>
      <c r="CG231" s="90"/>
      <c r="CH231" s="90"/>
      <c r="CI231" s="90"/>
      <c r="CJ231" s="90"/>
      <c r="CK231" s="90"/>
      <c r="CL231" s="90"/>
      <c r="CM231" s="90"/>
      <c r="CN231" s="90"/>
      <c r="CO231" s="90"/>
      <c r="CP231" s="90"/>
      <c r="CQ231" s="90"/>
      <c r="CR231" s="90"/>
      <c r="CS231" s="90"/>
      <c r="CT231" s="90"/>
      <c r="CU231" s="90"/>
      <c r="CV231" s="90"/>
      <c r="CW231" s="90"/>
      <c r="CX231" s="90"/>
      <c r="CY231" s="90"/>
      <c r="CZ231" s="90"/>
      <c r="DA231" s="117"/>
      <c r="DB231" s="117"/>
      <c r="DC231" s="117"/>
      <c r="DD231" s="117"/>
      <c r="DE231" s="117"/>
      <c r="DF231" s="117"/>
      <c r="DG231" s="117"/>
      <c r="DH231" s="117"/>
      <c r="DI231" s="117"/>
      <c r="DJ231" s="117"/>
      <c r="DK231" s="117"/>
      <c r="DL231" s="117"/>
      <c r="DM231" s="117"/>
      <c r="DN231" s="117"/>
      <c r="DO231" s="117"/>
      <c r="DP231" s="117"/>
      <c r="DQ231" s="117"/>
      <c r="DR231" s="117"/>
      <c r="DS231" s="117"/>
      <c r="DT231" s="117"/>
      <c r="DU231" s="117"/>
      <c r="DV231" s="117"/>
      <c r="DW231" s="117"/>
      <c r="DX231" s="117"/>
      <c r="DY231" s="117"/>
      <c r="DZ231" s="117"/>
      <c r="EA231" s="117"/>
      <c r="EB231" s="117"/>
      <c r="EC231" s="117"/>
      <c r="ED231" s="117"/>
      <c r="EE231" s="117"/>
      <c r="EF231" s="117"/>
      <c r="EG231" s="117"/>
      <c r="EH231" s="117"/>
      <c r="EI231" s="117"/>
      <c r="EJ231" s="89"/>
      <c r="EK231" s="89"/>
      <c r="EL231" s="89"/>
      <c r="EM231" s="89"/>
      <c r="EN231" s="89"/>
      <c r="EO231" s="89"/>
      <c r="EP231" s="89"/>
      <c r="EQ231" s="89"/>
      <c r="ER231" s="89"/>
      <c r="ES231" s="89"/>
      <c r="ET231" s="89"/>
      <c r="EU231" s="89"/>
      <c r="EV231" s="89"/>
      <c r="EW231" s="89"/>
      <c r="EX231" s="89"/>
      <c r="EY231" s="89"/>
      <c r="EZ231" s="89"/>
      <c r="FA231" s="89"/>
      <c r="FB231" s="89"/>
      <c r="FC231" s="89"/>
      <c r="FD231" s="89"/>
      <c r="FE231" s="89"/>
      <c r="FF231" s="89"/>
      <c r="FG231" s="89"/>
      <c r="FH231" s="89"/>
      <c r="FI231" s="89"/>
      <c r="FJ231" s="89"/>
      <c r="FK231" s="89"/>
      <c r="FL231" s="89"/>
      <c r="FM231" s="89"/>
      <c r="FN231" s="89"/>
      <c r="FO231" s="89"/>
      <c r="FP231" s="89"/>
      <c r="FQ231" s="89"/>
      <c r="FR231" s="89"/>
      <c r="FS231" s="89"/>
    </row>
    <row r="232" spans="1:175" s="23" customFormat="1" ht="15.9" customHeight="1">
      <c r="A232" s="123"/>
      <c r="B232" s="493"/>
      <c r="C232" s="16"/>
      <c r="D232" s="16"/>
      <c r="E232" s="16"/>
      <c r="F232" s="16"/>
      <c r="G232" s="21"/>
      <c r="H232" s="21"/>
      <c r="I232" s="16"/>
      <c r="J232" s="16"/>
      <c r="K232" s="16"/>
      <c r="L232" s="16"/>
      <c r="M232" s="16"/>
      <c r="N232" s="21"/>
      <c r="O232" s="21"/>
      <c r="P232" s="493"/>
      <c r="Q232" s="494"/>
      <c r="R232" s="131"/>
      <c r="S232" s="131"/>
      <c r="T232" s="131"/>
      <c r="U232" s="131"/>
      <c r="V232" s="131"/>
      <c r="W232" s="132"/>
      <c r="X232" s="126"/>
      <c r="Y232" s="126"/>
      <c r="Z232" s="126"/>
      <c r="AA232" s="126"/>
      <c r="AB232" s="126"/>
      <c r="AC232" s="126"/>
      <c r="AD232" s="126"/>
      <c r="AE232" s="126"/>
      <c r="AF232" s="127"/>
      <c r="AG232" s="127"/>
      <c r="AH232" s="127"/>
      <c r="AI232" s="127"/>
      <c r="AJ232" s="127"/>
      <c r="AK232" s="127"/>
      <c r="AL232" s="127"/>
      <c r="AM232" s="127"/>
      <c r="AN232" s="127"/>
      <c r="AO232" s="127"/>
      <c r="AP232" s="127"/>
      <c r="AQ232" s="127"/>
      <c r="AR232" s="127"/>
      <c r="AS232" s="128"/>
      <c r="AT232" s="128"/>
      <c r="AU232" s="128"/>
      <c r="AV232" s="128"/>
      <c r="AW232" s="90"/>
      <c r="AX232" s="90"/>
      <c r="AY232" s="90"/>
      <c r="AZ232" s="90"/>
      <c r="BA232" s="90"/>
      <c r="BB232" s="90"/>
      <c r="BC232" s="90"/>
      <c r="BD232" s="90"/>
      <c r="BE232" s="90"/>
      <c r="BF232" s="90"/>
      <c r="BG232" s="90"/>
      <c r="BH232" s="90"/>
      <c r="BI232" s="90"/>
      <c r="BJ232" s="90"/>
      <c r="BK232" s="90"/>
      <c r="BL232" s="90"/>
      <c r="BM232" s="90"/>
      <c r="BN232" s="90"/>
      <c r="BO232" s="90"/>
      <c r="BP232" s="90"/>
      <c r="BQ232" s="90"/>
      <c r="BR232" s="90"/>
      <c r="BS232" s="90"/>
      <c r="BT232" s="90"/>
      <c r="BU232" s="90"/>
      <c r="BV232" s="90"/>
      <c r="BW232" s="90"/>
      <c r="BX232" s="90"/>
      <c r="BY232" s="90"/>
      <c r="BZ232" s="90"/>
      <c r="CA232" s="90"/>
      <c r="CB232" s="90"/>
      <c r="CC232" s="90"/>
      <c r="CD232" s="90"/>
      <c r="CE232" s="90"/>
      <c r="CF232" s="90"/>
      <c r="CG232" s="90"/>
      <c r="CH232" s="90"/>
      <c r="CI232" s="90"/>
      <c r="CJ232" s="90"/>
      <c r="CK232" s="90"/>
      <c r="CL232" s="90"/>
      <c r="CM232" s="90"/>
      <c r="CN232" s="90"/>
      <c r="CO232" s="90"/>
      <c r="CP232" s="90"/>
      <c r="CQ232" s="90"/>
      <c r="CR232" s="90"/>
      <c r="CS232" s="90"/>
      <c r="CT232" s="90"/>
      <c r="CU232" s="90"/>
      <c r="CV232" s="90"/>
      <c r="CW232" s="90"/>
      <c r="CX232" s="90"/>
      <c r="CY232" s="90"/>
      <c r="CZ232" s="90"/>
      <c r="DA232" s="117"/>
      <c r="DB232" s="117"/>
      <c r="DC232" s="117"/>
      <c r="DD232" s="117"/>
      <c r="DE232" s="117"/>
      <c r="DF232" s="117"/>
      <c r="DG232" s="117"/>
      <c r="DH232" s="117"/>
      <c r="DI232" s="117"/>
      <c r="DJ232" s="117"/>
      <c r="DK232" s="117"/>
      <c r="DL232" s="117"/>
      <c r="DM232" s="117"/>
      <c r="DN232" s="117"/>
      <c r="DO232" s="117"/>
      <c r="DP232" s="117"/>
      <c r="DQ232" s="117"/>
      <c r="DR232" s="117"/>
      <c r="DS232" s="117"/>
      <c r="DT232" s="117"/>
      <c r="DU232" s="117"/>
      <c r="DV232" s="117"/>
      <c r="DW232" s="117"/>
      <c r="DX232" s="117"/>
      <c r="DY232" s="117"/>
      <c r="DZ232" s="117"/>
      <c r="EA232" s="117"/>
      <c r="EB232" s="117"/>
      <c r="EC232" s="117"/>
      <c r="ED232" s="117"/>
      <c r="EE232" s="117"/>
      <c r="EF232" s="117"/>
      <c r="EG232" s="117"/>
      <c r="EH232" s="117"/>
      <c r="EI232" s="117"/>
      <c r="EJ232" s="89"/>
      <c r="EK232" s="89"/>
      <c r="EL232" s="89"/>
      <c r="EM232" s="89"/>
      <c r="EN232" s="89"/>
      <c r="EO232" s="89"/>
      <c r="EP232" s="89"/>
      <c r="EQ232" s="89"/>
      <c r="ER232" s="89"/>
      <c r="ES232" s="89"/>
      <c r="ET232" s="89"/>
      <c r="EU232" s="89"/>
      <c r="EV232" s="89"/>
      <c r="EW232" s="89"/>
      <c r="EX232" s="89"/>
      <c r="EY232" s="89"/>
      <c r="EZ232" s="89"/>
      <c r="FA232" s="89"/>
      <c r="FB232" s="89"/>
      <c r="FC232" s="89"/>
      <c r="FD232" s="89"/>
      <c r="FE232" s="89"/>
      <c r="FF232" s="89"/>
      <c r="FG232" s="89"/>
      <c r="FH232" s="89"/>
      <c r="FI232" s="89"/>
      <c r="FJ232" s="89"/>
      <c r="FK232" s="89"/>
      <c r="FL232" s="89"/>
      <c r="FM232" s="89"/>
      <c r="FN232" s="89"/>
      <c r="FO232" s="89"/>
      <c r="FP232" s="89"/>
      <c r="FQ232" s="89"/>
      <c r="FR232" s="89"/>
      <c r="FS232" s="89"/>
    </row>
    <row r="233" spans="1:175" s="23" customFormat="1" ht="15.9" customHeight="1">
      <c r="A233" s="123"/>
      <c r="B233" s="493"/>
      <c r="C233" s="16"/>
      <c r="D233" s="16"/>
      <c r="E233" s="16"/>
      <c r="F233" s="21"/>
      <c r="G233" s="21"/>
      <c r="H233" s="16"/>
      <c r="I233" s="16"/>
      <c r="J233" s="16"/>
      <c r="K233" s="16"/>
      <c r="L233" s="16"/>
      <c r="M233" s="21"/>
      <c r="N233" s="21"/>
      <c r="O233" s="125"/>
      <c r="P233" s="494"/>
      <c r="Q233" s="494"/>
      <c r="R233" s="131"/>
      <c r="S233" s="131"/>
      <c r="T233" s="131"/>
      <c r="U233" s="131"/>
      <c r="V233" s="132"/>
      <c r="W233" s="126"/>
      <c r="X233" s="126"/>
      <c r="Y233" s="126"/>
      <c r="Z233" s="126"/>
      <c r="AA233" s="126"/>
      <c r="AB233" s="126"/>
      <c r="AC233" s="126"/>
      <c r="AD233" s="126"/>
      <c r="AE233" s="127"/>
      <c r="AF233" s="127"/>
      <c r="AG233" s="127"/>
      <c r="AH233" s="127"/>
      <c r="AI233" s="127"/>
      <c r="AJ233" s="127"/>
      <c r="AK233" s="127"/>
      <c r="AL233" s="127"/>
      <c r="AM233" s="127"/>
      <c r="AN233" s="127"/>
      <c r="AO233" s="127"/>
      <c r="AP233" s="127"/>
      <c r="AQ233" s="127"/>
      <c r="AR233" s="128"/>
      <c r="AS233" s="128"/>
      <c r="AT233" s="128"/>
      <c r="AU233" s="128"/>
      <c r="AV233" s="90"/>
      <c r="AW233" s="90"/>
      <c r="AX233" s="90"/>
      <c r="AY233" s="90"/>
      <c r="AZ233" s="90"/>
      <c r="BA233" s="90"/>
      <c r="BB233" s="90"/>
      <c r="BC233" s="90"/>
      <c r="BD233" s="90"/>
      <c r="BE233" s="90"/>
      <c r="BF233" s="90"/>
      <c r="BG233" s="90"/>
      <c r="BH233" s="90"/>
      <c r="BI233" s="90"/>
      <c r="BJ233" s="90"/>
      <c r="BK233" s="90"/>
      <c r="BL233" s="90"/>
      <c r="BM233" s="90"/>
      <c r="BN233" s="90"/>
      <c r="BO233" s="90"/>
      <c r="BP233" s="90"/>
      <c r="BQ233" s="90"/>
      <c r="BR233" s="90"/>
      <c r="BS233" s="90"/>
      <c r="BT233" s="90"/>
      <c r="BU233" s="90"/>
      <c r="BV233" s="90"/>
      <c r="BW233" s="90"/>
      <c r="BX233" s="90"/>
      <c r="BY233" s="90"/>
      <c r="BZ233" s="90"/>
      <c r="CA233" s="90"/>
      <c r="CB233" s="90"/>
      <c r="CC233" s="90"/>
      <c r="CD233" s="90"/>
      <c r="CE233" s="90"/>
      <c r="CF233" s="90"/>
      <c r="CG233" s="90"/>
      <c r="CH233" s="90"/>
      <c r="CI233" s="90"/>
      <c r="CJ233" s="90"/>
      <c r="CK233" s="90"/>
      <c r="CL233" s="90"/>
      <c r="CM233" s="90"/>
      <c r="CN233" s="90"/>
      <c r="CO233" s="90"/>
      <c r="CP233" s="90"/>
      <c r="CQ233" s="90"/>
      <c r="CR233" s="90"/>
      <c r="CS233" s="90"/>
      <c r="CT233" s="90"/>
      <c r="CU233" s="90"/>
      <c r="CV233" s="90"/>
      <c r="CW233" s="90"/>
      <c r="CX233" s="90"/>
      <c r="CY233" s="90"/>
      <c r="CZ233" s="117"/>
      <c r="DA233" s="117"/>
      <c r="DB233" s="117"/>
      <c r="DC233" s="117"/>
      <c r="DD233" s="117"/>
      <c r="DE233" s="117"/>
      <c r="DF233" s="117"/>
      <c r="DG233" s="117"/>
      <c r="DH233" s="117"/>
      <c r="DI233" s="117"/>
      <c r="DJ233" s="117"/>
      <c r="DK233" s="117"/>
      <c r="DL233" s="117"/>
      <c r="DM233" s="117"/>
      <c r="DN233" s="117"/>
      <c r="DO233" s="117"/>
      <c r="DP233" s="117"/>
      <c r="DQ233" s="117"/>
      <c r="DR233" s="117"/>
      <c r="DS233" s="117"/>
      <c r="DT233" s="117"/>
      <c r="DU233" s="117"/>
      <c r="DV233" s="117"/>
      <c r="DW233" s="117"/>
      <c r="DX233" s="117"/>
      <c r="DY233" s="117"/>
      <c r="DZ233" s="117"/>
      <c r="EA233" s="117"/>
      <c r="EB233" s="117"/>
      <c r="EC233" s="117"/>
      <c r="ED233" s="117"/>
      <c r="EE233" s="117"/>
      <c r="EF233" s="117"/>
      <c r="EG233" s="117"/>
      <c r="EH233" s="117"/>
      <c r="EI233" s="89"/>
      <c r="EJ233" s="89"/>
      <c r="EK233" s="89"/>
      <c r="EL233" s="89"/>
      <c r="EM233" s="89"/>
      <c r="EN233" s="89"/>
      <c r="EO233" s="89"/>
      <c r="EP233" s="89"/>
      <c r="EQ233" s="89"/>
      <c r="ER233" s="89"/>
      <c r="ES233" s="89"/>
      <c r="ET233" s="89"/>
      <c r="EU233" s="89"/>
      <c r="EV233" s="89"/>
      <c r="EW233" s="89"/>
      <c r="EX233" s="89"/>
      <c r="EY233" s="89"/>
      <c r="EZ233" s="89"/>
      <c r="FA233" s="89"/>
      <c r="FB233" s="89"/>
      <c r="FC233" s="89"/>
      <c r="FD233" s="89"/>
      <c r="FE233" s="89"/>
      <c r="FF233" s="89"/>
      <c r="FG233" s="89"/>
      <c r="FH233" s="89"/>
      <c r="FI233" s="89"/>
      <c r="FJ233" s="89"/>
      <c r="FK233" s="89"/>
      <c r="FL233" s="89"/>
      <c r="FM233" s="89"/>
      <c r="FN233" s="89"/>
      <c r="FO233" s="89"/>
      <c r="FP233" s="89"/>
      <c r="FQ233" s="89"/>
      <c r="FR233" s="89"/>
    </row>
    <row r="234" spans="1:175" s="23" customFormat="1" ht="15.9" customHeight="1">
      <c r="B234" s="22"/>
      <c r="C234" s="13"/>
      <c r="D234" s="16"/>
      <c r="E234" s="16"/>
      <c r="F234" s="16"/>
      <c r="G234" s="16"/>
      <c r="H234" s="21"/>
      <c r="I234" s="21"/>
      <c r="J234" s="16"/>
      <c r="K234" s="16"/>
      <c r="L234" s="16"/>
      <c r="M234" s="16"/>
      <c r="N234" s="16"/>
      <c r="O234" s="13"/>
      <c r="P234" s="493"/>
      <c r="Q234" s="993"/>
      <c r="R234" s="125"/>
      <c r="S234" s="131"/>
      <c r="T234" s="131"/>
      <c r="U234" s="131"/>
      <c r="V234" s="131"/>
      <c r="W234" s="131"/>
      <c r="X234" s="132"/>
      <c r="Y234" s="126"/>
      <c r="Z234" s="126"/>
      <c r="AA234" s="126"/>
      <c r="AB234" s="126"/>
      <c r="AC234" s="126"/>
      <c r="AD234" s="126"/>
      <c r="AE234" s="127"/>
      <c r="AF234" s="127"/>
      <c r="AG234" s="127"/>
      <c r="AH234" s="127"/>
      <c r="AI234" s="127"/>
      <c r="AJ234" s="127"/>
      <c r="AK234" s="127"/>
      <c r="AL234" s="127"/>
      <c r="AM234" s="127"/>
      <c r="AN234" s="127"/>
      <c r="AO234" s="127"/>
      <c r="AP234" s="127"/>
      <c r="AQ234" s="127"/>
      <c r="AR234" s="128"/>
      <c r="AS234" s="128"/>
      <c r="AT234" s="128"/>
      <c r="AU234" s="128"/>
      <c r="AV234" s="90"/>
      <c r="AW234" s="90"/>
      <c r="AX234" s="90"/>
      <c r="AY234" s="90"/>
      <c r="AZ234" s="90"/>
      <c r="BA234" s="90"/>
      <c r="BB234" s="90"/>
      <c r="BC234" s="90"/>
      <c r="BD234" s="90"/>
      <c r="BE234" s="90"/>
      <c r="BF234" s="90"/>
      <c r="BG234" s="90"/>
      <c r="BH234" s="90"/>
      <c r="BI234" s="90"/>
      <c r="BJ234" s="90"/>
      <c r="BK234" s="90"/>
      <c r="BL234" s="90"/>
      <c r="BM234" s="90"/>
      <c r="BN234" s="90"/>
      <c r="BO234" s="90"/>
      <c r="BP234" s="90"/>
      <c r="BQ234" s="90"/>
      <c r="BR234" s="90"/>
      <c r="BS234" s="90"/>
      <c r="BT234" s="90"/>
      <c r="BU234" s="90"/>
      <c r="BV234" s="90"/>
      <c r="BW234" s="90"/>
      <c r="BX234" s="90"/>
      <c r="BY234" s="90"/>
      <c r="BZ234" s="90"/>
      <c r="CA234" s="90"/>
      <c r="CB234" s="90"/>
      <c r="CC234" s="90"/>
      <c r="CD234" s="90"/>
      <c r="CE234" s="90"/>
      <c r="CF234" s="90"/>
      <c r="CG234" s="90"/>
      <c r="CH234" s="90"/>
      <c r="CI234" s="90"/>
      <c r="CJ234" s="90"/>
      <c r="CK234" s="90"/>
      <c r="CL234" s="90"/>
      <c r="CM234" s="90"/>
      <c r="CN234" s="90"/>
      <c r="CO234" s="90"/>
      <c r="CP234" s="90"/>
      <c r="CQ234" s="90"/>
      <c r="CR234" s="90"/>
      <c r="CS234" s="90"/>
      <c r="CT234" s="90"/>
      <c r="CU234" s="90"/>
      <c r="CV234" s="90"/>
      <c r="CW234" s="90"/>
      <c r="CX234" s="90"/>
      <c r="CY234" s="90"/>
      <c r="CZ234" s="117"/>
      <c r="DA234" s="117"/>
      <c r="DB234" s="117"/>
      <c r="DC234" s="117"/>
      <c r="DD234" s="117"/>
      <c r="DE234" s="117"/>
      <c r="DF234" s="117"/>
      <c r="DG234" s="117"/>
      <c r="DH234" s="117"/>
      <c r="DI234" s="117"/>
      <c r="DJ234" s="117"/>
      <c r="DK234" s="117"/>
      <c r="DL234" s="117"/>
      <c r="DM234" s="117"/>
      <c r="DN234" s="117"/>
      <c r="DO234" s="117"/>
      <c r="DP234" s="117"/>
      <c r="DQ234" s="117"/>
      <c r="DR234" s="117"/>
      <c r="DS234" s="117"/>
      <c r="DT234" s="117"/>
      <c r="DU234" s="117"/>
      <c r="DV234" s="117"/>
      <c r="DW234" s="117"/>
      <c r="DX234" s="117"/>
      <c r="DY234" s="117"/>
      <c r="DZ234" s="117"/>
      <c r="EA234" s="117"/>
      <c r="EB234" s="117"/>
      <c r="EC234" s="117"/>
      <c r="ED234" s="117"/>
      <c r="EE234" s="117"/>
      <c r="EF234" s="117"/>
      <c r="EG234" s="117"/>
      <c r="EH234" s="117"/>
      <c r="EI234" s="89"/>
      <c r="EJ234" s="89"/>
      <c r="EK234" s="89"/>
      <c r="EL234" s="89"/>
      <c r="EM234" s="89"/>
      <c r="EN234" s="89"/>
      <c r="EO234" s="89"/>
      <c r="EP234" s="89"/>
      <c r="EQ234" s="89"/>
      <c r="ER234" s="89"/>
      <c r="ES234" s="89"/>
      <c r="ET234" s="89"/>
      <c r="EU234" s="89"/>
      <c r="EV234" s="89"/>
      <c r="EW234" s="89"/>
      <c r="EX234" s="89"/>
      <c r="EY234" s="89"/>
      <c r="EZ234" s="89"/>
      <c r="FA234" s="89"/>
      <c r="FB234" s="89"/>
      <c r="FC234" s="89"/>
      <c r="FD234" s="89"/>
      <c r="FE234" s="89"/>
      <c r="FF234" s="89"/>
      <c r="FG234" s="89"/>
      <c r="FH234" s="89"/>
      <c r="FI234" s="89"/>
      <c r="FJ234" s="89"/>
      <c r="FK234" s="89"/>
      <c r="FL234" s="89"/>
      <c r="FM234" s="89"/>
      <c r="FN234" s="89"/>
      <c r="FO234" s="89"/>
      <c r="FP234" s="89"/>
      <c r="FQ234" s="89"/>
      <c r="FR234" s="89"/>
    </row>
    <row r="235" spans="1:175" s="23" customFormat="1" ht="15.9" customHeight="1">
      <c r="A235" s="144"/>
      <c r="B235" s="133"/>
      <c r="C235" s="35" t="str">
        <f>Begriffe!D308</f>
        <v>Demande en énergie et puissance</v>
      </c>
      <c r="D235" s="136"/>
      <c r="E235" s="136"/>
      <c r="F235" s="136"/>
      <c r="G235" s="136"/>
      <c r="H235" s="137"/>
      <c r="I235" s="137"/>
      <c r="J235" s="138"/>
      <c r="K235" s="138"/>
      <c r="L235" s="139"/>
      <c r="M235" s="231"/>
      <c r="N235" s="267"/>
      <c r="P235" s="493"/>
      <c r="Q235" s="493"/>
      <c r="R235" s="125"/>
      <c r="S235" s="125"/>
      <c r="T235" s="131"/>
      <c r="U235" s="131"/>
      <c r="V235" s="131"/>
      <c r="W235" s="131"/>
      <c r="X235" s="131"/>
      <c r="Y235" s="132"/>
      <c r="Z235" s="126"/>
      <c r="AA235" s="126"/>
      <c r="AB235" s="126"/>
      <c r="AC235" s="126"/>
      <c r="AD235" s="126"/>
      <c r="AE235" s="126"/>
      <c r="AF235" s="127"/>
      <c r="AG235" s="127"/>
      <c r="AH235" s="127"/>
      <c r="AI235" s="127"/>
      <c r="AJ235" s="127"/>
      <c r="AK235" s="127"/>
      <c r="AL235" s="127"/>
      <c r="AM235" s="127"/>
      <c r="AN235" s="127"/>
      <c r="AO235" s="127"/>
      <c r="AP235" s="127"/>
      <c r="AQ235" s="127"/>
      <c r="AR235" s="127"/>
      <c r="AS235" s="128"/>
      <c r="AT235" s="128"/>
      <c r="AU235" s="128"/>
      <c r="AV235" s="128"/>
      <c r="AW235" s="90"/>
      <c r="AX235" s="90"/>
      <c r="AY235" s="90"/>
      <c r="AZ235" s="90"/>
      <c r="BA235" s="90"/>
      <c r="BB235" s="90"/>
      <c r="BC235" s="90"/>
      <c r="BD235" s="90"/>
      <c r="BE235" s="90"/>
      <c r="BF235" s="90"/>
      <c r="BG235" s="90"/>
      <c r="BH235" s="90"/>
      <c r="BI235" s="90"/>
      <c r="BJ235" s="90"/>
      <c r="BK235" s="90"/>
      <c r="BL235" s="90"/>
      <c r="BM235" s="90"/>
      <c r="BN235" s="90"/>
      <c r="BO235" s="90"/>
      <c r="BP235" s="90"/>
      <c r="BQ235" s="90"/>
      <c r="BR235" s="90"/>
      <c r="BS235" s="90"/>
      <c r="BT235" s="90"/>
      <c r="BU235" s="90"/>
      <c r="BV235" s="90"/>
      <c r="BW235" s="90"/>
      <c r="BX235" s="90"/>
      <c r="BY235" s="90"/>
      <c r="BZ235" s="90"/>
      <c r="CA235" s="90"/>
      <c r="CB235" s="90"/>
      <c r="CC235" s="90"/>
      <c r="CD235" s="90"/>
      <c r="CE235" s="90"/>
      <c r="CF235" s="90"/>
      <c r="CG235" s="90"/>
      <c r="CH235" s="90"/>
      <c r="CI235" s="90"/>
      <c r="CJ235" s="90"/>
      <c r="CK235" s="90"/>
      <c r="CL235" s="90"/>
      <c r="CM235" s="90"/>
      <c r="CN235" s="90"/>
      <c r="CO235" s="90"/>
      <c r="CP235" s="90"/>
      <c r="CQ235" s="90"/>
      <c r="CR235" s="90"/>
      <c r="CS235" s="90"/>
      <c r="CT235" s="90"/>
      <c r="CU235" s="90"/>
      <c r="CV235" s="90"/>
      <c r="CW235" s="90"/>
      <c r="CX235" s="90"/>
      <c r="CY235" s="90"/>
      <c r="CZ235" s="90"/>
      <c r="DA235" s="117"/>
      <c r="DB235" s="117"/>
      <c r="DC235" s="117"/>
      <c r="DD235" s="117"/>
      <c r="DE235" s="117"/>
      <c r="DF235" s="117"/>
      <c r="DG235" s="117"/>
      <c r="DH235" s="117"/>
      <c r="DI235" s="117"/>
      <c r="DJ235" s="117"/>
      <c r="DK235" s="117"/>
      <c r="DL235" s="117"/>
      <c r="DM235" s="117"/>
      <c r="DN235" s="117"/>
      <c r="DO235" s="117"/>
      <c r="DP235" s="117"/>
      <c r="DQ235" s="117"/>
      <c r="DR235" s="117"/>
      <c r="DS235" s="117"/>
      <c r="DT235" s="117"/>
      <c r="DU235" s="117"/>
      <c r="DV235" s="117"/>
      <c r="DW235" s="117"/>
      <c r="DX235" s="117"/>
      <c r="DY235" s="117"/>
      <c r="DZ235" s="117"/>
      <c r="EA235" s="117"/>
      <c r="EB235" s="117"/>
      <c r="EC235" s="117"/>
      <c r="ED235" s="117"/>
      <c r="EE235" s="117"/>
      <c r="EF235" s="117"/>
      <c r="EG235" s="117"/>
      <c r="EH235" s="117"/>
      <c r="EI235" s="117"/>
      <c r="EJ235" s="89"/>
      <c r="EK235" s="89"/>
      <c r="EL235" s="89"/>
      <c r="EM235" s="89"/>
      <c r="EN235" s="89"/>
      <c r="EO235" s="89"/>
      <c r="EP235" s="89"/>
      <c r="EQ235" s="89"/>
      <c r="ER235" s="89"/>
      <c r="ES235" s="89"/>
      <c r="ET235" s="89"/>
      <c r="EU235" s="89"/>
      <c r="EV235" s="89"/>
      <c r="EW235" s="89"/>
      <c r="EX235" s="89"/>
      <c r="EY235" s="89"/>
      <c r="EZ235" s="89"/>
      <c r="FA235" s="89"/>
      <c r="FB235" s="89"/>
      <c r="FC235" s="89"/>
      <c r="FD235" s="89"/>
      <c r="FE235" s="89"/>
      <c r="FF235" s="89"/>
      <c r="FG235" s="89"/>
      <c r="FH235" s="89"/>
      <c r="FI235" s="89"/>
      <c r="FJ235" s="89"/>
      <c r="FK235" s="89"/>
      <c r="FL235" s="89"/>
      <c r="FM235" s="89"/>
      <c r="FN235" s="89"/>
      <c r="FO235" s="89"/>
      <c r="FP235" s="89"/>
      <c r="FQ235" s="89"/>
      <c r="FR235" s="89"/>
      <c r="FS235" s="89"/>
    </row>
    <row r="236" spans="1:175" s="23" customFormat="1" ht="13.2">
      <c r="A236" s="7"/>
      <c r="B236" s="578"/>
      <c r="C236" s="141" t="str">
        <f>Begriffe!F339</f>
        <v>Leistungsbedarf, W/m2</v>
      </c>
      <c r="D236" s="140"/>
      <c r="E236" s="577" t="str">
        <f>Begriffe!F202</f>
        <v>Geräte</v>
      </c>
      <c r="F236" s="140" t="str">
        <f>Begriffe!F203</f>
        <v>Beleuchtung</v>
      </c>
      <c r="G236" s="140" t="str">
        <f>Begriffe!F205</f>
        <v>Lüftung</v>
      </c>
      <c r="H236" s="577" t="str">
        <f>Begriffe!F206</f>
        <v>Raumkühlung</v>
      </c>
      <c r="I236" s="578" t="str">
        <f>Begriffe!F208</f>
        <v>Raumheizung</v>
      </c>
      <c r="J236" s="576" t="str">
        <f>Begriffe!F210</f>
        <v>Warmwasser</v>
      </c>
      <c r="P236" s="493"/>
      <c r="Q236" s="493"/>
      <c r="R236" s="125"/>
      <c r="S236" s="125"/>
      <c r="T236" s="131"/>
      <c r="U236" s="131"/>
      <c r="V236" s="131"/>
      <c r="W236" s="131"/>
      <c r="X236" s="131"/>
      <c r="Y236" s="132"/>
      <c r="Z236" s="126"/>
      <c r="AA236" s="126"/>
      <c r="AB236" s="126"/>
      <c r="AC236" s="126"/>
      <c r="AD236" s="126"/>
      <c r="AE236" s="126"/>
      <c r="AF236" s="127"/>
      <c r="AG236" s="127"/>
      <c r="AH236" s="127"/>
      <c r="AI236" s="127"/>
      <c r="AJ236" s="127"/>
      <c r="AK236" s="127"/>
      <c r="AL236" s="127"/>
      <c r="AM236" s="127"/>
      <c r="AN236" s="127"/>
      <c r="AO236" s="127"/>
      <c r="AP236" s="127"/>
      <c r="AQ236" s="127"/>
      <c r="AR236" s="127"/>
      <c r="AS236" s="128"/>
      <c r="AT236" s="128"/>
      <c r="AU236" s="128"/>
      <c r="AV236" s="128"/>
      <c r="AW236" s="90"/>
      <c r="AX236" s="90"/>
      <c r="AY236" s="90"/>
      <c r="AZ236" s="90"/>
      <c r="BA236" s="90"/>
      <c r="BB236" s="90"/>
      <c r="BC236" s="90"/>
      <c r="BD236" s="90"/>
      <c r="BE236" s="90"/>
      <c r="BF236" s="90"/>
      <c r="BG236" s="90"/>
      <c r="BH236" s="90"/>
      <c r="BI236" s="90"/>
      <c r="BJ236" s="90"/>
      <c r="BK236" s="90"/>
      <c r="BL236" s="90"/>
      <c r="BM236" s="90"/>
      <c r="BN236" s="90"/>
      <c r="BO236" s="90"/>
      <c r="BP236" s="90"/>
      <c r="BQ236" s="90"/>
      <c r="BR236" s="90"/>
      <c r="BS236" s="90"/>
      <c r="BT236" s="90"/>
      <c r="BU236" s="90"/>
      <c r="BV236" s="90"/>
      <c r="BW236" s="90"/>
      <c r="BX236" s="90"/>
      <c r="BY236" s="90"/>
      <c r="BZ236" s="90"/>
      <c r="CA236" s="90"/>
      <c r="CB236" s="90"/>
      <c r="CC236" s="90"/>
      <c r="CD236" s="90"/>
      <c r="CE236" s="90"/>
      <c r="CF236" s="90"/>
      <c r="CG236" s="90"/>
      <c r="CH236" s="90"/>
      <c r="CI236" s="90"/>
      <c r="CJ236" s="90"/>
      <c r="CK236" s="90"/>
      <c r="CL236" s="90"/>
      <c r="CM236" s="90"/>
      <c r="CN236" s="90"/>
      <c r="CO236" s="90"/>
      <c r="CP236" s="90"/>
      <c r="CQ236" s="90"/>
      <c r="CR236" s="90"/>
      <c r="CS236" s="90"/>
      <c r="CT236" s="90"/>
      <c r="CU236" s="90"/>
      <c r="CV236" s="90"/>
      <c r="CW236" s="90"/>
      <c r="CX236" s="90"/>
      <c r="CY236" s="90"/>
      <c r="CZ236" s="90"/>
      <c r="DA236" s="117"/>
      <c r="DB236" s="117"/>
      <c r="DC236" s="117"/>
      <c r="DD236" s="117"/>
      <c r="DE236" s="117"/>
      <c r="DF236" s="117"/>
      <c r="DG236" s="117"/>
      <c r="DH236" s="117"/>
      <c r="DI236" s="117"/>
      <c r="DJ236" s="117"/>
      <c r="DK236" s="117"/>
      <c r="DL236" s="117"/>
      <c r="DM236" s="117"/>
      <c r="DN236" s="117"/>
      <c r="DO236" s="117"/>
      <c r="DP236" s="117"/>
      <c r="DQ236" s="117"/>
      <c r="DR236" s="117"/>
      <c r="DS236" s="117"/>
      <c r="DT236" s="117"/>
      <c r="DU236" s="117"/>
      <c r="DV236" s="117"/>
      <c r="DW236" s="117"/>
      <c r="DX236" s="117"/>
      <c r="DY236" s="117"/>
      <c r="DZ236" s="117"/>
      <c r="EA236" s="117"/>
      <c r="EB236" s="117"/>
      <c r="EC236" s="117"/>
      <c r="ED236" s="117"/>
      <c r="EE236" s="117"/>
      <c r="EF236" s="117"/>
      <c r="EG236" s="117"/>
      <c r="EH236" s="117"/>
      <c r="EI236" s="117"/>
      <c r="EJ236" s="89"/>
      <c r="EK236" s="89"/>
      <c r="EL236" s="89"/>
      <c r="EM236" s="89"/>
      <c r="EN236" s="89"/>
      <c r="EO236" s="89"/>
      <c r="EP236" s="89"/>
      <c r="EQ236" s="89"/>
      <c r="ER236" s="89"/>
      <c r="ES236" s="89"/>
      <c r="ET236" s="89"/>
      <c r="EU236" s="89"/>
      <c r="EV236" s="89"/>
      <c r="EW236" s="89"/>
      <c r="EX236" s="89"/>
      <c r="EY236" s="89"/>
      <c r="EZ236" s="89"/>
      <c r="FA236" s="89"/>
      <c r="FB236" s="89"/>
      <c r="FC236" s="89"/>
      <c r="FD236" s="89"/>
      <c r="FE236" s="89"/>
      <c r="FF236" s="89"/>
      <c r="FG236" s="89"/>
      <c r="FH236" s="89"/>
      <c r="FI236" s="89"/>
      <c r="FJ236" s="89"/>
      <c r="FK236" s="89"/>
      <c r="FL236" s="89"/>
      <c r="FM236" s="89"/>
      <c r="FN236" s="89"/>
      <c r="FO236" s="89"/>
      <c r="FP236" s="89"/>
      <c r="FQ236" s="89"/>
      <c r="FR236" s="89"/>
      <c r="FS236" s="89"/>
    </row>
    <row r="237" spans="1:175" s="23" customFormat="1" ht="15.9" customHeight="1">
      <c r="A237" s="7"/>
      <c r="B237" s="1143"/>
      <c r="C237" s="533" t="str">
        <f>Begriffe!F222</f>
        <v>Bestand</v>
      </c>
      <c r="D237" s="142" t="s">
        <v>65</v>
      </c>
      <c r="E237" s="134">
        <f>O70</f>
        <v>15</v>
      </c>
      <c r="F237" s="134">
        <f>O113+O109</f>
        <v>16.074669432201194</v>
      </c>
      <c r="G237" s="142">
        <f>O135</f>
        <v>2.3400000000000003</v>
      </c>
      <c r="H237" s="134">
        <f>O148</f>
        <v>38</v>
      </c>
      <c r="I237" s="142">
        <f>O168</f>
        <v>73.030991596638671</v>
      </c>
      <c r="J237" s="134" t="e">
        <f>#REF!</f>
        <v>#REF!</v>
      </c>
      <c r="P237" s="493"/>
      <c r="Q237" s="493"/>
      <c r="R237" s="125"/>
      <c r="S237" s="125"/>
      <c r="T237" s="131"/>
      <c r="U237" s="131"/>
      <c r="V237" s="131"/>
      <c r="W237" s="131"/>
      <c r="X237" s="131"/>
      <c r="Y237" s="132"/>
      <c r="Z237" s="126"/>
      <c r="AA237" s="126"/>
      <c r="AB237" s="126"/>
      <c r="AC237" s="126"/>
      <c r="AD237" s="126"/>
      <c r="AE237" s="126"/>
      <c r="AF237" s="127"/>
      <c r="AG237" s="127"/>
      <c r="AH237" s="127"/>
      <c r="AI237" s="127"/>
      <c r="AJ237" s="127"/>
      <c r="AK237" s="127"/>
      <c r="AL237" s="127"/>
      <c r="AM237" s="127"/>
      <c r="AN237" s="127"/>
      <c r="AO237" s="127"/>
      <c r="AP237" s="127"/>
      <c r="AQ237" s="127"/>
      <c r="AR237" s="127"/>
      <c r="AS237" s="128"/>
      <c r="AT237" s="128"/>
      <c r="AU237" s="128"/>
      <c r="AV237" s="128"/>
      <c r="AW237" s="90"/>
      <c r="AX237" s="90"/>
      <c r="AY237" s="90"/>
      <c r="AZ237" s="90"/>
      <c r="BA237" s="90"/>
      <c r="BB237" s="90"/>
      <c r="BC237" s="90"/>
      <c r="BD237" s="90"/>
      <c r="BE237" s="90"/>
      <c r="BF237" s="90"/>
      <c r="BG237" s="90"/>
      <c r="BH237" s="90"/>
      <c r="BI237" s="90"/>
      <c r="BJ237" s="90"/>
      <c r="BK237" s="90"/>
      <c r="BL237" s="90"/>
      <c r="BM237" s="90"/>
      <c r="BN237" s="90"/>
      <c r="BO237" s="90"/>
      <c r="BP237" s="90"/>
      <c r="BQ237" s="90"/>
      <c r="BR237" s="90"/>
      <c r="BS237" s="90"/>
      <c r="BT237" s="90"/>
      <c r="BU237" s="90"/>
      <c r="BV237" s="90"/>
      <c r="BW237" s="90"/>
      <c r="BX237" s="90"/>
      <c r="BY237" s="90"/>
      <c r="BZ237" s="90"/>
      <c r="CA237" s="90"/>
      <c r="CB237" s="90"/>
      <c r="CC237" s="90"/>
      <c r="CD237" s="90"/>
      <c r="CE237" s="90"/>
      <c r="CF237" s="90"/>
      <c r="CG237" s="90"/>
      <c r="CH237" s="90"/>
      <c r="CI237" s="90"/>
      <c r="CJ237" s="90"/>
      <c r="CK237" s="90"/>
      <c r="CL237" s="90"/>
      <c r="CM237" s="90"/>
      <c r="CN237" s="90"/>
      <c r="CO237" s="90"/>
      <c r="CP237" s="90"/>
      <c r="CQ237" s="90"/>
      <c r="CR237" s="90"/>
      <c r="CS237" s="90"/>
      <c r="CT237" s="90"/>
      <c r="CU237" s="90"/>
      <c r="CV237" s="90"/>
      <c r="CW237" s="90"/>
      <c r="CX237" s="90"/>
      <c r="CY237" s="90"/>
      <c r="CZ237" s="90"/>
      <c r="DA237" s="117"/>
      <c r="DB237" s="117"/>
      <c r="DC237" s="117"/>
      <c r="DD237" s="117"/>
      <c r="DE237" s="117"/>
      <c r="DF237" s="117"/>
      <c r="DG237" s="117"/>
      <c r="DH237" s="117"/>
      <c r="DI237" s="117"/>
      <c r="DJ237" s="117"/>
      <c r="DK237" s="117"/>
      <c r="DL237" s="117"/>
      <c r="DM237" s="117"/>
      <c r="DN237" s="117"/>
      <c r="DO237" s="117"/>
      <c r="DP237" s="117"/>
      <c r="DQ237" s="117"/>
      <c r="DR237" s="117"/>
      <c r="DS237" s="117"/>
      <c r="DT237" s="117"/>
      <c r="DU237" s="117"/>
      <c r="DV237" s="117"/>
      <c r="DW237" s="117"/>
      <c r="DX237" s="117"/>
      <c r="DY237" s="117"/>
      <c r="DZ237" s="117"/>
      <c r="EA237" s="117"/>
      <c r="EB237" s="117"/>
      <c r="EC237" s="117"/>
      <c r="ED237" s="117"/>
      <c r="EE237" s="117"/>
      <c r="EF237" s="117"/>
      <c r="EG237" s="117"/>
      <c r="EH237" s="117"/>
      <c r="EI237" s="117"/>
      <c r="EJ237" s="89"/>
      <c r="EK237" s="89"/>
      <c r="EL237" s="89"/>
      <c r="EM237" s="89"/>
      <c r="EN237" s="89"/>
      <c r="EO237" s="89"/>
      <c r="EP237" s="89"/>
      <c r="EQ237" s="89"/>
      <c r="ER237" s="89"/>
      <c r="ES237" s="89"/>
      <c r="ET237" s="89"/>
      <c r="EU237" s="89"/>
      <c r="EV237" s="89"/>
      <c r="EW237" s="89"/>
      <c r="EX237" s="89"/>
      <c r="EY237" s="89"/>
      <c r="EZ237" s="89"/>
      <c r="FA237" s="89"/>
      <c r="FB237" s="89"/>
      <c r="FC237" s="89"/>
      <c r="FD237" s="89"/>
      <c r="FE237" s="89"/>
      <c r="FF237" s="89"/>
      <c r="FG237" s="89"/>
      <c r="FH237" s="89"/>
      <c r="FI237" s="89"/>
      <c r="FJ237" s="89"/>
      <c r="FK237" s="89"/>
      <c r="FL237" s="89"/>
      <c r="FM237" s="89"/>
      <c r="FN237" s="89"/>
      <c r="FO237" s="89"/>
      <c r="FP237" s="89"/>
      <c r="FQ237" s="89"/>
      <c r="FR237" s="89"/>
      <c r="FS237" s="89"/>
    </row>
    <row r="238" spans="1:175" s="23" customFormat="1" ht="15.9" customHeight="1">
      <c r="A238" s="7"/>
      <c r="B238" s="1143"/>
      <c r="C238" s="533" t="str">
        <f>Begriffe!F221</f>
        <v>Zielwert</v>
      </c>
      <c r="D238" s="142" t="s">
        <v>65</v>
      </c>
      <c r="E238" s="134">
        <f>N70</f>
        <v>3</v>
      </c>
      <c r="F238" s="134">
        <f>N113+N109</f>
        <v>11.749367050226651</v>
      </c>
      <c r="G238" s="134">
        <f>N135</f>
        <v>0.87428571428571444</v>
      </c>
      <c r="H238" s="142">
        <f>N148</f>
        <v>20</v>
      </c>
      <c r="I238" s="142">
        <f>N168</f>
        <v>28.839327731092446</v>
      </c>
      <c r="J238" s="134" t="e">
        <f>#REF!</f>
        <v>#REF!</v>
      </c>
      <c r="P238" s="493"/>
      <c r="Q238" s="493"/>
      <c r="R238" s="125"/>
      <c r="S238" s="125"/>
      <c r="T238" s="131"/>
      <c r="U238" s="131"/>
      <c r="V238" s="131"/>
      <c r="W238" s="131"/>
      <c r="X238" s="131"/>
      <c r="Y238" s="132"/>
      <c r="Z238" s="126"/>
      <c r="AA238" s="126"/>
      <c r="AB238" s="126"/>
      <c r="AC238" s="126"/>
      <c r="AD238" s="126"/>
      <c r="AE238" s="126"/>
      <c r="AF238" s="127"/>
      <c r="AG238" s="127"/>
      <c r="AH238" s="127"/>
      <c r="AI238" s="127"/>
      <c r="AJ238" s="127"/>
      <c r="AK238" s="127"/>
      <c r="AL238" s="127"/>
      <c r="AM238" s="127"/>
      <c r="AN238" s="127"/>
      <c r="AO238" s="127"/>
      <c r="AP238" s="127"/>
      <c r="AQ238" s="127"/>
      <c r="AR238" s="127"/>
      <c r="AS238" s="128"/>
      <c r="AT238" s="128"/>
      <c r="AU238" s="128"/>
      <c r="AV238" s="128"/>
      <c r="AW238" s="90"/>
      <c r="AX238" s="90"/>
      <c r="AY238" s="90"/>
      <c r="AZ238" s="90"/>
      <c r="BA238" s="90"/>
      <c r="BB238" s="90"/>
      <c r="BC238" s="90"/>
      <c r="BD238" s="90"/>
      <c r="BE238" s="90"/>
      <c r="BF238" s="90"/>
      <c r="BG238" s="90"/>
      <c r="BH238" s="90"/>
      <c r="BI238" s="90"/>
      <c r="BJ238" s="90"/>
      <c r="BK238" s="90"/>
      <c r="BL238" s="90"/>
      <c r="BM238" s="90"/>
      <c r="BN238" s="90"/>
      <c r="BO238" s="90"/>
      <c r="BP238" s="90"/>
      <c r="BQ238" s="90"/>
      <c r="BR238" s="90"/>
      <c r="BS238" s="90"/>
      <c r="BT238" s="90"/>
      <c r="BU238" s="90"/>
      <c r="BV238" s="90"/>
      <c r="BW238" s="90"/>
      <c r="BX238" s="90"/>
      <c r="BY238" s="90"/>
      <c r="BZ238" s="90"/>
      <c r="CA238" s="90"/>
      <c r="CB238" s="90"/>
      <c r="CC238" s="90"/>
      <c r="CD238" s="90"/>
      <c r="CE238" s="90"/>
      <c r="CF238" s="90"/>
      <c r="CG238" s="90"/>
      <c r="CH238" s="90"/>
      <c r="CI238" s="90"/>
      <c r="CJ238" s="90"/>
      <c r="CK238" s="90"/>
      <c r="CL238" s="90"/>
      <c r="CM238" s="90"/>
      <c r="CN238" s="90"/>
      <c r="CO238" s="90"/>
      <c r="CP238" s="90"/>
      <c r="CQ238" s="90"/>
      <c r="CR238" s="90"/>
      <c r="CS238" s="90"/>
      <c r="CT238" s="90"/>
      <c r="CU238" s="90"/>
      <c r="CV238" s="90"/>
      <c r="CW238" s="90"/>
      <c r="CX238" s="90"/>
      <c r="CY238" s="90"/>
      <c r="CZ238" s="90"/>
      <c r="DA238" s="117"/>
      <c r="DB238" s="117"/>
      <c r="DC238" s="117"/>
      <c r="DD238" s="117"/>
      <c r="DE238" s="117"/>
      <c r="DF238" s="117"/>
      <c r="DG238" s="117"/>
      <c r="DH238" s="117"/>
      <c r="DI238" s="117"/>
      <c r="DJ238" s="117"/>
      <c r="DK238" s="117"/>
      <c r="DL238" s="117"/>
      <c r="DM238" s="117"/>
      <c r="DN238" s="117"/>
      <c r="DO238" s="117"/>
      <c r="DP238" s="117"/>
      <c r="DQ238" s="117"/>
      <c r="DR238" s="117"/>
      <c r="DS238" s="117"/>
      <c r="DT238" s="117"/>
      <c r="DU238" s="117"/>
      <c r="DV238" s="117"/>
      <c r="DW238" s="117"/>
      <c r="DX238" s="117"/>
      <c r="DY238" s="117"/>
      <c r="DZ238" s="117"/>
      <c r="EA238" s="117"/>
      <c r="EB238" s="117"/>
      <c r="EC238" s="117"/>
      <c r="ED238" s="117"/>
      <c r="EE238" s="117"/>
      <c r="EF238" s="117"/>
      <c r="EG238" s="117"/>
      <c r="EH238" s="117"/>
      <c r="EI238" s="117"/>
      <c r="EJ238" s="89"/>
      <c r="EK238" s="89"/>
      <c r="EL238" s="89"/>
      <c r="EM238" s="89"/>
      <c r="EN238" s="89"/>
      <c r="EO238" s="89"/>
      <c r="EP238" s="89"/>
      <c r="EQ238" s="89"/>
      <c r="ER238" s="89"/>
      <c r="ES238" s="89"/>
      <c r="ET238" s="89"/>
      <c r="EU238" s="89"/>
      <c r="EV238" s="89"/>
      <c r="EW238" s="89"/>
      <c r="EX238" s="89"/>
      <c r="EY238" s="89"/>
      <c r="EZ238" s="89"/>
      <c r="FA238" s="89"/>
      <c r="FB238" s="89"/>
      <c r="FC238" s="89"/>
      <c r="FD238" s="89"/>
      <c r="FE238" s="89"/>
      <c r="FF238" s="89"/>
      <c r="FG238" s="89"/>
      <c r="FH238" s="89"/>
      <c r="FI238" s="89"/>
      <c r="FJ238" s="89"/>
      <c r="FK238" s="89"/>
      <c r="FL238" s="89"/>
      <c r="FM238" s="89"/>
      <c r="FN238" s="89"/>
      <c r="FO238" s="89"/>
      <c r="FP238" s="89"/>
      <c r="FQ238" s="89"/>
      <c r="FR238" s="89"/>
      <c r="FS238" s="89"/>
    </row>
    <row r="239" spans="1:175" s="23" customFormat="1" ht="15.9" customHeight="1">
      <c r="A239" s="7"/>
      <c r="B239" s="1143"/>
      <c r="C239" s="533" t="str">
        <f>Begriffe!F220</f>
        <v>Standard</v>
      </c>
      <c r="D239" s="142" t="s">
        <v>65</v>
      </c>
      <c r="E239" s="134">
        <f>M70</f>
        <v>7</v>
      </c>
      <c r="F239" s="142">
        <f>M113+M109</f>
        <v>16.074669432201194</v>
      </c>
      <c r="G239" s="142">
        <f>M135</f>
        <v>1.4142857142857146</v>
      </c>
      <c r="H239" s="142">
        <f>M148</f>
        <v>27</v>
      </c>
      <c r="I239" s="142">
        <f>M168</f>
        <v>95.216941176470598</v>
      </c>
      <c r="J239" s="134" t="e">
        <f>#REF!</f>
        <v>#REF!</v>
      </c>
      <c r="P239" s="493"/>
      <c r="Q239" s="493"/>
      <c r="R239" s="125"/>
      <c r="S239" s="125"/>
      <c r="T239" s="131"/>
      <c r="U239" s="131"/>
      <c r="V239" s="131"/>
      <c r="W239" s="131"/>
      <c r="X239" s="131"/>
      <c r="Y239" s="132"/>
      <c r="Z239" s="126"/>
      <c r="AA239" s="126"/>
      <c r="AB239" s="126"/>
      <c r="AC239" s="126"/>
      <c r="AD239" s="126"/>
      <c r="AE239" s="126"/>
      <c r="AF239" s="127"/>
      <c r="AG239" s="127"/>
      <c r="AH239" s="127"/>
      <c r="AI239" s="127"/>
      <c r="AJ239" s="127"/>
      <c r="AK239" s="127"/>
      <c r="AL239" s="127"/>
      <c r="AM239" s="127"/>
      <c r="AN239" s="127"/>
      <c r="AO239" s="127"/>
      <c r="AP239" s="127"/>
      <c r="AQ239" s="127"/>
      <c r="AR239" s="127"/>
      <c r="AS239" s="128"/>
      <c r="AT239" s="128"/>
      <c r="AU239" s="128"/>
      <c r="AV239" s="128"/>
      <c r="AW239" s="90"/>
      <c r="AX239" s="90"/>
      <c r="AY239" s="90"/>
      <c r="AZ239" s="90"/>
      <c r="BA239" s="90"/>
      <c r="BB239" s="90"/>
      <c r="BC239" s="90"/>
      <c r="BD239" s="90"/>
      <c r="BE239" s="90"/>
      <c r="BF239" s="90"/>
      <c r="BG239" s="90"/>
      <c r="BH239" s="90"/>
      <c r="BI239" s="90"/>
      <c r="BJ239" s="90"/>
      <c r="BK239" s="90"/>
      <c r="BL239" s="90"/>
      <c r="BM239" s="90"/>
      <c r="BN239" s="90"/>
      <c r="BO239" s="90"/>
      <c r="BP239" s="90"/>
      <c r="BQ239" s="90"/>
      <c r="BR239" s="90"/>
      <c r="BS239" s="90"/>
      <c r="BT239" s="90"/>
      <c r="BU239" s="90"/>
      <c r="BV239" s="90"/>
      <c r="BW239" s="90"/>
      <c r="BX239" s="90"/>
      <c r="BY239" s="90"/>
      <c r="BZ239" s="90"/>
      <c r="CA239" s="90"/>
      <c r="CB239" s="90"/>
      <c r="CC239" s="90"/>
      <c r="CD239" s="90"/>
      <c r="CE239" s="90"/>
      <c r="CF239" s="90"/>
      <c r="CG239" s="90"/>
      <c r="CH239" s="90"/>
      <c r="CI239" s="90"/>
      <c r="CJ239" s="90"/>
      <c r="CK239" s="90"/>
      <c r="CL239" s="90"/>
      <c r="CM239" s="90"/>
      <c r="CN239" s="90"/>
      <c r="CO239" s="90"/>
      <c r="CP239" s="90"/>
      <c r="CQ239" s="90"/>
      <c r="CR239" s="90"/>
      <c r="CS239" s="90"/>
      <c r="CT239" s="90"/>
      <c r="CU239" s="90"/>
      <c r="CV239" s="90"/>
      <c r="CW239" s="90"/>
      <c r="CX239" s="90"/>
      <c r="CY239" s="90"/>
      <c r="CZ239" s="90"/>
      <c r="DA239" s="117"/>
      <c r="DB239" s="117"/>
      <c r="DC239" s="117"/>
      <c r="DD239" s="117"/>
      <c r="DE239" s="117"/>
      <c r="DF239" s="117"/>
      <c r="DG239" s="117"/>
      <c r="DH239" s="117"/>
      <c r="DI239" s="117"/>
      <c r="DJ239" s="117"/>
      <c r="DK239" s="117"/>
      <c r="DL239" s="117"/>
      <c r="DM239" s="117"/>
      <c r="DN239" s="117"/>
      <c r="DO239" s="117"/>
      <c r="DP239" s="117"/>
      <c r="DQ239" s="117"/>
      <c r="DR239" s="117"/>
      <c r="DS239" s="117"/>
      <c r="DT239" s="117"/>
      <c r="DU239" s="117"/>
      <c r="DV239" s="117"/>
      <c r="DW239" s="117"/>
      <c r="DX239" s="117"/>
      <c r="DY239" s="117"/>
      <c r="DZ239" s="117"/>
      <c r="EA239" s="117"/>
      <c r="EB239" s="117"/>
      <c r="EC239" s="117"/>
      <c r="ED239" s="117"/>
      <c r="EE239" s="117"/>
      <c r="EF239" s="117"/>
      <c r="EG239" s="117"/>
      <c r="EH239" s="117"/>
      <c r="EI239" s="117"/>
      <c r="EJ239" s="89"/>
      <c r="EK239" s="89"/>
      <c r="EL239" s="89"/>
      <c r="EM239" s="89"/>
      <c r="EN239" s="89"/>
      <c r="EO239" s="89"/>
      <c r="EP239" s="89"/>
      <c r="EQ239" s="89"/>
      <c r="ER239" s="89"/>
      <c r="ES239" s="89"/>
      <c r="ET239" s="89"/>
      <c r="EU239" s="89"/>
      <c r="EV239" s="89"/>
      <c r="EW239" s="89"/>
      <c r="EX239" s="89"/>
      <c r="EY239" s="89"/>
      <c r="EZ239" s="89"/>
      <c r="FA239" s="89"/>
      <c r="FB239" s="89"/>
      <c r="FC239" s="89"/>
      <c r="FD239" s="89"/>
      <c r="FE239" s="89"/>
      <c r="FF239" s="89"/>
      <c r="FG239" s="89"/>
      <c r="FH239" s="89"/>
      <c r="FI239" s="89"/>
      <c r="FJ239" s="89"/>
      <c r="FK239" s="89"/>
      <c r="FL239" s="89"/>
      <c r="FM239" s="89"/>
      <c r="FN239" s="89"/>
      <c r="FO239" s="89"/>
      <c r="FP239" s="89"/>
      <c r="FQ239" s="89"/>
      <c r="FR239" s="89"/>
      <c r="FS239" s="89"/>
    </row>
    <row r="240" spans="1:175" s="23" customFormat="1" ht="15.9" customHeight="1">
      <c r="A240" s="7"/>
      <c r="B240" s="578"/>
      <c r="C240" s="141"/>
      <c r="D240" s="7"/>
      <c r="E240" s="141"/>
      <c r="F240" s="142"/>
      <c r="G240" s="142"/>
      <c r="H240" s="142"/>
      <c r="I240" s="142"/>
      <c r="J240" s="142"/>
      <c r="K240" s="142"/>
      <c r="L240" s="134"/>
      <c r="P240" s="493"/>
      <c r="Q240" s="493"/>
      <c r="R240" s="125"/>
      <c r="S240" s="125"/>
      <c r="T240" s="131"/>
      <c r="U240" s="131"/>
      <c r="V240" s="131"/>
      <c r="W240" s="131"/>
      <c r="X240" s="131"/>
      <c r="Y240" s="132"/>
      <c r="Z240" s="126"/>
      <c r="AA240" s="126"/>
      <c r="AB240" s="126"/>
      <c r="AC240" s="126"/>
      <c r="AD240" s="126"/>
      <c r="AE240" s="126"/>
      <c r="AF240" s="127"/>
      <c r="AG240" s="127"/>
      <c r="AH240" s="127"/>
      <c r="AI240" s="127"/>
      <c r="AJ240" s="127"/>
      <c r="AK240" s="127"/>
      <c r="AL240" s="127"/>
      <c r="AM240" s="127"/>
      <c r="AN240" s="127"/>
      <c r="AO240" s="127"/>
      <c r="AP240" s="127"/>
      <c r="AQ240" s="127"/>
      <c r="AR240" s="127"/>
      <c r="AS240" s="128"/>
      <c r="AT240" s="128"/>
      <c r="AU240" s="128"/>
      <c r="AV240" s="128"/>
      <c r="AW240" s="90"/>
      <c r="AX240" s="90"/>
      <c r="AY240" s="90"/>
      <c r="AZ240" s="90"/>
      <c r="BA240" s="90"/>
      <c r="BB240" s="90"/>
      <c r="BC240" s="90"/>
      <c r="BD240" s="90"/>
      <c r="BE240" s="90"/>
      <c r="BF240" s="90"/>
      <c r="BG240" s="90"/>
      <c r="BH240" s="90"/>
      <c r="BI240" s="90"/>
      <c r="BJ240" s="90"/>
      <c r="BK240" s="90"/>
      <c r="BL240" s="90"/>
      <c r="BM240" s="90"/>
      <c r="BN240" s="90"/>
      <c r="BO240" s="90"/>
      <c r="BP240" s="90"/>
      <c r="BQ240" s="90"/>
      <c r="BR240" s="90"/>
      <c r="BS240" s="90"/>
      <c r="BT240" s="90"/>
      <c r="BU240" s="90"/>
      <c r="BV240" s="90"/>
      <c r="BW240" s="90"/>
      <c r="BX240" s="90"/>
      <c r="BY240" s="90"/>
      <c r="BZ240" s="90"/>
      <c r="CA240" s="90"/>
      <c r="CB240" s="90"/>
      <c r="CC240" s="90"/>
      <c r="CD240" s="90"/>
      <c r="CE240" s="90"/>
      <c r="CF240" s="90"/>
      <c r="CG240" s="90"/>
      <c r="CH240" s="90"/>
      <c r="CI240" s="90"/>
      <c r="CJ240" s="90"/>
      <c r="CK240" s="90"/>
      <c r="CL240" s="90"/>
      <c r="CM240" s="90"/>
      <c r="CN240" s="90"/>
      <c r="CO240" s="90"/>
      <c r="CP240" s="90"/>
      <c r="CQ240" s="90"/>
      <c r="CR240" s="90"/>
      <c r="CS240" s="90"/>
      <c r="CT240" s="90"/>
      <c r="CU240" s="90"/>
      <c r="CV240" s="90"/>
      <c r="CW240" s="90"/>
      <c r="CX240" s="90"/>
      <c r="CY240" s="90"/>
      <c r="CZ240" s="90"/>
      <c r="DA240" s="117"/>
      <c r="DB240" s="117"/>
      <c r="DC240" s="117"/>
      <c r="DD240" s="117"/>
      <c r="DE240" s="117"/>
      <c r="DF240" s="117"/>
      <c r="DG240" s="117"/>
      <c r="DH240" s="117"/>
      <c r="DI240" s="117"/>
      <c r="DJ240" s="117"/>
      <c r="DK240" s="117"/>
      <c r="DL240" s="117"/>
      <c r="DM240" s="117"/>
      <c r="DN240" s="117"/>
      <c r="DO240" s="117"/>
      <c r="DP240" s="117"/>
      <c r="DQ240" s="117"/>
      <c r="DR240" s="117"/>
      <c r="DS240" s="117"/>
      <c r="DT240" s="117"/>
      <c r="DU240" s="117"/>
      <c r="DV240" s="117"/>
      <c r="DW240" s="117"/>
      <c r="DX240" s="117"/>
      <c r="DY240" s="117"/>
      <c r="DZ240" s="117"/>
      <c r="EA240" s="117"/>
      <c r="EB240" s="117"/>
      <c r="EC240" s="117"/>
      <c r="ED240" s="117"/>
      <c r="EE240" s="117"/>
      <c r="EF240" s="117"/>
      <c r="EG240" s="117"/>
      <c r="EH240" s="117"/>
      <c r="EI240" s="117"/>
      <c r="EJ240" s="89"/>
      <c r="EK240" s="89"/>
      <c r="EL240" s="89"/>
      <c r="EM240" s="89"/>
      <c r="EN240" s="89"/>
      <c r="EO240" s="89"/>
      <c r="EP240" s="89"/>
      <c r="EQ240" s="89"/>
      <c r="ER240" s="89"/>
      <c r="ES240" s="89"/>
      <c r="ET240" s="89"/>
      <c r="EU240" s="89"/>
      <c r="EV240" s="89"/>
      <c r="EW240" s="89"/>
      <c r="EX240" s="89"/>
      <c r="EY240" s="89"/>
      <c r="EZ240" s="89"/>
      <c r="FA240" s="89"/>
      <c r="FB240" s="89"/>
      <c r="FC240" s="89"/>
      <c r="FD240" s="89"/>
      <c r="FE240" s="89"/>
      <c r="FF240" s="89"/>
      <c r="FG240" s="89"/>
      <c r="FH240" s="89"/>
      <c r="FI240" s="89"/>
      <c r="FJ240" s="89"/>
      <c r="FK240" s="89"/>
      <c r="FL240" s="89"/>
      <c r="FM240" s="89"/>
      <c r="FN240" s="89"/>
      <c r="FO240" s="89"/>
      <c r="FP240" s="89"/>
      <c r="FQ240" s="89"/>
      <c r="FR240" s="89"/>
      <c r="FS240" s="89"/>
    </row>
    <row r="241" spans="1:175" s="23" customFormat="1" ht="15.9" customHeight="1">
      <c r="A241" s="7"/>
      <c r="B241" s="578"/>
      <c r="C241" s="141" t="str">
        <f>Begriffe!F340</f>
        <v>Energiebedarf, kWh/m2</v>
      </c>
      <c r="D241" s="7"/>
      <c r="E241" s="141"/>
      <c r="F241" s="142"/>
      <c r="G241" s="142"/>
      <c r="H241" s="142"/>
      <c r="I241" s="142"/>
      <c r="J241" s="142"/>
      <c r="K241" s="142"/>
      <c r="L241" s="134"/>
      <c r="P241" s="493"/>
      <c r="Q241" s="493"/>
      <c r="R241" s="125"/>
      <c r="S241" s="125"/>
      <c r="T241" s="131"/>
      <c r="U241" s="131"/>
      <c r="V241" s="131"/>
      <c r="W241" s="131"/>
      <c r="X241" s="131"/>
      <c r="Y241" s="132"/>
      <c r="Z241" s="126"/>
      <c r="AA241" s="126"/>
      <c r="AB241" s="126"/>
      <c r="AC241" s="126"/>
      <c r="AD241" s="126"/>
      <c r="AE241" s="126"/>
      <c r="AF241" s="127"/>
      <c r="AG241" s="127"/>
      <c r="AH241" s="127"/>
      <c r="AI241" s="127"/>
      <c r="AJ241" s="127"/>
      <c r="AK241" s="127"/>
      <c r="AL241" s="127"/>
      <c r="AM241" s="127"/>
      <c r="AN241" s="127"/>
      <c r="AO241" s="127"/>
      <c r="AP241" s="127"/>
      <c r="AQ241" s="127"/>
      <c r="AR241" s="127"/>
      <c r="AS241" s="128"/>
      <c r="AT241" s="128"/>
      <c r="AU241" s="128"/>
      <c r="AV241" s="128"/>
      <c r="AW241" s="90"/>
      <c r="AX241" s="90"/>
      <c r="AY241" s="90"/>
      <c r="AZ241" s="90"/>
      <c r="BA241" s="90"/>
      <c r="BB241" s="90"/>
      <c r="BC241" s="90"/>
      <c r="BD241" s="90"/>
      <c r="BE241" s="90"/>
      <c r="BF241" s="90"/>
      <c r="BG241" s="90"/>
      <c r="BH241" s="90"/>
      <c r="BI241" s="90"/>
      <c r="BJ241" s="90"/>
      <c r="BK241" s="90"/>
      <c r="BL241" s="90"/>
      <c r="BM241" s="90"/>
      <c r="BN241" s="90"/>
      <c r="BO241" s="90"/>
      <c r="BP241" s="90"/>
      <c r="BQ241" s="90"/>
      <c r="BR241" s="90"/>
      <c r="BS241" s="90"/>
      <c r="BT241" s="90"/>
      <c r="BU241" s="90"/>
      <c r="BV241" s="90"/>
      <c r="BW241" s="90"/>
      <c r="BX241" s="90"/>
      <c r="BY241" s="90"/>
      <c r="BZ241" s="90"/>
      <c r="CA241" s="90"/>
      <c r="CB241" s="90"/>
      <c r="CC241" s="90"/>
      <c r="CD241" s="90"/>
      <c r="CE241" s="90"/>
      <c r="CF241" s="90"/>
      <c r="CG241" s="90"/>
      <c r="CH241" s="90"/>
      <c r="CI241" s="90"/>
      <c r="CJ241" s="90"/>
      <c r="CK241" s="90"/>
      <c r="CL241" s="90"/>
      <c r="CM241" s="90"/>
      <c r="CN241" s="90"/>
      <c r="CO241" s="90"/>
      <c r="CP241" s="90"/>
      <c r="CQ241" s="90"/>
      <c r="CR241" s="90"/>
      <c r="CS241" s="90"/>
      <c r="CT241" s="90"/>
      <c r="CU241" s="90"/>
      <c r="CV241" s="90"/>
      <c r="CW241" s="90"/>
      <c r="CX241" s="90"/>
      <c r="CY241" s="90"/>
      <c r="CZ241" s="90"/>
      <c r="DA241" s="117"/>
      <c r="DB241" s="117"/>
      <c r="DC241" s="117"/>
      <c r="DD241" s="117"/>
      <c r="DE241" s="117"/>
      <c r="DF241" s="117"/>
      <c r="DG241" s="117"/>
      <c r="DH241" s="117"/>
      <c r="DI241" s="117"/>
      <c r="DJ241" s="117"/>
      <c r="DK241" s="117"/>
      <c r="DL241" s="117"/>
      <c r="DM241" s="117"/>
      <c r="DN241" s="117"/>
      <c r="DO241" s="117"/>
      <c r="DP241" s="117"/>
      <c r="DQ241" s="117"/>
      <c r="DR241" s="117"/>
      <c r="DS241" s="117"/>
      <c r="DT241" s="117"/>
      <c r="DU241" s="117"/>
      <c r="DV241" s="117"/>
      <c r="DW241" s="117"/>
      <c r="DX241" s="117"/>
      <c r="DY241" s="117"/>
      <c r="DZ241" s="117"/>
      <c r="EA241" s="117"/>
      <c r="EB241" s="117"/>
      <c r="EC241" s="117"/>
      <c r="ED241" s="117"/>
      <c r="EE241" s="117"/>
      <c r="EF241" s="117"/>
      <c r="EG241" s="117"/>
      <c r="EH241" s="117"/>
      <c r="EI241" s="117"/>
      <c r="EJ241" s="89"/>
      <c r="EK241" s="89"/>
      <c r="EL241" s="89"/>
      <c r="EM241" s="89"/>
      <c r="EN241" s="89"/>
      <c r="EO241" s="89"/>
      <c r="EP241" s="89"/>
      <c r="EQ241" s="89"/>
      <c r="ER241" s="89"/>
      <c r="ES241" s="89"/>
      <c r="ET241" s="89"/>
      <c r="EU241" s="89"/>
      <c r="EV241" s="89"/>
      <c r="EW241" s="89"/>
      <c r="EX241" s="89"/>
      <c r="EY241" s="89"/>
      <c r="EZ241" s="89"/>
      <c r="FA241" s="89"/>
      <c r="FB241" s="89"/>
      <c r="FC241" s="89"/>
      <c r="FD241" s="89"/>
      <c r="FE241" s="89"/>
      <c r="FF241" s="89"/>
      <c r="FG241" s="89"/>
      <c r="FH241" s="89"/>
      <c r="FI241" s="89"/>
      <c r="FJ241" s="89"/>
      <c r="FK241" s="89"/>
      <c r="FL241" s="89"/>
      <c r="FM241" s="89"/>
      <c r="FN241" s="89"/>
      <c r="FO241" s="89"/>
      <c r="FP241" s="89"/>
      <c r="FQ241" s="89"/>
      <c r="FR241" s="89"/>
      <c r="FS241" s="89"/>
    </row>
    <row r="242" spans="1:175" s="23" customFormat="1" ht="15.9" customHeight="1">
      <c r="A242" s="7"/>
      <c r="B242" s="143"/>
      <c r="C242" s="533" t="str">
        <f>Begriffe!F222</f>
        <v>Bestand</v>
      </c>
      <c r="D242" s="142" t="s">
        <v>66</v>
      </c>
      <c r="E242" s="134">
        <f>O75</f>
        <v>44.85</v>
      </c>
      <c r="F242" s="142">
        <f>O120</f>
        <v>32.310085558724403</v>
      </c>
      <c r="G242" s="142">
        <f>O137</f>
        <v>13.1508</v>
      </c>
      <c r="H242" s="122">
        <f>O150</f>
        <v>7.673055555555556</v>
      </c>
      <c r="I242" s="134">
        <f>O174</f>
        <v>45.357615428647577</v>
      </c>
      <c r="J242" s="134">
        <f>O182</f>
        <v>3.2438571428571428</v>
      </c>
      <c r="P242" s="493"/>
      <c r="Q242" s="493"/>
      <c r="R242" s="125"/>
      <c r="S242" s="125"/>
      <c r="T242" s="131"/>
      <c r="U242" s="131"/>
      <c r="V242" s="131"/>
      <c r="W242" s="131"/>
      <c r="X242" s="131"/>
      <c r="Y242" s="132"/>
      <c r="Z242" s="126"/>
      <c r="AA242" s="126"/>
      <c r="AB242" s="126"/>
      <c r="AC242" s="126"/>
      <c r="AD242" s="126"/>
      <c r="AE242" s="126"/>
      <c r="AF242" s="127"/>
      <c r="AG242" s="127"/>
      <c r="AH242" s="127"/>
      <c r="AI242" s="127"/>
      <c r="AJ242" s="127"/>
      <c r="AK242" s="127"/>
      <c r="AL242" s="127"/>
      <c r="AM242" s="127"/>
      <c r="AN242" s="127"/>
      <c r="AO242" s="127"/>
      <c r="AP242" s="127"/>
      <c r="AQ242" s="127"/>
      <c r="AR242" s="127"/>
      <c r="AS242" s="128"/>
      <c r="AT242" s="128"/>
      <c r="AU242" s="128"/>
      <c r="AV242" s="128"/>
      <c r="AW242" s="90"/>
      <c r="AX242" s="90"/>
      <c r="AY242" s="90"/>
      <c r="AZ242" s="90"/>
      <c r="BA242" s="90"/>
      <c r="BB242" s="90"/>
      <c r="BC242" s="90"/>
      <c r="BD242" s="90"/>
      <c r="BE242" s="90"/>
      <c r="BF242" s="90"/>
      <c r="BG242" s="90"/>
      <c r="BH242" s="90"/>
      <c r="BI242" s="90"/>
      <c r="BJ242" s="90"/>
      <c r="BK242" s="90"/>
      <c r="BL242" s="90"/>
      <c r="BM242" s="90"/>
      <c r="BN242" s="90"/>
      <c r="BO242" s="90"/>
      <c r="BP242" s="90"/>
      <c r="BQ242" s="90"/>
      <c r="BR242" s="90"/>
      <c r="BS242" s="90"/>
      <c r="BT242" s="90"/>
      <c r="BU242" s="90"/>
      <c r="BV242" s="90"/>
      <c r="BW242" s="90"/>
      <c r="BX242" s="90"/>
      <c r="BY242" s="90"/>
      <c r="BZ242" s="90"/>
      <c r="CA242" s="90"/>
      <c r="CB242" s="90"/>
      <c r="CC242" s="90"/>
      <c r="CD242" s="90"/>
      <c r="CE242" s="90"/>
      <c r="CF242" s="90"/>
      <c r="CG242" s="90"/>
      <c r="CH242" s="90"/>
      <c r="CI242" s="90"/>
      <c r="CJ242" s="90"/>
      <c r="CK242" s="90"/>
      <c r="CL242" s="90"/>
      <c r="CM242" s="90"/>
      <c r="CN242" s="90"/>
      <c r="CO242" s="90"/>
      <c r="CP242" s="90"/>
      <c r="CQ242" s="90"/>
      <c r="CR242" s="90"/>
      <c r="CS242" s="90"/>
      <c r="CT242" s="90"/>
      <c r="CU242" s="90"/>
      <c r="CV242" s="90"/>
      <c r="CW242" s="90"/>
      <c r="CX242" s="90"/>
      <c r="CY242" s="90"/>
      <c r="CZ242" s="90"/>
      <c r="DA242" s="117"/>
      <c r="DB242" s="117"/>
      <c r="DC242" s="117"/>
      <c r="DD242" s="117"/>
      <c r="DE242" s="117"/>
      <c r="DF242" s="117"/>
      <c r="DG242" s="117"/>
      <c r="DH242" s="117"/>
      <c r="DI242" s="117"/>
      <c r="DJ242" s="117"/>
      <c r="DK242" s="117"/>
      <c r="DL242" s="117"/>
      <c r="DM242" s="117"/>
      <c r="DN242" s="117"/>
      <c r="DO242" s="117"/>
      <c r="DP242" s="117"/>
      <c r="DQ242" s="117"/>
      <c r="DR242" s="117"/>
      <c r="DS242" s="117"/>
      <c r="DT242" s="117"/>
      <c r="DU242" s="117"/>
      <c r="DV242" s="117"/>
      <c r="DW242" s="117"/>
      <c r="DX242" s="117"/>
      <c r="DY242" s="117"/>
      <c r="DZ242" s="117"/>
      <c r="EA242" s="117"/>
      <c r="EB242" s="117"/>
      <c r="EC242" s="117"/>
      <c r="ED242" s="117"/>
      <c r="EE242" s="117"/>
      <c r="EF242" s="117"/>
      <c r="EG242" s="117"/>
      <c r="EH242" s="117"/>
      <c r="EI242" s="117"/>
      <c r="EJ242" s="89"/>
      <c r="EK242" s="89"/>
      <c r="EL242" s="89"/>
      <c r="EM242" s="89"/>
      <c r="EN242" s="89"/>
      <c r="EO242" s="89"/>
      <c r="EP242" s="89"/>
      <c r="EQ242" s="89"/>
      <c r="ER242" s="89"/>
      <c r="ES242" s="89"/>
      <c r="ET242" s="89"/>
      <c r="EU242" s="89"/>
      <c r="EV242" s="89"/>
      <c r="EW242" s="89"/>
      <c r="EX242" s="89"/>
      <c r="EY242" s="89"/>
      <c r="EZ242" s="89"/>
      <c r="FA242" s="89"/>
      <c r="FB242" s="89"/>
      <c r="FC242" s="89"/>
      <c r="FD242" s="89"/>
      <c r="FE242" s="89"/>
      <c r="FF242" s="89"/>
      <c r="FG242" s="89"/>
      <c r="FH242" s="89"/>
      <c r="FI242" s="89"/>
      <c r="FJ242" s="89"/>
      <c r="FK242" s="89"/>
      <c r="FL242" s="89"/>
      <c r="FM242" s="89"/>
      <c r="FN242" s="89"/>
      <c r="FO242" s="89"/>
      <c r="FP242" s="89"/>
      <c r="FQ242" s="89"/>
      <c r="FR242" s="89"/>
      <c r="FS242" s="89"/>
    </row>
    <row r="243" spans="1:175" s="23" customFormat="1" ht="15.9" customHeight="1">
      <c r="A243" s="144"/>
      <c r="B243" s="145"/>
      <c r="C243" s="533" t="str">
        <f>Begriffe!F221</f>
        <v>Zielwert</v>
      </c>
      <c r="D243" s="142" t="s">
        <v>66</v>
      </c>
      <c r="E243" s="142">
        <f>N75</f>
        <v>8.9700000000000006</v>
      </c>
      <c r="F243" s="142">
        <f>N120</f>
        <v>14.216734130774247</v>
      </c>
      <c r="G243" s="142">
        <f>N137</f>
        <v>2.4567428571428578</v>
      </c>
      <c r="H243" s="142">
        <f>$N150</f>
        <v>10.801388888888889</v>
      </c>
      <c r="I243" s="142">
        <f>N174</f>
        <v>0.38811752986723469</v>
      </c>
      <c r="J243" s="134">
        <f>$N182</f>
        <v>3.2438571428571428</v>
      </c>
      <c r="P243" s="493"/>
      <c r="Q243" s="493"/>
      <c r="R243" s="125"/>
      <c r="S243" s="125"/>
      <c r="T243" s="131"/>
      <c r="U243" s="131"/>
      <c r="V243" s="131"/>
      <c r="W243" s="131"/>
      <c r="X243" s="131"/>
      <c r="Y243" s="132"/>
      <c r="Z243" s="126"/>
      <c r="AA243" s="126"/>
      <c r="AB243" s="126"/>
      <c r="AC243" s="126"/>
      <c r="AD243" s="126"/>
      <c r="AE243" s="126"/>
      <c r="AF243" s="127"/>
      <c r="AG243" s="127"/>
      <c r="AH243" s="127"/>
      <c r="AI243" s="127"/>
      <c r="AJ243" s="127"/>
      <c r="AK243" s="127"/>
      <c r="AL243" s="127"/>
      <c r="AM243" s="127"/>
      <c r="AN243" s="127"/>
      <c r="AO243" s="127"/>
      <c r="AP243" s="127"/>
      <c r="AQ243" s="127"/>
      <c r="AR243" s="127"/>
      <c r="AS243" s="128"/>
      <c r="AT243" s="128"/>
      <c r="AU243" s="128"/>
      <c r="AV243" s="128"/>
      <c r="AW243" s="90"/>
      <c r="AX243" s="90"/>
      <c r="AY243" s="90"/>
      <c r="AZ243" s="90"/>
      <c r="BA243" s="90"/>
      <c r="BB243" s="90"/>
      <c r="BC243" s="90"/>
      <c r="BD243" s="90"/>
      <c r="BE243" s="90"/>
      <c r="BF243" s="90"/>
      <c r="BG243" s="90"/>
      <c r="BH243" s="90"/>
      <c r="BI243" s="90"/>
      <c r="BJ243" s="90"/>
      <c r="BK243" s="90"/>
      <c r="BL243" s="90"/>
      <c r="BM243" s="90"/>
      <c r="BN243" s="90"/>
      <c r="BO243" s="90"/>
      <c r="BP243" s="90"/>
      <c r="BQ243" s="90"/>
      <c r="BR243" s="90"/>
      <c r="BS243" s="90"/>
      <c r="BT243" s="90"/>
      <c r="BU243" s="90"/>
      <c r="BV243" s="90"/>
      <c r="BW243" s="90"/>
      <c r="BX243" s="90"/>
      <c r="BY243" s="90"/>
      <c r="BZ243" s="90"/>
      <c r="CA243" s="90"/>
      <c r="CB243" s="90"/>
      <c r="CC243" s="90"/>
      <c r="CD243" s="90"/>
      <c r="CE243" s="90"/>
      <c r="CF243" s="90"/>
      <c r="CG243" s="90"/>
      <c r="CH243" s="90"/>
      <c r="CI243" s="90"/>
      <c r="CJ243" s="90"/>
      <c r="CK243" s="90"/>
      <c r="CL243" s="90"/>
      <c r="CM243" s="90"/>
      <c r="CN243" s="90"/>
      <c r="CO243" s="90"/>
      <c r="CP243" s="90"/>
      <c r="CQ243" s="90"/>
      <c r="CR243" s="90"/>
      <c r="CS243" s="90"/>
      <c r="CT243" s="90"/>
      <c r="CU243" s="90"/>
      <c r="CV243" s="90"/>
      <c r="CW243" s="90"/>
      <c r="CX243" s="90"/>
      <c r="CY243" s="90"/>
      <c r="CZ243" s="90"/>
      <c r="DA243" s="117"/>
      <c r="DB243" s="117"/>
      <c r="DC243" s="117"/>
      <c r="DD243" s="117"/>
      <c r="DE243" s="117"/>
      <c r="DF243" s="117"/>
      <c r="DG243" s="117"/>
      <c r="DH243" s="117"/>
      <c r="DI243" s="117"/>
      <c r="DJ243" s="117"/>
      <c r="DK243" s="117"/>
      <c r="DL243" s="117"/>
      <c r="DM243" s="117"/>
      <c r="DN243" s="117"/>
      <c r="DO243" s="117"/>
      <c r="DP243" s="117"/>
      <c r="DQ243" s="117"/>
      <c r="DR243" s="117"/>
      <c r="DS243" s="117"/>
      <c r="DT243" s="117"/>
      <c r="DU243" s="117"/>
      <c r="DV243" s="117"/>
      <c r="DW243" s="117"/>
      <c r="DX243" s="117"/>
      <c r="DY243" s="117"/>
      <c r="DZ243" s="117"/>
      <c r="EA243" s="117"/>
      <c r="EB243" s="117"/>
      <c r="EC243" s="117"/>
      <c r="ED243" s="117"/>
      <c r="EE243" s="117"/>
      <c r="EF243" s="117"/>
      <c r="EG243" s="117"/>
      <c r="EH243" s="117"/>
      <c r="EI243" s="117"/>
      <c r="EJ243" s="89"/>
      <c r="EK243" s="89"/>
      <c r="EL243" s="89"/>
      <c r="EM243" s="89"/>
      <c r="EN243" s="89"/>
      <c r="EO243" s="89"/>
      <c r="EP243" s="89"/>
      <c r="EQ243" s="89"/>
      <c r="ER243" s="89"/>
      <c r="ES243" s="89"/>
      <c r="ET243" s="89"/>
      <c r="EU243" s="89"/>
      <c r="EV243" s="89"/>
      <c r="EW243" s="89"/>
      <c r="EX243" s="89"/>
      <c r="EY243" s="89"/>
      <c r="EZ243" s="89"/>
      <c r="FA243" s="89"/>
      <c r="FB243" s="89"/>
      <c r="FC243" s="89"/>
      <c r="FD243" s="89"/>
      <c r="FE243" s="89"/>
      <c r="FF243" s="89"/>
      <c r="FG243" s="89"/>
      <c r="FH243" s="89"/>
      <c r="FI243" s="89"/>
      <c r="FJ243" s="89"/>
      <c r="FK243" s="89"/>
      <c r="FL243" s="89"/>
      <c r="FM243" s="89"/>
      <c r="FN243" s="89"/>
      <c r="FO243" s="89"/>
      <c r="FP243" s="89"/>
      <c r="FQ243" s="89"/>
      <c r="FR243" s="89"/>
      <c r="FS243" s="89"/>
    </row>
    <row r="244" spans="1:175" s="23" customFormat="1" ht="15.9" customHeight="1">
      <c r="A244" s="144"/>
      <c r="B244" s="145"/>
      <c r="C244" s="533" t="str">
        <f>Begriffe!F220</f>
        <v>Standard</v>
      </c>
      <c r="D244" s="142" t="s">
        <v>66</v>
      </c>
      <c r="E244" s="142">
        <f>M75</f>
        <v>20.93</v>
      </c>
      <c r="F244" s="142">
        <f>M120</f>
        <v>32.310085558724403</v>
      </c>
      <c r="G244" s="142">
        <f>$M137</f>
        <v>7.9482857142857153</v>
      </c>
      <c r="H244" s="142">
        <f>$M150</f>
        <v>13.349444444444444</v>
      </c>
      <c r="I244" s="142">
        <f>$M174</f>
        <v>2.2677545523408651</v>
      </c>
      <c r="J244" s="134">
        <f>$M182</f>
        <v>3.2438571428571428</v>
      </c>
      <c r="P244" s="493"/>
      <c r="Q244" s="493"/>
      <c r="R244" s="125"/>
      <c r="S244" s="125"/>
      <c r="T244" s="131"/>
      <c r="U244" s="132"/>
      <c r="V244" s="126"/>
      <c r="W244" s="126"/>
      <c r="X244" s="126"/>
      <c r="Y244" s="126"/>
      <c r="Z244" s="126"/>
      <c r="AA244" s="126"/>
      <c r="AB244" s="127"/>
      <c r="AC244" s="127"/>
      <c r="AD244" s="127"/>
      <c r="AE244" s="127"/>
      <c r="AF244" s="127"/>
      <c r="AG244" s="127"/>
      <c r="AH244" s="127"/>
      <c r="AI244" s="127"/>
      <c r="AJ244" s="127"/>
      <c r="AK244" s="127"/>
      <c r="AL244" s="127"/>
      <c r="AM244" s="127"/>
      <c r="AN244" s="127"/>
      <c r="AO244" s="128"/>
      <c r="AP244" s="128"/>
      <c r="AQ244" s="128"/>
      <c r="AR244" s="128"/>
      <c r="AS244" s="90"/>
      <c r="AT244" s="90"/>
      <c r="AU244" s="90"/>
      <c r="AV244" s="90"/>
      <c r="AW244" s="90"/>
      <c r="AX244" s="90"/>
      <c r="AY244" s="90"/>
      <c r="AZ244" s="90"/>
      <c r="BA244" s="90"/>
      <c r="BB244" s="90"/>
      <c r="BC244" s="90"/>
      <c r="BD244" s="90"/>
      <c r="BE244" s="90"/>
      <c r="BF244" s="90"/>
      <c r="BG244" s="90"/>
      <c r="BH244" s="90"/>
      <c r="BI244" s="90"/>
      <c r="BJ244" s="90"/>
      <c r="BK244" s="90"/>
      <c r="BL244" s="90"/>
      <c r="BM244" s="90"/>
      <c r="BN244" s="90"/>
      <c r="BO244" s="90"/>
      <c r="BP244" s="90"/>
      <c r="BQ244" s="90"/>
      <c r="BR244" s="90"/>
      <c r="BS244" s="90"/>
      <c r="BT244" s="90"/>
      <c r="BU244" s="90"/>
      <c r="BV244" s="90"/>
      <c r="BW244" s="90"/>
      <c r="BX244" s="90"/>
      <c r="BY244" s="90"/>
      <c r="BZ244" s="90"/>
      <c r="CA244" s="90"/>
      <c r="CB244" s="90"/>
      <c r="CC244" s="90"/>
      <c r="CD244" s="90"/>
      <c r="CE244" s="90"/>
      <c r="CF244" s="90"/>
      <c r="CG244" s="90"/>
      <c r="CH244" s="90"/>
      <c r="CI244" s="90"/>
      <c r="CJ244" s="90"/>
      <c r="CK244" s="90"/>
      <c r="CL244" s="90"/>
      <c r="CM244" s="90"/>
      <c r="CN244" s="90"/>
      <c r="CO244" s="90"/>
      <c r="CP244" s="90"/>
      <c r="CQ244" s="90"/>
      <c r="CR244" s="90"/>
      <c r="CS244" s="90"/>
      <c r="CT244" s="90"/>
      <c r="CU244" s="90"/>
      <c r="CV244" s="90"/>
      <c r="CW244" s="117"/>
      <c r="CX244" s="117"/>
      <c r="CY244" s="117"/>
      <c r="CZ244" s="117"/>
      <c r="DA244" s="117"/>
      <c r="DB244" s="117"/>
      <c r="DC244" s="117"/>
      <c r="DD244" s="117"/>
      <c r="DE244" s="117"/>
      <c r="DF244" s="117"/>
      <c r="DG244" s="117"/>
      <c r="DH244" s="117"/>
      <c r="DI244" s="117"/>
      <c r="DJ244" s="117"/>
      <c r="DK244" s="117"/>
      <c r="DL244" s="117"/>
      <c r="DM244" s="117"/>
      <c r="DN244" s="117"/>
      <c r="DO244" s="117"/>
      <c r="DP244" s="117"/>
      <c r="DQ244" s="117"/>
      <c r="DR244" s="117"/>
      <c r="DS244" s="117"/>
      <c r="DT244" s="117"/>
      <c r="DU244" s="117"/>
      <c r="DV244" s="117"/>
      <c r="DW244" s="117"/>
      <c r="DX244" s="117"/>
      <c r="DY244" s="117"/>
      <c r="DZ244" s="117"/>
      <c r="EA244" s="117"/>
      <c r="EB244" s="117"/>
      <c r="EC244" s="117"/>
      <c r="ED244" s="117"/>
      <c r="EE244" s="117"/>
      <c r="EF244" s="89"/>
      <c r="EG244" s="89"/>
      <c r="EH244" s="89"/>
      <c r="EI244" s="89"/>
      <c r="EJ244" s="89"/>
      <c r="EK244" s="89"/>
      <c r="EL244" s="89"/>
      <c r="EM244" s="89"/>
      <c r="EN244" s="89"/>
      <c r="EO244" s="89"/>
      <c r="EP244" s="89"/>
      <c r="EQ244" s="89"/>
      <c r="ER244" s="89"/>
      <c r="ES244" s="89"/>
      <c r="ET244" s="89"/>
      <c r="EU244" s="89"/>
      <c r="EV244" s="89"/>
      <c r="EW244" s="89"/>
      <c r="EX244" s="89"/>
      <c r="EY244" s="89"/>
      <c r="EZ244" s="89"/>
      <c r="FA244" s="89"/>
      <c r="FB244" s="89"/>
      <c r="FC244" s="89"/>
      <c r="FD244" s="89"/>
      <c r="FE244" s="89"/>
      <c r="FF244" s="89"/>
      <c r="FG244" s="89"/>
      <c r="FH244" s="89"/>
      <c r="FI244" s="89"/>
      <c r="FJ244" s="89"/>
      <c r="FK244" s="89"/>
      <c r="FL244" s="89"/>
      <c r="FM244" s="89"/>
      <c r="FN244" s="89"/>
      <c r="FO244" s="89"/>
    </row>
    <row r="245" spans="1:175" s="23" customFormat="1" ht="15.75" customHeight="1">
      <c r="A245" s="7"/>
      <c r="B245" s="146"/>
      <c r="C245" s="147"/>
      <c r="D245" s="147"/>
      <c r="E245" s="147"/>
      <c r="F245" s="147"/>
      <c r="G245" s="147"/>
      <c r="H245" s="148"/>
      <c r="I245" s="148"/>
      <c r="J245" s="147"/>
      <c r="K245" s="147"/>
      <c r="L245" s="147"/>
      <c r="M245" s="147"/>
      <c r="N245" s="21"/>
      <c r="O245" s="21"/>
      <c r="P245" s="493"/>
      <c r="Q245" s="494"/>
      <c r="R245" s="131"/>
      <c r="S245" s="131"/>
      <c r="T245" s="131"/>
      <c r="U245" s="126"/>
      <c r="V245" s="126"/>
      <c r="W245" s="126"/>
      <c r="X245" s="126"/>
      <c r="Y245" s="126"/>
      <c r="Z245" s="126"/>
      <c r="AA245" s="126"/>
      <c r="AB245" s="127"/>
      <c r="AC245" s="127"/>
      <c r="AD245" s="127"/>
      <c r="AE245" s="127"/>
      <c r="AF245" s="127"/>
      <c r="AG245" s="127"/>
      <c r="AH245" s="127"/>
      <c r="AI245" s="127"/>
      <c r="AJ245" s="127"/>
      <c r="AK245" s="127"/>
      <c r="AL245" s="127"/>
      <c r="AM245" s="127"/>
      <c r="AN245" s="127"/>
      <c r="AO245" s="128"/>
      <c r="AP245" s="128"/>
      <c r="AQ245" s="128"/>
      <c r="AR245" s="128"/>
      <c r="AS245" s="90"/>
      <c r="AT245" s="90"/>
      <c r="AU245" s="90"/>
      <c r="AV245" s="90"/>
      <c r="AW245" s="90"/>
      <c r="AX245" s="90"/>
      <c r="AY245" s="90"/>
      <c r="AZ245" s="90"/>
      <c r="BA245" s="90"/>
      <c r="BB245" s="90"/>
      <c r="BC245" s="90"/>
      <c r="BD245" s="90"/>
      <c r="BE245" s="90"/>
      <c r="BF245" s="90"/>
      <c r="BG245" s="90"/>
      <c r="BH245" s="90"/>
      <c r="BI245" s="90"/>
      <c r="BJ245" s="90"/>
      <c r="BK245" s="90"/>
      <c r="BL245" s="90"/>
      <c r="BM245" s="90"/>
      <c r="BN245" s="90"/>
      <c r="BO245" s="90"/>
      <c r="BP245" s="90"/>
      <c r="BQ245" s="90"/>
      <c r="BR245" s="90"/>
      <c r="BS245" s="90"/>
      <c r="BT245" s="90"/>
      <c r="BU245" s="90"/>
      <c r="BV245" s="90"/>
      <c r="BW245" s="90"/>
      <c r="BX245" s="90"/>
      <c r="BY245" s="90"/>
      <c r="BZ245" s="90"/>
      <c r="CA245" s="90"/>
      <c r="CB245" s="90"/>
      <c r="CC245" s="90"/>
      <c r="CD245" s="90"/>
      <c r="CE245" s="90"/>
      <c r="CF245" s="90"/>
      <c r="CG245" s="90"/>
      <c r="CH245" s="90"/>
      <c r="CI245" s="90"/>
      <c r="CJ245" s="90"/>
      <c r="CK245" s="90"/>
      <c r="CL245" s="90"/>
      <c r="CM245" s="90"/>
      <c r="CN245" s="90"/>
      <c r="CO245" s="90"/>
      <c r="CP245" s="90"/>
      <c r="CQ245" s="90"/>
      <c r="CR245" s="90"/>
      <c r="CS245" s="90"/>
      <c r="CT245" s="90"/>
      <c r="CU245" s="90"/>
      <c r="CV245" s="90"/>
      <c r="CW245" s="117"/>
      <c r="CX245" s="117"/>
      <c r="CY245" s="117"/>
      <c r="CZ245" s="117"/>
      <c r="DA245" s="117"/>
      <c r="DB245" s="117"/>
      <c r="DC245" s="117"/>
      <c r="DD245" s="117"/>
      <c r="DE245" s="117"/>
      <c r="DF245" s="117"/>
      <c r="DG245" s="117"/>
      <c r="DH245" s="117"/>
      <c r="DI245" s="117"/>
      <c r="DJ245" s="117"/>
      <c r="DK245" s="117"/>
      <c r="DL245" s="117"/>
      <c r="DM245" s="117"/>
      <c r="DN245" s="117"/>
      <c r="DO245" s="117"/>
      <c r="DP245" s="117"/>
      <c r="DQ245" s="117"/>
      <c r="DR245" s="117"/>
      <c r="DS245" s="117"/>
      <c r="DT245" s="117"/>
      <c r="DU245" s="117"/>
      <c r="DV245" s="117"/>
      <c r="DW245" s="117"/>
      <c r="DX245" s="117"/>
      <c r="DY245" s="117"/>
      <c r="DZ245" s="117"/>
      <c r="EA245" s="117"/>
      <c r="EB245" s="117"/>
      <c r="EC245" s="117"/>
      <c r="ED245" s="117"/>
      <c r="EE245" s="117"/>
      <c r="EF245" s="89"/>
      <c r="EG245" s="89"/>
      <c r="EH245" s="89"/>
      <c r="EI245" s="89"/>
      <c r="EJ245" s="89"/>
      <c r="EK245" s="89"/>
      <c r="EL245" s="89"/>
      <c r="EM245" s="89"/>
      <c r="EN245" s="89"/>
      <c r="EO245" s="89"/>
      <c r="EP245" s="89"/>
      <c r="EQ245" s="89"/>
      <c r="ER245" s="89"/>
      <c r="ES245" s="89"/>
      <c r="ET245" s="89"/>
      <c r="EU245" s="89"/>
      <c r="EV245" s="89"/>
      <c r="EW245" s="89"/>
      <c r="EX245" s="89"/>
      <c r="EY245" s="89"/>
      <c r="EZ245" s="89"/>
      <c r="FA245" s="89"/>
      <c r="FB245" s="89"/>
      <c r="FC245" s="89"/>
      <c r="FD245" s="89"/>
      <c r="FE245" s="89"/>
      <c r="FF245" s="89"/>
      <c r="FG245" s="89"/>
      <c r="FH245" s="89"/>
      <c r="FI245" s="89"/>
      <c r="FJ245" s="89"/>
      <c r="FK245" s="89"/>
      <c r="FL245" s="89"/>
      <c r="FM245" s="89"/>
      <c r="FN245" s="89"/>
      <c r="FO245" s="89"/>
    </row>
  </sheetData>
  <autoFilter ref="A4:Q196" xr:uid="{00000000-0009-0000-0000-000004000000}">
    <filterColumn colId="16">
      <customFilters>
        <customFilter operator="notEqual" val=" "/>
      </customFilters>
    </filterColumn>
  </autoFilter>
  <mergeCells count="25">
    <mergeCell ref="A198:A209"/>
    <mergeCell ref="A162:A174"/>
    <mergeCell ref="A176:A182"/>
    <mergeCell ref="C182:E182"/>
    <mergeCell ref="A184:A196"/>
    <mergeCell ref="C187:C194"/>
    <mergeCell ref="I187:I194"/>
    <mergeCell ref="A125:A137"/>
    <mergeCell ref="X135:X137"/>
    <mergeCell ref="A139:A150"/>
    <mergeCell ref="C149:E149"/>
    <mergeCell ref="C150:E150"/>
    <mergeCell ref="A152:A160"/>
    <mergeCell ref="I42:I46"/>
    <mergeCell ref="C56:E56"/>
    <mergeCell ref="A63:A75"/>
    <mergeCell ref="C63:C67"/>
    <mergeCell ref="A77:A120"/>
    <mergeCell ref="C120:E120"/>
    <mergeCell ref="A5:A39"/>
    <mergeCell ref="G26:H26"/>
    <mergeCell ref="G36:H36"/>
    <mergeCell ref="C37:F37"/>
    <mergeCell ref="A41:A61"/>
    <mergeCell ref="C42:C46"/>
  </mergeCells>
  <printOptions horizontalCentered="1"/>
  <pageMargins left="0.39370078740157483" right="0.39370078740157483" top="0.59055118110236227" bottom="0.39370078740157483" header="0" footer="0.39370078740157483"/>
  <pageSetup paperSize="9" scale="55" firstPageNumber="118" fitToHeight="2" orientation="portrait" useFirstPageNumber="1" horizontalDpi="4294967293" verticalDpi="2400" r:id="rId1"/>
  <headerFooter differentOddEven="1" alignWithMargins="0">
    <oddFooter>&amp;C&amp;"Arial,Kursiv"&amp;8 SIA 2024, Copyright © 2015 by SIA Zurich&amp;R&amp;12 &amp;P</oddFooter>
    <evenFooter>&amp;L&amp;9 &amp;P&amp;C &amp;"Arial,Kursiv"&amp;8SIA 2024, Copyright © 2015 by SIA Zurich</evenFooter>
  </headerFooter>
  <rowBreaks count="1" manualBreakCount="1">
    <brk id="121" max="13" man="1"/>
  </rowBreaks>
  <drawing r:id="rId2"/>
  <legacyDrawing r:id="rId3"/>
  <mc:AlternateContent xmlns:mc="http://schemas.openxmlformats.org/markup-compatibility/2006">
    <mc:Choice Requires="x14">
      <controls>
        <mc:AlternateContent xmlns:mc="http://schemas.openxmlformats.org/markup-compatibility/2006">
          <mc:Choice Requires="x14">
            <control shapeId="126977" r:id="rId4" name="Drop Down 1">
              <controlPr defaultSize="0" print="0" autoLine="0" autoPict="0">
                <anchor moveWithCells="1">
                  <from>
                    <xdr:col>1</xdr:col>
                    <xdr:colOff>0</xdr:colOff>
                    <xdr:row>0</xdr:row>
                    <xdr:rowOff>45720</xdr:rowOff>
                  </from>
                  <to>
                    <xdr:col>4</xdr:col>
                    <xdr:colOff>678180</xdr:colOff>
                    <xdr:row>0</xdr:row>
                    <xdr:rowOff>266700</xdr:rowOff>
                  </to>
                </anchor>
              </controlPr>
            </control>
          </mc:Choice>
        </mc:AlternateContent>
        <mc:AlternateContent xmlns:mc="http://schemas.openxmlformats.org/markup-compatibility/2006">
          <mc:Choice Requires="x14">
            <control shapeId="126978" r:id="rId5" name="Button 2">
              <controlPr defaultSize="0" print="0" autoFill="0" autoPict="0" macro="[0]!AllesDrucken_auf_D">
                <anchor moveWithCells="1" sizeWithCells="1">
                  <from>
                    <xdr:col>13</xdr:col>
                    <xdr:colOff>0</xdr:colOff>
                    <xdr:row>0</xdr:row>
                    <xdr:rowOff>30480</xdr:rowOff>
                  </from>
                  <to>
                    <xdr:col>22</xdr:col>
                    <xdr:colOff>251460</xdr:colOff>
                    <xdr:row>1</xdr:row>
                    <xdr:rowOff>0</xdr:rowOff>
                  </to>
                </anchor>
              </controlPr>
            </control>
          </mc:Choice>
        </mc:AlternateContent>
        <mc:AlternateContent xmlns:mc="http://schemas.openxmlformats.org/markup-compatibility/2006">
          <mc:Choice Requires="x14">
            <control shapeId="126979" r:id="rId6" name="Spinner 3">
              <controlPr defaultSize="0" autoPict="0">
                <anchor moveWithCells="1" sizeWithCells="1">
                  <from>
                    <xdr:col>4</xdr:col>
                    <xdr:colOff>716280</xdr:colOff>
                    <xdr:row>0</xdr:row>
                    <xdr:rowOff>45720</xdr:rowOff>
                  </from>
                  <to>
                    <xdr:col>5</xdr:col>
                    <xdr:colOff>76200</xdr:colOff>
                    <xdr:row>0</xdr:row>
                    <xdr:rowOff>259080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0000000}">
          <x14:formula1>
            <xm:f>Begriffe!$F$242:$F$245</xm:f>
          </x14:formula1>
          <xm:sqref>L176</xm:sqref>
        </x14:dataValidation>
        <x14:dataValidation type="list" allowBlank="1" showInputMessage="1" showErrorMessage="1" xr:uid="{00000000-0002-0000-0400-000001000000}">
          <x14:formula1>
            <xm:f>Begriffe!$F$230:$F$232</xm:f>
          </x14:formula1>
          <xm:sqref>L130</xm:sqref>
        </x14:dataValidation>
        <x14:dataValidation type="list" allowBlank="1" showInputMessage="1" showErrorMessage="1" xr:uid="{00000000-0002-0000-0400-000002000000}">
          <x14:formula1>
            <xm:f>Begriffe!$F$227:$F$229</xm:f>
          </x14:formula1>
          <xm:sqref>L36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5">
    <tabColor theme="6" tint="0.59999389629810485"/>
    <pageSetUpPr fitToPage="1"/>
  </sheetPr>
  <dimension ref="A1:EM54"/>
  <sheetViews>
    <sheetView showGridLines="0" showRowColHeaders="0" zoomScale="90" zoomScaleNormal="90" workbookViewId="0">
      <pane xSplit="2" ySplit="5" topLeftCell="C6" activePane="bottomRight" state="frozen"/>
      <selection activeCell="D33" sqref="D33"/>
      <selection pane="topRight" activeCell="D33" sqref="D33"/>
      <selection pane="bottomLeft" activeCell="D33" sqref="D33"/>
      <selection pane="bottomRight" activeCell="D33" sqref="D33"/>
    </sheetView>
  </sheetViews>
  <sheetFormatPr baseColWidth="10" defaultColWidth="11.44140625" defaultRowHeight="13.2"/>
  <cols>
    <col min="1" max="1" width="6.5546875" style="1031" customWidth="1"/>
    <col min="2" max="2" width="31" style="1031" customWidth="1"/>
    <col min="3" max="3" width="6.44140625" style="1031" customWidth="1"/>
    <col min="4" max="4" width="7.109375" style="1031" customWidth="1"/>
    <col min="5" max="6" width="6.5546875" style="1031" customWidth="1"/>
    <col min="7" max="7" width="5.44140625" style="1031" customWidth="1"/>
    <col min="8" max="8" width="4.44140625" style="1031" customWidth="1"/>
    <col min="9" max="9" width="5.33203125" style="1031" customWidth="1"/>
    <col min="10" max="10" width="7.33203125" style="1031" hidden="1" customWidth="1"/>
    <col min="11" max="11" width="5.88671875" style="1031" customWidth="1"/>
    <col min="12" max="12" width="7.44140625" style="1031" customWidth="1"/>
    <col min="13" max="13" width="7" style="1031" hidden="1" customWidth="1"/>
    <col min="14" max="14" width="7.109375" style="1031" customWidth="1"/>
    <col min="15" max="15" width="7.88671875" style="1031" customWidth="1"/>
    <col min="16" max="16" width="5.109375" style="1031" customWidth="1"/>
    <col min="17" max="17" width="5.44140625" style="1031" customWidth="1"/>
    <col min="18" max="18" width="6.109375" style="1031" customWidth="1"/>
    <col min="19" max="19" width="5.109375" style="1031" customWidth="1"/>
    <col min="20" max="20" width="7" style="1031" customWidth="1"/>
    <col min="21" max="21" width="8.5546875" style="1031" hidden="1" customWidth="1"/>
    <col min="22" max="22" width="7.88671875" style="1031" customWidth="1"/>
    <col min="23" max="23" width="6.88671875" style="1031" customWidth="1"/>
    <col min="24" max="24" width="7" style="1031" customWidth="1"/>
    <col min="25" max="25" width="8.33203125" style="1031" customWidth="1"/>
    <col min="26" max="26" width="7.88671875" style="1031" hidden="1" customWidth="1"/>
    <col min="27" max="27" width="7.44140625" style="1031" customWidth="1"/>
    <col min="28" max="28" width="6.44140625" style="1031" customWidth="1"/>
    <col min="29" max="29" width="8.33203125" style="1031" customWidth="1"/>
    <col min="30" max="30" width="6.5546875" style="1031" customWidth="1"/>
    <col min="31" max="31" width="6.109375" style="1031" customWidth="1"/>
    <col min="32" max="32" width="7.5546875" style="1031" customWidth="1"/>
    <col min="33" max="33" width="13.44140625" style="1031" bestFit="1" customWidth="1"/>
    <col min="34" max="35" width="13.44140625" style="1031" customWidth="1"/>
    <col min="36" max="36" width="6.109375" style="1031" customWidth="1"/>
    <col min="37" max="37" width="8.33203125" style="1031" customWidth="1"/>
    <col min="38" max="38" width="7.88671875" style="1031" customWidth="1"/>
    <col min="39" max="39" width="6" style="1031" customWidth="1"/>
    <col min="40" max="40" width="4.44140625" style="1031" customWidth="1"/>
    <col min="41" max="41" width="3.5546875" style="1031" customWidth="1"/>
    <col min="42" max="42" width="5.88671875" style="1031" customWidth="1"/>
    <col min="43" max="43" width="5" style="1031" customWidth="1"/>
    <col min="44" max="44" width="7.88671875" style="1031" customWidth="1"/>
    <col min="45" max="45" width="6.88671875" style="1031" customWidth="1"/>
    <col min="46" max="46" width="6.44140625" style="1031" customWidth="1"/>
    <col min="47" max="47" width="7.88671875" style="1031" customWidth="1"/>
    <col min="48" max="48" width="11.44140625" style="1031" customWidth="1"/>
    <col min="49" max="49" width="0" style="1031" hidden="1" customWidth="1"/>
    <col min="50" max="52" width="11.44140625" style="1031"/>
    <col min="53" max="53" width="7" style="1031" hidden="1" customWidth="1"/>
    <col min="54" max="54" width="6.44140625" style="1031" hidden="1" customWidth="1"/>
    <col min="55" max="99" width="7" style="1031" hidden="1" customWidth="1"/>
    <col min="100" max="101" width="8.5546875" style="1031" hidden="1" customWidth="1"/>
    <col min="102" max="105" width="7" style="1031" hidden="1" customWidth="1"/>
    <col min="106" max="106" width="8.5546875" style="1031" hidden="1" customWidth="1"/>
    <col min="107" max="131" width="7" style="1031" hidden="1" customWidth="1"/>
    <col min="132" max="132" width="9.88671875" style="1031" hidden="1" customWidth="1"/>
    <col min="133" max="142" width="7" style="1031" hidden="1" customWidth="1"/>
    <col min="143" max="143" width="9.33203125" style="1031" hidden="1" customWidth="1"/>
    <col min="144" max="16384" width="11.44140625" style="1031"/>
  </cols>
  <sheetData>
    <row r="1" spans="1:143" ht="15.6">
      <c r="A1" s="356" t="str">
        <f>Begriffe!F359</f>
        <v>SIA 2024 - Resultate Standard</v>
      </c>
      <c r="B1" s="873"/>
      <c r="C1" s="873"/>
      <c r="D1" s="873"/>
      <c r="E1" s="873"/>
      <c r="BA1" s="1031" t="s">
        <v>1486</v>
      </c>
    </row>
    <row r="2" spans="1:143" s="1753" customFormat="1">
      <c r="A2" s="1752"/>
      <c r="B2" s="1752"/>
      <c r="C2" s="1752"/>
      <c r="D2" s="1752"/>
      <c r="E2" s="1752"/>
      <c r="J2" s="1753" t="s">
        <v>26</v>
      </c>
      <c r="M2" s="1753" t="s">
        <v>26</v>
      </c>
      <c r="U2" s="1753" t="s">
        <v>26</v>
      </c>
      <c r="Z2" s="1753" t="s">
        <v>26</v>
      </c>
      <c r="AW2" s="1753" t="s">
        <v>26</v>
      </c>
    </row>
    <row r="3" spans="1:143">
      <c r="A3" s="286" t="str">
        <f>Begriffe!F195</f>
        <v>Raumnutzung</v>
      </c>
      <c r="B3" s="1754"/>
      <c r="C3" s="286" t="str">
        <f>Begriffe!F196</f>
        <v>Raum</v>
      </c>
      <c r="D3" s="287"/>
      <c r="E3" s="287"/>
      <c r="F3" s="515" t="str">
        <f>Begriffe!F201</f>
        <v>Personen</v>
      </c>
      <c r="G3" s="517"/>
      <c r="H3" s="517"/>
      <c r="I3" s="517"/>
      <c r="J3" s="517"/>
      <c r="K3" s="517"/>
      <c r="L3" s="1755"/>
      <c r="M3" s="515" t="str">
        <f>Begriffe!F202</f>
        <v>Geräte</v>
      </c>
      <c r="N3" s="517" t="str">
        <f>Begriffe!F202</f>
        <v>Geräte</v>
      </c>
      <c r="O3" s="874"/>
      <c r="P3" s="515" t="str">
        <f>Begriffe!F203</f>
        <v>Beleuchtung</v>
      </c>
      <c r="Q3" s="874"/>
      <c r="R3" s="874"/>
      <c r="S3" s="874"/>
      <c r="T3" s="517"/>
      <c r="U3" s="517"/>
      <c r="V3" s="517"/>
      <c r="W3" s="517"/>
      <c r="X3" s="517"/>
      <c r="Y3" s="518"/>
      <c r="Z3" s="515" t="str">
        <f>Begriffe!F205</f>
        <v>Lüftung</v>
      </c>
      <c r="AA3" s="515" t="str">
        <f>Begriffe!F205</f>
        <v>Lüftung</v>
      </c>
      <c r="AB3" s="517"/>
      <c r="AC3" s="518"/>
      <c r="AD3" s="515" t="str">
        <f>Begriffe!F206</f>
        <v>Raumkühlung</v>
      </c>
      <c r="AE3" s="517"/>
      <c r="AF3" s="517"/>
      <c r="AG3" s="517"/>
      <c r="AH3" s="517"/>
      <c r="AI3" s="517"/>
      <c r="AJ3" s="517"/>
      <c r="AK3" s="517"/>
      <c r="AL3" s="518"/>
      <c r="AM3" s="517" t="str">
        <f>Begriffe!F208</f>
        <v>Raumheizung</v>
      </c>
      <c r="AN3" s="517"/>
      <c r="AO3" s="517"/>
      <c r="AP3" s="517"/>
      <c r="AQ3" s="517"/>
      <c r="AR3" s="518"/>
      <c r="AS3" s="517" t="str">
        <f>Begriffe!F209</f>
        <v>Wasser</v>
      </c>
      <c r="AT3" s="517"/>
      <c r="AU3" s="518"/>
      <c r="AW3" s="1756" t="s">
        <v>64</v>
      </c>
      <c r="BA3" s="286" t="s">
        <v>0</v>
      </c>
      <c r="BB3" s="287"/>
      <c r="BC3" s="287"/>
      <c r="BD3" s="515" t="s">
        <v>12</v>
      </c>
      <c r="BE3" s="517"/>
      <c r="BF3" s="517"/>
      <c r="BG3" s="517"/>
      <c r="BH3" s="517"/>
      <c r="BI3" s="517"/>
      <c r="BJ3" s="1755"/>
      <c r="BK3" s="515" t="s">
        <v>64</v>
      </c>
      <c r="BL3" s="517" t="s">
        <v>64</v>
      </c>
      <c r="BM3" s="874"/>
      <c r="BN3" s="515" t="s">
        <v>19</v>
      </c>
      <c r="BO3" s="874"/>
      <c r="BP3" s="874"/>
      <c r="BQ3" s="874"/>
      <c r="BR3" s="517"/>
      <c r="BS3" s="517"/>
      <c r="BT3" s="517"/>
      <c r="BU3" s="517"/>
      <c r="BV3" s="517"/>
      <c r="BW3" s="518"/>
      <c r="BX3" s="515" t="s">
        <v>23</v>
      </c>
      <c r="BY3" s="515" t="s">
        <v>23</v>
      </c>
      <c r="BZ3" s="517"/>
      <c r="CA3" s="518"/>
      <c r="CB3" s="515" t="s">
        <v>369</v>
      </c>
      <c r="CC3" s="517"/>
      <c r="CD3" s="517"/>
      <c r="CE3" s="517"/>
      <c r="CF3" s="517"/>
      <c r="CG3" s="517"/>
      <c r="CH3" s="517"/>
      <c r="CI3" s="517"/>
      <c r="CJ3" s="518"/>
      <c r="CK3" s="517" t="s">
        <v>370</v>
      </c>
      <c r="CL3" s="517"/>
      <c r="CM3" s="517"/>
      <c r="CN3" s="517"/>
      <c r="CO3" s="517"/>
      <c r="CP3" s="518"/>
      <c r="CQ3" s="517" t="s">
        <v>772</v>
      </c>
      <c r="CR3" s="517"/>
      <c r="CS3" s="518"/>
      <c r="CU3" s="286" t="s">
        <v>0</v>
      </c>
      <c r="CV3" s="287"/>
      <c r="CW3" s="287"/>
      <c r="CX3" s="515" t="s">
        <v>12</v>
      </c>
      <c r="CY3" s="517"/>
      <c r="CZ3" s="517"/>
      <c r="DA3" s="517"/>
      <c r="DB3" s="517"/>
      <c r="DC3" s="517"/>
      <c r="DD3" s="1755"/>
      <c r="DE3" s="515" t="s">
        <v>64</v>
      </c>
      <c r="DF3" s="517" t="s">
        <v>64</v>
      </c>
      <c r="DG3" s="874"/>
      <c r="DH3" s="515" t="s">
        <v>19</v>
      </c>
      <c r="DI3" s="874"/>
      <c r="DJ3" s="874"/>
      <c r="DK3" s="874"/>
      <c r="DL3" s="517"/>
      <c r="DM3" s="517"/>
      <c r="DN3" s="517"/>
      <c r="DO3" s="517"/>
      <c r="DP3" s="517"/>
      <c r="DQ3" s="518"/>
      <c r="DR3" s="515" t="s">
        <v>23</v>
      </c>
      <c r="DS3" s="515" t="s">
        <v>23</v>
      </c>
      <c r="DT3" s="517"/>
      <c r="DU3" s="518"/>
      <c r="DV3" s="515" t="s">
        <v>369</v>
      </c>
      <c r="DW3" s="517"/>
      <c r="DX3" s="517"/>
      <c r="DY3" s="517"/>
      <c r="DZ3" s="517"/>
      <c r="EA3" s="517"/>
      <c r="EB3" s="517"/>
      <c r="EC3" s="517"/>
      <c r="ED3" s="518"/>
      <c r="EE3" s="517" t="s">
        <v>370</v>
      </c>
      <c r="EF3" s="517"/>
      <c r="EG3" s="517"/>
      <c r="EH3" s="517"/>
      <c r="EI3" s="517"/>
      <c r="EJ3" s="518"/>
      <c r="EK3" s="517" t="s">
        <v>772</v>
      </c>
      <c r="EL3" s="517"/>
      <c r="EM3" s="518"/>
    </row>
    <row r="4" spans="1:143" ht="162.75" customHeight="1">
      <c r="A4" s="875" t="s">
        <v>714</v>
      </c>
      <c r="B4" s="514" t="str">
        <f>Begriffe!F194</f>
        <v>Bezeichnung</v>
      </c>
      <c r="C4" s="513" t="str">
        <f>Begriffe!F154</f>
        <v>Nettogeschossfläche</v>
      </c>
      <c r="D4" s="512" t="str">
        <f>Begriffe!F54 &amp; " " &amp; Begriffe!F225</f>
        <v>Maximale Luftgeschwindigkeit Sommer</v>
      </c>
      <c r="E4" s="512" t="str">
        <f>Begriffe!F54 &amp; " " &amp; Begriffe!F226</f>
        <v>Maximale Luftgeschwindigkeit Winter</v>
      </c>
      <c r="F4" s="513" t="str">
        <f>Begriffe!F58</f>
        <v>Nutzungsstunden pro Tag</v>
      </c>
      <c r="G4" s="512" t="str">
        <f>Begriffe!F81</f>
        <v>Volllaststunden pro Tag</v>
      </c>
      <c r="H4" s="512" t="str">
        <f>Begriffe!F60</f>
        <v>Nutzungstage pro Jahr</v>
      </c>
      <c r="I4" s="512" t="str">
        <f>Begriffe!F30</f>
        <v>Jahresgleichzeitigkeit</v>
      </c>
      <c r="J4" s="512" t="str">
        <f>Begriffe!F62</f>
        <v>Personenfläche</v>
      </c>
      <c r="K4" s="512" t="str">
        <f>Begriffe!F89</f>
        <v>Wärmeeintragsleistung Personen</v>
      </c>
      <c r="L4" s="514" t="str">
        <f>Begriffe!F22</f>
        <v>Feuchteproduktion Personen</v>
      </c>
      <c r="M4" s="513" t="str">
        <f>Begriffe!F19</f>
        <v>Elektrische Leistung der Geräte</v>
      </c>
      <c r="N4" s="512" t="str">
        <f>Begriffe!F33</f>
        <v>Jährliche Volllaststunden der Geräte</v>
      </c>
      <c r="O4" s="512" t="str">
        <f>Begriffe!F40</f>
        <v>Jährlicher Elektrizitätsbedarf der Geräte</v>
      </c>
      <c r="P4" s="876" t="str">
        <f>Begriffe!F27</f>
        <v>Glasflächenzahl</v>
      </c>
      <c r="Q4" s="877" t="str">
        <f>Begriffe!F65</f>
        <v>Raumindex</v>
      </c>
      <c r="R4" s="1757" t="str">
        <f>Begriffe!F51</f>
        <v>Leuchten-Lichtausbeute</v>
      </c>
      <c r="S4" s="1757" t="str">
        <f>Begriffe!F67</f>
        <v>Raumwirkungsgrad</v>
      </c>
      <c r="T4" s="512" t="str">
        <f>Begriffe!F18</f>
        <v>Elektrische Leistung der Raumbeleuchtung</v>
      </c>
      <c r="U4" s="512" t="str">
        <f>Begriffe!F17</f>
        <v>Elektrische Leistung der Akzentbeleuchtung</v>
      </c>
      <c r="V4" s="512" t="str">
        <f>Begriffe!F302</f>
        <v>Elektrische Leistung Beleuchtung</v>
      </c>
      <c r="W4" s="512" t="str">
        <f>Begriffe!F37</f>
        <v xml:space="preserve">Jährliche Volllaststunden der Raumbeleuchtung </v>
      </c>
      <c r="X4" s="512" t="str">
        <f>Begriffe!F38</f>
        <v xml:space="preserve">Jährliche Volllaststunden der Akzentbeleuchtung </v>
      </c>
      <c r="Y4" s="514" t="str">
        <f>Begriffe!F39</f>
        <v>Jährlicher Elektrizitätsbedarf Beleuchtung</v>
      </c>
      <c r="Z4" s="876" t="str">
        <f>Begriffe!F10</f>
        <v>Aussenluft-Volumenstrom</v>
      </c>
      <c r="AA4" s="877" t="str">
        <f>Begriffe!F20</f>
        <v>Elektrische Leistung der Lüftung</v>
      </c>
      <c r="AB4" s="512" t="str">
        <f>Begriffe!F34</f>
        <v>Jährliche Volllaststunden der Lüftung</v>
      </c>
      <c r="AC4" s="514" t="str">
        <f>Begriffe!F41</f>
        <v>Jährlicher Elektrizitätsbedarf für die Lüftung</v>
      </c>
      <c r="AD4" s="513" t="str">
        <f>Begriffe!F21</f>
        <v>Externe Wärmeeintragsleistung</v>
      </c>
      <c r="AE4" s="512" t="str">
        <f>Begriffe!F29</f>
        <v>Interne Wärmeeintragsleistung</v>
      </c>
      <c r="AF4" s="512" t="str">
        <f>Begriffe!F28</f>
        <v>Interne Wärmeeinträge pro Tag</v>
      </c>
      <c r="AG4" s="512" t="str">
        <f>Begriffe!$F57 &amp; " " &amp; Begriffe!$F329</f>
        <v>Notwendigkeit einer Kühlung mit Fensterlüftung Tag und Nacht</v>
      </c>
      <c r="AH4" s="512" t="str">
        <f>Begriffe!$F57 &amp; " " &amp; Begriffe!$F330</f>
        <v>Notwendigkeit einer Kühlung mit Fensterlüftung bei Belegung</v>
      </c>
      <c r="AI4" s="512" t="str">
        <f>Begriffe!$F57 &amp; " " &amp; Begriffe!$F331</f>
        <v>Notwendigkeit einer Kühlung ohne Fensterlüftung</v>
      </c>
      <c r="AJ4" s="512" t="str">
        <f>Begriffe!F46</f>
        <v>Klimakälteleistungsbedarf</v>
      </c>
      <c r="AK4" s="512" t="str">
        <f>Begriffe!F35</f>
        <v>Jährliche Volllaststunden der Raumkühlung</v>
      </c>
      <c r="AL4" s="514" t="str">
        <f>Begriffe!F44</f>
        <v>Jährlicher Klimakältebedarf</v>
      </c>
      <c r="AM4" s="512" t="str">
        <f>Begriffe!F91</f>
        <v>Wärmetransferkoeffizient</v>
      </c>
      <c r="AN4" s="512" t="str">
        <f>Begriffe!F94</f>
        <v>Zeitkonstante</v>
      </c>
      <c r="AO4" s="512" t="str">
        <f>Begriffe!F75</f>
        <v>Temperaturkorrektur</v>
      </c>
      <c r="AP4" s="512" t="str">
        <f>Begriffe!F56</f>
        <v>Norm-Heizwärmeleistungsbedarf</v>
      </c>
      <c r="AQ4" s="512" t="str">
        <f>Begriffe!F36</f>
        <v>Jährliche Volllaststunden der Raumheizung</v>
      </c>
      <c r="AR4" s="514" t="str">
        <f>Begriffe!F43</f>
        <v xml:space="preserve">Jährlicher Heizwärmebedarf </v>
      </c>
      <c r="AS4" s="512" t="str">
        <f>Begriffe!F92</f>
        <v>Warmwasserbedarf pro Person</v>
      </c>
      <c r="AT4" s="512" t="str">
        <f>Begriffe!F93</f>
        <v>Wasserbedarf pro Person</v>
      </c>
      <c r="AU4" s="514" t="str">
        <f>Begriffe!F45</f>
        <v>Jährlicher Wärmebedarf für Warmwasser</v>
      </c>
      <c r="AW4" s="514" t="s">
        <v>1402</v>
      </c>
      <c r="BA4" s="513" t="s">
        <v>373</v>
      </c>
      <c r="BB4" s="512" t="s">
        <v>1376</v>
      </c>
      <c r="BC4" s="512" t="s">
        <v>1377</v>
      </c>
      <c r="BD4" s="513" t="s">
        <v>866</v>
      </c>
      <c r="BE4" s="512" t="s">
        <v>867</v>
      </c>
      <c r="BF4" s="512" t="s">
        <v>868</v>
      </c>
      <c r="BG4" s="512" t="s">
        <v>103</v>
      </c>
      <c r="BH4" s="512" t="s">
        <v>131</v>
      </c>
      <c r="BI4" s="512" t="s">
        <v>735</v>
      </c>
      <c r="BJ4" s="514" t="s">
        <v>754</v>
      </c>
      <c r="BK4" s="513" t="s">
        <v>967</v>
      </c>
      <c r="BL4" s="512" t="s">
        <v>1282</v>
      </c>
      <c r="BM4" s="512" t="s">
        <v>1014</v>
      </c>
      <c r="BN4" s="876" t="s">
        <v>737</v>
      </c>
      <c r="BO4" s="877" t="s">
        <v>738</v>
      </c>
      <c r="BP4" s="1757" t="s">
        <v>739</v>
      </c>
      <c r="BQ4" s="1757" t="s">
        <v>740</v>
      </c>
      <c r="BR4" s="512" t="s">
        <v>964</v>
      </c>
      <c r="BS4" s="512" t="s">
        <v>961</v>
      </c>
      <c r="BT4" s="512" t="s">
        <v>769</v>
      </c>
      <c r="BU4" s="512" t="s">
        <v>1005</v>
      </c>
      <c r="BV4" s="512" t="s">
        <v>1008</v>
      </c>
      <c r="BW4" s="514" t="s">
        <v>741</v>
      </c>
      <c r="BX4" s="876" t="s">
        <v>540</v>
      </c>
      <c r="BY4" s="877" t="s">
        <v>970</v>
      </c>
      <c r="BZ4" s="512" t="s">
        <v>1281</v>
      </c>
      <c r="CA4" s="512" t="s">
        <v>1016</v>
      </c>
      <c r="CB4" s="513" t="s">
        <v>841</v>
      </c>
      <c r="CC4" s="512" t="s">
        <v>842</v>
      </c>
      <c r="CD4" s="512" t="s">
        <v>742</v>
      </c>
      <c r="CE4" s="512" t="s">
        <v>1378</v>
      </c>
      <c r="CF4" s="512" t="s">
        <v>1379</v>
      </c>
      <c r="CG4" s="512" t="s">
        <v>1380</v>
      </c>
      <c r="CH4" s="512" t="s">
        <v>744</v>
      </c>
      <c r="CI4" s="512" t="s">
        <v>1283</v>
      </c>
      <c r="CJ4" s="514" t="s">
        <v>746</v>
      </c>
      <c r="CK4" s="512" t="s">
        <v>887</v>
      </c>
      <c r="CL4" s="512" t="s">
        <v>747</v>
      </c>
      <c r="CM4" s="512" t="s">
        <v>1102</v>
      </c>
      <c r="CN4" s="512" t="s">
        <v>748</v>
      </c>
      <c r="CO4" s="512" t="s">
        <v>1284</v>
      </c>
      <c r="CP4" s="514" t="s">
        <v>1023</v>
      </c>
      <c r="CQ4" s="512" t="s">
        <v>824</v>
      </c>
      <c r="CR4" s="512" t="s">
        <v>823</v>
      </c>
      <c r="CS4" s="514" t="s">
        <v>749</v>
      </c>
      <c r="CU4" s="513" t="s">
        <v>373</v>
      </c>
      <c r="CV4" s="512" t="s">
        <v>1376</v>
      </c>
      <c r="CW4" s="512" t="s">
        <v>1377</v>
      </c>
      <c r="CX4" s="513" t="s">
        <v>866</v>
      </c>
      <c r="CY4" s="512" t="s">
        <v>867</v>
      </c>
      <c r="CZ4" s="512" t="s">
        <v>868</v>
      </c>
      <c r="DA4" s="512" t="s">
        <v>103</v>
      </c>
      <c r="DB4" s="512" t="s">
        <v>131</v>
      </c>
      <c r="DC4" s="512" t="s">
        <v>735</v>
      </c>
      <c r="DD4" s="514" t="s">
        <v>754</v>
      </c>
      <c r="DE4" s="513" t="s">
        <v>967</v>
      </c>
      <c r="DF4" s="512" t="s">
        <v>1282</v>
      </c>
      <c r="DG4" s="512" t="s">
        <v>1014</v>
      </c>
      <c r="DH4" s="876" t="s">
        <v>737</v>
      </c>
      <c r="DI4" s="877" t="s">
        <v>738</v>
      </c>
      <c r="DJ4" s="1757" t="s">
        <v>739</v>
      </c>
      <c r="DK4" s="1757" t="s">
        <v>740</v>
      </c>
      <c r="DL4" s="512" t="s">
        <v>964</v>
      </c>
      <c r="DM4" s="512" t="s">
        <v>961</v>
      </c>
      <c r="DN4" s="512" t="s">
        <v>769</v>
      </c>
      <c r="DO4" s="512" t="s">
        <v>1005</v>
      </c>
      <c r="DP4" s="512" t="s">
        <v>1008</v>
      </c>
      <c r="DQ4" s="514" t="s">
        <v>741</v>
      </c>
      <c r="DR4" s="876" t="s">
        <v>540</v>
      </c>
      <c r="DS4" s="877" t="s">
        <v>970</v>
      </c>
      <c r="DT4" s="512" t="s">
        <v>1281</v>
      </c>
      <c r="DU4" s="512" t="s">
        <v>1016</v>
      </c>
      <c r="DV4" s="513" t="s">
        <v>841</v>
      </c>
      <c r="DW4" s="512" t="s">
        <v>842</v>
      </c>
      <c r="DX4" s="512" t="s">
        <v>742</v>
      </c>
      <c r="DY4" s="512" t="s">
        <v>1378</v>
      </c>
      <c r="DZ4" s="512" t="s">
        <v>1379</v>
      </c>
      <c r="EA4" s="512" t="s">
        <v>1380</v>
      </c>
      <c r="EB4" s="512" t="s">
        <v>744</v>
      </c>
      <c r="EC4" s="512" t="s">
        <v>1283</v>
      </c>
      <c r="ED4" s="514" t="s">
        <v>746</v>
      </c>
      <c r="EE4" s="512" t="s">
        <v>887</v>
      </c>
      <c r="EF4" s="512" t="s">
        <v>747</v>
      </c>
      <c r="EG4" s="512" t="s">
        <v>1102</v>
      </c>
      <c r="EH4" s="512" t="s">
        <v>748</v>
      </c>
      <c r="EI4" s="512" t="s">
        <v>1284</v>
      </c>
      <c r="EJ4" s="514" t="s">
        <v>1023</v>
      </c>
      <c r="EK4" s="512" t="s">
        <v>824</v>
      </c>
      <c r="EL4" s="512" t="s">
        <v>823</v>
      </c>
      <c r="EM4" s="514" t="s">
        <v>749</v>
      </c>
    </row>
    <row r="5" spans="1:143" ht="15.6">
      <c r="A5" s="919"/>
      <c r="B5" s="1350"/>
      <c r="C5" s="1758" t="s">
        <v>646</v>
      </c>
      <c r="D5" s="1759" t="s">
        <v>7</v>
      </c>
      <c r="E5" s="1759" t="s">
        <v>7</v>
      </c>
      <c r="F5" s="1758" t="s">
        <v>17</v>
      </c>
      <c r="G5" s="1759" t="s">
        <v>17</v>
      </c>
      <c r="H5" s="1759" t="s">
        <v>48</v>
      </c>
      <c r="I5" s="1759" t="s">
        <v>18</v>
      </c>
      <c r="J5" s="1759" t="s">
        <v>132</v>
      </c>
      <c r="K5" s="1759" t="s">
        <v>188</v>
      </c>
      <c r="L5" s="1760" t="s">
        <v>648</v>
      </c>
      <c r="M5" s="1758" t="s">
        <v>188</v>
      </c>
      <c r="N5" s="1759" t="s">
        <v>17</v>
      </c>
      <c r="O5" s="1761" t="s">
        <v>649</v>
      </c>
      <c r="P5" s="1758" t="s">
        <v>18</v>
      </c>
      <c r="Q5" s="1761" t="s">
        <v>18</v>
      </c>
      <c r="R5" s="1761" t="s">
        <v>97</v>
      </c>
      <c r="S5" s="1761" t="s">
        <v>18</v>
      </c>
      <c r="T5" s="1761" t="s">
        <v>188</v>
      </c>
      <c r="U5" s="1761" t="s">
        <v>188</v>
      </c>
      <c r="V5" s="1761" t="s">
        <v>188</v>
      </c>
      <c r="W5" s="1762" t="s">
        <v>17</v>
      </c>
      <c r="X5" s="1762" t="s">
        <v>17</v>
      </c>
      <c r="Y5" s="1763" t="s">
        <v>649</v>
      </c>
      <c r="Z5" s="1764" t="s">
        <v>915</v>
      </c>
      <c r="AA5" s="1761" t="s">
        <v>188</v>
      </c>
      <c r="AB5" s="1762" t="s">
        <v>17</v>
      </c>
      <c r="AC5" s="1763" t="s">
        <v>649</v>
      </c>
      <c r="AD5" s="1765" t="s">
        <v>188</v>
      </c>
      <c r="AE5" s="1761" t="s">
        <v>188</v>
      </c>
      <c r="AF5" s="1759" t="s">
        <v>694</v>
      </c>
      <c r="AG5" s="1759" t="s">
        <v>18</v>
      </c>
      <c r="AH5" s="1759" t="s">
        <v>18</v>
      </c>
      <c r="AI5" s="1759" t="s">
        <v>18</v>
      </c>
      <c r="AJ5" s="1759" t="s">
        <v>188</v>
      </c>
      <c r="AK5" s="1759" t="s">
        <v>17</v>
      </c>
      <c r="AL5" s="1763" t="s">
        <v>649</v>
      </c>
      <c r="AM5" s="1761" t="s">
        <v>62</v>
      </c>
      <c r="AN5" s="1761" t="s">
        <v>17</v>
      </c>
      <c r="AO5" s="1761" t="s">
        <v>73</v>
      </c>
      <c r="AP5" s="1759" t="s">
        <v>188</v>
      </c>
      <c r="AQ5" s="1759" t="s">
        <v>17</v>
      </c>
      <c r="AR5" s="1763" t="s">
        <v>649</v>
      </c>
      <c r="AS5" s="1766" t="s">
        <v>916</v>
      </c>
      <c r="AT5" s="1759" t="s">
        <v>916</v>
      </c>
      <c r="AU5" s="1763" t="s">
        <v>649</v>
      </c>
      <c r="AW5" s="1767" t="s">
        <v>880</v>
      </c>
      <c r="BA5" s="1758" t="s">
        <v>273</v>
      </c>
      <c r="BB5" s="1759" t="s">
        <v>7</v>
      </c>
      <c r="BC5" s="1759" t="s">
        <v>7</v>
      </c>
      <c r="BD5" s="1758" t="s">
        <v>17</v>
      </c>
      <c r="BE5" s="1759" t="s">
        <v>17</v>
      </c>
      <c r="BF5" s="1759" t="s">
        <v>48</v>
      </c>
      <c r="BG5" s="1759" t="s">
        <v>18</v>
      </c>
      <c r="BH5" s="1759" t="s">
        <v>132</v>
      </c>
      <c r="BI5" s="1759" t="s">
        <v>29</v>
      </c>
      <c r="BJ5" s="1760" t="s">
        <v>1381</v>
      </c>
      <c r="BK5" s="1758" t="s">
        <v>29</v>
      </c>
      <c r="BL5" s="1759" t="s">
        <v>17</v>
      </c>
      <c r="BM5" s="1761" t="s">
        <v>168</v>
      </c>
      <c r="BN5" s="1758" t="s">
        <v>18</v>
      </c>
      <c r="BO5" s="1761" t="s">
        <v>18</v>
      </c>
      <c r="BP5" s="1761" t="s">
        <v>97</v>
      </c>
      <c r="BQ5" s="1761" t="s">
        <v>18</v>
      </c>
      <c r="BR5" s="1761" t="s">
        <v>29</v>
      </c>
      <c r="BS5" s="1761" t="s">
        <v>29</v>
      </c>
      <c r="BT5" s="1761" t="s">
        <v>29</v>
      </c>
      <c r="BU5" s="1762" t="s">
        <v>17</v>
      </c>
      <c r="BV5" s="1762" t="s">
        <v>17</v>
      </c>
      <c r="BW5" s="1763" t="s">
        <v>168</v>
      </c>
      <c r="BX5" s="1764" t="s">
        <v>1382</v>
      </c>
      <c r="BY5" s="1761" t="s">
        <v>29</v>
      </c>
      <c r="BZ5" s="1762" t="s">
        <v>17</v>
      </c>
      <c r="CA5" s="1763" t="s">
        <v>168</v>
      </c>
      <c r="CB5" s="1765" t="s">
        <v>29</v>
      </c>
      <c r="CC5" s="1761" t="s">
        <v>29</v>
      </c>
      <c r="CD5" s="1759" t="s">
        <v>789</v>
      </c>
      <c r="CE5" s="1759" t="s">
        <v>18</v>
      </c>
      <c r="CF5" s="1759" t="s">
        <v>18</v>
      </c>
      <c r="CG5" s="1759" t="s">
        <v>18</v>
      </c>
      <c r="CH5" s="1759" t="s">
        <v>29</v>
      </c>
      <c r="CI5" s="1759" t="s">
        <v>17</v>
      </c>
      <c r="CJ5" s="1763" t="s">
        <v>168</v>
      </c>
      <c r="CK5" s="1761" t="s">
        <v>62</v>
      </c>
      <c r="CL5" s="1761" t="s">
        <v>17</v>
      </c>
      <c r="CM5" s="1761" t="s">
        <v>73</v>
      </c>
      <c r="CN5" s="1759" t="s">
        <v>29</v>
      </c>
      <c r="CO5" s="1759" t="s">
        <v>17</v>
      </c>
      <c r="CP5" s="1763" t="s">
        <v>168</v>
      </c>
      <c r="CQ5" s="1766" t="s">
        <v>1383</v>
      </c>
      <c r="CR5" s="1759" t="s">
        <v>1383</v>
      </c>
      <c r="CS5" s="1763" t="s">
        <v>168</v>
      </c>
      <c r="CU5" s="1758" t="s">
        <v>273</v>
      </c>
      <c r="CV5" s="1759" t="s">
        <v>7</v>
      </c>
      <c r="CW5" s="1759" t="s">
        <v>7</v>
      </c>
      <c r="CX5" s="1758" t="s">
        <v>17</v>
      </c>
      <c r="CY5" s="1759" t="s">
        <v>17</v>
      </c>
      <c r="CZ5" s="1759" t="s">
        <v>48</v>
      </c>
      <c r="DA5" s="1759" t="s">
        <v>18</v>
      </c>
      <c r="DB5" s="1759" t="s">
        <v>132</v>
      </c>
      <c r="DC5" s="1759" t="s">
        <v>29</v>
      </c>
      <c r="DD5" s="1760" t="s">
        <v>1381</v>
      </c>
      <c r="DE5" s="1758" t="s">
        <v>29</v>
      </c>
      <c r="DF5" s="1759" t="s">
        <v>17</v>
      </c>
      <c r="DG5" s="1761" t="s">
        <v>168</v>
      </c>
      <c r="DH5" s="1758" t="s">
        <v>18</v>
      </c>
      <c r="DI5" s="1761" t="s">
        <v>18</v>
      </c>
      <c r="DJ5" s="1761" t="s">
        <v>97</v>
      </c>
      <c r="DK5" s="1761" t="s">
        <v>18</v>
      </c>
      <c r="DL5" s="1761" t="s">
        <v>29</v>
      </c>
      <c r="DM5" s="1761" t="s">
        <v>29</v>
      </c>
      <c r="DN5" s="1761" t="s">
        <v>29</v>
      </c>
      <c r="DO5" s="1762" t="s">
        <v>17</v>
      </c>
      <c r="DP5" s="1762" t="s">
        <v>17</v>
      </c>
      <c r="DQ5" s="1763" t="s">
        <v>168</v>
      </c>
      <c r="DR5" s="1764" t="s">
        <v>1382</v>
      </c>
      <c r="DS5" s="1761" t="s">
        <v>29</v>
      </c>
      <c r="DT5" s="1762" t="s">
        <v>17</v>
      </c>
      <c r="DU5" s="1763" t="s">
        <v>168</v>
      </c>
      <c r="DV5" s="1765" t="s">
        <v>29</v>
      </c>
      <c r="DW5" s="1761" t="s">
        <v>29</v>
      </c>
      <c r="DX5" s="1759" t="s">
        <v>789</v>
      </c>
      <c r="DY5" s="1759" t="s">
        <v>18</v>
      </c>
      <c r="DZ5" s="1759" t="s">
        <v>18</v>
      </c>
      <c r="EA5" s="1759" t="s">
        <v>18</v>
      </c>
      <c r="EB5" s="1759" t="s">
        <v>29</v>
      </c>
      <c r="EC5" s="1759" t="s">
        <v>17</v>
      </c>
      <c r="ED5" s="1763" t="s">
        <v>168</v>
      </c>
      <c r="EE5" s="1761" t="s">
        <v>62</v>
      </c>
      <c r="EF5" s="1761" t="s">
        <v>17</v>
      </c>
      <c r="EG5" s="1761" t="s">
        <v>73</v>
      </c>
      <c r="EH5" s="1759" t="s">
        <v>29</v>
      </c>
      <c r="EI5" s="1759" t="s">
        <v>17</v>
      </c>
      <c r="EJ5" s="1763" t="s">
        <v>168</v>
      </c>
      <c r="EK5" s="1766" t="s">
        <v>1383</v>
      </c>
      <c r="EL5" s="1759" t="s">
        <v>1383</v>
      </c>
      <c r="EM5" s="1763" t="s">
        <v>168</v>
      </c>
    </row>
    <row r="6" spans="1:143">
      <c r="A6" s="892">
        <f>Eingabedaten!A10</f>
        <v>1.1000000000000001</v>
      </c>
      <c r="B6" s="1701" t="str">
        <f>Eingabedaten!C10</f>
        <v>Wohnen MFH</v>
      </c>
      <c r="C6" s="1474">
        <v>20</v>
      </c>
      <c r="D6" s="918">
        <v>0.18</v>
      </c>
      <c r="E6" s="918">
        <v>0.125</v>
      </c>
      <c r="F6" s="912">
        <v>17</v>
      </c>
      <c r="G6" s="913">
        <v>14.000000000000002</v>
      </c>
      <c r="H6" s="913">
        <v>365</v>
      </c>
      <c r="I6" s="913">
        <v>0.80000000000000016</v>
      </c>
      <c r="J6" s="913">
        <v>30</v>
      </c>
      <c r="K6" s="913">
        <v>2.2999999999999998</v>
      </c>
      <c r="L6" s="1767">
        <v>2.5</v>
      </c>
      <c r="M6" s="1040">
        <v>8</v>
      </c>
      <c r="N6" s="913">
        <v>1780</v>
      </c>
      <c r="O6" s="915">
        <v>14.24</v>
      </c>
      <c r="P6" s="1768">
        <v>0.17647058823529413</v>
      </c>
      <c r="Q6" s="914">
        <v>1.2698412698412698</v>
      </c>
      <c r="R6" s="915">
        <v>32.599999999999994</v>
      </c>
      <c r="S6" s="914">
        <v>0.69930069930069916</v>
      </c>
      <c r="T6" s="914">
        <v>2.7415644171779152</v>
      </c>
      <c r="U6" s="914">
        <v>0</v>
      </c>
      <c r="V6" s="914">
        <v>2.7415644171779152</v>
      </c>
      <c r="W6" s="915">
        <v>1450</v>
      </c>
      <c r="X6" s="915">
        <v>0</v>
      </c>
      <c r="Y6" s="1041">
        <v>3.9752684049079772</v>
      </c>
      <c r="Z6" s="914">
        <v>1</v>
      </c>
      <c r="AA6" s="914">
        <v>0.28000000000000003</v>
      </c>
      <c r="AB6" s="915">
        <v>4120</v>
      </c>
      <c r="AC6" s="1041">
        <v>1.1536000000000002</v>
      </c>
      <c r="AD6" s="1040">
        <v>16.533705882352947</v>
      </c>
      <c r="AE6" s="915">
        <v>13.041564417177916</v>
      </c>
      <c r="AF6" s="915">
        <v>83.744092301475774</v>
      </c>
      <c r="AG6" s="915" t="s">
        <v>18</v>
      </c>
      <c r="AH6" s="915" t="s">
        <v>18</v>
      </c>
      <c r="AI6" s="915" t="s">
        <v>18</v>
      </c>
      <c r="AJ6" s="915">
        <v>12</v>
      </c>
      <c r="AK6" s="915">
        <v>550</v>
      </c>
      <c r="AL6" s="1041">
        <v>6.6275000000000004</v>
      </c>
      <c r="AM6" s="915">
        <v>13.161764705882355</v>
      </c>
      <c r="AN6" s="915">
        <v>182.34636871508377</v>
      </c>
      <c r="AO6" s="915">
        <v>-1</v>
      </c>
      <c r="AP6" s="915">
        <v>19.742647058823533</v>
      </c>
      <c r="AQ6" s="915">
        <v>960</v>
      </c>
      <c r="AR6" s="1041">
        <v>19.046556181314998</v>
      </c>
      <c r="AS6" s="913">
        <v>35</v>
      </c>
      <c r="AT6" s="915">
        <v>140</v>
      </c>
      <c r="AU6" s="1041">
        <v>19.75866666666667</v>
      </c>
      <c r="AW6" s="1041">
        <f>Eingabedaten!AK10*Res_Std!O6</f>
        <v>427.2</v>
      </c>
      <c r="AX6" s="1769"/>
      <c r="AY6" s="1770"/>
      <c r="AZ6" s="1771"/>
      <c r="BA6" s="1474">
        <v>20</v>
      </c>
      <c r="BB6" s="918">
        <v>0.18</v>
      </c>
      <c r="BC6" s="918">
        <v>0.125</v>
      </c>
      <c r="BD6" s="912">
        <v>17</v>
      </c>
      <c r="BE6" s="913">
        <v>14.000000000000002</v>
      </c>
      <c r="BF6" s="913">
        <v>365</v>
      </c>
      <c r="BG6" s="913">
        <v>0.80000000000000016</v>
      </c>
      <c r="BH6" s="913">
        <v>30</v>
      </c>
      <c r="BI6" s="913">
        <v>2.2999999999999998</v>
      </c>
      <c r="BJ6" s="1767">
        <v>2.5</v>
      </c>
      <c r="BK6" s="1040">
        <v>8</v>
      </c>
      <c r="BL6" s="913">
        <v>1780</v>
      </c>
      <c r="BM6" s="915">
        <v>14.24</v>
      </c>
      <c r="BN6" s="1768">
        <v>0.17647058823529413</v>
      </c>
      <c r="BO6" s="914">
        <v>1.2698412698412698</v>
      </c>
      <c r="BP6" s="915">
        <v>32.599999999999994</v>
      </c>
      <c r="BQ6" s="914">
        <v>0.69930069930069916</v>
      </c>
      <c r="BR6" s="914">
        <v>2.7415644171779152</v>
      </c>
      <c r="BS6" s="914">
        <v>0</v>
      </c>
      <c r="BT6" s="914">
        <v>2.7415644171779152</v>
      </c>
      <c r="BU6" s="915">
        <v>1450</v>
      </c>
      <c r="BV6" s="915">
        <v>0</v>
      </c>
      <c r="BW6" s="1041">
        <v>3.9752684049079772</v>
      </c>
      <c r="BX6" s="914">
        <v>1</v>
      </c>
      <c r="BY6" s="914">
        <v>0.28000000000000003</v>
      </c>
      <c r="BZ6" s="915">
        <v>6130</v>
      </c>
      <c r="CA6" s="1041">
        <v>1.7164000000000001</v>
      </c>
      <c r="CB6" s="1040">
        <v>16.533705882352947</v>
      </c>
      <c r="CC6" s="915">
        <v>13.041564417177916</v>
      </c>
      <c r="CD6" s="915">
        <v>83.744092301475774</v>
      </c>
      <c r="CE6" s="915" t="s">
        <v>18</v>
      </c>
      <c r="CF6" s="915" t="s">
        <v>18</v>
      </c>
      <c r="CG6" s="915" t="s">
        <v>18</v>
      </c>
      <c r="CH6" s="915">
        <v>12</v>
      </c>
      <c r="CI6" s="915">
        <v>550</v>
      </c>
      <c r="CJ6" s="1041">
        <v>6.6275000000000004</v>
      </c>
      <c r="CK6" s="915">
        <v>13.161764705882355</v>
      </c>
      <c r="CL6" s="915">
        <v>182.34636871508377</v>
      </c>
      <c r="CM6" s="915">
        <v>-1</v>
      </c>
      <c r="CN6" s="915">
        <v>19.742647058823533</v>
      </c>
      <c r="CO6" s="915">
        <v>1000</v>
      </c>
      <c r="CP6" s="1041">
        <v>19.76276051708372</v>
      </c>
      <c r="CQ6" s="913">
        <v>35</v>
      </c>
      <c r="CR6" s="915">
        <v>140</v>
      </c>
      <c r="CS6" s="1041">
        <v>19.75866666666667</v>
      </c>
      <c r="CU6" s="1474">
        <f>C6-BA6</f>
        <v>0</v>
      </c>
      <c r="CV6" s="918">
        <f t="shared" ref="CV6:DU15" si="0">D6-BB6</f>
        <v>0</v>
      </c>
      <c r="CW6" s="918">
        <f t="shared" si="0"/>
        <v>0</v>
      </c>
      <c r="CX6" s="912">
        <f t="shared" si="0"/>
        <v>0</v>
      </c>
      <c r="CY6" s="913">
        <f t="shared" si="0"/>
        <v>0</v>
      </c>
      <c r="CZ6" s="913">
        <f t="shared" si="0"/>
        <v>0</v>
      </c>
      <c r="DA6" s="913">
        <f t="shared" si="0"/>
        <v>0</v>
      </c>
      <c r="DB6" s="913">
        <f t="shared" si="0"/>
        <v>0</v>
      </c>
      <c r="DC6" s="913">
        <f t="shared" si="0"/>
        <v>0</v>
      </c>
      <c r="DD6" s="1767">
        <f t="shared" si="0"/>
        <v>0</v>
      </c>
      <c r="DE6" s="1040">
        <f t="shared" si="0"/>
        <v>0</v>
      </c>
      <c r="DF6" s="913">
        <f t="shared" si="0"/>
        <v>0</v>
      </c>
      <c r="DG6" s="915">
        <f t="shared" si="0"/>
        <v>0</v>
      </c>
      <c r="DH6" s="1768">
        <f t="shared" si="0"/>
        <v>0</v>
      </c>
      <c r="DI6" s="914">
        <f t="shared" si="0"/>
        <v>0</v>
      </c>
      <c r="DJ6" s="915">
        <f t="shared" si="0"/>
        <v>0</v>
      </c>
      <c r="DK6" s="914">
        <f t="shared" si="0"/>
        <v>0</v>
      </c>
      <c r="DL6" s="914">
        <f t="shared" si="0"/>
        <v>0</v>
      </c>
      <c r="DM6" s="914">
        <f t="shared" si="0"/>
        <v>0</v>
      </c>
      <c r="DN6" s="914">
        <f t="shared" si="0"/>
        <v>0</v>
      </c>
      <c r="DO6" s="915">
        <f t="shared" si="0"/>
        <v>0</v>
      </c>
      <c r="DP6" s="915">
        <f t="shared" si="0"/>
        <v>0</v>
      </c>
      <c r="DQ6" s="1041">
        <f t="shared" si="0"/>
        <v>0</v>
      </c>
      <c r="DR6" s="914">
        <f t="shared" si="0"/>
        <v>0</v>
      </c>
      <c r="DS6" s="914">
        <f t="shared" si="0"/>
        <v>0</v>
      </c>
      <c r="DT6" s="915">
        <f t="shared" si="0"/>
        <v>-2010</v>
      </c>
      <c r="DU6" s="1041">
        <f t="shared" si="0"/>
        <v>-0.56279999999999997</v>
      </c>
      <c r="DV6" s="1040">
        <f t="shared" ref="DV6:EF21" si="1">AD6-CB6</f>
        <v>0</v>
      </c>
      <c r="DW6" s="915">
        <f t="shared" si="1"/>
        <v>0</v>
      </c>
      <c r="DX6" s="915">
        <f t="shared" si="1"/>
        <v>0</v>
      </c>
      <c r="DY6" s="915" t="e">
        <f t="shared" si="1"/>
        <v>#VALUE!</v>
      </c>
      <c r="DZ6" s="915" t="e">
        <f t="shared" si="1"/>
        <v>#VALUE!</v>
      </c>
      <c r="EA6" s="915" t="e">
        <f t="shared" si="1"/>
        <v>#VALUE!</v>
      </c>
      <c r="EB6" s="915">
        <f t="shared" si="1"/>
        <v>0</v>
      </c>
      <c r="EC6" s="915">
        <f t="shared" si="1"/>
        <v>0</v>
      </c>
      <c r="ED6" s="1041">
        <f t="shared" si="1"/>
        <v>0</v>
      </c>
      <c r="EE6" s="915">
        <f t="shared" si="1"/>
        <v>0</v>
      </c>
      <c r="EF6" s="915">
        <f t="shared" si="1"/>
        <v>0</v>
      </c>
      <c r="EG6" s="915">
        <f t="shared" ref="EG6:EG50" si="2">AO6-CM6</f>
        <v>0</v>
      </c>
      <c r="EH6" s="915">
        <f t="shared" ref="EH6:EH50" si="3">AP6-CN6</f>
        <v>0</v>
      </c>
      <c r="EI6" s="915">
        <f t="shared" ref="EI6:EI50" si="4">AQ6-CO6</f>
        <v>-40</v>
      </c>
      <c r="EJ6" s="1041">
        <f t="shared" ref="EJ6:EK50" si="5">AR6-CP6</f>
        <v>-0.71620433576872244</v>
      </c>
      <c r="EK6" s="913">
        <f t="shared" si="5"/>
        <v>0</v>
      </c>
      <c r="EL6" s="915">
        <f t="shared" ref="EL6:EL50" si="6">AT6-CR6</f>
        <v>0</v>
      </c>
      <c r="EM6" s="1041">
        <f t="shared" ref="EM6:EM50" si="7">AU6-CS6</f>
        <v>0</v>
      </c>
    </row>
    <row r="7" spans="1:143">
      <c r="A7" s="892">
        <f>Eingabedaten!A11</f>
        <v>1.2</v>
      </c>
      <c r="B7" s="1701" t="str">
        <f>Eingabedaten!C11</f>
        <v>Wohnen EFH</v>
      </c>
      <c r="C7" s="1474">
        <v>20</v>
      </c>
      <c r="D7" s="918">
        <v>0.18</v>
      </c>
      <c r="E7" s="918">
        <v>0.125</v>
      </c>
      <c r="F7" s="912">
        <v>17</v>
      </c>
      <c r="G7" s="913">
        <v>14.000000000000002</v>
      </c>
      <c r="H7" s="913">
        <v>365</v>
      </c>
      <c r="I7" s="913">
        <v>0.80000000000000016</v>
      </c>
      <c r="J7" s="913">
        <v>50</v>
      </c>
      <c r="K7" s="913">
        <v>1.4</v>
      </c>
      <c r="L7" s="1767">
        <v>1.5</v>
      </c>
      <c r="M7" s="1040">
        <v>8</v>
      </c>
      <c r="N7" s="913">
        <v>1780</v>
      </c>
      <c r="O7" s="915">
        <v>14.24</v>
      </c>
      <c r="P7" s="1768">
        <v>0.17647058823529413</v>
      </c>
      <c r="Q7" s="914">
        <v>1.2698412698412698</v>
      </c>
      <c r="R7" s="915">
        <v>32.599999999999994</v>
      </c>
      <c r="S7" s="914">
        <v>0.69930069930069916</v>
      </c>
      <c r="T7" s="914">
        <v>2.7415644171779152</v>
      </c>
      <c r="U7" s="914">
        <v>0</v>
      </c>
      <c r="V7" s="914">
        <v>2.7415644171779152</v>
      </c>
      <c r="W7" s="915">
        <v>1450</v>
      </c>
      <c r="X7" s="915">
        <v>0</v>
      </c>
      <c r="Y7" s="1041">
        <v>3.9752684049079772</v>
      </c>
      <c r="Z7" s="914">
        <v>0.6</v>
      </c>
      <c r="AA7" s="914">
        <v>0.16800000000000001</v>
      </c>
      <c r="AB7" s="915">
        <v>4120</v>
      </c>
      <c r="AC7" s="1041">
        <v>0.69216000000000011</v>
      </c>
      <c r="AD7" s="1040">
        <v>16.963305882352948</v>
      </c>
      <c r="AE7" s="915">
        <v>12.141564417177916</v>
      </c>
      <c r="AF7" s="915">
        <v>71.144092301475752</v>
      </c>
      <c r="AG7" s="915" t="s">
        <v>18</v>
      </c>
      <c r="AH7" s="915" t="s">
        <v>18</v>
      </c>
      <c r="AI7" s="915" t="s">
        <v>18</v>
      </c>
      <c r="AJ7" s="915">
        <v>12</v>
      </c>
      <c r="AK7" s="915">
        <v>470</v>
      </c>
      <c r="AL7" s="1041">
        <v>5.6455000000000002</v>
      </c>
      <c r="AM7" s="915">
        <v>14.593764705882355</v>
      </c>
      <c r="AN7" s="915">
        <v>164.4537957387119</v>
      </c>
      <c r="AO7" s="915">
        <v>-1</v>
      </c>
      <c r="AP7" s="915">
        <v>21.890647058823532</v>
      </c>
      <c r="AQ7" s="915">
        <v>1310</v>
      </c>
      <c r="AR7" s="1041">
        <v>28.752234725174272</v>
      </c>
      <c r="AS7" s="913">
        <v>40</v>
      </c>
      <c r="AT7" s="915">
        <v>160</v>
      </c>
      <c r="AU7" s="1041">
        <v>13.548800000000002</v>
      </c>
      <c r="AW7" s="1041">
        <f>Eingabedaten!AK11*Res_Std!O7</f>
        <v>712</v>
      </c>
      <c r="AX7" s="1769"/>
      <c r="AY7" s="1770"/>
      <c r="AZ7" s="1771"/>
      <c r="BA7" s="1474">
        <v>20</v>
      </c>
      <c r="BB7" s="918">
        <v>0.18</v>
      </c>
      <c r="BC7" s="918">
        <v>0.125</v>
      </c>
      <c r="BD7" s="912">
        <v>17</v>
      </c>
      <c r="BE7" s="913">
        <v>14.000000000000002</v>
      </c>
      <c r="BF7" s="913">
        <v>365</v>
      </c>
      <c r="BG7" s="913">
        <v>0.80000000000000016</v>
      </c>
      <c r="BH7" s="913">
        <v>50</v>
      </c>
      <c r="BI7" s="913">
        <v>1.4</v>
      </c>
      <c r="BJ7" s="1767">
        <v>1.5</v>
      </c>
      <c r="BK7" s="1040">
        <v>8</v>
      </c>
      <c r="BL7" s="913">
        <v>1780</v>
      </c>
      <c r="BM7" s="915">
        <v>14.24</v>
      </c>
      <c r="BN7" s="1768">
        <v>0.17647058823529413</v>
      </c>
      <c r="BO7" s="914">
        <v>1.2698412698412698</v>
      </c>
      <c r="BP7" s="915">
        <v>32.599999999999994</v>
      </c>
      <c r="BQ7" s="914">
        <v>0.69930069930069916</v>
      </c>
      <c r="BR7" s="914">
        <v>2.7415644171779152</v>
      </c>
      <c r="BS7" s="914">
        <v>0</v>
      </c>
      <c r="BT7" s="914">
        <v>2.7415644171779152</v>
      </c>
      <c r="BU7" s="915">
        <v>1450</v>
      </c>
      <c r="BV7" s="915">
        <v>0</v>
      </c>
      <c r="BW7" s="1041">
        <v>3.9752684049079772</v>
      </c>
      <c r="BX7" s="914">
        <v>0.6</v>
      </c>
      <c r="BY7" s="914">
        <v>0.16800000000000001</v>
      </c>
      <c r="BZ7" s="915">
        <v>6130</v>
      </c>
      <c r="CA7" s="1041">
        <v>1.0298400000000001</v>
      </c>
      <c r="CB7" s="1040">
        <v>16.963305882352948</v>
      </c>
      <c r="CC7" s="915">
        <v>12.141564417177916</v>
      </c>
      <c r="CD7" s="915">
        <v>71.144092301475752</v>
      </c>
      <c r="CE7" s="915" t="s">
        <v>18</v>
      </c>
      <c r="CF7" s="915" t="s">
        <v>18</v>
      </c>
      <c r="CG7" s="915" t="s">
        <v>18</v>
      </c>
      <c r="CH7" s="915">
        <v>12</v>
      </c>
      <c r="CI7" s="915">
        <v>470</v>
      </c>
      <c r="CJ7" s="1041">
        <v>5.6455000000000002</v>
      </c>
      <c r="CK7" s="915">
        <v>14.593764705882355</v>
      </c>
      <c r="CL7" s="915">
        <v>164.4537957387119</v>
      </c>
      <c r="CM7" s="915">
        <v>-1</v>
      </c>
      <c r="CN7" s="915">
        <v>21.890647058823532</v>
      </c>
      <c r="CO7" s="915">
        <v>1320</v>
      </c>
      <c r="CP7" s="1041">
        <v>28.927121767250235</v>
      </c>
      <c r="CQ7" s="913">
        <v>40</v>
      </c>
      <c r="CR7" s="915">
        <v>160</v>
      </c>
      <c r="CS7" s="1041">
        <v>13.548800000000002</v>
      </c>
      <c r="CU7" s="1474">
        <f t="shared" ref="CU7:CU50" si="8">C7-BA7</f>
        <v>0</v>
      </c>
      <c r="CV7" s="918">
        <f t="shared" si="0"/>
        <v>0</v>
      </c>
      <c r="CW7" s="918">
        <f t="shared" si="0"/>
        <v>0</v>
      </c>
      <c r="CX7" s="912">
        <f t="shared" si="0"/>
        <v>0</v>
      </c>
      <c r="CY7" s="913">
        <f t="shared" si="0"/>
        <v>0</v>
      </c>
      <c r="CZ7" s="913">
        <f t="shared" si="0"/>
        <v>0</v>
      </c>
      <c r="DA7" s="913">
        <f t="shared" si="0"/>
        <v>0</v>
      </c>
      <c r="DB7" s="913">
        <f t="shared" si="0"/>
        <v>0</v>
      </c>
      <c r="DC7" s="913">
        <f t="shared" si="0"/>
        <v>0</v>
      </c>
      <c r="DD7" s="1767">
        <f t="shared" si="0"/>
        <v>0</v>
      </c>
      <c r="DE7" s="1040">
        <f t="shared" si="0"/>
        <v>0</v>
      </c>
      <c r="DF7" s="913">
        <f t="shared" si="0"/>
        <v>0</v>
      </c>
      <c r="DG7" s="915">
        <f t="shared" si="0"/>
        <v>0</v>
      </c>
      <c r="DH7" s="1768">
        <f t="shared" si="0"/>
        <v>0</v>
      </c>
      <c r="DI7" s="914">
        <f t="shared" si="0"/>
        <v>0</v>
      </c>
      <c r="DJ7" s="915">
        <f t="shared" si="0"/>
        <v>0</v>
      </c>
      <c r="DK7" s="914">
        <f t="shared" si="0"/>
        <v>0</v>
      </c>
      <c r="DL7" s="914">
        <f t="shared" si="0"/>
        <v>0</v>
      </c>
      <c r="DM7" s="914">
        <f t="shared" si="0"/>
        <v>0</v>
      </c>
      <c r="DN7" s="914">
        <f t="shared" si="0"/>
        <v>0</v>
      </c>
      <c r="DO7" s="915">
        <f t="shared" si="0"/>
        <v>0</v>
      </c>
      <c r="DP7" s="915">
        <f t="shared" si="0"/>
        <v>0</v>
      </c>
      <c r="DQ7" s="1041">
        <f t="shared" si="0"/>
        <v>0</v>
      </c>
      <c r="DR7" s="914">
        <f t="shared" si="0"/>
        <v>0</v>
      </c>
      <c r="DS7" s="914">
        <f t="shared" si="0"/>
        <v>0</v>
      </c>
      <c r="DT7" s="915">
        <f t="shared" si="0"/>
        <v>-2010</v>
      </c>
      <c r="DU7" s="1041">
        <f t="shared" si="0"/>
        <v>-0.33767999999999998</v>
      </c>
      <c r="DV7" s="1040">
        <f t="shared" si="1"/>
        <v>0</v>
      </c>
      <c r="DW7" s="915">
        <f t="shared" si="1"/>
        <v>0</v>
      </c>
      <c r="DX7" s="915">
        <f t="shared" si="1"/>
        <v>0</v>
      </c>
      <c r="DY7" s="915" t="e">
        <f t="shared" si="1"/>
        <v>#VALUE!</v>
      </c>
      <c r="DZ7" s="915" t="e">
        <f t="shared" si="1"/>
        <v>#VALUE!</v>
      </c>
      <c r="EA7" s="915" t="e">
        <f t="shared" si="1"/>
        <v>#VALUE!</v>
      </c>
      <c r="EB7" s="915">
        <f t="shared" si="1"/>
        <v>0</v>
      </c>
      <c r="EC7" s="915">
        <f t="shared" si="1"/>
        <v>0</v>
      </c>
      <c r="ED7" s="1041">
        <f t="shared" si="1"/>
        <v>0</v>
      </c>
      <c r="EE7" s="915">
        <f t="shared" si="1"/>
        <v>0</v>
      </c>
      <c r="EF7" s="915">
        <f t="shared" si="1"/>
        <v>0</v>
      </c>
      <c r="EG7" s="915">
        <f t="shared" si="2"/>
        <v>0</v>
      </c>
      <c r="EH7" s="915">
        <f t="shared" si="3"/>
        <v>0</v>
      </c>
      <c r="EI7" s="915">
        <f t="shared" si="4"/>
        <v>-10</v>
      </c>
      <c r="EJ7" s="1041">
        <f t="shared" si="5"/>
        <v>-0.17488704207596228</v>
      </c>
      <c r="EK7" s="913">
        <f t="shared" si="5"/>
        <v>0</v>
      </c>
      <c r="EL7" s="915">
        <f t="shared" si="6"/>
        <v>0</v>
      </c>
      <c r="EM7" s="1041">
        <f t="shared" si="7"/>
        <v>0</v>
      </c>
    </row>
    <row r="8" spans="1:143">
      <c r="A8" s="878">
        <f>Eingabedaten!A12</f>
        <v>2.1</v>
      </c>
      <c r="B8" s="1364" t="str">
        <f>Eingabedaten!C12</f>
        <v xml:space="preserve">Hotelzimmer </v>
      </c>
      <c r="C8" s="1390">
        <v>20</v>
      </c>
      <c r="D8" s="879">
        <v>0.18</v>
      </c>
      <c r="E8" s="879">
        <v>0.125</v>
      </c>
      <c r="F8" s="908">
        <v>16</v>
      </c>
      <c r="G8" s="909">
        <v>12.200000000000001</v>
      </c>
      <c r="H8" s="909">
        <v>365</v>
      </c>
      <c r="I8" s="909">
        <v>0.7</v>
      </c>
      <c r="J8" s="909">
        <v>15</v>
      </c>
      <c r="K8" s="909">
        <v>4.7</v>
      </c>
      <c r="L8" s="1772">
        <v>5.5</v>
      </c>
      <c r="M8" s="1038">
        <v>8</v>
      </c>
      <c r="N8" s="909">
        <v>1530</v>
      </c>
      <c r="O8" s="911">
        <v>12.24</v>
      </c>
      <c r="P8" s="1773">
        <v>0.17647058823529413</v>
      </c>
      <c r="Q8" s="910">
        <v>1.2698412698412698</v>
      </c>
      <c r="R8" s="911">
        <v>32.599999999999994</v>
      </c>
      <c r="S8" s="910">
        <v>0.69930069930069916</v>
      </c>
      <c r="T8" s="910">
        <v>2.7415644171779152</v>
      </c>
      <c r="U8" s="910">
        <v>0</v>
      </c>
      <c r="V8" s="910">
        <v>2.7415644171779152</v>
      </c>
      <c r="W8" s="911">
        <v>1150</v>
      </c>
      <c r="X8" s="911">
        <v>0</v>
      </c>
      <c r="Y8" s="1039">
        <v>3.1527990797546024</v>
      </c>
      <c r="Z8" s="910">
        <v>2.4</v>
      </c>
      <c r="AA8" s="910">
        <v>1.32</v>
      </c>
      <c r="AB8" s="911">
        <v>3100</v>
      </c>
      <c r="AC8" s="1039">
        <v>4.0919999999999996</v>
      </c>
      <c r="AD8" s="1038">
        <v>17.340105882352944</v>
      </c>
      <c r="AE8" s="911">
        <v>15.441564417177915</v>
      </c>
      <c r="AF8" s="911">
        <v>108.08367098742613</v>
      </c>
      <c r="AG8" s="911" t="s">
        <v>1261</v>
      </c>
      <c r="AH8" s="911" t="s">
        <v>1260</v>
      </c>
      <c r="AI8" s="911" t="s">
        <v>1260</v>
      </c>
      <c r="AJ8" s="911">
        <v>13</v>
      </c>
      <c r="AK8" s="911">
        <v>520</v>
      </c>
      <c r="AL8" s="1039">
        <v>6.72</v>
      </c>
      <c r="AM8" s="911">
        <v>15.849764705882354</v>
      </c>
      <c r="AN8" s="911">
        <v>151.42180622462385</v>
      </c>
      <c r="AO8" s="911">
        <v>-1</v>
      </c>
      <c r="AP8" s="911">
        <v>23.774647058823529</v>
      </c>
      <c r="AQ8" s="911">
        <v>790</v>
      </c>
      <c r="AR8" s="1039">
        <v>18.676371389735881</v>
      </c>
      <c r="AS8" s="909">
        <v>40</v>
      </c>
      <c r="AT8" s="911">
        <v>160</v>
      </c>
      <c r="AU8" s="1039">
        <v>39.517333333333333</v>
      </c>
      <c r="AW8" s="1039">
        <f>Eingabedaten!AK12*Res_Std!O8</f>
        <v>183.6</v>
      </c>
      <c r="AX8" s="1769"/>
      <c r="AY8" s="1770"/>
      <c r="AZ8" s="1771"/>
      <c r="BA8" s="1390">
        <v>20</v>
      </c>
      <c r="BB8" s="879">
        <v>0.18</v>
      </c>
      <c r="BC8" s="879">
        <v>0.125</v>
      </c>
      <c r="BD8" s="908">
        <v>16</v>
      </c>
      <c r="BE8" s="909">
        <v>12.200000000000001</v>
      </c>
      <c r="BF8" s="909">
        <v>365</v>
      </c>
      <c r="BG8" s="909">
        <v>0.7</v>
      </c>
      <c r="BH8" s="909">
        <v>15</v>
      </c>
      <c r="BI8" s="909">
        <v>4.7</v>
      </c>
      <c r="BJ8" s="1772">
        <v>5.5</v>
      </c>
      <c r="BK8" s="1038">
        <v>8</v>
      </c>
      <c r="BL8" s="909">
        <v>1530</v>
      </c>
      <c r="BM8" s="911">
        <v>12.24</v>
      </c>
      <c r="BN8" s="1773">
        <v>0.17647058823529413</v>
      </c>
      <c r="BO8" s="910">
        <v>1.2698412698412698</v>
      </c>
      <c r="BP8" s="911">
        <v>32.599999999999994</v>
      </c>
      <c r="BQ8" s="910">
        <v>0.69930069930069916</v>
      </c>
      <c r="BR8" s="910">
        <v>2.7415644171779152</v>
      </c>
      <c r="BS8" s="910">
        <v>0</v>
      </c>
      <c r="BT8" s="910">
        <v>2.7415644171779152</v>
      </c>
      <c r="BU8" s="911">
        <v>1150</v>
      </c>
      <c r="BV8" s="911">
        <v>0</v>
      </c>
      <c r="BW8" s="1039">
        <v>3.1527990797546024</v>
      </c>
      <c r="BX8" s="910">
        <v>2.4</v>
      </c>
      <c r="BY8" s="910">
        <v>1.32</v>
      </c>
      <c r="BZ8" s="911">
        <v>4600</v>
      </c>
      <c r="CA8" s="1039">
        <v>6.0720000000000001</v>
      </c>
      <c r="CB8" s="1038">
        <v>17.340105882352944</v>
      </c>
      <c r="CC8" s="911">
        <v>15.441564417177915</v>
      </c>
      <c r="CD8" s="911">
        <v>108.08367098742613</v>
      </c>
      <c r="CE8" s="911" t="s">
        <v>860</v>
      </c>
      <c r="CF8" s="911" t="s">
        <v>784</v>
      </c>
      <c r="CG8" s="911" t="s">
        <v>784</v>
      </c>
      <c r="CH8" s="911">
        <v>13</v>
      </c>
      <c r="CI8" s="911">
        <v>520</v>
      </c>
      <c r="CJ8" s="1039">
        <v>6.72</v>
      </c>
      <c r="CK8" s="911">
        <v>15.849764705882354</v>
      </c>
      <c r="CL8" s="911">
        <v>151.42180622462385</v>
      </c>
      <c r="CM8" s="911">
        <v>-1</v>
      </c>
      <c r="CN8" s="911">
        <v>23.774647058823529</v>
      </c>
      <c r="CO8" s="911">
        <v>880</v>
      </c>
      <c r="CP8" s="1039">
        <v>20.940936234207015</v>
      </c>
      <c r="CQ8" s="909">
        <v>40</v>
      </c>
      <c r="CR8" s="911">
        <v>160</v>
      </c>
      <c r="CS8" s="1039">
        <v>39.517333333333333</v>
      </c>
      <c r="CU8" s="1390">
        <f t="shared" si="8"/>
        <v>0</v>
      </c>
      <c r="CV8" s="879">
        <f t="shared" si="0"/>
        <v>0</v>
      </c>
      <c r="CW8" s="879">
        <f t="shared" si="0"/>
        <v>0</v>
      </c>
      <c r="CX8" s="908">
        <f t="shared" si="0"/>
        <v>0</v>
      </c>
      <c r="CY8" s="909">
        <f t="shared" si="0"/>
        <v>0</v>
      </c>
      <c r="CZ8" s="909">
        <f t="shared" si="0"/>
        <v>0</v>
      </c>
      <c r="DA8" s="909">
        <f t="shared" si="0"/>
        <v>0</v>
      </c>
      <c r="DB8" s="909">
        <f t="shared" si="0"/>
        <v>0</v>
      </c>
      <c r="DC8" s="909">
        <f t="shared" si="0"/>
        <v>0</v>
      </c>
      <c r="DD8" s="1772">
        <f t="shared" si="0"/>
        <v>0</v>
      </c>
      <c r="DE8" s="1038">
        <f t="shared" si="0"/>
        <v>0</v>
      </c>
      <c r="DF8" s="909">
        <f t="shared" si="0"/>
        <v>0</v>
      </c>
      <c r="DG8" s="911">
        <f t="shared" si="0"/>
        <v>0</v>
      </c>
      <c r="DH8" s="1773">
        <f t="shared" si="0"/>
        <v>0</v>
      </c>
      <c r="DI8" s="910">
        <f t="shared" si="0"/>
        <v>0</v>
      </c>
      <c r="DJ8" s="911">
        <f t="shared" si="0"/>
        <v>0</v>
      </c>
      <c r="DK8" s="910">
        <f t="shared" si="0"/>
        <v>0</v>
      </c>
      <c r="DL8" s="910">
        <f t="shared" si="0"/>
        <v>0</v>
      </c>
      <c r="DM8" s="910">
        <f t="shared" si="0"/>
        <v>0</v>
      </c>
      <c r="DN8" s="910">
        <f t="shared" si="0"/>
        <v>0</v>
      </c>
      <c r="DO8" s="911">
        <f t="shared" si="0"/>
        <v>0</v>
      </c>
      <c r="DP8" s="911">
        <f t="shared" si="0"/>
        <v>0</v>
      </c>
      <c r="DQ8" s="1039">
        <f t="shared" si="0"/>
        <v>0</v>
      </c>
      <c r="DR8" s="910">
        <f t="shared" si="0"/>
        <v>0</v>
      </c>
      <c r="DS8" s="910">
        <f t="shared" si="0"/>
        <v>0</v>
      </c>
      <c r="DT8" s="911">
        <f t="shared" si="0"/>
        <v>-1500</v>
      </c>
      <c r="DU8" s="1039">
        <f t="shared" si="0"/>
        <v>-1.9800000000000004</v>
      </c>
      <c r="DV8" s="1038">
        <f t="shared" si="1"/>
        <v>0</v>
      </c>
      <c r="DW8" s="911">
        <f t="shared" si="1"/>
        <v>0</v>
      </c>
      <c r="DX8" s="911">
        <f t="shared" si="1"/>
        <v>0</v>
      </c>
      <c r="DY8" s="911" t="e">
        <f t="shared" si="1"/>
        <v>#VALUE!</v>
      </c>
      <c r="DZ8" s="911" t="e">
        <f t="shared" si="1"/>
        <v>#VALUE!</v>
      </c>
      <c r="EA8" s="911" t="e">
        <f t="shared" si="1"/>
        <v>#VALUE!</v>
      </c>
      <c r="EB8" s="911">
        <f t="shared" si="1"/>
        <v>0</v>
      </c>
      <c r="EC8" s="911">
        <f t="shared" si="1"/>
        <v>0</v>
      </c>
      <c r="ED8" s="1039">
        <f t="shared" si="1"/>
        <v>0</v>
      </c>
      <c r="EE8" s="911">
        <f t="shared" si="1"/>
        <v>0</v>
      </c>
      <c r="EF8" s="911">
        <f t="shared" si="1"/>
        <v>0</v>
      </c>
      <c r="EG8" s="911">
        <f t="shared" si="2"/>
        <v>0</v>
      </c>
      <c r="EH8" s="911">
        <f t="shared" si="3"/>
        <v>0</v>
      </c>
      <c r="EI8" s="911">
        <f t="shared" si="4"/>
        <v>-90</v>
      </c>
      <c r="EJ8" s="1039">
        <f t="shared" si="5"/>
        <v>-2.2645648444711348</v>
      </c>
      <c r="EK8" s="909">
        <f t="shared" si="5"/>
        <v>0</v>
      </c>
      <c r="EL8" s="911">
        <f t="shared" si="6"/>
        <v>0</v>
      </c>
      <c r="EM8" s="1039">
        <f t="shared" si="7"/>
        <v>0</v>
      </c>
    </row>
    <row r="9" spans="1:143">
      <c r="A9" s="880">
        <f>Eingabedaten!A13</f>
        <v>2.2000000000000002</v>
      </c>
      <c r="B9" s="1409" t="str">
        <f>Eingabedaten!C13</f>
        <v>Empfang, Lobby</v>
      </c>
      <c r="C9" s="1434">
        <v>144</v>
      </c>
      <c r="D9" s="881">
        <v>0.18</v>
      </c>
      <c r="E9" s="881">
        <v>0.125</v>
      </c>
      <c r="F9" s="1758">
        <v>20</v>
      </c>
      <c r="G9" s="1759">
        <v>11.299999999999999</v>
      </c>
      <c r="H9" s="1759">
        <v>365</v>
      </c>
      <c r="I9" s="1759">
        <v>0.7</v>
      </c>
      <c r="J9" s="1759">
        <v>5</v>
      </c>
      <c r="K9" s="1759">
        <v>14</v>
      </c>
      <c r="L9" s="1760">
        <v>16</v>
      </c>
      <c r="M9" s="1774">
        <v>7</v>
      </c>
      <c r="N9" s="1759">
        <v>2990</v>
      </c>
      <c r="O9" s="1762">
        <v>20.93</v>
      </c>
      <c r="P9" s="1775">
        <v>0.19607843137254902</v>
      </c>
      <c r="Q9" s="1761">
        <v>1.8461538461538463</v>
      </c>
      <c r="R9" s="1762">
        <v>45.1</v>
      </c>
      <c r="S9" s="1761">
        <v>0.81081081081081086</v>
      </c>
      <c r="T9" s="1761">
        <v>10.254988913525498</v>
      </c>
      <c r="U9" s="1761">
        <v>0</v>
      </c>
      <c r="V9" s="1761">
        <v>10.254988913525498</v>
      </c>
      <c r="W9" s="1762">
        <v>3900</v>
      </c>
      <c r="X9" s="1762">
        <v>0</v>
      </c>
      <c r="Y9" s="1776">
        <v>39.994456762749444</v>
      </c>
      <c r="Z9" s="1761">
        <v>7.2</v>
      </c>
      <c r="AA9" s="1761">
        <v>3.9600000000000004</v>
      </c>
      <c r="AB9" s="1762">
        <v>2680</v>
      </c>
      <c r="AC9" s="1776">
        <v>10.612800000000002</v>
      </c>
      <c r="AD9" s="1774">
        <v>21.075984313725492</v>
      </c>
      <c r="AE9" s="1762">
        <v>31.254988913525498</v>
      </c>
      <c r="AF9" s="1762">
        <v>331.91654660728619</v>
      </c>
      <c r="AG9" s="1762" t="s">
        <v>1259</v>
      </c>
      <c r="AH9" s="1762" t="s">
        <v>1259</v>
      </c>
      <c r="AI9" s="1762" t="s">
        <v>1259</v>
      </c>
      <c r="AJ9" s="1762">
        <v>36</v>
      </c>
      <c r="AK9" s="1762">
        <v>710</v>
      </c>
      <c r="AL9" s="1776">
        <v>25.517569444444444</v>
      </c>
      <c r="AM9" s="1762">
        <v>170.21891764705884</v>
      </c>
      <c r="AN9" s="1762">
        <v>85.950493648041316</v>
      </c>
      <c r="AO9" s="1762">
        <v>-2</v>
      </c>
      <c r="AP9" s="1762">
        <v>36.644350326797387</v>
      </c>
      <c r="AQ9" s="1762">
        <v>40</v>
      </c>
      <c r="AR9" s="1776">
        <v>1.2827385222875205</v>
      </c>
      <c r="AS9" s="1759">
        <v>0</v>
      </c>
      <c r="AT9" s="1762">
        <v>0</v>
      </c>
      <c r="AU9" s="1776">
        <v>0</v>
      </c>
      <c r="AW9" s="1776">
        <f>Eingabedaten!AK13*Res_Std!O9</f>
        <v>104.65</v>
      </c>
      <c r="AX9" s="1769"/>
      <c r="AY9" s="1770"/>
      <c r="AZ9" s="1771"/>
      <c r="BA9" s="1434">
        <v>144</v>
      </c>
      <c r="BB9" s="881">
        <v>0.18</v>
      </c>
      <c r="BC9" s="881">
        <v>0.125</v>
      </c>
      <c r="BD9" s="1758">
        <v>20</v>
      </c>
      <c r="BE9" s="1759">
        <v>11.299999999999999</v>
      </c>
      <c r="BF9" s="1759">
        <v>365</v>
      </c>
      <c r="BG9" s="1759">
        <v>0.7</v>
      </c>
      <c r="BH9" s="1759">
        <v>5</v>
      </c>
      <c r="BI9" s="1759">
        <v>14</v>
      </c>
      <c r="BJ9" s="1760">
        <v>16</v>
      </c>
      <c r="BK9" s="1774">
        <v>7</v>
      </c>
      <c r="BL9" s="1759">
        <v>2990</v>
      </c>
      <c r="BM9" s="1762">
        <v>20.93</v>
      </c>
      <c r="BN9" s="1775">
        <v>0.19607843137254902</v>
      </c>
      <c r="BO9" s="1761">
        <v>1.8461538461538463</v>
      </c>
      <c r="BP9" s="1762">
        <v>45.1</v>
      </c>
      <c r="BQ9" s="1761">
        <v>0.81081081081081086</v>
      </c>
      <c r="BR9" s="1761">
        <v>10.254988913525498</v>
      </c>
      <c r="BS9" s="1761">
        <v>0</v>
      </c>
      <c r="BT9" s="1761">
        <v>10.254988913525498</v>
      </c>
      <c r="BU9" s="1762">
        <v>3900</v>
      </c>
      <c r="BV9" s="1762">
        <v>0</v>
      </c>
      <c r="BW9" s="1776">
        <v>39.994456762749444</v>
      </c>
      <c r="BX9" s="1761">
        <v>7.2</v>
      </c>
      <c r="BY9" s="1761">
        <v>3.9600000000000004</v>
      </c>
      <c r="BZ9" s="1762">
        <v>2810</v>
      </c>
      <c r="CA9" s="1776">
        <v>11.127600000000001</v>
      </c>
      <c r="CB9" s="1774">
        <v>21.075984313725492</v>
      </c>
      <c r="CC9" s="1762">
        <v>31.254988913525498</v>
      </c>
      <c r="CD9" s="1762">
        <v>331.91654660728619</v>
      </c>
      <c r="CE9" s="1762" t="s">
        <v>785</v>
      </c>
      <c r="CF9" s="1762" t="s">
        <v>785</v>
      </c>
      <c r="CG9" s="1762" t="s">
        <v>785</v>
      </c>
      <c r="CH9" s="1762">
        <v>36</v>
      </c>
      <c r="CI9" s="1762">
        <v>710</v>
      </c>
      <c r="CJ9" s="1776">
        <v>25.517569444444444</v>
      </c>
      <c r="CK9" s="1762">
        <v>170.21891764705884</v>
      </c>
      <c r="CL9" s="1762">
        <v>85.950493648041316</v>
      </c>
      <c r="CM9" s="1762">
        <v>-2</v>
      </c>
      <c r="CN9" s="1762">
        <v>36.644350326797387</v>
      </c>
      <c r="CO9" s="1762">
        <v>250</v>
      </c>
      <c r="CP9" s="1776">
        <v>9.0631779400766685</v>
      </c>
      <c r="CQ9" s="1759">
        <v>0</v>
      </c>
      <c r="CR9" s="1762">
        <v>0</v>
      </c>
      <c r="CS9" s="1776">
        <v>0</v>
      </c>
      <c r="CU9" s="1434">
        <f t="shared" si="8"/>
        <v>0</v>
      </c>
      <c r="CV9" s="881">
        <f t="shared" si="0"/>
        <v>0</v>
      </c>
      <c r="CW9" s="881">
        <f t="shared" si="0"/>
        <v>0</v>
      </c>
      <c r="CX9" s="1758">
        <f t="shared" si="0"/>
        <v>0</v>
      </c>
      <c r="CY9" s="1759">
        <f t="shared" si="0"/>
        <v>0</v>
      </c>
      <c r="CZ9" s="1759">
        <f t="shared" si="0"/>
        <v>0</v>
      </c>
      <c r="DA9" s="1759">
        <f t="shared" si="0"/>
        <v>0</v>
      </c>
      <c r="DB9" s="1759">
        <f t="shared" si="0"/>
        <v>0</v>
      </c>
      <c r="DC9" s="1759">
        <f t="shared" si="0"/>
        <v>0</v>
      </c>
      <c r="DD9" s="1760">
        <f t="shared" si="0"/>
        <v>0</v>
      </c>
      <c r="DE9" s="1774">
        <f t="shared" si="0"/>
        <v>0</v>
      </c>
      <c r="DF9" s="1759">
        <f t="shared" si="0"/>
        <v>0</v>
      </c>
      <c r="DG9" s="1762">
        <f t="shared" si="0"/>
        <v>0</v>
      </c>
      <c r="DH9" s="1775">
        <f t="shared" si="0"/>
        <v>0</v>
      </c>
      <c r="DI9" s="1761">
        <f t="shared" si="0"/>
        <v>0</v>
      </c>
      <c r="DJ9" s="1762">
        <f t="shared" si="0"/>
        <v>0</v>
      </c>
      <c r="DK9" s="1761">
        <f t="shared" si="0"/>
        <v>0</v>
      </c>
      <c r="DL9" s="1761">
        <f t="shared" si="0"/>
        <v>0</v>
      </c>
      <c r="DM9" s="1761">
        <f t="shared" si="0"/>
        <v>0</v>
      </c>
      <c r="DN9" s="1761">
        <f t="shared" si="0"/>
        <v>0</v>
      </c>
      <c r="DO9" s="1762">
        <f t="shared" si="0"/>
        <v>0</v>
      </c>
      <c r="DP9" s="1762">
        <f t="shared" si="0"/>
        <v>0</v>
      </c>
      <c r="DQ9" s="1776">
        <f t="shared" si="0"/>
        <v>0</v>
      </c>
      <c r="DR9" s="1761">
        <f t="shared" si="0"/>
        <v>0</v>
      </c>
      <c r="DS9" s="1761">
        <f t="shared" si="0"/>
        <v>0</v>
      </c>
      <c r="DT9" s="1762">
        <f t="shared" si="0"/>
        <v>-130</v>
      </c>
      <c r="DU9" s="1776">
        <f t="shared" si="0"/>
        <v>-0.51479999999999926</v>
      </c>
      <c r="DV9" s="1774">
        <f t="shared" si="1"/>
        <v>0</v>
      </c>
      <c r="DW9" s="1762">
        <f t="shared" si="1"/>
        <v>0</v>
      </c>
      <c r="DX9" s="1762">
        <f t="shared" si="1"/>
        <v>0</v>
      </c>
      <c r="DY9" s="1762" t="e">
        <f t="shared" si="1"/>
        <v>#VALUE!</v>
      </c>
      <c r="DZ9" s="1762" t="e">
        <f t="shared" si="1"/>
        <v>#VALUE!</v>
      </c>
      <c r="EA9" s="1762" t="e">
        <f t="shared" si="1"/>
        <v>#VALUE!</v>
      </c>
      <c r="EB9" s="1762">
        <f t="shared" si="1"/>
        <v>0</v>
      </c>
      <c r="EC9" s="1762">
        <f t="shared" si="1"/>
        <v>0</v>
      </c>
      <c r="ED9" s="1776">
        <f t="shared" si="1"/>
        <v>0</v>
      </c>
      <c r="EE9" s="1762">
        <f t="shared" si="1"/>
        <v>0</v>
      </c>
      <c r="EF9" s="1762">
        <f t="shared" si="1"/>
        <v>0</v>
      </c>
      <c r="EG9" s="1762">
        <f t="shared" si="2"/>
        <v>0</v>
      </c>
      <c r="EH9" s="1762">
        <f t="shared" si="3"/>
        <v>0</v>
      </c>
      <c r="EI9" s="1762">
        <f t="shared" si="4"/>
        <v>-210</v>
      </c>
      <c r="EJ9" s="1776">
        <f t="shared" si="5"/>
        <v>-7.7804394177891485</v>
      </c>
      <c r="EK9" s="1759">
        <f t="shared" si="5"/>
        <v>0</v>
      </c>
      <c r="EL9" s="1762">
        <f t="shared" si="6"/>
        <v>0</v>
      </c>
      <c r="EM9" s="1776">
        <f t="shared" si="7"/>
        <v>0</v>
      </c>
    </row>
    <row r="10" spans="1:143">
      <c r="A10" s="878">
        <f>Eingabedaten!A14</f>
        <v>3.1</v>
      </c>
      <c r="B10" s="1364" t="str">
        <f>Eingabedaten!C14</f>
        <v>Einzel-, Gruppenbüro</v>
      </c>
      <c r="C10" s="1390">
        <v>36</v>
      </c>
      <c r="D10" s="879">
        <v>0.18</v>
      </c>
      <c r="E10" s="879">
        <v>0.125</v>
      </c>
      <c r="F10" s="908">
        <v>11</v>
      </c>
      <c r="G10" s="909">
        <v>7.1999999999999993</v>
      </c>
      <c r="H10" s="909">
        <v>261</v>
      </c>
      <c r="I10" s="909">
        <v>0.80000000000000016</v>
      </c>
      <c r="J10" s="909">
        <v>14</v>
      </c>
      <c r="K10" s="909">
        <v>5</v>
      </c>
      <c r="L10" s="1772">
        <v>5.5</v>
      </c>
      <c r="M10" s="1038">
        <v>7</v>
      </c>
      <c r="N10" s="909">
        <v>1930</v>
      </c>
      <c r="O10" s="911">
        <v>13.51</v>
      </c>
      <c r="P10" s="1773">
        <v>0.29411764705882354</v>
      </c>
      <c r="Q10" s="910">
        <v>1.3333333333333333</v>
      </c>
      <c r="R10" s="911">
        <v>55.1</v>
      </c>
      <c r="S10" s="910">
        <v>0.71428571428571419</v>
      </c>
      <c r="T10" s="910">
        <v>15.880217785843922</v>
      </c>
      <c r="U10" s="910">
        <v>0</v>
      </c>
      <c r="V10" s="910">
        <v>15.880217785843922</v>
      </c>
      <c r="W10" s="911">
        <v>1210</v>
      </c>
      <c r="X10" s="911">
        <v>0</v>
      </c>
      <c r="Y10" s="1039">
        <v>19.215063520871148</v>
      </c>
      <c r="Z10" s="910">
        <v>2.5714285714285716</v>
      </c>
      <c r="AA10" s="910">
        <v>1.4142857142857146</v>
      </c>
      <c r="AB10" s="911">
        <v>1470</v>
      </c>
      <c r="AC10" s="1039">
        <v>2.0790000000000006</v>
      </c>
      <c r="AD10" s="1038">
        <v>26.730319327731099</v>
      </c>
      <c r="AE10" s="911">
        <v>27.880217785843922</v>
      </c>
      <c r="AF10" s="911">
        <v>106.88184453194128</v>
      </c>
      <c r="AG10" s="911" t="s">
        <v>1261</v>
      </c>
      <c r="AH10" s="911" t="s">
        <v>1260</v>
      </c>
      <c r="AI10" s="911" t="s">
        <v>1260</v>
      </c>
      <c r="AJ10" s="911">
        <v>27</v>
      </c>
      <c r="AK10" s="911">
        <v>490</v>
      </c>
      <c r="AL10" s="1039">
        <v>13.349444444444444</v>
      </c>
      <c r="AM10" s="911">
        <v>34.530151260504205</v>
      </c>
      <c r="AN10" s="911">
        <v>116.66325958460855</v>
      </c>
      <c r="AO10" s="911">
        <v>-1</v>
      </c>
      <c r="AP10" s="911">
        <v>28.77512605042017</v>
      </c>
      <c r="AQ10" s="911">
        <v>840</v>
      </c>
      <c r="AR10" s="1039">
        <v>24.046913710624167</v>
      </c>
      <c r="AS10" s="909">
        <v>3</v>
      </c>
      <c r="AT10" s="911">
        <v>60</v>
      </c>
      <c r="AU10" s="1039">
        <v>2.5950857142857147</v>
      </c>
      <c r="AW10" s="1039">
        <f>Eingabedaten!AK14*Res_Std!O10</f>
        <v>189.14</v>
      </c>
      <c r="AX10" s="1769"/>
      <c r="AY10" s="1770"/>
      <c r="AZ10" s="1771"/>
      <c r="BA10" s="1390">
        <v>36</v>
      </c>
      <c r="BB10" s="879">
        <v>0.18</v>
      </c>
      <c r="BC10" s="879">
        <v>0.125</v>
      </c>
      <c r="BD10" s="908">
        <v>11</v>
      </c>
      <c r="BE10" s="909">
        <v>7.1999999999999993</v>
      </c>
      <c r="BF10" s="909">
        <v>261</v>
      </c>
      <c r="BG10" s="909">
        <v>0.80000000000000016</v>
      </c>
      <c r="BH10" s="909">
        <v>14</v>
      </c>
      <c r="BI10" s="909">
        <v>5</v>
      </c>
      <c r="BJ10" s="1772">
        <v>5.5</v>
      </c>
      <c r="BK10" s="1038">
        <v>7</v>
      </c>
      <c r="BL10" s="909">
        <v>1930</v>
      </c>
      <c r="BM10" s="911">
        <v>13.51</v>
      </c>
      <c r="BN10" s="1773">
        <v>0.29411764705882354</v>
      </c>
      <c r="BO10" s="910">
        <v>1.3333333333333333</v>
      </c>
      <c r="BP10" s="911">
        <v>55.1</v>
      </c>
      <c r="BQ10" s="910">
        <v>0.71428571428571419</v>
      </c>
      <c r="BR10" s="910">
        <v>15.880217785843922</v>
      </c>
      <c r="BS10" s="910">
        <v>0</v>
      </c>
      <c r="BT10" s="910">
        <v>15.880217785843922</v>
      </c>
      <c r="BU10" s="911">
        <v>1210</v>
      </c>
      <c r="BV10" s="911">
        <v>0</v>
      </c>
      <c r="BW10" s="1039">
        <v>19.215063520871148</v>
      </c>
      <c r="BX10" s="910">
        <v>2.5714285714285716</v>
      </c>
      <c r="BY10" s="910">
        <v>1.4142857142857146</v>
      </c>
      <c r="BZ10" s="911">
        <v>2700</v>
      </c>
      <c r="CA10" s="1039">
        <v>3.8185714285714294</v>
      </c>
      <c r="CB10" s="1038">
        <v>26.730319327731099</v>
      </c>
      <c r="CC10" s="911">
        <v>27.880217785843922</v>
      </c>
      <c r="CD10" s="911">
        <v>106.88184453194128</v>
      </c>
      <c r="CE10" s="911" t="s">
        <v>860</v>
      </c>
      <c r="CF10" s="911" t="s">
        <v>784</v>
      </c>
      <c r="CG10" s="911" t="s">
        <v>784</v>
      </c>
      <c r="CH10" s="911">
        <v>27</v>
      </c>
      <c r="CI10" s="911">
        <v>490</v>
      </c>
      <c r="CJ10" s="1039">
        <v>13.349444444444444</v>
      </c>
      <c r="CK10" s="911">
        <v>34.530151260504205</v>
      </c>
      <c r="CL10" s="911">
        <v>116.66325958460855</v>
      </c>
      <c r="CM10" s="911">
        <v>-1</v>
      </c>
      <c r="CN10" s="911">
        <v>28.77512605042017</v>
      </c>
      <c r="CO10" s="911">
        <v>1040</v>
      </c>
      <c r="CP10" s="1039">
        <v>29.897515592326332</v>
      </c>
      <c r="CQ10" s="909">
        <v>3</v>
      </c>
      <c r="CR10" s="911">
        <v>60</v>
      </c>
      <c r="CS10" s="1039">
        <v>2.5950857142857147</v>
      </c>
      <c r="CU10" s="1390">
        <f t="shared" si="8"/>
        <v>0</v>
      </c>
      <c r="CV10" s="879">
        <f t="shared" si="0"/>
        <v>0</v>
      </c>
      <c r="CW10" s="879">
        <f t="shared" si="0"/>
        <v>0</v>
      </c>
      <c r="CX10" s="908">
        <f t="shared" si="0"/>
        <v>0</v>
      </c>
      <c r="CY10" s="909">
        <f t="shared" si="0"/>
        <v>0</v>
      </c>
      <c r="CZ10" s="909">
        <f t="shared" si="0"/>
        <v>0</v>
      </c>
      <c r="DA10" s="909">
        <f t="shared" si="0"/>
        <v>0</v>
      </c>
      <c r="DB10" s="909">
        <f t="shared" si="0"/>
        <v>0</v>
      </c>
      <c r="DC10" s="909">
        <f t="shared" si="0"/>
        <v>0</v>
      </c>
      <c r="DD10" s="1772">
        <f t="shared" si="0"/>
        <v>0</v>
      </c>
      <c r="DE10" s="1038">
        <f t="shared" si="0"/>
        <v>0</v>
      </c>
      <c r="DF10" s="909">
        <f t="shared" si="0"/>
        <v>0</v>
      </c>
      <c r="DG10" s="911">
        <f t="shared" si="0"/>
        <v>0</v>
      </c>
      <c r="DH10" s="1773">
        <f t="shared" si="0"/>
        <v>0</v>
      </c>
      <c r="DI10" s="910">
        <f t="shared" si="0"/>
        <v>0</v>
      </c>
      <c r="DJ10" s="911">
        <f t="shared" si="0"/>
        <v>0</v>
      </c>
      <c r="DK10" s="910">
        <f t="shared" si="0"/>
        <v>0</v>
      </c>
      <c r="DL10" s="910">
        <f t="shared" si="0"/>
        <v>0</v>
      </c>
      <c r="DM10" s="910">
        <f t="shared" si="0"/>
        <v>0</v>
      </c>
      <c r="DN10" s="910">
        <f t="shared" si="0"/>
        <v>0</v>
      </c>
      <c r="DO10" s="911">
        <f t="shared" si="0"/>
        <v>0</v>
      </c>
      <c r="DP10" s="911">
        <f t="shared" si="0"/>
        <v>0</v>
      </c>
      <c r="DQ10" s="1039">
        <f t="shared" si="0"/>
        <v>0</v>
      </c>
      <c r="DR10" s="910">
        <f t="shared" si="0"/>
        <v>0</v>
      </c>
      <c r="DS10" s="910">
        <f t="shared" si="0"/>
        <v>0</v>
      </c>
      <c r="DT10" s="911">
        <f t="shared" si="0"/>
        <v>-1230</v>
      </c>
      <c r="DU10" s="1039">
        <f t="shared" si="0"/>
        <v>-1.7395714285714288</v>
      </c>
      <c r="DV10" s="1038">
        <f t="shared" si="1"/>
        <v>0</v>
      </c>
      <c r="DW10" s="911">
        <f t="shared" si="1"/>
        <v>0</v>
      </c>
      <c r="DX10" s="911">
        <f t="shared" si="1"/>
        <v>0</v>
      </c>
      <c r="DY10" s="911" t="e">
        <f t="shared" si="1"/>
        <v>#VALUE!</v>
      </c>
      <c r="DZ10" s="911" t="e">
        <f t="shared" si="1"/>
        <v>#VALUE!</v>
      </c>
      <c r="EA10" s="911" t="e">
        <f t="shared" si="1"/>
        <v>#VALUE!</v>
      </c>
      <c r="EB10" s="911">
        <f t="shared" si="1"/>
        <v>0</v>
      </c>
      <c r="EC10" s="911">
        <f t="shared" si="1"/>
        <v>0</v>
      </c>
      <c r="ED10" s="1039">
        <f t="shared" si="1"/>
        <v>0</v>
      </c>
      <c r="EE10" s="911">
        <f t="shared" si="1"/>
        <v>0</v>
      </c>
      <c r="EF10" s="911">
        <f t="shared" si="1"/>
        <v>0</v>
      </c>
      <c r="EG10" s="911">
        <f t="shared" si="2"/>
        <v>0</v>
      </c>
      <c r="EH10" s="911">
        <f t="shared" si="3"/>
        <v>0</v>
      </c>
      <c r="EI10" s="911">
        <f t="shared" si="4"/>
        <v>-200</v>
      </c>
      <c r="EJ10" s="1039">
        <f t="shared" si="5"/>
        <v>-5.8506018817021648</v>
      </c>
      <c r="EK10" s="909">
        <f t="shared" si="5"/>
        <v>0</v>
      </c>
      <c r="EL10" s="911">
        <f t="shared" si="6"/>
        <v>0</v>
      </c>
      <c r="EM10" s="1039">
        <f t="shared" si="7"/>
        <v>0</v>
      </c>
    </row>
    <row r="11" spans="1:143">
      <c r="A11" s="882">
        <f>Eingabedaten!A15</f>
        <v>3.2</v>
      </c>
      <c r="B11" s="1013" t="str">
        <f>Eingabedaten!C15</f>
        <v>Grossraumbüro</v>
      </c>
      <c r="C11" s="1719">
        <v>144</v>
      </c>
      <c r="D11" s="873">
        <v>0.18</v>
      </c>
      <c r="E11" s="873">
        <v>0.125</v>
      </c>
      <c r="F11" s="912">
        <v>11</v>
      </c>
      <c r="G11" s="913">
        <v>7.1999999999999993</v>
      </c>
      <c r="H11" s="913">
        <v>261</v>
      </c>
      <c r="I11" s="913">
        <v>0.80000000000000016</v>
      </c>
      <c r="J11" s="913">
        <v>10</v>
      </c>
      <c r="K11" s="913">
        <v>7</v>
      </c>
      <c r="L11" s="1767">
        <v>8</v>
      </c>
      <c r="M11" s="1040">
        <v>10</v>
      </c>
      <c r="N11" s="913">
        <v>1930</v>
      </c>
      <c r="O11" s="915">
        <v>19.3</v>
      </c>
      <c r="P11" s="1768">
        <v>0.14705882352941177</v>
      </c>
      <c r="Q11" s="914">
        <v>2.6666666666666665</v>
      </c>
      <c r="R11" s="915">
        <v>55.1</v>
      </c>
      <c r="S11" s="914">
        <v>0.90909090909090917</v>
      </c>
      <c r="T11" s="914">
        <v>12.477313974591651</v>
      </c>
      <c r="U11" s="914">
        <v>0</v>
      </c>
      <c r="V11" s="914">
        <v>12.477313974591651</v>
      </c>
      <c r="W11" s="915">
        <v>1860</v>
      </c>
      <c r="X11" s="915">
        <v>0</v>
      </c>
      <c r="Y11" s="1041">
        <v>23.20780399274047</v>
      </c>
      <c r="Z11" s="914">
        <v>3.6</v>
      </c>
      <c r="AA11" s="914">
        <v>1.9800000000000002</v>
      </c>
      <c r="AB11" s="915">
        <v>1470</v>
      </c>
      <c r="AC11" s="1041">
        <v>2.9106000000000005</v>
      </c>
      <c r="AD11" s="1040">
        <v>15.17218823529412</v>
      </c>
      <c r="AE11" s="915">
        <v>29.477313974591652</v>
      </c>
      <c r="AF11" s="915">
        <v>234.68301296320766</v>
      </c>
      <c r="AG11" s="915" t="s">
        <v>1259</v>
      </c>
      <c r="AH11" s="915" t="s">
        <v>1259</v>
      </c>
      <c r="AI11" s="915" t="s">
        <v>1259</v>
      </c>
      <c r="AJ11" s="915">
        <v>26</v>
      </c>
      <c r="AK11" s="915">
        <v>790</v>
      </c>
      <c r="AL11" s="1041">
        <v>20.585625</v>
      </c>
      <c r="AM11" s="915">
        <v>112.42898823529413</v>
      </c>
      <c r="AN11" s="915">
        <v>126.41579563319654</v>
      </c>
      <c r="AO11" s="915">
        <v>-1</v>
      </c>
      <c r="AP11" s="915">
        <v>23.422705882352943</v>
      </c>
      <c r="AQ11" s="915">
        <v>370</v>
      </c>
      <c r="AR11" s="1041">
        <v>8.5556412768514107</v>
      </c>
      <c r="AS11" s="913">
        <v>3</v>
      </c>
      <c r="AT11" s="915">
        <v>60</v>
      </c>
      <c r="AU11" s="1041">
        <v>3.6331200000000008</v>
      </c>
      <c r="AW11" s="1041">
        <f>Eingabedaten!AK15*Res_Std!O11</f>
        <v>193</v>
      </c>
      <c r="AX11" s="1769"/>
      <c r="AY11" s="1770"/>
      <c r="AZ11" s="1771"/>
      <c r="BA11" s="1719">
        <v>144</v>
      </c>
      <c r="BB11" s="873">
        <v>0.18</v>
      </c>
      <c r="BC11" s="873">
        <v>0.125</v>
      </c>
      <c r="BD11" s="912">
        <v>11</v>
      </c>
      <c r="BE11" s="913">
        <v>7.1999999999999993</v>
      </c>
      <c r="BF11" s="913">
        <v>261</v>
      </c>
      <c r="BG11" s="913">
        <v>0.80000000000000016</v>
      </c>
      <c r="BH11" s="913">
        <v>10</v>
      </c>
      <c r="BI11" s="913">
        <v>7</v>
      </c>
      <c r="BJ11" s="1767">
        <v>8</v>
      </c>
      <c r="BK11" s="1040">
        <v>10</v>
      </c>
      <c r="BL11" s="913">
        <v>1930</v>
      </c>
      <c r="BM11" s="915">
        <v>19.3</v>
      </c>
      <c r="BN11" s="1768">
        <v>0.14705882352941177</v>
      </c>
      <c r="BO11" s="914">
        <v>2.6666666666666665</v>
      </c>
      <c r="BP11" s="915">
        <v>55.1</v>
      </c>
      <c r="BQ11" s="914">
        <v>0.90909090909090917</v>
      </c>
      <c r="BR11" s="914">
        <v>12.477313974591651</v>
      </c>
      <c r="BS11" s="914">
        <v>0</v>
      </c>
      <c r="BT11" s="914">
        <v>12.477313974591651</v>
      </c>
      <c r="BU11" s="915">
        <v>1860</v>
      </c>
      <c r="BV11" s="915">
        <v>0</v>
      </c>
      <c r="BW11" s="1041">
        <v>23.20780399274047</v>
      </c>
      <c r="BX11" s="914">
        <v>3.6</v>
      </c>
      <c r="BY11" s="914">
        <v>1.9800000000000002</v>
      </c>
      <c r="BZ11" s="915">
        <v>2700</v>
      </c>
      <c r="CA11" s="1041">
        <v>5.346000000000001</v>
      </c>
      <c r="CB11" s="1040">
        <v>15.17218823529412</v>
      </c>
      <c r="CC11" s="915">
        <v>29.477313974591652</v>
      </c>
      <c r="CD11" s="915">
        <v>234.68301296320766</v>
      </c>
      <c r="CE11" s="915" t="s">
        <v>785</v>
      </c>
      <c r="CF11" s="915" t="s">
        <v>785</v>
      </c>
      <c r="CG11" s="915" t="s">
        <v>785</v>
      </c>
      <c r="CH11" s="915">
        <v>26</v>
      </c>
      <c r="CI11" s="915">
        <v>790</v>
      </c>
      <c r="CJ11" s="1041">
        <v>20.585625</v>
      </c>
      <c r="CK11" s="915">
        <v>112.42898823529413</v>
      </c>
      <c r="CL11" s="915">
        <v>126.41579563319654</v>
      </c>
      <c r="CM11" s="915">
        <v>-1</v>
      </c>
      <c r="CN11" s="915">
        <v>23.422705882352943</v>
      </c>
      <c r="CO11" s="915">
        <v>690</v>
      </c>
      <c r="CP11" s="1041">
        <v>16.056793691822431</v>
      </c>
      <c r="CQ11" s="913">
        <v>3</v>
      </c>
      <c r="CR11" s="915">
        <v>60</v>
      </c>
      <c r="CS11" s="1041">
        <v>3.6331200000000008</v>
      </c>
      <c r="CU11" s="1719">
        <f t="shared" si="8"/>
        <v>0</v>
      </c>
      <c r="CV11" s="873">
        <f t="shared" si="0"/>
        <v>0</v>
      </c>
      <c r="CW11" s="873">
        <f t="shared" si="0"/>
        <v>0</v>
      </c>
      <c r="CX11" s="912">
        <f t="shared" si="0"/>
        <v>0</v>
      </c>
      <c r="CY11" s="913">
        <f t="shared" si="0"/>
        <v>0</v>
      </c>
      <c r="CZ11" s="913">
        <f t="shared" si="0"/>
        <v>0</v>
      </c>
      <c r="DA11" s="913">
        <f t="shared" si="0"/>
        <v>0</v>
      </c>
      <c r="DB11" s="913">
        <f t="shared" si="0"/>
        <v>0</v>
      </c>
      <c r="DC11" s="913">
        <f t="shared" si="0"/>
        <v>0</v>
      </c>
      <c r="DD11" s="1767">
        <f t="shared" si="0"/>
        <v>0</v>
      </c>
      <c r="DE11" s="1040">
        <f t="shared" si="0"/>
        <v>0</v>
      </c>
      <c r="DF11" s="913">
        <f t="shared" si="0"/>
        <v>0</v>
      </c>
      <c r="DG11" s="915">
        <f t="shared" si="0"/>
        <v>0</v>
      </c>
      <c r="DH11" s="1768">
        <f t="shared" si="0"/>
        <v>0</v>
      </c>
      <c r="DI11" s="914">
        <f t="shared" si="0"/>
        <v>0</v>
      </c>
      <c r="DJ11" s="915">
        <f t="shared" si="0"/>
        <v>0</v>
      </c>
      <c r="DK11" s="914">
        <f t="shared" si="0"/>
        <v>0</v>
      </c>
      <c r="DL11" s="914">
        <f t="shared" si="0"/>
        <v>0</v>
      </c>
      <c r="DM11" s="914">
        <f t="shared" si="0"/>
        <v>0</v>
      </c>
      <c r="DN11" s="914">
        <f t="shared" si="0"/>
        <v>0</v>
      </c>
      <c r="DO11" s="915">
        <f t="shared" si="0"/>
        <v>0</v>
      </c>
      <c r="DP11" s="915">
        <f t="shared" si="0"/>
        <v>0</v>
      </c>
      <c r="DQ11" s="1041">
        <f t="shared" si="0"/>
        <v>0</v>
      </c>
      <c r="DR11" s="914">
        <f t="shared" si="0"/>
        <v>0</v>
      </c>
      <c r="DS11" s="914">
        <f t="shared" si="0"/>
        <v>0</v>
      </c>
      <c r="DT11" s="915">
        <f t="shared" si="0"/>
        <v>-1230</v>
      </c>
      <c r="DU11" s="1041">
        <f t="shared" si="0"/>
        <v>-2.4354000000000005</v>
      </c>
      <c r="DV11" s="1040">
        <f t="shared" si="1"/>
        <v>0</v>
      </c>
      <c r="DW11" s="915">
        <f t="shared" si="1"/>
        <v>0</v>
      </c>
      <c r="DX11" s="915">
        <f t="shared" si="1"/>
        <v>0</v>
      </c>
      <c r="DY11" s="915" t="e">
        <f t="shared" si="1"/>
        <v>#VALUE!</v>
      </c>
      <c r="DZ11" s="915" t="e">
        <f t="shared" si="1"/>
        <v>#VALUE!</v>
      </c>
      <c r="EA11" s="915" t="e">
        <f t="shared" si="1"/>
        <v>#VALUE!</v>
      </c>
      <c r="EB11" s="915">
        <f t="shared" si="1"/>
        <v>0</v>
      </c>
      <c r="EC11" s="915">
        <f t="shared" si="1"/>
        <v>0</v>
      </c>
      <c r="ED11" s="1041">
        <f t="shared" si="1"/>
        <v>0</v>
      </c>
      <c r="EE11" s="915">
        <f t="shared" si="1"/>
        <v>0</v>
      </c>
      <c r="EF11" s="915">
        <f t="shared" si="1"/>
        <v>0</v>
      </c>
      <c r="EG11" s="915">
        <f t="shared" si="2"/>
        <v>0</v>
      </c>
      <c r="EH11" s="915">
        <f t="shared" si="3"/>
        <v>0</v>
      </c>
      <c r="EI11" s="915">
        <f t="shared" si="4"/>
        <v>-320</v>
      </c>
      <c r="EJ11" s="1041">
        <f t="shared" si="5"/>
        <v>-7.5011524149710205</v>
      </c>
      <c r="EK11" s="913">
        <f t="shared" si="5"/>
        <v>0</v>
      </c>
      <c r="EL11" s="915">
        <f t="shared" si="6"/>
        <v>0</v>
      </c>
      <c r="EM11" s="1041">
        <f t="shared" si="7"/>
        <v>0</v>
      </c>
    </row>
    <row r="12" spans="1:143">
      <c r="A12" s="882">
        <f>Eingabedaten!A16</f>
        <v>3.3</v>
      </c>
      <c r="B12" s="1013" t="str">
        <f>Eingabedaten!C16</f>
        <v>Sitzungszimmer</v>
      </c>
      <c r="C12" s="1719">
        <v>36</v>
      </c>
      <c r="D12" s="873">
        <v>0.18</v>
      </c>
      <c r="E12" s="873">
        <v>0.125</v>
      </c>
      <c r="F12" s="912">
        <v>6</v>
      </c>
      <c r="G12" s="913">
        <v>4</v>
      </c>
      <c r="H12" s="913">
        <v>261</v>
      </c>
      <c r="I12" s="913">
        <v>0.80000000000000016</v>
      </c>
      <c r="J12" s="913">
        <v>3</v>
      </c>
      <c r="K12" s="913">
        <v>23.3</v>
      </c>
      <c r="L12" s="1767">
        <v>26.5</v>
      </c>
      <c r="M12" s="1040">
        <v>2</v>
      </c>
      <c r="N12" s="913">
        <v>1410</v>
      </c>
      <c r="O12" s="915">
        <v>2.82</v>
      </c>
      <c r="P12" s="1768">
        <v>0.29411764705882354</v>
      </c>
      <c r="Q12" s="914">
        <v>1.3333333333333333</v>
      </c>
      <c r="R12" s="915">
        <v>55.1</v>
      </c>
      <c r="S12" s="914">
        <v>0.71428571428571419</v>
      </c>
      <c r="T12" s="914">
        <v>15.880217785843922</v>
      </c>
      <c r="U12" s="914">
        <v>0</v>
      </c>
      <c r="V12" s="914">
        <v>15.880217785843922</v>
      </c>
      <c r="W12" s="915">
        <v>660</v>
      </c>
      <c r="X12" s="915">
        <v>0</v>
      </c>
      <c r="Y12" s="1041">
        <v>10.48094373865699</v>
      </c>
      <c r="Z12" s="914">
        <v>12</v>
      </c>
      <c r="AA12" s="914">
        <v>6.6000000000000005</v>
      </c>
      <c r="AB12" s="915">
        <v>930</v>
      </c>
      <c r="AC12" s="1041">
        <v>6.1380000000000008</v>
      </c>
      <c r="AD12" s="1040">
        <v>32.161176470588245</v>
      </c>
      <c r="AE12" s="915">
        <v>41.180217785843922</v>
      </c>
      <c r="AF12" s="915">
        <v>112.66575048119464</v>
      </c>
      <c r="AG12" s="915" t="s">
        <v>1261</v>
      </c>
      <c r="AH12" s="915" t="s">
        <v>1260</v>
      </c>
      <c r="AI12" s="915" t="s">
        <v>1260</v>
      </c>
      <c r="AJ12" s="915">
        <v>42</v>
      </c>
      <c r="AK12" s="915">
        <v>260</v>
      </c>
      <c r="AL12" s="1041">
        <v>10.724722222222223</v>
      </c>
      <c r="AM12" s="915">
        <v>67.115294117647068</v>
      </c>
      <c r="AN12" s="915">
        <v>60.022086663862005</v>
      </c>
      <c r="AO12" s="915">
        <v>-2</v>
      </c>
      <c r="AP12" s="915">
        <v>57.793725490196088</v>
      </c>
      <c r="AQ12" s="915">
        <v>430</v>
      </c>
      <c r="AR12" s="1041">
        <v>24.581469257512882</v>
      </c>
      <c r="AS12" s="913">
        <v>0</v>
      </c>
      <c r="AT12" s="915">
        <v>0</v>
      </c>
      <c r="AU12" s="1041">
        <v>0</v>
      </c>
      <c r="AW12" s="1041">
        <f>Eingabedaten!AK16*Res_Std!O12</f>
        <v>8.4599999999999991</v>
      </c>
      <c r="AX12" s="1769"/>
      <c r="AY12" s="1770"/>
      <c r="AZ12" s="1771"/>
      <c r="BA12" s="1719">
        <v>36</v>
      </c>
      <c r="BB12" s="873">
        <v>0.18</v>
      </c>
      <c r="BC12" s="873">
        <v>0.125</v>
      </c>
      <c r="BD12" s="912">
        <v>6</v>
      </c>
      <c r="BE12" s="913">
        <v>4</v>
      </c>
      <c r="BF12" s="913">
        <v>261</v>
      </c>
      <c r="BG12" s="913">
        <v>0.80000000000000016</v>
      </c>
      <c r="BH12" s="913">
        <v>3</v>
      </c>
      <c r="BI12" s="913">
        <v>23.3</v>
      </c>
      <c r="BJ12" s="1767">
        <v>26.5</v>
      </c>
      <c r="BK12" s="1040">
        <v>2</v>
      </c>
      <c r="BL12" s="913">
        <v>1410</v>
      </c>
      <c r="BM12" s="915">
        <v>2.82</v>
      </c>
      <c r="BN12" s="1768">
        <v>0.29411764705882354</v>
      </c>
      <c r="BO12" s="914">
        <v>1.3333333333333333</v>
      </c>
      <c r="BP12" s="915">
        <v>55.1</v>
      </c>
      <c r="BQ12" s="914">
        <v>0.71428571428571419</v>
      </c>
      <c r="BR12" s="914">
        <v>15.880217785843922</v>
      </c>
      <c r="BS12" s="914">
        <v>0</v>
      </c>
      <c r="BT12" s="914">
        <v>15.880217785843922</v>
      </c>
      <c r="BU12" s="915">
        <v>660</v>
      </c>
      <c r="BV12" s="915">
        <v>0</v>
      </c>
      <c r="BW12" s="1041">
        <v>10.48094373865699</v>
      </c>
      <c r="BX12" s="914">
        <v>12</v>
      </c>
      <c r="BY12" s="914">
        <v>6.6000000000000005</v>
      </c>
      <c r="BZ12" s="915">
        <v>930</v>
      </c>
      <c r="CA12" s="1041">
        <v>6.1380000000000008</v>
      </c>
      <c r="CB12" s="1040">
        <v>32.161176470588245</v>
      </c>
      <c r="CC12" s="915">
        <v>41.180217785843922</v>
      </c>
      <c r="CD12" s="915">
        <v>112.66575048119464</v>
      </c>
      <c r="CE12" s="915" t="s">
        <v>860</v>
      </c>
      <c r="CF12" s="915" t="s">
        <v>784</v>
      </c>
      <c r="CG12" s="915" t="s">
        <v>784</v>
      </c>
      <c r="CH12" s="915">
        <v>42</v>
      </c>
      <c r="CI12" s="915">
        <v>260</v>
      </c>
      <c r="CJ12" s="1041">
        <v>10.724722222222223</v>
      </c>
      <c r="CK12" s="915">
        <v>67.115294117647068</v>
      </c>
      <c r="CL12" s="915">
        <v>60.022086663862005</v>
      </c>
      <c r="CM12" s="915">
        <v>-2</v>
      </c>
      <c r="CN12" s="915">
        <v>57.793725490196088</v>
      </c>
      <c r="CO12" s="915">
        <v>640</v>
      </c>
      <c r="CP12" s="1041">
        <v>37.095293695693449</v>
      </c>
      <c r="CQ12" s="913">
        <v>0</v>
      </c>
      <c r="CR12" s="915">
        <v>0</v>
      </c>
      <c r="CS12" s="1041">
        <v>0</v>
      </c>
      <c r="CU12" s="1719">
        <f t="shared" si="8"/>
        <v>0</v>
      </c>
      <c r="CV12" s="873">
        <f t="shared" si="0"/>
        <v>0</v>
      </c>
      <c r="CW12" s="873">
        <f t="shared" si="0"/>
        <v>0</v>
      </c>
      <c r="CX12" s="912">
        <f t="shared" si="0"/>
        <v>0</v>
      </c>
      <c r="CY12" s="913">
        <f t="shared" si="0"/>
        <v>0</v>
      </c>
      <c r="CZ12" s="913">
        <f t="shared" si="0"/>
        <v>0</v>
      </c>
      <c r="DA12" s="913">
        <f t="shared" si="0"/>
        <v>0</v>
      </c>
      <c r="DB12" s="913">
        <f t="shared" si="0"/>
        <v>0</v>
      </c>
      <c r="DC12" s="913">
        <f t="shared" si="0"/>
        <v>0</v>
      </c>
      <c r="DD12" s="1767">
        <f t="shared" si="0"/>
        <v>0</v>
      </c>
      <c r="DE12" s="1040">
        <f t="shared" si="0"/>
        <v>0</v>
      </c>
      <c r="DF12" s="913">
        <f t="shared" si="0"/>
        <v>0</v>
      </c>
      <c r="DG12" s="915">
        <f t="shared" si="0"/>
        <v>0</v>
      </c>
      <c r="DH12" s="1768">
        <f t="shared" si="0"/>
        <v>0</v>
      </c>
      <c r="DI12" s="914">
        <f t="shared" si="0"/>
        <v>0</v>
      </c>
      <c r="DJ12" s="915">
        <f t="shared" si="0"/>
        <v>0</v>
      </c>
      <c r="DK12" s="914">
        <f t="shared" si="0"/>
        <v>0</v>
      </c>
      <c r="DL12" s="914">
        <f t="shared" si="0"/>
        <v>0</v>
      </c>
      <c r="DM12" s="914">
        <f t="shared" si="0"/>
        <v>0</v>
      </c>
      <c r="DN12" s="914">
        <f t="shared" si="0"/>
        <v>0</v>
      </c>
      <c r="DO12" s="915">
        <f t="shared" si="0"/>
        <v>0</v>
      </c>
      <c r="DP12" s="915">
        <f t="shared" si="0"/>
        <v>0</v>
      </c>
      <c r="DQ12" s="1041">
        <f t="shared" si="0"/>
        <v>0</v>
      </c>
      <c r="DR12" s="914">
        <f t="shared" si="0"/>
        <v>0</v>
      </c>
      <c r="DS12" s="914">
        <f t="shared" si="0"/>
        <v>0</v>
      </c>
      <c r="DT12" s="915">
        <f t="shared" si="0"/>
        <v>0</v>
      </c>
      <c r="DU12" s="1041">
        <f t="shared" si="0"/>
        <v>0</v>
      </c>
      <c r="DV12" s="1040">
        <f t="shared" si="1"/>
        <v>0</v>
      </c>
      <c r="DW12" s="915">
        <f t="shared" si="1"/>
        <v>0</v>
      </c>
      <c r="DX12" s="915">
        <f t="shared" si="1"/>
        <v>0</v>
      </c>
      <c r="DY12" s="915" t="e">
        <f t="shared" si="1"/>
        <v>#VALUE!</v>
      </c>
      <c r="DZ12" s="915" t="e">
        <f t="shared" si="1"/>
        <v>#VALUE!</v>
      </c>
      <c r="EA12" s="915" t="e">
        <f t="shared" si="1"/>
        <v>#VALUE!</v>
      </c>
      <c r="EB12" s="915">
        <f t="shared" si="1"/>
        <v>0</v>
      </c>
      <c r="EC12" s="915">
        <f t="shared" si="1"/>
        <v>0</v>
      </c>
      <c r="ED12" s="1041">
        <f t="shared" si="1"/>
        <v>0</v>
      </c>
      <c r="EE12" s="915">
        <f t="shared" si="1"/>
        <v>0</v>
      </c>
      <c r="EF12" s="915">
        <f t="shared" si="1"/>
        <v>0</v>
      </c>
      <c r="EG12" s="915">
        <f t="shared" si="2"/>
        <v>0</v>
      </c>
      <c r="EH12" s="915">
        <f t="shared" si="3"/>
        <v>0</v>
      </c>
      <c r="EI12" s="915">
        <f t="shared" si="4"/>
        <v>-210</v>
      </c>
      <c r="EJ12" s="1041">
        <f t="shared" si="5"/>
        <v>-12.513824438180567</v>
      </c>
      <c r="EK12" s="913">
        <f t="shared" si="5"/>
        <v>0</v>
      </c>
      <c r="EL12" s="915">
        <f t="shared" si="6"/>
        <v>0</v>
      </c>
      <c r="EM12" s="1041">
        <f t="shared" si="7"/>
        <v>0</v>
      </c>
    </row>
    <row r="13" spans="1:143">
      <c r="A13" s="882">
        <f>Eingabedaten!A17</f>
        <v>3.4</v>
      </c>
      <c r="B13" s="1013" t="str">
        <f>Eingabedaten!C17</f>
        <v>Schalterhalle, Empfang</v>
      </c>
      <c r="C13" s="1719">
        <v>144</v>
      </c>
      <c r="D13" s="873">
        <v>0.18</v>
      </c>
      <c r="E13" s="873">
        <v>0.12</v>
      </c>
      <c r="F13" s="912">
        <v>11</v>
      </c>
      <c r="G13" s="913">
        <v>7.1999999999999993</v>
      </c>
      <c r="H13" s="913">
        <v>261</v>
      </c>
      <c r="I13" s="913">
        <v>0.80000000000000016</v>
      </c>
      <c r="J13" s="913">
        <v>12</v>
      </c>
      <c r="K13" s="913">
        <v>5.8</v>
      </c>
      <c r="L13" s="1767">
        <v>6.5</v>
      </c>
      <c r="M13" s="1040">
        <v>4</v>
      </c>
      <c r="N13" s="913">
        <v>1930</v>
      </c>
      <c r="O13" s="915">
        <v>7.72</v>
      </c>
      <c r="P13" s="1768">
        <v>0.19607843137254902</v>
      </c>
      <c r="Q13" s="914">
        <v>1.5189873417721518</v>
      </c>
      <c r="R13" s="915">
        <v>45.1</v>
      </c>
      <c r="S13" s="914">
        <v>0.75376884422110546</v>
      </c>
      <c r="T13" s="914">
        <v>11.031042128603106</v>
      </c>
      <c r="U13" s="914">
        <v>0</v>
      </c>
      <c r="V13" s="914">
        <v>11.031042128603106</v>
      </c>
      <c r="W13" s="915">
        <v>1310</v>
      </c>
      <c r="X13" s="915">
        <v>0</v>
      </c>
      <c r="Y13" s="1041">
        <v>14.450665188470071</v>
      </c>
      <c r="Z13" s="914">
        <v>2.5</v>
      </c>
      <c r="AA13" s="914">
        <v>1.375</v>
      </c>
      <c r="AB13" s="915">
        <v>1470</v>
      </c>
      <c r="AC13" s="1041">
        <v>2.0212500000000002</v>
      </c>
      <c r="AD13" s="1040">
        <v>18.368784313725492</v>
      </c>
      <c r="AE13" s="915">
        <v>20.831042128603109</v>
      </c>
      <c r="AF13" s="915">
        <v>96.507530909778069</v>
      </c>
      <c r="AG13" s="915" t="s">
        <v>1261</v>
      </c>
      <c r="AH13" s="915" t="s">
        <v>1261</v>
      </c>
      <c r="AI13" s="915" t="s">
        <v>1260</v>
      </c>
      <c r="AJ13" s="915">
        <v>22</v>
      </c>
      <c r="AK13" s="915">
        <v>590</v>
      </c>
      <c r="AL13" s="1041">
        <v>12.911875</v>
      </c>
      <c r="AM13" s="915">
        <v>105.24611764705884</v>
      </c>
      <c r="AN13" s="915">
        <v>139.01130347689224</v>
      </c>
      <c r="AO13" s="915">
        <v>-1</v>
      </c>
      <c r="AP13" s="915">
        <v>21.195398692810461</v>
      </c>
      <c r="AQ13" s="915">
        <v>610</v>
      </c>
      <c r="AR13" s="1041">
        <v>12.929054627247153</v>
      </c>
      <c r="AS13" s="913">
        <v>0</v>
      </c>
      <c r="AT13" s="915">
        <v>0</v>
      </c>
      <c r="AU13" s="1041">
        <v>0</v>
      </c>
      <c r="AW13" s="1041">
        <f>Eingabedaten!AK17*Res_Std!O13</f>
        <v>92.64</v>
      </c>
      <c r="AX13" s="1769"/>
      <c r="AY13" s="1770"/>
      <c r="AZ13" s="1771"/>
      <c r="BA13" s="1719">
        <v>144</v>
      </c>
      <c r="BB13" s="873">
        <v>0.18</v>
      </c>
      <c r="BC13" s="873">
        <v>0.12</v>
      </c>
      <c r="BD13" s="912">
        <v>11</v>
      </c>
      <c r="BE13" s="913">
        <v>7.1999999999999993</v>
      </c>
      <c r="BF13" s="913">
        <v>261</v>
      </c>
      <c r="BG13" s="913">
        <v>0.80000000000000016</v>
      </c>
      <c r="BH13" s="913">
        <v>12</v>
      </c>
      <c r="BI13" s="913">
        <v>5.8</v>
      </c>
      <c r="BJ13" s="1767">
        <v>6.5</v>
      </c>
      <c r="BK13" s="1040">
        <v>4</v>
      </c>
      <c r="BL13" s="913">
        <v>1930</v>
      </c>
      <c r="BM13" s="915">
        <v>7.72</v>
      </c>
      <c r="BN13" s="1768">
        <v>0.19607843137254902</v>
      </c>
      <c r="BO13" s="914">
        <v>1.5189873417721518</v>
      </c>
      <c r="BP13" s="915">
        <v>45.1</v>
      </c>
      <c r="BQ13" s="914">
        <v>0.75376884422110546</v>
      </c>
      <c r="BR13" s="914">
        <v>11.031042128603106</v>
      </c>
      <c r="BS13" s="914">
        <v>0</v>
      </c>
      <c r="BT13" s="914">
        <v>11.031042128603106</v>
      </c>
      <c r="BU13" s="915">
        <v>1310</v>
      </c>
      <c r="BV13" s="915">
        <v>0</v>
      </c>
      <c r="BW13" s="1041">
        <v>14.450665188470071</v>
      </c>
      <c r="BX13" s="914">
        <v>2.5</v>
      </c>
      <c r="BY13" s="914">
        <v>1.375</v>
      </c>
      <c r="BZ13" s="915">
        <v>2700</v>
      </c>
      <c r="CA13" s="1041">
        <v>3.7124999999999999</v>
      </c>
      <c r="CB13" s="1040">
        <v>18.368784313725492</v>
      </c>
      <c r="CC13" s="915">
        <v>20.831042128603109</v>
      </c>
      <c r="CD13" s="915">
        <v>96.507530909778069</v>
      </c>
      <c r="CE13" s="915" t="s">
        <v>860</v>
      </c>
      <c r="CF13" s="915" t="s">
        <v>860</v>
      </c>
      <c r="CG13" s="915" t="s">
        <v>784</v>
      </c>
      <c r="CH13" s="915">
        <v>22</v>
      </c>
      <c r="CI13" s="915">
        <v>590</v>
      </c>
      <c r="CJ13" s="1041">
        <v>12.911875</v>
      </c>
      <c r="CK13" s="915">
        <v>105.24611764705884</v>
      </c>
      <c r="CL13" s="915">
        <v>139.01130347689224</v>
      </c>
      <c r="CM13" s="915">
        <v>-1</v>
      </c>
      <c r="CN13" s="915">
        <v>21.195398692810461</v>
      </c>
      <c r="CO13" s="915">
        <v>840</v>
      </c>
      <c r="CP13" s="1041">
        <v>17.761103735147543</v>
      </c>
      <c r="CQ13" s="913">
        <v>0</v>
      </c>
      <c r="CR13" s="915">
        <v>0</v>
      </c>
      <c r="CS13" s="1041">
        <v>0</v>
      </c>
      <c r="CU13" s="1719">
        <f t="shared" si="8"/>
        <v>0</v>
      </c>
      <c r="CV13" s="873">
        <f t="shared" si="0"/>
        <v>0</v>
      </c>
      <c r="CW13" s="873">
        <f t="shared" si="0"/>
        <v>0</v>
      </c>
      <c r="CX13" s="912">
        <f t="shared" si="0"/>
        <v>0</v>
      </c>
      <c r="CY13" s="913">
        <f t="shared" si="0"/>
        <v>0</v>
      </c>
      <c r="CZ13" s="913">
        <f t="shared" si="0"/>
        <v>0</v>
      </c>
      <c r="DA13" s="913">
        <f t="shared" si="0"/>
        <v>0</v>
      </c>
      <c r="DB13" s="913">
        <f t="shared" si="0"/>
        <v>0</v>
      </c>
      <c r="DC13" s="913">
        <f t="shared" si="0"/>
        <v>0</v>
      </c>
      <c r="DD13" s="1767">
        <f t="shared" si="0"/>
        <v>0</v>
      </c>
      <c r="DE13" s="1040">
        <f t="shared" si="0"/>
        <v>0</v>
      </c>
      <c r="DF13" s="913">
        <f t="shared" si="0"/>
        <v>0</v>
      </c>
      <c r="DG13" s="915">
        <f t="shared" si="0"/>
        <v>0</v>
      </c>
      <c r="DH13" s="1768">
        <f t="shared" si="0"/>
        <v>0</v>
      </c>
      <c r="DI13" s="914">
        <f t="shared" si="0"/>
        <v>0</v>
      </c>
      <c r="DJ13" s="915">
        <f t="shared" si="0"/>
        <v>0</v>
      </c>
      <c r="DK13" s="914">
        <f t="shared" si="0"/>
        <v>0</v>
      </c>
      <c r="DL13" s="914">
        <f t="shared" si="0"/>
        <v>0</v>
      </c>
      <c r="DM13" s="914">
        <f t="shared" si="0"/>
        <v>0</v>
      </c>
      <c r="DN13" s="914">
        <f t="shared" si="0"/>
        <v>0</v>
      </c>
      <c r="DO13" s="915">
        <f t="shared" si="0"/>
        <v>0</v>
      </c>
      <c r="DP13" s="915">
        <f t="shared" si="0"/>
        <v>0</v>
      </c>
      <c r="DQ13" s="1041">
        <f t="shared" si="0"/>
        <v>0</v>
      </c>
      <c r="DR13" s="914">
        <f t="shared" si="0"/>
        <v>0</v>
      </c>
      <c r="DS13" s="914">
        <f t="shared" si="0"/>
        <v>0</v>
      </c>
      <c r="DT13" s="915">
        <f t="shared" si="0"/>
        <v>-1230</v>
      </c>
      <c r="DU13" s="1041">
        <f t="shared" si="0"/>
        <v>-1.6912499999999997</v>
      </c>
      <c r="DV13" s="1040">
        <f t="shared" si="1"/>
        <v>0</v>
      </c>
      <c r="DW13" s="915">
        <f t="shared" si="1"/>
        <v>0</v>
      </c>
      <c r="DX13" s="915">
        <f t="shared" si="1"/>
        <v>0</v>
      </c>
      <c r="DY13" s="915" t="e">
        <f t="shared" si="1"/>
        <v>#VALUE!</v>
      </c>
      <c r="DZ13" s="915" t="e">
        <f t="shared" si="1"/>
        <v>#VALUE!</v>
      </c>
      <c r="EA13" s="915" t="e">
        <f t="shared" si="1"/>
        <v>#VALUE!</v>
      </c>
      <c r="EB13" s="915">
        <f t="shared" si="1"/>
        <v>0</v>
      </c>
      <c r="EC13" s="915">
        <f t="shared" si="1"/>
        <v>0</v>
      </c>
      <c r="ED13" s="1041">
        <f t="shared" si="1"/>
        <v>0</v>
      </c>
      <c r="EE13" s="915">
        <f t="shared" si="1"/>
        <v>0</v>
      </c>
      <c r="EF13" s="915">
        <f t="shared" si="1"/>
        <v>0</v>
      </c>
      <c r="EG13" s="915">
        <f t="shared" si="2"/>
        <v>0</v>
      </c>
      <c r="EH13" s="915">
        <f t="shared" si="3"/>
        <v>0</v>
      </c>
      <c r="EI13" s="915">
        <f t="shared" si="4"/>
        <v>-230</v>
      </c>
      <c r="EJ13" s="1041">
        <f t="shared" si="5"/>
        <v>-4.8320491079003904</v>
      </c>
      <c r="EK13" s="913">
        <f t="shared" si="5"/>
        <v>0</v>
      </c>
      <c r="EL13" s="915">
        <f t="shared" si="6"/>
        <v>0</v>
      </c>
      <c r="EM13" s="1041">
        <f t="shared" si="7"/>
        <v>0</v>
      </c>
    </row>
    <row r="14" spans="1:143">
      <c r="A14" s="883">
        <f>Eingabedaten!A18</f>
        <v>4.0999999999999996</v>
      </c>
      <c r="B14" s="888" t="str">
        <f>Eingabedaten!C18</f>
        <v>Schulzimmer</v>
      </c>
      <c r="C14" s="1777">
        <v>70</v>
      </c>
      <c r="D14" s="884">
        <v>0.18</v>
      </c>
      <c r="E14" s="884">
        <v>0.125</v>
      </c>
      <c r="F14" s="908">
        <v>11</v>
      </c>
      <c r="G14" s="909">
        <v>7.6</v>
      </c>
      <c r="H14" s="909">
        <v>261</v>
      </c>
      <c r="I14" s="1778">
        <v>0.69890410958904103</v>
      </c>
      <c r="J14" s="909">
        <v>3</v>
      </c>
      <c r="K14" s="909">
        <v>23.3</v>
      </c>
      <c r="L14" s="1772">
        <v>26.5</v>
      </c>
      <c r="M14" s="1038">
        <v>4</v>
      </c>
      <c r="N14" s="909">
        <v>1770</v>
      </c>
      <c r="O14" s="911">
        <v>7.08</v>
      </c>
      <c r="P14" s="1773">
        <v>0.25210084033613445</v>
      </c>
      <c r="Q14" s="910">
        <v>1.8300653594771241</v>
      </c>
      <c r="R14" s="911">
        <v>55.1</v>
      </c>
      <c r="S14" s="910">
        <v>0.80831408775981517</v>
      </c>
      <c r="T14" s="910">
        <v>14.032927145449831</v>
      </c>
      <c r="U14" s="910">
        <v>0</v>
      </c>
      <c r="V14" s="910">
        <v>14.032927145449831</v>
      </c>
      <c r="W14" s="911">
        <v>1180</v>
      </c>
      <c r="X14" s="911">
        <v>0</v>
      </c>
      <c r="Y14" s="1039">
        <v>16.558854031630801</v>
      </c>
      <c r="Z14" s="910">
        <v>8.3333333333333339</v>
      </c>
      <c r="AA14" s="910">
        <v>2.8333333333333339</v>
      </c>
      <c r="AB14" s="911">
        <v>1340</v>
      </c>
      <c r="AC14" s="1039">
        <v>3.7966666666666673</v>
      </c>
      <c r="AD14" s="1038">
        <v>26.879294117647063</v>
      </c>
      <c r="AE14" s="911">
        <v>41.33292714544983</v>
      </c>
      <c r="AF14" s="911">
        <v>244.96902965911369</v>
      </c>
      <c r="AG14" s="911" t="s">
        <v>1259</v>
      </c>
      <c r="AH14" s="911" t="s">
        <v>1259</v>
      </c>
      <c r="AI14" s="911" t="s">
        <v>1259</v>
      </c>
      <c r="AJ14" s="911">
        <v>36</v>
      </c>
      <c r="AK14" s="911">
        <v>470</v>
      </c>
      <c r="AL14" s="1039">
        <v>16.868857142857141</v>
      </c>
      <c r="AM14" s="911">
        <v>103.83882352941177</v>
      </c>
      <c r="AN14" s="911">
        <v>71.726544531683714</v>
      </c>
      <c r="AO14" s="911">
        <v>-2</v>
      </c>
      <c r="AP14" s="911">
        <v>45.985764705882353</v>
      </c>
      <c r="AQ14" s="911">
        <v>560</v>
      </c>
      <c r="AR14" s="1039">
        <v>25.727535728695621</v>
      </c>
      <c r="AS14" s="909">
        <v>1.5</v>
      </c>
      <c r="AT14" s="911">
        <v>30</v>
      </c>
      <c r="AU14" s="1039">
        <v>5.290005205479452</v>
      </c>
      <c r="AW14" s="1039">
        <f>Eingabedaten!AK18*Res_Std!O14</f>
        <v>21.240000000000002</v>
      </c>
      <c r="AX14" s="1769"/>
      <c r="AY14" s="1770"/>
      <c r="AZ14" s="1771"/>
      <c r="BA14" s="1777">
        <v>70</v>
      </c>
      <c r="BB14" s="884">
        <v>0.18</v>
      </c>
      <c r="BC14" s="884">
        <v>0.125</v>
      </c>
      <c r="BD14" s="908">
        <v>11</v>
      </c>
      <c r="BE14" s="909">
        <v>7.6</v>
      </c>
      <c r="BF14" s="909">
        <v>261</v>
      </c>
      <c r="BG14" s="1778">
        <v>0.69890410958904103</v>
      </c>
      <c r="BH14" s="909">
        <v>3</v>
      </c>
      <c r="BI14" s="909">
        <v>23.3</v>
      </c>
      <c r="BJ14" s="1772">
        <v>26.5</v>
      </c>
      <c r="BK14" s="1038">
        <v>4</v>
      </c>
      <c r="BL14" s="909">
        <v>1770</v>
      </c>
      <c r="BM14" s="911">
        <v>7.08</v>
      </c>
      <c r="BN14" s="1773">
        <v>0.25210084033613445</v>
      </c>
      <c r="BO14" s="910">
        <v>1.8300653594771241</v>
      </c>
      <c r="BP14" s="911">
        <v>55.1</v>
      </c>
      <c r="BQ14" s="910">
        <v>0.80831408775981517</v>
      </c>
      <c r="BR14" s="910">
        <v>14.032927145449831</v>
      </c>
      <c r="BS14" s="910">
        <v>0</v>
      </c>
      <c r="BT14" s="910">
        <v>14.032927145449831</v>
      </c>
      <c r="BU14" s="911">
        <v>1180</v>
      </c>
      <c r="BV14" s="911">
        <v>0</v>
      </c>
      <c r="BW14" s="1039">
        <v>16.558854031630801</v>
      </c>
      <c r="BX14" s="910">
        <v>8.3333333333333339</v>
      </c>
      <c r="BY14" s="910">
        <v>4.5833333333333339</v>
      </c>
      <c r="BZ14" s="911">
        <v>1550</v>
      </c>
      <c r="CA14" s="1039">
        <v>7.1041666666666679</v>
      </c>
      <c r="CB14" s="1038">
        <v>26.879294117647063</v>
      </c>
      <c r="CC14" s="911">
        <v>41.33292714544983</v>
      </c>
      <c r="CD14" s="911">
        <v>244.96902965911369</v>
      </c>
      <c r="CE14" s="911" t="s">
        <v>785</v>
      </c>
      <c r="CF14" s="911" t="s">
        <v>785</v>
      </c>
      <c r="CG14" s="911" t="s">
        <v>785</v>
      </c>
      <c r="CH14" s="911">
        <v>36</v>
      </c>
      <c r="CI14" s="911">
        <v>470</v>
      </c>
      <c r="CJ14" s="1039">
        <v>16.868857142857141</v>
      </c>
      <c r="CK14" s="911">
        <v>103.83882352941177</v>
      </c>
      <c r="CL14" s="911">
        <v>71.726544531683714</v>
      </c>
      <c r="CM14" s="911">
        <v>-2</v>
      </c>
      <c r="CN14" s="911">
        <v>45.985764705882353</v>
      </c>
      <c r="CO14" s="911">
        <v>820</v>
      </c>
      <c r="CP14" s="1039">
        <v>37.671386194334467</v>
      </c>
      <c r="CQ14" s="909">
        <v>1.5</v>
      </c>
      <c r="CR14" s="911">
        <v>30</v>
      </c>
      <c r="CS14" s="1039">
        <v>5.290005205479452</v>
      </c>
      <c r="CU14" s="1777">
        <f t="shared" si="8"/>
        <v>0</v>
      </c>
      <c r="CV14" s="884">
        <f t="shared" si="0"/>
        <v>0</v>
      </c>
      <c r="CW14" s="884">
        <f t="shared" si="0"/>
        <v>0</v>
      </c>
      <c r="CX14" s="908">
        <f t="shared" si="0"/>
        <v>0</v>
      </c>
      <c r="CY14" s="909">
        <f t="shared" si="0"/>
        <v>0</v>
      </c>
      <c r="CZ14" s="909">
        <f t="shared" si="0"/>
        <v>0</v>
      </c>
      <c r="DA14" s="1778">
        <f t="shared" si="0"/>
        <v>0</v>
      </c>
      <c r="DB14" s="909">
        <f t="shared" si="0"/>
        <v>0</v>
      </c>
      <c r="DC14" s="909">
        <f t="shared" si="0"/>
        <v>0</v>
      </c>
      <c r="DD14" s="1772">
        <f t="shared" si="0"/>
        <v>0</v>
      </c>
      <c r="DE14" s="1038">
        <f t="shared" si="0"/>
        <v>0</v>
      </c>
      <c r="DF14" s="909">
        <f t="shared" si="0"/>
        <v>0</v>
      </c>
      <c r="DG14" s="911">
        <f t="shared" si="0"/>
        <v>0</v>
      </c>
      <c r="DH14" s="1773">
        <f t="shared" si="0"/>
        <v>0</v>
      </c>
      <c r="DI14" s="910">
        <f t="shared" si="0"/>
        <v>0</v>
      </c>
      <c r="DJ14" s="911">
        <f t="shared" si="0"/>
        <v>0</v>
      </c>
      <c r="DK14" s="910">
        <f t="shared" si="0"/>
        <v>0</v>
      </c>
      <c r="DL14" s="910">
        <f t="shared" si="0"/>
        <v>0</v>
      </c>
      <c r="DM14" s="910">
        <f t="shared" si="0"/>
        <v>0</v>
      </c>
      <c r="DN14" s="910">
        <f t="shared" si="0"/>
        <v>0</v>
      </c>
      <c r="DO14" s="911">
        <f t="shared" si="0"/>
        <v>0</v>
      </c>
      <c r="DP14" s="911">
        <f t="shared" si="0"/>
        <v>0</v>
      </c>
      <c r="DQ14" s="1039">
        <f t="shared" si="0"/>
        <v>0</v>
      </c>
      <c r="DR14" s="910">
        <f t="shared" si="0"/>
        <v>0</v>
      </c>
      <c r="DS14" s="910">
        <f t="shared" si="0"/>
        <v>-1.75</v>
      </c>
      <c r="DT14" s="911">
        <f t="shared" si="0"/>
        <v>-210</v>
      </c>
      <c r="DU14" s="1039">
        <f t="shared" si="0"/>
        <v>-3.3075000000000006</v>
      </c>
      <c r="DV14" s="1038">
        <f t="shared" si="1"/>
        <v>0</v>
      </c>
      <c r="DW14" s="911">
        <f t="shared" si="1"/>
        <v>0</v>
      </c>
      <c r="DX14" s="911">
        <f t="shared" si="1"/>
        <v>0</v>
      </c>
      <c r="DY14" s="911" t="e">
        <f t="shared" si="1"/>
        <v>#VALUE!</v>
      </c>
      <c r="DZ14" s="911" t="e">
        <f t="shared" si="1"/>
        <v>#VALUE!</v>
      </c>
      <c r="EA14" s="911" t="e">
        <f t="shared" si="1"/>
        <v>#VALUE!</v>
      </c>
      <c r="EB14" s="911">
        <f t="shared" si="1"/>
        <v>0</v>
      </c>
      <c r="EC14" s="911">
        <f t="shared" si="1"/>
        <v>0</v>
      </c>
      <c r="ED14" s="1039">
        <f t="shared" si="1"/>
        <v>0</v>
      </c>
      <c r="EE14" s="911">
        <f t="shared" si="1"/>
        <v>0</v>
      </c>
      <c r="EF14" s="911">
        <f t="shared" si="1"/>
        <v>0</v>
      </c>
      <c r="EG14" s="911">
        <f t="shared" si="2"/>
        <v>0</v>
      </c>
      <c r="EH14" s="911">
        <f t="shared" si="3"/>
        <v>0</v>
      </c>
      <c r="EI14" s="911">
        <f t="shared" si="4"/>
        <v>-260</v>
      </c>
      <c r="EJ14" s="1039">
        <f t="shared" si="5"/>
        <v>-11.943850465638846</v>
      </c>
      <c r="EK14" s="909">
        <f t="shared" si="5"/>
        <v>0</v>
      </c>
      <c r="EL14" s="911">
        <f t="shared" si="6"/>
        <v>0</v>
      </c>
      <c r="EM14" s="1039">
        <f t="shared" si="7"/>
        <v>0</v>
      </c>
    </row>
    <row r="15" spans="1:143">
      <c r="A15" s="882">
        <f>Eingabedaten!A19</f>
        <v>4.2</v>
      </c>
      <c r="B15" s="1013" t="str">
        <f>Eingabedaten!C19</f>
        <v>Lehrerzimmer</v>
      </c>
      <c r="C15" s="1719">
        <v>36</v>
      </c>
      <c r="D15" s="873">
        <v>0.18</v>
      </c>
      <c r="E15" s="873">
        <v>0.125</v>
      </c>
      <c r="F15" s="912">
        <v>11</v>
      </c>
      <c r="G15" s="913">
        <v>6</v>
      </c>
      <c r="H15" s="913">
        <v>261</v>
      </c>
      <c r="I15" s="1779">
        <v>0.69890410958904103</v>
      </c>
      <c r="J15" s="913">
        <v>3</v>
      </c>
      <c r="K15" s="913">
        <v>23.3</v>
      </c>
      <c r="L15" s="1767">
        <v>26.5</v>
      </c>
      <c r="M15" s="1040">
        <v>4</v>
      </c>
      <c r="N15" s="913">
        <v>1510</v>
      </c>
      <c r="O15" s="915">
        <v>6.04</v>
      </c>
      <c r="P15" s="1768">
        <v>0.29411764705882354</v>
      </c>
      <c r="Q15" s="914">
        <v>1.3333333333333333</v>
      </c>
      <c r="R15" s="915">
        <v>45.1</v>
      </c>
      <c r="S15" s="914">
        <v>0.71428571428571419</v>
      </c>
      <c r="T15" s="914">
        <v>11.640798226164081</v>
      </c>
      <c r="U15" s="914">
        <v>0</v>
      </c>
      <c r="V15" s="914">
        <v>11.640798226164081</v>
      </c>
      <c r="W15" s="915">
        <v>1030</v>
      </c>
      <c r="X15" s="915">
        <v>0</v>
      </c>
      <c r="Y15" s="1041">
        <v>11.990022172949004</v>
      </c>
      <c r="Z15" s="914">
        <v>12</v>
      </c>
      <c r="AA15" s="914">
        <v>4.08</v>
      </c>
      <c r="AB15" s="915">
        <v>920</v>
      </c>
      <c r="AC15" s="1041">
        <v>3.7536</v>
      </c>
      <c r="AD15" s="1040">
        <v>32.821176470588242</v>
      </c>
      <c r="AE15" s="915">
        <v>38.940798226164084</v>
      </c>
      <c r="AF15" s="915">
        <v>174.3029936084738</v>
      </c>
      <c r="AG15" s="915" t="s">
        <v>1260</v>
      </c>
      <c r="AH15" s="915" t="s">
        <v>1259</v>
      </c>
      <c r="AI15" s="915" t="s">
        <v>1259</v>
      </c>
      <c r="AJ15" s="915">
        <v>37</v>
      </c>
      <c r="AK15" s="915">
        <v>270</v>
      </c>
      <c r="AL15" s="1041">
        <v>9.8886111111111106</v>
      </c>
      <c r="AM15" s="915">
        <v>71.075294117647061</v>
      </c>
      <c r="AN15" s="915">
        <v>58.95719535207072</v>
      </c>
      <c r="AO15" s="915">
        <v>-2</v>
      </c>
      <c r="AP15" s="915">
        <v>61.203725490196085</v>
      </c>
      <c r="AQ15" s="915">
        <v>610</v>
      </c>
      <c r="AR15" s="1041">
        <v>37.247115663022704</v>
      </c>
      <c r="AS15" s="913">
        <v>0</v>
      </c>
      <c r="AT15" s="915">
        <v>0</v>
      </c>
      <c r="AU15" s="1041">
        <v>0</v>
      </c>
      <c r="AW15" s="1041">
        <f>Eingabedaten!AK19*Res_Std!O15</f>
        <v>18.12</v>
      </c>
      <c r="AX15" s="1769"/>
      <c r="AY15" s="1770"/>
      <c r="AZ15" s="1771"/>
      <c r="BA15" s="1719">
        <v>36</v>
      </c>
      <c r="BB15" s="873">
        <v>0.18</v>
      </c>
      <c r="BC15" s="873">
        <v>0.125</v>
      </c>
      <c r="BD15" s="912">
        <v>11</v>
      </c>
      <c r="BE15" s="913">
        <v>6</v>
      </c>
      <c r="BF15" s="913">
        <v>261</v>
      </c>
      <c r="BG15" s="1779">
        <v>0.69890410958904103</v>
      </c>
      <c r="BH15" s="913">
        <v>3</v>
      </c>
      <c r="BI15" s="913">
        <v>23.3</v>
      </c>
      <c r="BJ15" s="1767">
        <v>26.5</v>
      </c>
      <c r="BK15" s="1040">
        <v>4</v>
      </c>
      <c r="BL15" s="913">
        <v>1510</v>
      </c>
      <c r="BM15" s="915">
        <v>6.04</v>
      </c>
      <c r="BN15" s="1768">
        <v>0.29411764705882354</v>
      </c>
      <c r="BO15" s="914">
        <v>1.3333333333333333</v>
      </c>
      <c r="BP15" s="915">
        <v>45.1</v>
      </c>
      <c r="BQ15" s="914">
        <v>0.71428571428571419</v>
      </c>
      <c r="BR15" s="914">
        <v>11.640798226164081</v>
      </c>
      <c r="BS15" s="914">
        <v>0</v>
      </c>
      <c r="BT15" s="914">
        <v>11.640798226164081</v>
      </c>
      <c r="BU15" s="915">
        <v>1030</v>
      </c>
      <c r="BV15" s="915">
        <v>0</v>
      </c>
      <c r="BW15" s="1041">
        <v>11.990022172949004</v>
      </c>
      <c r="BX15" s="914">
        <v>12</v>
      </c>
      <c r="BY15" s="914">
        <v>6.6000000000000005</v>
      </c>
      <c r="BZ15" s="915">
        <v>920</v>
      </c>
      <c r="CA15" s="1041">
        <v>6.072000000000001</v>
      </c>
      <c r="CB15" s="1040">
        <v>32.821176470588242</v>
      </c>
      <c r="CC15" s="915">
        <v>38.940798226164084</v>
      </c>
      <c r="CD15" s="915">
        <v>174.3029936084738</v>
      </c>
      <c r="CE15" s="915" t="s">
        <v>784</v>
      </c>
      <c r="CF15" s="915" t="s">
        <v>785</v>
      </c>
      <c r="CG15" s="915" t="s">
        <v>785</v>
      </c>
      <c r="CH15" s="915">
        <v>37</v>
      </c>
      <c r="CI15" s="915">
        <v>270</v>
      </c>
      <c r="CJ15" s="1041">
        <v>9.8886111111111106</v>
      </c>
      <c r="CK15" s="915">
        <v>71.075294117647061</v>
      </c>
      <c r="CL15" s="915">
        <v>58.95719535207072</v>
      </c>
      <c r="CM15" s="915">
        <v>-2</v>
      </c>
      <c r="CN15" s="915">
        <v>61.203725490196085</v>
      </c>
      <c r="CO15" s="915">
        <v>800</v>
      </c>
      <c r="CP15" s="1041">
        <v>48.991307815681701</v>
      </c>
      <c r="CQ15" s="913">
        <v>0</v>
      </c>
      <c r="CR15" s="915">
        <v>0</v>
      </c>
      <c r="CS15" s="1041">
        <v>0</v>
      </c>
      <c r="CU15" s="1719">
        <f t="shared" si="8"/>
        <v>0</v>
      </c>
      <c r="CV15" s="873">
        <f t="shared" si="0"/>
        <v>0</v>
      </c>
      <c r="CW15" s="873">
        <f t="shared" si="0"/>
        <v>0</v>
      </c>
      <c r="CX15" s="912">
        <f t="shared" si="0"/>
        <v>0</v>
      </c>
      <c r="CY15" s="913">
        <f t="shared" si="0"/>
        <v>0</v>
      </c>
      <c r="CZ15" s="913">
        <f t="shared" si="0"/>
        <v>0</v>
      </c>
      <c r="DA15" s="1779">
        <f t="shared" si="0"/>
        <v>0</v>
      </c>
      <c r="DB15" s="913">
        <f t="shared" si="0"/>
        <v>0</v>
      </c>
      <c r="DC15" s="913">
        <f t="shared" si="0"/>
        <v>0</v>
      </c>
      <c r="DD15" s="1767">
        <f t="shared" si="0"/>
        <v>0</v>
      </c>
      <c r="DE15" s="1040">
        <f t="shared" si="0"/>
        <v>0</v>
      </c>
      <c r="DF15" s="913">
        <f t="shared" si="0"/>
        <v>0</v>
      </c>
      <c r="DG15" s="915">
        <f t="shared" si="0"/>
        <v>0</v>
      </c>
      <c r="DH15" s="1768">
        <f t="shared" si="0"/>
        <v>0</v>
      </c>
      <c r="DI15" s="914">
        <f t="shared" si="0"/>
        <v>0</v>
      </c>
      <c r="DJ15" s="915">
        <f t="shared" si="0"/>
        <v>0</v>
      </c>
      <c r="DK15" s="914">
        <f t="shared" si="0"/>
        <v>0</v>
      </c>
      <c r="DL15" s="914">
        <f t="shared" si="0"/>
        <v>0</v>
      </c>
      <c r="DM15" s="914">
        <f t="shared" si="0"/>
        <v>0</v>
      </c>
      <c r="DN15" s="914">
        <f t="shared" si="0"/>
        <v>0</v>
      </c>
      <c r="DO15" s="915">
        <f t="shared" si="0"/>
        <v>0</v>
      </c>
      <c r="DP15" s="915">
        <f t="shared" si="0"/>
        <v>0</v>
      </c>
      <c r="DQ15" s="1041">
        <f t="shared" ref="DQ15:DQ50" si="9">Y15-BW15</f>
        <v>0</v>
      </c>
      <c r="DR15" s="914">
        <f t="shared" ref="DR15:DR50" si="10">Z15-BX15</f>
        <v>0</v>
      </c>
      <c r="DS15" s="914">
        <f t="shared" ref="DS15:DS50" si="11">AA15-BY15</f>
        <v>-2.5200000000000005</v>
      </c>
      <c r="DT15" s="915">
        <f t="shared" ref="DT15:DT50" si="12">AB15-BZ15</f>
        <v>0</v>
      </c>
      <c r="DU15" s="1041">
        <f t="shared" ref="DU15:DU50" si="13">AC15-CA15</f>
        <v>-2.3184000000000009</v>
      </c>
      <c r="DV15" s="1040">
        <f t="shared" si="1"/>
        <v>0</v>
      </c>
      <c r="DW15" s="915">
        <f t="shared" si="1"/>
        <v>0</v>
      </c>
      <c r="DX15" s="915">
        <f t="shared" si="1"/>
        <v>0</v>
      </c>
      <c r="DY15" s="915" t="e">
        <f t="shared" si="1"/>
        <v>#VALUE!</v>
      </c>
      <c r="DZ15" s="915" t="e">
        <f t="shared" si="1"/>
        <v>#VALUE!</v>
      </c>
      <c r="EA15" s="915" t="e">
        <f t="shared" si="1"/>
        <v>#VALUE!</v>
      </c>
      <c r="EB15" s="915">
        <f t="shared" si="1"/>
        <v>0</v>
      </c>
      <c r="EC15" s="915">
        <f t="shared" si="1"/>
        <v>0</v>
      </c>
      <c r="ED15" s="1041">
        <f t="shared" si="1"/>
        <v>0</v>
      </c>
      <c r="EE15" s="915">
        <f t="shared" si="1"/>
        <v>0</v>
      </c>
      <c r="EF15" s="915">
        <f t="shared" si="1"/>
        <v>0</v>
      </c>
      <c r="EG15" s="915">
        <f t="shared" si="2"/>
        <v>0</v>
      </c>
      <c r="EH15" s="915">
        <f t="shared" si="3"/>
        <v>0</v>
      </c>
      <c r="EI15" s="915">
        <f t="shared" si="4"/>
        <v>-190</v>
      </c>
      <c r="EJ15" s="1041">
        <f t="shared" si="5"/>
        <v>-11.744192152658997</v>
      </c>
      <c r="EK15" s="913">
        <f t="shared" si="5"/>
        <v>0</v>
      </c>
      <c r="EL15" s="915">
        <f t="shared" si="6"/>
        <v>0</v>
      </c>
      <c r="EM15" s="1041">
        <f t="shared" si="7"/>
        <v>0</v>
      </c>
    </row>
    <row r="16" spans="1:143">
      <c r="A16" s="882">
        <f>Eingabedaten!A20</f>
        <v>4.3</v>
      </c>
      <c r="B16" s="1013" t="str">
        <f>Eingabedaten!C20</f>
        <v>Bibliothek</v>
      </c>
      <c r="C16" s="1719">
        <v>144</v>
      </c>
      <c r="D16" s="873">
        <v>0.18</v>
      </c>
      <c r="E16" s="873">
        <v>0.125</v>
      </c>
      <c r="F16" s="912">
        <v>11</v>
      </c>
      <c r="G16" s="913">
        <v>6</v>
      </c>
      <c r="H16" s="913">
        <v>261</v>
      </c>
      <c r="I16" s="1779">
        <v>0.69890410958904103</v>
      </c>
      <c r="J16" s="913">
        <v>5</v>
      </c>
      <c r="K16" s="913">
        <v>14</v>
      </c>
      <c r="L16" s="1767">
        <v>16</v>
      </c>
      <c r="M16" s="1040">
        <v>2</v>
      </c>
      <c r="N16" s="913">
        <v>1510</v>
      </c>
      <c r="O16" s="915">
        <v>3.02</v>
      </c>
      <c r="P16" s="1768">
        <v>0.14705882352941177</v>
      </c>
      <c r="Q16" s="914">
        <v>2.6666666666666665</v>
      </c>
      <c r="R16" s="915">
        <v>40.099999999999994</v>
      </c>
      <c r="S16" s="914">
        <v>0.90909090909090917</v>
      </c>
      <c r="T16" s="914">
        <v>6.8578553615960098</v>
      </c>
      <c r="U16" s="914">
        <v>0</v>
      </c>
      <c r="V16" s="914">
        <v>6.8578553615960098</v>
      </c>
      <c r="W16" s="915">
        <v>1240</v>
      </c>
      <c r="X16" s="915">
        <v>0</v>
      </c>
      <c r="Y16" s="1041">
        <v>8.5037406483790523</v>
      </c>
      <c r="Z16" s="914">
        <v>7.2</v>
      </c>
      <c r="AA16" s="914">
        <v>2.4480000000000004</v>
      </c>
      <c r="AB16" s="915">
        <v>920</v>
      </c>
      <c r="AC16" s="1041">
        <v>2.2521600000000004</v>
      </c>
      <c r="AD16" s="1040">
        <v>17.245788235294121</v>
      </c>
      <c r="AE16" s="915">
        <v>22.857855361596009</v>
      </c>
      <c r="AF16" s="915">
        <v>120.25300780185464</v>
      </c>
      <c r="AG16" s="915" t="s">
        <v>1261</v>
      </c>
      <c r="AH16" s="915" t="s">
        <v>1260</v>
      </c>
      <c r="AI16" s="915" t="s">
        <v>1259</v>
      </c>
      <c r="AJ16" s="915">
        <v>21</v>
      </c>
      <c r="AK16" s="915">
        <v>390</v>
      </c>
      <c r="AL16" s="1041">
        <v>8.2642361111111118</v>
      </c>
      <c r="AM16" s="915">
        <v>162.19538823529416</v>
      </c>
      <c r="AN16" s="915">
        <v>87.627645610871056</v>
      </c>
      <c r="AO16" s="915">
        <v>-2</v>
      </c>
      <c r="AP16" s="915">
        <v>34.917062745098043</v>
      </c>
      <c r="AQ16" s="915">
        <v>490</v>
      </c>
      <c r="AR16" s="1041">
        <v>17.104947907811244</v>
      </c>
      <c r="AS16" s="913">
        <v>0</v>
      </c>
      <c r="AT16" s="915">
        <v>0</v>
      </c>
      <c r="AU16" s="1041">
        <v>0</v>
      </c>
      <c r="AW16" s="1041">
        <f>Eingabedaten!AK20*Res_Std!O16</f>
        <v>15.1</v>
      </c>
      <c r="AX16" s="1769"/>
      <c r="AY16" s="1770"/>
      <c r="AZ16" s="1771"/>
      <c r="BA16" s="1719">
        <v>144</v>
      </c>
      <c r="BB16" s="873">
        <v>0.18</v>
      </c>
      <c r="BC16" s="873">
        <v>0.125</v>
      </c>
      <c r="BD16" s="912">
        <v>11</v>
      </c>
      <c r="BE16" s="913">
        <v>6</v>
      </c>
      <c r="BF16" s="913">
        <v>261</v>
      </c>
      <c r="BG16" s="1779">
        <v>0.69890410958904103</v>
      </c>
      <c r="BH16" s="913">
        <v>5</v>
      </c>
      <c r="BI16" s="913">
        <v>14</v>
      </c>
      <c r="BJ16" s="1767">
        <v>16</v>
      </c>
      <c r="BK16" s="1040">
        <v>2</v>
      </c>
      <c r="BL16" s="913">
        <v>1510</v>
      </c>
      <c r="BM16" s="915">
        <v>3.02</v>
      </c>
      <c r="BN16" s="1768">
        <v>0.14705882352941177</v>
      </c>
      <c r="BO16" s="914">
        <v>2.6666666666666665</v>
      </c>
      <c r="BP16" s="915">
        <v>40.099999999999994</v>
      </c>
      <c r="BQ16" s="914">
        <v>0.90909090909090917</v>
      </c>
      <c r="BR16" s="914">
        <v>6.8578553615960098</v>
      </c>
      <c r="BS16" s="914">
        <v>0</v>
      </c>
      <c r="BT16" s="914">
        <v>6.8578553615960098</v>
      </c>
      <c r="BU16" s="915">
        <v>1240</v>
      </c>
      <c r="BV16" s="915">
        <v>0</v>
      </c>
      <c r="BW16" s="1041">
        <v>8.5037406483790523</v>
      </c>
      <c r="BX16" s="914">
        <v>7.2</v>
      </c>
      <c r="BY16" s="914">
        <v>3.9600000000000004</v>
      </c>
      <c r="BZ16" s="915">
        <v>960</v>
      </c>
      <c r="CA16" s="1041">
        <v>3.8016000000000005</v>
      </c>
      <c r="CB16" s="1040">
        <v>17.245788235294121</v>
      </c>
      <c r="CC16" s="915">
        <v>22.857855361596009</v>
      </c>
      <c r="CD16" s="915">
        <v>120.25300780185464</v>
      </c>
      <c r="CE16" s="915" t="s">
        <v>860</v>
      </c>
      <c r="CF16" s="915" t="s">
        <v>784</v>
      </c>
      <c r="CG16" s="915" t="s">
        <v>785</v>
      </c>
      <c r="CH16" s="915">
        <v>21</v>
      </c>
      <c r="CI16" s="915">
        <v>390</v>
      </c>
      <c r="CJ16" s="1041">
        <v>8.2642361111111118</v>
      </c>
      <c r="CK16" s="915">
        <v>162.19538823529416</v>
      </c>
      <c r="CL16" s="915">
        <v>87.627645610871056</v>
      </c>
      <c r="CM16" s="915">
        <v>-2</v>
      </c>
      <c r="CN16" s="915">
        <v>34.917062745098043</v>
      </c>
      <c r="CO16" s="915">
        <v>740</v>
      </c>
      <c r="CP16" s="1041">
        <v>25.914254895506975</v>
      </c>
      <c r="CQ16" s="913">
        <v>0</v>
      </c>
      <c r="CR16" s="915">
        <v>0</v>
      </c>
      <c r="CS16" s="1041">
        <v>0</v>
      </c>
      <c r="CU16" s="1719">
        <f t="shared" si="8"/>
        <v>0</v>
      </c>
      <c r="CV16" s="873">
        <f t="shared" ref="CV16:CV50" si="14">D16-BB16</f>
        <v>0</v>
      </c>
      <c r="CW16" s="873">
        <f t="shared" ref="CW16:CW50" si="15">E16-BC16</f>
        <v>0</v>
      </c>
      <c r="CX16" s="912">
        <f t="shared" ref="CX16:CX50" si="16">F16-BD16</f>
        <v>0</v>
      </c>
      <c r="CY16" s="913">
        <f t="shared" ref="CY16:CY50" si="17">G16-BE16</f>
        <v>0</v>
      </c>
      <c r="CZ16" s="913">
        <f t="shared" ref="CZ16:CZ50" si="18">H16-BF16</f>
        <v>0</v>
      </c>
      <c r="DA16" s="1779">
        <f t="shared" ref="DA16:DA50" si="19">I16-BG16</f>
        <v>0</v>
      </c>
      <c r="DB16" s="913">
        <f t="shared" ref="DB16:DB50" si="20">J16-BH16</f>
        <v>0</v>
      </c>
      <c r="DC16" s="913">
        <f t="shared" ref="DC16:DC50" si="21">K16-BI16</f>
        <v>0</v>
      </c>
      <c r="DD16" s="1767">
        <f t="shared" ref="DD16:DD50" si="22">L16-BJ16</f>
        <v>0</v>
      </c>
      <c r="DE16" s="1040">
        <f t="shared" ref="DE16:DE50" si="23">M16-BK16</f>
        <v>0</v>
      </c>
      <c r="DF16" s="913">
        <f t="shared" ref="DF16:DF50" si="24">N16-BL16</f>
        <v>0</v>
      </c>
      <c r="DG16" s="915">
        <f t="shared" ref="DG16:DG50" si="25">O16-BM16</f>
        <v>0</v>
      </c>
      <c r="DH16" s="1768">
        <f t="shared" ref="DH16:DH50" si="26">P16-BN16</f>
        <v>0</v>
      </c>
      <c r="DI16" s="914">
        <f t="shared" ref="DI16:DI50" si="27">Q16-BO16</f>
        <v>0</v>
      </c>
      <c r="DJ16" s="915">
        <f t="shared" ref="DJ16:DJ50" si="28">R16-BP16</f>
        <v>0</v>
      </c>
      <c r="DK16" s="914">
        <f t="shared" ref="DK16:DK50" si="29">S16-BQ16</f>
        <v>0</v>
      </c>
      <c r="DL16" s="914">
        <f t="shared" ref="DL16:DL50" si="30">T16-BR16</f>
        <v>0</v>
      </c>
      <c r="DM16" s="914">
        <f t="shared" ref="DM16:DM50" si="31">U16-BS16</f>
        <v>0</v>
      </c>
      <c r="DN16" s="914">
        <f t="shared" ref="DN16:DN50" si="32">V16-BT16</f>
        <v>0</v>
      </c>
      <c r="DO16" s="915">
        <f t="shared" ref="DO16:DO50" si="33">W16-BU16</f>
        <v>0</v>
      </c>
      <c r="DP16" s="915">
        <f t="shared" ref="DP16:DP50" si="34">X16-BV16</f>
        <v>0</v>
      </c>
      <c r="DQ16" s="1041">
        <f t="shared" si="9"/>
        <v>0</v>
      </c>
      <c r="DR16" s="914">
        <f t="shared" si="10"/>
        <v>0</v>
      </c>
      <c r="DS16" s="914">
        <f t="shared" si="11"/>
        <v>-1.512</v>
      </c>
      <c r="DT16" s="915">
        <f t="shared" si="12"/>
        <v>-40</v>
      </c>
      <c r="DU16" s="1041">
        <f t="shared" si="13"/>
        <v>-1.5494400000000002</v>
      </c>
      <c r="DV16" s="1040">
        <f t="shared" si="1"/>
        <v>0</v>
      </c>
      <c r="DW16" s="915">
        <f t="shared" si="1"/>
        <v>0</v>
      </c>
      <c r="DX16" s="915">
        <f t="shared" si="1"/>
        <v>0</v>
      </c>
      <c r="DY16" s="915" t="e">
        <f t="shared" si="1"/>
        <v>#VALUE!</v>
      </c>
      <c r="DZ16" s="915" t="e">
        <f t="shared" si="1"/>
        <v>#VALUE!</v>
      </c>
      <c r="EA16" s="915" t="e">
        <f t="shared" si="1"/>
        <v>#VALUE!</v>
      </c>
      <c r="EB16" s="915">
        <f t="shared" si="1"/>
        <v>0</v>
      </c>
      <c r="EC16" s="915">
        <f t="shared" si="1"/>
        <v>0</v>
      </c>
      <c r="ED16" s="1041">
        <f t="shared" si="1"/>
        <v>0</v>
      </c>
      <c r="EE16" s="915">
        <f t="shared" si="1"/>
        <v>0</v>
      </c>
      <c r="EF16" s="915">
        <f t="shared" si="1"/>
        <v>0</v>
      </c>
      <c r="EG16" s="915">
        <f t="shared" si="2"/>
        <v>0</v>
      </c>
      <c r="EH16" s="915">
        <f t="shared" si="3"/>
        <v>0</v>
      </c>
      <c r="EI16" s="915">
        <f t="shared" si="4"/>
        <v>-250</v>
      </c>
      <c r="EJ16" s="1041">
        <f t="shared" si="5"/>
        <v>-8.8093069876957308</v>
      </c>
      <c r="EK16" s="913">
        <f t="shared" si="5"/>
        <v>0</v>
      </c>
      <c r="EL16" s="915">
        <f t="shared" si="6"/>
        <v>0</v>
      </c>
      <c r="EM16" s="1041">
        <f t="shared" si="7"/>
        <v>0</v>
      </c>
    </row>
    <row r="17" spans="1:143">
      <c r="A17" s="882">
        <f>Eingabedaten!A21</f>
        <v>4.4000000000000004</v>
      </c>
      <c r="B17" s="1013" t="str">
        <f>Eingabedaten!C21</f>
        <v>Hörsaal</v>
      </c>
      <c r="C17" s="1719">
        <v>144</v>
      </c>
      <c r="D17" s="873">
        <v>0.18</v>
      </c>
      <c r="E17" s="873">
        <v>0.125</v>
      </c>
      <c r="F17" s="912">
        <v>11</v>
      </c>
      <c r="G17" s="913">
        <v>7.6</v>
      </c>
      <c r="H17" s="913">
        <v>261</v>
      </c>
      <c r="I17" s="1779">
        <v>0.69890410958904103</v>
      </c>
      <c r="J17" s="913">
        <v>2</v>
      </c>
      <c r="K17" s="913">
        <v>35</v>
      </c>
      <c r="L17" s="1767">
        <v>40</v>
      </c>
      <c r="M17" s="1040">
        <v>4</v>
      </c>
      <c r="N17" s="913">
        <v>1770</v>
      </c>
      <c r="O17" s="915">
        <v>7.08</v>
      </c>
      <c r="P17" s="1768">
        <v>0.14705882352941177</v>
      </c>
      <c r="Q17" s="914">
        <v>2.6666666666666665</v>
      </c>
      <c r="R17" s="915">
        <v>55.1</v>
      </c>
      <c r="S17" s="914">
        <v>0.90909090909090917</v>
      </c>
      <c r="T17" s="914">
        <v>12.477313974591651</v>
      </c>
      <c r="U17" s="914">
        <v>0</v>
      </c>
      <c r="V17" s="914">
        <v>12.477313974591651</v>
      </c>
      <c r="W17" s="915">
        <v>1630</v>
      </c>
      <c r="X17" s="915">
        <v>0</v>
      </c>
      <c r="Y17" s="1041">
        <v>20.338021778584391</v>
      </c>
      <c r="Z17" s="914">
        <v>15</v>
      </c>
      <c r="AA17" s="914">
        <v>8.25</v>
      </c>
      <c r="AB17" s="915">
        <v>1340</v>
      </c>
      <c r="AC17" s="1041">
        <v>11.055</v>
      </c>
      <c r="AD17" s="1040">
        <v>21.738588235294124</v>
      </c>
      <c r="AE17" s="915">
        <v>51.477313974591652</v>
      </c>
      <c r="AF17" s="915">
        <v>402.08301296320769</v>
      </c>
      <c r="AG17" s="915" t="s">
        <v>1259</v>
      </c>
      <c r="AH17" s="915" t="s">
        <v>1259</v>
      </c>
      <c r="AI17" s="915" t="s">
        <v>1259</v>
      </c>
      <c r="AJ17" s="915">
        <v>48</v>
      </c>
      <c r="AK17" s="915">
        <v>430</v>
      </c>
      <c r="AL17" s="1041">
        <v>20.477499999999999</v>
      </c>
      <c r="AM17" s="915">
        <v>270.02258823529417</v>
      </c>
      <c r="AN17" s="915">
        <v>52.63559649911641</v>
      </c>
      <c r="AO17" s="915">
        <v>-2</v>
      </c>
      <c r="AP17" s="915">
        <v>58.129862745098052</v>
      </c>
      <c r="AQ17" s="915">
        <v>230</v>
      </c>
      <c r="AR17" s="1041">
        <v>13.625552410797548</v>
      </c>
      <c r="AS17" s="913">
        <v>1.5</v>
      </c>
      <c r="AT17" s="915">
        <v>30</v>
      </c>
      <c r="AU17" s="1041">
        <v>7.9350078082191775</v>
      </c>
      <c r="AW17" s="1041">
        <f>Eingabedaten!AK21*Res_Std!O17</f>
        <v>14.16</v>
      </c>
      <c r="AX17" s="1769"/>
      <c r="AY17" s="1770"/>
      <c r="AZ17" s="1771"/>
      <c r="BA17" s="1719">
        <v>144</v>
      </c>
      <c r="BB17" s="873">
        <v>0.18</v>
      </c>
      <c r="BC17" s="873">
        <v>0.125</v>
      </c>
      <c r="BD17" s="912">
        <v>11</v>
      </c>
      <c r="BE17" s="913">
        <v>7.6</v>
      </c>
      <c r="BF17" s="913">
        <v>261</v>
      </c>
      <c r="BG17" s="1779">
        <v>0.69890410958904103</v>
      </c>
      <c r="BH17" s="913">
        <v>2</v>
      </c>
      <c r="BI17" s="913">
        <v>35</v>
      </c>
      <c r="BJ17" s="1767">
        <v>40</v>
      </c>
      <c r="BK17" s="1040">
        <v>4</v>
      </c>
      <c r="BL17" s="913">
        <v>1770</v>
      </c>
      <c r="BM17" s="915">
        <v>7.08</v>
      </c>
      <c r="BN17" s="1768">
        <v>0.14705882352941177</v>
      </c>
      <c r="BO17" s="914">
        <v>2.6666666666666665</v>
      </c>
      <c r="BP17" s="915">
        <v>55.1</v>
      </c>
      <c r="BQ17" s="914">
        <v>0.90909090909090917</v>
      </c>
      <c r="BR17" s="914">
        <v>12.477313974591651</v>
      </c>
      <c r="BS17" s="914">
        <v>0</v>
      </c>
      <c r="BT17" s="914">
        <v>12.477313974591651</v>
      </c>
      <c r="BU17" s="915">
        <v>1630</v>
      </c>
      <c r="BV17" s="915">
        <v>0</v>
      </c>
      <c r="BW17" s="1041">
        <v>20.338021778584391</v>
      </c>
      <c r="BX17" s="914">
        <v>15</v>
      </c>
      <c r="BY17" s="914">
        <v>8.25</v>
      </c>
      <c r="BZ17" s="915">
        <v>1340</v>
      </c>
      <c r="CA17" s="1041">
        <v>11.055</v>
      </c>
      <c r="CB17" s="1040">
        <v>21.738588235294124</v>
      </c>
      <c r="CC17" s="915">
        <v>51.477313974591652</v>
      </c>
      <c r="CD17" s="915">
        <v>402.08301296320769</v>
      </c>
      <c r="CE17" s="915" t="s">
        <v>785</v>
      </c>
      <c r="CF17" s="915" t="s">
        <v>785</v>
      </c>
      <c r="CG17" s="915" t="s">
        <v>785</v>
      </c>
      <c r="CH17" s="915">
        <v>48</v>
      </c>
      <c r="CI17" s="915">
        <v>430</v>
      </c>
      <c r="CJ17" s="1041">
        <v>20.477499999999999</v>
      </c>
      <c r="CK17" s="915">
        <v>270.02258823529417</v>
      </c>
      <c r="CL17" s="915">
        <v>52.63559649911641</v>
      </c>
      <c r="CM17" s="915">
        <v>-2</v>
      </c>
      <c r="CN17" s="915">
        <v>58.129862745098052</v>
      </c>
      <c r="CO17" s="915">
        <v>450</v>
      </c>
      <c r="CP17" s="1041">
        <v>26.162694659925396</v>
      </c>
      <c r="CQ17" s="913">
        <v>1.5</v>
      </c>
      <c r="CR17" s="915">
        <v>30</v>
      </c>
      <c r="CS17" s="1041">
        <v>7.9350078082191775</v>
      </c>
      <c r="CU17" s="1719">
        <f t="shared" si="8"/>
        <v>0</v>
      </c>
      <c r="CV17" s="873">
        <f t="shared" si="14"/>
        <v>0</v>
      </c>
      <c r="CW17" s="873">
        <f t="shared" si="15"/>
        <v>0</v>
      </c>
      <c r="CX17" s="912">
        <f t="shared" si="16"/>
        <v>0</v>
      </c>
      <c r="CY17" s="913">
        <f t="shared" si="17"/>
        <v>0</v>
      </c>
      <c r="CZ17" s="913">
        <f t="shared" si="18"/>
        <v>0</v>
      </c>
      <c r="DA17" s="1779">
        <f t="shared" si="19"/>
        <v>0</v>
      </c>
      <c r="DB17" s="913">
        <f t="shared" si="20"/>
        <v>0</v>
      </c>
      <c r="DC17" s="913">
        <f t="shared" si="21"/>
        <v>0</v>
      </c>
      <c r="DD17" s="1767">
        <f t="shared" si="22"/>
        <v>0</v>
      </c>
      <c r="DE17" s="1040">
        <f t="shared" si="23"/>
        <v>0</v>
      </c>
      <c r="DF17" s="913">
        <f t="shared" si="24"/>
        <v>0</v>
      </c>
      <c r="DG17" s="915">
        <f t="shared" si="25"/>
        <v>0</v>
      </c>
      <c r="DH17" s="1768">
        <f t="shared" si="26"/>
        <v>0</v>
      </c>
      <c r="DI17" s="914">
        <f t="shared" si="27"/>
        <v>0</v>
      </c>
      <c r="DJ17" s="915">
        <f t="shared" si="28"/>
        <v>0</v>
      </c>
      <c r="DK17" s="914">
        <f t="shared" si="29"/>
        <v>0</v>
      </c>
      <c r="DL17" s="914">
        <f t="shared" si="30"/>
        <v>0</v>
      </c>
      <c r="DM17" s="914">
        <f t="shared" si="31"/>
        <v>0</v>
      </c>
      <c r="DN17" s="914">
        <f t="shared" si="32"/>
        <v>0</v>
      </c>
      <c r="DO17" s="915">
        <f t="shared" si="33"/>
        <v>0</v>
      </c>
      <c r="DP17" s="915">
        <f t="shared" si="34"/>
        <v>0</v>
      </c>
      <c r="DQ17" s="1041">
        <f t="shared" si="9"/>
        <v>0</v>
      </c>
      <c r="DR17" s="914">
        <f t="shared" si="10"/>
        <v>0</v>
      </c>
      <c r="DS17" s="914">
        <f t="shared" si="11"/>
        <v>0</v>
      </c>
      <c r="DT17" s="915">
        <f t="shared" si="12"/>
        <v>0</v>
      </c>
      <c r="DU17" s="1041">
        <f t="shared" si="13"/>
        <v>0</v>
      </c>
      <c r="DV17" s="1040">
        <f t="shared" si="1"/>
        <v>0</v>
      </c>
      <c r="DW17" s="915">
        <f t="shared" si="1"/>
        <v>0</v>
      </c>
      <c r="DX17" s="915">
        <f t="shared" si="1"/>
        <v>0</v>
      </c>
      <c r="DY17" s="915" t="e">
        <f t="shared" si="1"/>
        <v>#VALUE!</v>
      </c>
      <c r="DZ17" s="915" t="e">
        <f t="shared" si="1"/>
        <v>#VALUE!</v>
      </c>
      <c r="EA17" s="915" t="e">
        <f t="shared" si="1"/>
        <v>#VALUE!</v>
      </c>
      <c r="EB17" s="915">
        <f t="shared" si="1"/>
        <v>0</v>
      </c>
      <c r="EC17" s="915">
        <f t="shared" si="1"/>
        <v>0</v>
      </c>
      <c r="ED17" s="1041">
        <f t="shared" si="1"/>
        <v>0</v>
      </c>
      <c r="EE17" s="915">
        <f t="shared" si="1"/>
        <v>0</v>
      </c>
      <c r="EF17" s="915">
        <f t="shared" si="1"/>
        <v>0</v>
      </c>
      <c r="EG17" s="915">
        <f t="shared" si="2"/>
        <v>0</v>
      </c>
      <c r="EH17" s="915">
        <f t="shared" si="3"/>
        <v>0</v>
      </c>
      <c r="EI17" s="915">
        <f t="shared" si="4"/>
        <v>-220</v>
      </c>
      <c r="EJ17" s="1041">
        <f t="shared" si="5"/>
        <v>-12.537142249127848</v>
      </c>
      <c r="EK17" s="913">
        <f t="shared" si="5"/>
        <v>0</v>
      </c>
      <c r="EL17" s="915">
        <f t="shared" si="6"/>
        <v>0</v>
      </c>
      <c r="EM17" s="1041">
        <f t="shared" si="7"/>
        <v>0</v>
      </c>
    </row>
    <row r="18" spans="1:143">
      <c r="A18" s="885">
        <f>Eingabedaten!A22</f>
        <v>4.5</v>
      </c>
      <c r="B18" s="1536" t="str">
        <f>Eingabedaten!C22</f>
        <v>Schulfachraum (Spezialraum)</v>
      </c>
      <c r="C18" s="1780">
        <v>70</v>
      </c>
      <c r="D18" s="886">
        <v>0.18</v>
      </c>
      <c r="E18" s="886">
        <v>0.125</v>
      </c>
      <c r="F18" s="1758">
        <v>11</v>
      </c>
      <c r="G18" s="1759">
        <v>7.6</v>
      </c>
      <c r="H18" s="1759">
        <v>261</v>
      </c>
      <c r="I18" s="1781">
        <v>0.69890410958904103</v>
      </c>
      <c r="J18" s="1759">
        <v>5</v>
      </c>
      <c r="K18" s="1759">
        <v>14</v>
      </c>
      <c r="L18" s="1760">
        <v>16</v>
      </c>
      <c r="M18" s="1774">
        <v>4</v>
      </c>
      <c r="N18" s="1759">
        <v>1770</v>
      </c>
      <c r="O18" s="1762">
        <v>7.08</v>
      </c>
      <c r="P18" s="1775">
        <v>0.25210084033613445</v>
      </c>
      <c r="Q18" s="1761">
        <v>1.8300653594771241</v>
      </c>
      <c r="R18" s="1762">
        <v>55.1</v>
      </c>
      <c r="S18" s="1761">
        <v>0.80831408775981517</v>
      </c>
      <c r="T18" s="1761">
        <v>14.032927145449831</v>
      </c>
      <c r="U18" s="1761">
        <v>0</v>
      </c>
      <c r="V18" s="1761">
        <v>14.032927145449831</v>
      </c>
      <c r="W18" s="1762">
        <v>1180</v>
      </c>
      <c r="X18" s="1762">
        <v>0</v>
      </c>
      <c r="Y18" s="1776">
        <v>16.558854031630801</v>
      </c>
      <c r="Z18" s="1761">
        <v>6</v>
      </c>
      <c r="AA18" s="1761">
        <v>2.04</v>
      </c>
      <c r="AB18" s="1762">
        <v>1340</v>
      </c>
      <c r="AC18" s="1776">
        <v>2.7336</v>
      </c>
      <c r="AD18" s="1774">
        <v>25.535294117647062</v>
      </c>
      <c r="AE18" s="1762">
        <v>32.032927145449833</v>
      </c>
      <c r="AF18" s="1762">
        <v>174.28902965911371</v>
      </c>
      <c r="AG18" s="1762" t="s">
        <v>1260</v>
      </c>
      <c r="AH18" s="1762" t="s">
        <v>1259</v>
      </c>
      <c r="AI18" s="1762" t="s">
        <v>1259</v>
      </c>
      <c r="AJ18" s="1762">
        <v>34</v>
      </c>
      <c r="AK18" s="1762">
        <v>310</v>
      </c>
      <c r="AL18" s="1776">
        <v>10.626857142857142</v>
      </c>
      <c r="AM18" s="1762">
        <v>88.158823529411777</v>
      </c>
      <c r="AN18" s="1762">
        <v>84.483886034563284</v>
      </c>
      <c r="AO18" s="1762">
        <v>-2</v>
      </c>
      <c r="AP18" s="1762">
        <v>39.041764705882358</v>
      </c>
      <c r="AQ18" s="1762">
        <v>700</v>
      </c>
      <c r="AR18" s="1776">
        <v>27.349684338571791</v>
      </c>
      <c r="AS18" s="1759">
        <v>1.5</v>
      </c>
      <c r="AT18" s="1762">
        <v>30</v>
      </c>
      <c r="AU18" s="1776">
        <v>3.1740031232876711</v>
      </c>
      <c r="AW18" s="1776">
        <f>Eingabedaten!AK22*Res_Std!O18</f>
        <v>35.4</v>
      </c>
      <c r="AX18" s="1769"/>
      <c r="AY18" s="1770"/>
      <c r="AZ18" s="1771"/>
      <c r="BA18" s="1780">
        <v>70</v>
      </c>
      <c r="BB18" s="886">
        <v>0.18</v>
      </c>
      <c r="BC18" s="886">
        <v>0.125</v>
      </c>
      <c r="BD18" s="1758">
        <v>11</v>
      </c>
      <c r="BE18" s="1759">
        <v>7.6</v>
      </c>
      <c r="BF18" s="1759">
        <v>261</v>
      </c>
      <c r="BG18" s="1781">
        <v>0.69890410958904103</v>
      </c>
      <c r="BH18" s="1759">
        <v>5</v>
      </c>
      <c r="BI18" s="1759">
        <v>14</v>
      </c>
      <c r="BJ18" s="1760">
        <v>16</v>
      </c>
      <c r="BK18" s="1774">
        <v>4</v>
      </c>
      <c r="BL18" s="1759">
        <v>1770</v>
      </c>
      <c r="BM18" s="1762">
        <v>7.08</v>
      </c>
      <c r="BN18" s="1775">
        <v>0.25210084033613445</v>
      </c>
      <c r="BO18" s="1761">
        <v>1.8300653594771241</v>
      </c>
      <c r="BP18" s="1762">
        <v>55.1</v>
      </c>
      <c r="BQ18" s="1761">
        <v>0.80831408775981517</v>
      </c>
      <c r="BR18" s="1761">
        <v>14.032927145449831</v>
      </c>
      <c r="BS18" s="1761">
        <v>0</v>
      </c>
      <c r="BT18" s="1761">
        <v>14.032927145449831</v>
      </c>
      <c r="BU18" s="1762">
        <v>1180</v>
      </c>
      <c r="BV18" s="1762">
        <v>0</v>
      </c>
      <c r="BW18" s="1776">
        <v>16.558854031630801</v>
      </c>
      <c r="BX18" s="1761">
        <v>6</v>
      </c>
      <c r="BY18" s="1761">
        <v>3.3000000000000003</v>
      </c>
      <c r="BZ18" s="1762">
        <v>1550</v>
      </c>
      <c r="CA18" s="1776">
        <v>5.1150000000000002</v>
      </c>
      <c r="CB18" s="1774">
        <v>25.535294117647062</v>
      </c>
      <c r="CC18" s="1762">
        <v>32.032927145449833</v>
      </c>
      <c r="CD18" s="1762">
        <v>174.28902965911371</v>
      </c>
      <c r="CE18" s="1762" t="s">
        <v>784</v>
      </c>
      <c r="CF18" s="1762" t="s">
        <v>785</v>
      </c>
      <c r="CG18" s="1762" t="s">
        <v>785</v>
      </c>
      <c r="CH18" s="1762">
        <v>34</v>
      </c>
      <c r="CI18" s="1762">
        <v>310</v>
      </c>
      <c r="CJ18" s="1776">
        <v>10.626857142857142</v>
      </c>
      <c r="CK18" s="1762">
        <v>88.158823529411777</v>
      </c>
      <c r="CL18" s="1762">
        <v>84.483886034563284</v>
      </c>
      <c r="CM18" s="1762">
        <v>-2</v>
      </c>
      <c r="CN18" s="1762">
        <v>39.041764705882358</v>
      </c>
      <c r="CO18" s="1762">
        <v>940</v>
      </c>
      <c r="CP18" s="1776">
        <v>36.620444278145918</v>
      </c>
      <c r="CQ18" s="1759">
        <v>1.5</v>
      </c>
      <c r="CR18" s="1762">
        <v>30</v>
      </c>
      <c r="CS18" s="1776">
        <v>3.1740031232876711</v>
      </c>
      <c r="CU18" s="1780">
        <f t="shared" si="8"/>
        <v>0</v>
      </c>
      <c r="CV18" s="886">
        <f t="shared" si="14"/>
        <v>0</v>
      </c>
      <c r="CW18" s="886">
        <f t="shared" si="15"/>
        <v>0</v>
      </c>
      <c r="CX18" s="1758">
        <f t="shared" si="16"/>
        <v>0</v>
      </c>
      <c r="CY18" s="1759">
        <f t="shared" si="17"/>
        <v>0</v>
      </c>
      <c r="CZ18" s="1759">
        <f t="shared" si="18"/>
        <v>0</v>
      </c>
      <c r="DA18" s="1781">
        <f t="shared" si="19"/>
        <v>0</v>
      </c>
      <c r="DB18" s="1759">
        <f t="shared" si="20"/>
        <v>0</v>
      </c>
      <c r="DC18" s="1759">
        <f t="shared" si="21"/>
        <v>0</v>
      </c>
      <c r="DD18" s="1760">
        <f t="shared" si="22"/>
        <v>0</v>
      </c>
      <c r="DE18" s="1774">
        <f t="shared" si="23"/>
        <v>0</v>
      </c>
      <c r="DF18" s="1759">
        <f t="shared" si="24"/>
        <v>0</v>
      </c>
      <c r="DG18" s="1762">
        <f t="shared" si="25"/>
        <v>0</v>
      </c>
      <c r="DH18" s="1775">
        <f t="shared" si="26"/>
        <v>0</v>
      </c>
      <c r="DI18" s="1761">
        <f t="shared" si="27"/>
        <v>0</v>
      </c>
      <c r="DJ18" s="1762">
        <f t="shared" si="28"/>
        <v>0</v>
      </c>
      <c r="DK18" s="1761">
        <f t="shared" si="29"/>
        <v>0</v>
      </c>
      <c r="DL18" s="1761">
        <f t="shared" si="30"/>
        <v>0</v>
      </c>
      <c r="DM18" s="1761">
        <f t="shared" si="31"/>
        <v>0</v>
      </c>
      <c r="DN18" s="1761">
        <f t="shared" si="32"/>
        <v>0</v>
      </c>
      <c r="DO18" s="1762">
        <f t="shared" si="33"/>
        <v>0</v>
      </c>
      <c r="DP18" s="1762">
        <f t="shared" si="34"/>
        <v>0</v>
      </c>
      <c r="DQ18" s="1776">
        <f t="shared" si="9"/>
        <v>0</v>
      </c>
      <c r="DR18" s="1761">
        <f t="shared" si="10"/>
        <v>0</v>
      </c>
      <c r="DS18" s="1761">
        <f t="shared" si="11"/>
        <v>-1.2600000000000002</v>
      </c>
      <c r="DT18" s="1762">
        <f t="shared" si="12"/>
        <v>-210</v>
      </c>
      <c r="DU18" s="1776">
        <f t="shared" si="13"/>
        <v>-2.3814000000000002</v>
      </c>
      <c r="DV18" s="1774">
        <f t="shared" si="1"/>
        <v>0</v>
      </c>
      <c r="DW18" s="1762">
        <f t="shared" si="1"/>
        <v>0</v>
      </c>
      <c r="DX18" s="1762">
        <f t="shared" si="1"/>
        <v>0</v>
      </c>
      <c r="DY18" s="1762" t="e">
        <f t="shared" si="1"/>
        <v>#VALUE!</v>
      </c>
      <c r="DZ18" s="1762" t="e">
        <f t="shared" si="1"/>
        <v>#VALUE!</v>
      </c>
      <c r="EA18" s="1762" t="e">
        <f t="shared" si="1"/>
        <v>#VALUE!</v>
      </c>
      <c r="EB18" s="1762">
        <f t="shared" si="1"/>
        <v>0</v>
      </c>
      <c r="EC18" s="1762">
        <f t="shared" si="1"/>
        <v>0</v>
      </c>
      <c r="ED18" s="1776">
        <f t="shared" si="1"/>
        <v>0</v>
      </c>
      <c r="EE18" s="1762">
        <f t="shared" si="1"/>
        <v>0</v>
      </c>
      <c r="EF18" s="1762">
        <f t="shared" si="1"/>
        <v>0</v>
      </c>
      <c r="EG18" s="1762">
        <f t="shared" si="2"/>
        <v>0</v>
      </c>
      <c r="EH18" s="1762">
        <f t="shared" si="3"/>
        <v>0</v>
      </c>
      <c r="EI18" s="1762">
        <f t="shared" si="4"/>
        <v>-240</v>
      </c>
      <c r="EJ18" s="1776">
        <f t="shared" si="5"/>
        <v>-9.2707599395741269</v>
      </c>
      <c r="EK18" s="1759">
        <f t="shared" si="5"/>
        <v>0</v>
      </c>
      <c r="EL18" s="1762">
        <f t="shared" si="6"/>
        <v>0</v>
      </c>
      <c r="EM18" s="1776">
        <f t="shared" si="7"/>
        <v>0</v>
      </c>
    </row>
    <row r="19" spans="1:143">
      <c r="A19" s="887">
        <f>Eingabedaten!A23</f>
        <v>5.0999999999999996</v>
      </c>
      <c r="B19" s="1782" t="str">
        <f>Eingabedaten!C23</f>
        <v>Lebensmittelverkauf</v>
      </c>
      <c r="C19" s="1719">
        <v>400</v>
      </c>
      <c r="D19" s="873">
        <v>0.18</v>
      </c>
      <c r="E19" s="873">
        <v>0.12</v>
      </c>
      <c r="F19" s="912">
        <v>13</v>
      </c>
      <c r="G19" s="913">
        <v>6.6</v>
      </c>
      <c r="H19" s="913">
        <v>313</v>
      </c>
      <c r="I19" s="913">
        <v>0.80000000000000016</v>
      </c>
      <c r="J19" s="913">
        <v>8</v>
      </c>
      <c r="K19" s="913">
        <v>8.8000000000000007</v>
      </c>
      <c r="L19" s="1772">
        <v>10</v>
      </c>
      <c r="M19" s="1040">
        <v>100</v>
      </c>
      <c r="N19" s="913">
        <v>4010</v>
      </c>
      <c r="O19" s="1039">
        <v>401</v>
      </c>
      <c r="P19" s="1779">
        <v>0.11764705882352942</v>
      </c>
      <c r="Q19" s="914">
        <v>2.5316455696202533</v>
      </c>
      <c r="R19" s="915">
        <v>45.1</v>
      </c>
      <c r="S19" s="914">
        <v>0.89605734767025091</v>
      </c>
      <c r="T19" s="914">
        <v>9.2793791574279378</v>
      </c>
      <c r="U19" s="914">
        <v>12</v>
      </c>
      <c r="V19" s="914">
        <v>21.27937915742794</v>
      </c>
      <c r="W19" s="915">
        <v>2670</v>
      </c>
      <c r="X19" s="915">
        <v>3260</v>
      </c>
      <c r="Y19" s="1039">
        <v>63.895942350332589</v>
      </c>
      <c r="Z19" s="914">
        <v>3.75</v>
      </c>
      <c r="AA19" s="914">
        <v>2.0625</v>
      </c>
      <c r="AB19" s="915">
        <v>1400</v>
      </c>
      <c r="AC19" s="1039">
        <v>2.8875000000000002</v>
      </c>
      <c r="AD19" s="1040">
        <v>12.960470588235296</v>
      </c>
      <c r="AE19" s="915">
        <v>20.079379157427937</v>
      </c>
      <c r="AF19" s="915">
        <v>132.21454428368259</v>
      </c>
      <c r="AG19" s="915" t="s">
        <v>1260</v>
      </c>
      <c r="AH19" s="915" t="s">
        <v>1259</v>
      </c>
      <c r="AI19" s="915" t="s">
        <v>1259</v>
      </c>
      <c r="AJ19" s="915">
        <v>21</v>
      </c>
      <c r="AK19" s="915">
        <v>840</v>
      </c>
      <c r="AL19" s="1039">
        <v>17.561299999999999</v>
      </c>
      <c r="AM19" s="915">
        <v>304.69019607843143</v>
      </c>
      <c r="AN19" s="915">
        <v>127.21118204283358</v>
      </c>
      <c r="AO19" s="915">
        <v>-1</v>
      </c>
      <c r="AP19" s="915">
        <v>22.090039215686279</v>
      </c>
      <c r="AQ19" s="915">
        <v>0</v>
      </c>
      <c r="AR19" s="1039">
        <v>1.5323343832698658E-2</v>
      </c>
      <c r="AS19" s="913">
        <v>1.5</v>
      </c>
      <c r="AT19" s="915">
        <v>30</v>
      </c>
      <c r="AU19" s="1039">
        <v>2.7231000000000005</v>
      </c>
      <c r="AW19" s="1041">
        <f>Eingabedaten!AK23*Res_Std!O19</f>
        <v>3208</v>
      </c>
      <c r="AX19" s="1769"/>
      <c r="AY19" s="1770"/>
      <c r="AZ19" s="1771"/>
      <c r="BA19" s="1719">
        <v>400</v>
      </c>
      <c r="BB19" s="873">
        <v>0.18</v>
      </c>
      <c r="BC19" s="873">
        <v>0.12</v>
      </c>
      <c r="BD19" s="912">
        <v>13</v>
      </c>
      <c r="BE19" s="913">
        <v>6.6</v>
      </c>
      <c r="BF19" s="913">
        <v>313</v>
      </c>
      <c r="BG19" s="913">
        <v>0.80000000000000016</v>
      </c>
      <c r="BH19" s="913">
        <v>8</v>
      </c>
      <c r="BI19" s="913">
        <v>8.8000000000000007</v>
      </c>
      <c r="BJ19" s="1772">
        <v>10</v>
      </c>
      <c r="BK19" s="1040">
        <v>50</v>
      </c>
      <c r="BL19" s="913">
        <v>3630</v>
      </c>
      <c r="BM19" s="1039">
        <v>181.5</v>
      </c>
      <c r="BN19" s="1779">
        <v>0.11764705882352942</v>
      </c>
      <c r="BO19" s="914">
        <v>2.5316455696202533</v>
      </c>
      <c r="BP19" s="915">
        <v>45.1</v>
      </c>
      <c r="BQ19" s="914">
        <v>0.89605734767025091</v>
      </c>
      <c r="BR19" s="914">
        <v>9.2793791574279378</v>
      </c>
      <c r="BS19" s="914">
        <v>12</v>
      </c>
      <c r="BT19" s="914">
        <v>21.27937915742794</v>
      </c>
      <c r="BU19" s="915">
        <v>2670</v>
      </c>
      <c r="BV19" s="915">
        <v>3260</v>
      </c>
      <c r="BW19" s="1039">
        <v>63.895942350332589</v>
      </c>
      <c r="BX19" s="914">
        <v>3.75</v>
      </c>
      <c r="BY19" s="914">
        <v>2.0625</v>
      </c>
      <c r="BZ19" s="915">
        <v>3760</v>
      </c>
      <c r="CA19" s="1039">
        <v>7.7549999999999999</v>
      </c>
      <c r="CB19" s="1040">
        <v>12.960470588235296</v>
      </c>
      <c r="CC19" s="915">
        <v>20.079379157427937</v>
      </c>
      <c r="CD19" s="915">
        <v>143.21454428368259</v>
      </c>
      <c r="CE19" s="915" t="s">
        <v>784</v>
      </c>
      <c r="CF19" s="915" t="s">
        <v>785</v>
      </c>
      <c r="CG19" s="915" t="s">
        <v>785</v>
      </c>
      <c r="CH19" s="915">
        <v>21</v>
      </c>
      <c r="CI19" s="915">
        <v>840</v>
      </c>
      <c r="CJ19" s="1039">
        <v>17.561299999999999</v>
      </c>
      <c r="CK19" s="915">
        <v>304.69019607843143</v>
      </c>
      <c r="CL19" s="915">
        <v>127.21118204283358</v>
      </c>
      <c r="CM19" s="915">
        <v>-1</v>
      </c>
      <c r="CN19" s="915">
        <v>22.090039215686279</v>
      </c>
      <c r="CO19" s="915">
        <v>130</v>
      </c>
      <c r="CP19" s="1039">
        <v>2.9489096558496928</v>
      </c>
      <c r="CQ19" s="913">
        <v>1.5</v>
      </c>
      <c r="CR19" s="915">
        <v>30</v>
      </c>
      <c r="CS19" s="1039">
        <v>2.7231000000000005</v>
      </c>
      <c r="CU19" s="1719">
        <f t="shared" si="8"/>
        <v>0</v>
      </c>
      <c r="CV19" s="873">
        <f t="shared" si="14"/>
        <v>0</v>
      </c>
      <c r="CW19" s="873">
        <f t="shared" si="15"/>
        <v>0</v>
      </c>
      <c r="CX19" s="912">
        <f t="shared" si="16"/>
        <v>0</v>
      </c>
      <c r="CY19" s="913">
        <f t="shared" si="17"/>
        <v>0</v>
      </c>
      <c r="CZ19" s="913">
        <f t="shared" si="18"/>
        <v>0</v>
      </c>
      <c r="DA19" s="913">
        <f t="shared" si="19"/>
        <v>0</v>
      </c>
      <c r="DB19" s="913">
        <f t="shared" si="20"/>
        <v>0</v>
      </c>
      <c r="DC19" s="913">
        <f t="shared" si="21"/>
        <v>0</v>
      </c>
      <c r="DD19" s="1772">
        <f t="shared" si="22"/>
        <v>0</v>
      </c>
      <c r="DE19" s="1040">
        <f t="shared" si="23"/>
        <v>50</v>
      </c>
      <c r="DF19" s="913">
        <f t="shared" si="24"/>
        <v>380</v>
      </c>
      <c r="DG19" s="1039">
        <f t="shared" si="25"/>
        <v>219.5</v>
      </c>
      <c r="DH19" s="1779">
        <f t="shared" si="26"/>
        <v>0</v>
      </c>
      <c r="DI19" s="914">
        <f t="shared" si="27"/>
        <v>0</v>
      </c>
      <c r="DJ19" s="915">
        <f t="shared" si="28"/>
        <v>0</v>
      </c>
      <c r="DK19" s="914">
        <f t="shared" si="29"/>
        <v>0</v>
      </c>
      <c r="DL19" s="914">
        <f t="shared" si="30"/>
        <v>0</v>
      </c>
      <c r="DM19" s="914">
        <f t="shared" si="31"/>
        <v>0</v>
      </c>
      <c r="DN19" s="914">
        <f t="shared" si="32"/>
        <v>0</v>
      </c>
      <c r="DO19" s="915">
        <f t="shared" si="33"/>
        <v>0</v>
      </c>
      <c r="DP19" s="915">
        <f t="shared" si="34"/>
        <v>0</v>
      </c>
      <c r="DQ19" s="1039">
        <f t="shared" si="9"/>
        <v>0</v>
      </c>
      <c r="DR19" s="914">
        <f t="shared" si="10"/>
        <v>0</v>
      </c>
      <c r="DS19" s="914">
        <f t="shared" si="11"/>
        <v>0</v>
      </c>
      <c r="DT19" s="915">
        <f t="shared" si="12"/>
        <v>-2360</v>
      </c>
      <c r="DU19" s="1039">
        <f t="shared" si="13"/>
        <v>-4.8674999999999997</v>
      </c>
      <c r="DV19" s="1040">
        <f t="shared" si="1"/>
        <v>0</v>
      </c>
      <c r="DW19" s="915">
        <f t="shared" si="1"/>
        <v>0</v>
      </c>
      <c r="DX19" s="915">
        <f t="shared" si="1"/>
        <v>-11</v>
      </c>
      <c r="DY19" s="915" t="e">
        <f t="shared" si="1"/>
        <v>#VALUE!</v>
      </c>
      <c r="DZ19" s="915" t="e">
        <f t="shared" si="1"/>
        <v>#VALUE!</v>
      </c>
      <c r="EA19" s="915" t="e">
        <f t="shared" si="1"/>
        <v>#VALUE!</v>
      </c>
      <c r="EB19" s="915">
        <f t="shared" si="1"/>
        <v>0</v>
      </c>
      <c r="EC19" s="915">
        <f t="shared" si="1"/>
        <v>0</v>
      </c>
      <c r="ED19" s="1039">
        <f t="shared" si="1"/>
        <v>0</v>
      </c>
      <c r="EE19" s="915">
        <f t="shared" si="1"/>
        <v>0</v>
      </c>
      <c r="EF19" s="915">
        <f t="shared" si="1"/>
        <v>0</v>
      </c>
      <c r="EG19" s="915">
        <f t="shared" si="2"/>
        <v>0</v>
      </c>
      <c r="EH19" s="915">
        <f t="shared" si="3"/>
        <v>0</v>
      </c>
      <c r="EI19" s="915">
        <f t="shared" si="4"/>
        <v>-130</v>
      </c>
      <c r="EJ19" s="1039">
        <f t="shared" si="5"/>
        <v>-2.933586312016994</v>
      </c>
      <c r="EK19" s="913">
        <f t="shared" si="5"/>
        <v>0</v>
      </c>
      <c r="EL19" s="915">
        <f t="shared" si="6"/>
        <v>0</v>
      </c>
      <c r="EM19" s="1039">
        <f t="shared" si="7"/>
        <v>0</v>
      </c>
    </row>
    <row r="20" spans="1:143">
      <c r="A20" s="882">
        <f>Eingabedaten!A24</f>
        <v>5.2</v>
      </c>
      <c r="B20" s="1013" t="str">
        <f>Eingabedaten!C24</f>
        <v>Fachgeschäft</v>
      </c>
      <c r="C20" s="1719">
        <v>400</v>
      </c>
      <c r="D20" s="873">
        <v>0.18</v>
      </c>
      <c r="E20" s="873">
        <v>0.12</v>
      </c>
      <c r="F20" s="912">
        <v>13</v>
      </c>
      <c r="G20" s="913">
        <v>6.6</v>
      </c>
      <c r="H20" s="913">
        <v>313</v>
      </c>
      <c r="I20" s="913">
        <v>0.80000000000000016</v>
      </c>
      <c r="J20" s="913">
        <v>8</v>
      </c>
      <c r="K20" s="913">
        <v>8.8000000000000007</v>
      </c>
      <c r="L20" s="1767">
        <v>10</v>
      </c>
      <c r="M20" s="1040">
        <v>2</v>
      </c>
      <c r="N20" s="913">
        <v>3630</v>
      </c>
      <c r="O20" s="915">
        <v>7.26</v>
      </c>
      <c r="P20" s="1768">
        <v>0.11764705882352942</v>
      </c>
      <c r="Q20" s="914">
        <v>2.5316455696202533</v>
      </c>
      <c r="R20" s="915">
        <v>45.1</v>
      </c>
      <c r="S20" s="914">
        <v>0.89605734767025091</v>
      </c>
      <c r="T20" s="914">
        <v>9.2793791574279378</v>
      </c>
      <c r="U20" s="914">
        <v>24</v>
      </c>
      <c r="V20" s="914">
        <v>33.27937915742794</v>
      </c>
      <c r="W20" s="915">
        <v>2670</v>
      </c>
      <c r="X20" s="915">
        <v>3260</v>
      </c>
      <c r="Y20" s="1041">
        <v>103.01594235033259</v>
      </c>
      <c r="Z20" s="914">
        <v>3.75</v>
      </c>
      <c r="AA20" s="914">
        <v>2.0625</v>
      </c>
      <c r="AB20" s="915">
        <v>1400</v>
      </c>
      <c r="AC20" s="1041">
        <v>2.8875000000000002</v>
      </c>
      <c r="AD20" s="1040">
        <v>12.960470588235296</v>
      </c>
      <c r="AE20" s="915">
        <v>44.079379157427937</v>
      </c>
      <c r="AF20" s="915">
        <v>468.41454428368252</v>
      </c>
      <c r="AG20" s="915" t="s">
        <v>1259</v>
      </c>
      <c r="AH20" s="915" t="s">
        <v>1259</v>
      </c>
      <c r="AI20" s="915" t="s">
        <v>1259</v>
      </c>
      <c r="AJ20" s="915">
        <v>41</v>
      </c>
      <c r="AK20" s="915">
        <v>2160</v>
      </c>
      <c r="AL20" s="1041">
        <v>88.573949999999996</v>
      </c>
      <c r="AM20" s="915">
        <v>304.69019607843143</v>
      </c>
      <c r="AN20" s="915">
        <v>127.21118204283358</v>
      </c>
      <c r="AO20" s="915">
        <v>-1</v>
      </c>
      <c r="AP20" s="915">
        <v>22.090039215686279</v>
      </c>
      <c r="AQ20" s="915">
        <v>60</v>
      </c>
      <c r="AR20" s="1041">
        <v>1.3785866660694908</v>
      </c>
      <c r="AS20" s="913">
        <v>1.5</v>
      </c>
      <c r="AT20" s="915">
        <v>30</v>
      </c>
      <c r="AU20" s="1041">
        <v>2.7231000000000005</v>
      </c>
      <c r="AW20" s="1041">
        <f>Eingabedaten!AK24*Res_Std!O20</f>
        <v>58.08</v>
      </c>
      <c r="AX20" s="1769"/>
      <c r="AY20" s="1770"/>
      <c r="AZ20" s="1771"/>
      <c r="BA20" s="1719">
        <v>400</v>
      </c>
      <c r="BB20" s="873">
        <v>0.18</v>
      </c>
      <c r="BC20" s="873">
        <v>0.12</v>
      </c>
      <c r="BD20" s="912">
        <v>13</v>
      </c>
      <c r="BE20" s="913">
        <v>6.6</v>
      </c>
      <c r="BF20" s="913">
        <v>313</v>
      </c>
      <c r="BG20" s="913">
        <v>0.80000000000000016</v>
      </c>
      <c r="BH20" s="913">
        <v>8</v>
      </c>
      <c r="BI20" s="913">
        <v>8.8000000000000007</v>
      </c>
      <c r="BJ20" s="1767">
        <v>10</v>
      </c>
      <c r="BK20" s="1040">
        <v>2</v>
      </c>
      <c r="BL20" s="913">
        <v>3630</v>
      </c>
      <c r="BM20" s="915">
        <v>7.26</v>
      </c>
      <c r="BN20" s="1768">
        <v>0.11764705882352942</v>
      </c>
      <c r="BO20" s="914">
        <v>2.5316455696202533</v>
      </c>
      <c r="BP20" s="915">
        <v>45.1</v>
      </c>
      <c r="BQ20" s="914">
        <v>0.89605734767025091</v>
      </c>
      <c r="BR20" s="914">
        <v>9.2793791574279378</v>
      </c>
      <c r="BS20" s="914">
        <v>24</v>
      </c>
      <c r="BT20" s="914">
        <v>33.27937915742794</v>
      </c>
      <c r="BU20" s="915">
        <v>2670</v>
      </c>
      <c r="BV20" s="915">
        <v>3260</v>
      </c>
      <c r="BW20" s="1041">
        <v>103.01594235033259</v>
      </c>
      <c r="BX20" s="914">
        <v>3.75</v>
      </c>
      <c r="BY20" s="914">
        <v>2.0625</v>
      </c>
      <c r="BZ20" s="915">
        <v>3760</v>
      </c>
      <c r="CA20" s="1041">
        <v>7.7549999999999999</v>
      </c>
      <c r="CB20" s="1040">
        <v>12.960470588235296</v>
      </c>
      <c r="CC20" s="915">
        <v>44.079379157427937</v>
      </c>
      <c r="CD20" s="915">
        <v>468.41454428368252</v>
      </c>
      <c r="CE20" s="915" t="s">
        <v>785</v>
      </c>
      <c r="CF20" s="915" t="s">
        <v>785</v>
      </c>
      <c r="CG20" s="915" t="s">
        <v>785</v>
      </c>
      <c r="CH20" s="915">
        <v>41</v>
      </c>
      <c r="CI20" s="915">
        <v>2160</v>
      </c>
      <c r="CJ20" s="1041">
        <v>88.573949999999996</v>
      </c>
      <c r="CK20" s="915">
        <v>304.69019607843143</v>
      </c>
      <c r="CL20" s="915">
        <v>127.21118204283358</v>
      </c>
      <c r="CM20" s="915">
        <v>-1</v>
      </c>
      <c r="CN20" s="915">
        <v>22.090039215686279</v>
      </c>
      <c r="CO20" s="915">
        <v>350</v>
      </c>
      <c r="CP20" s="1041">
        <v>7.6608699042268507</v>
      </c>
      <c r="CQ20" s="913">
        <v>1.5</v>
      </c>
      <c r="CR20" s="915">
        <v>30</v>
      </c>
      <c r="CS20" s="1041">
        <v>2.7231000000000005</v>
      </c>
      <c r="CU20" s="1719">
        <f t="shared" si="8"/>
        <v>0</v>
      </c>
      <c r="CV20" s="873">
        <f t="shared" si="14"/>
        <v>0</v>
      </c>
      <c r="CW20" s="873">
        <f t="shared" si="15"/>
        <v>0</v>
      </c>
      <c r="CX20" s="912">
        <f t="shared" si="16"/>
        <v>0</v>
      </c>
      <c r="CY20" s="913">
        <f t="shared" si="17"/>
        <v>0</v>
      </c>
      <c r="CZ20" s="913">
        <f t="shared" si="18"/>
        <v>0</v>
      </c>
      <c r="DA20" s="913">
        <f t="shared" si="19"/>
        <v>0</v>
      </c>
      <c r="DB20" s="913">
        <f t="shared" si="20"/>
        <v>0</v>
      </c>
      <c r="DC20" s="913">
        <f t="shared" si="21"/>
        <v>0</v>
      </c>
      <c r="DD20" s="1767">
        <f t="shared" si="22"/>
        <v>0</v>
      </c>
      <c r="DE20" s="1040">
        <f t="shared" si="23"/>
        <v>0</v>
      </c>
      <c r="DF20" s="913">
        <f t="shared" si="24"/>
        <v>0</v>
      </c>
      <c r="DG20" s="915">
        <f t="shared" si="25"/>
        <v>0</v>
      </c>
      <c r="DH20" s="1768">
        <f t="shared" si="26"/>
        <v>0</v>
      </c>
      <c r="DI20" s="914">
        <f t="shared" si="27"/>
        <v>0</v>
      </c>
      <c r="DJ20" s="915">
        <f t="shared" si="28"/>
        <v>0</v>
      </c>
      <c r="DK20" s="914">
        <f t="shared" si="29"/>
        <v>0</v>
      </c>
      <c r="DL20" s="914">
        <f t="shared" si="30"/>
        <v>0</v>
      </c>
      <c r="DM20" s="914">
        <f t="shared" si="31"/>
        <v>0</v>
      </c>
      <c r="DN20" s="914">
        <f t="shared" si="32"/>
        <v>0</v>
      </c>
      <c r="DO20" s="915">
        <f t="shared" si="33"/>
        <v>0</v>
      </c>
      <c r="DP20" s="915">
        <f t="shared" si="34"/>
        <v>0</v>
      </c>
      <c r="DQ20" s="1041">
        <f t="shared" si="9"/>
        <v>0</v>
      </c>
      <c r="DR20" s="914">
        <f t="shared" si="10"/>
        <v>0</v>
      </c>
      <c r="DS20" s="914">
        <f t="shared" si="11"/>
        <v>0</v>
      </c>
      <c r="DT20" s="915">
        <f t="shared" si="12"/>
        <v>-2360</v>
      </c>
      <c r="DU20" s="1041">
        <f t="shared" si="13"/>
        <v>-4.8674999999999997</v>
      </c>
      <c r="DV20" s="1040">
        <f t="shared" si="1"/>
        <v>0</v>
      </c>
      <c r="DW20" s="915">
        <f t="shared" si="1"/>
        <v>0</v>
      </c>
      <c r="DX20" s="915">
        <f t="shared" si="1"/>
        <v>0</v>
      </c>
      <c r="DY20" s="915" t="e">
        <f t="shared" si="1"/>
        <v>#VALUE!</v>
      </c>
      <c r="DZ20" s="915" t="e">
        <f t="shared" si="1"/>
        <v>#VALUE!</v>
      </c>
      <c r="EA20" s="915" t="e">
        <f t="shared" si="1"/>
        <v>#VALUE!</v>
      </c>
      <c r="EB20" s="915">
        <f t="shared" si="1"/>
        <v>0</v>
      </c>
      <c r="EC20" s="915">
        <f t="shared" si="1"/>
        <v>0</v>
      </c>
      <c r="ED20" s="1041">
        <f t="shared" si="1"/>
        <v>0</v>
      </c>
      <c r="EE20" s="915">
        <f t="shared" si="1"/>
        <v>0</v>
      </c>
      <c r="EF20" s="915">
        <f t="shared" si="1"/>
        <v>0</v>
      </c>
      <c r="EG20" s="915">
        <f t="shared" si="2"/>
        <v>0</v>
      </c>
      <c r="EH20" s="915">
        <f t="shared" si="3"/>
        <v>0</v>
      </c>
      <c r="EI20" s="915">
        <f t="shared" si="4"/>
        <v>-290</v>
      </c>
      <c r="EJ20" s="1041">
        <f t="shared" si="5"/>
        <v>-6.2822832381573601</v>
      </c>
      <c r="EK20" s="913">
        <f t="shared" si="5"/>
        <v>0</v>
      </c>
      <c r="EL20" s="915">
        <f t="shared" si="6"/>
        <v>0</v>
      </c>
      <c r="EM20" s="1041">
        <f t="shared" si="7"/>
        <v>0</v>
      </c>
    </row>
    <row r="21" spans="1:143">
      <c r="A21" s="889">
        <f>Eingabedaten!A25</f>
        <v>5.3</v>
      </c>
      <c r="B21" s="1013" t="str">
        <f>Eingabedaten!C25</f>
        <v>Verkauf Möbel, Bau, Garten</v>
      </c>
      <c r="C21" s="1719">
        <v>400</v>
      </c>
      <c r="D21" s="873">
        <v>0.18</v>
      </c>
      <c r="E21" s="873">
        <v>0.12</v>
      </c>
      <c r="F21" s="912">
        <v>12</v>
      </c>
      <c r="G21" s="913">
        <v>6.1999999999999993</v>
      </c>
      <c r="H21" s="913">
        <v>313</v>
      </c>
      <c r="I21" s="913">
        <v>0.80000000000000016</v>
      </c>
      <c r="J21" s="913">
        <v>15</v>
      </c>
      <c r="K21" s="913">
        <v>4.7</v>
      </c>
      <c r="L21" s="1767">
        <v>5.5</v>
      </c>
      <c r="M21" s="1040">
        <v>2</v>
      </c>
      <c r="N21" s="913">
        <v>3410</v>
      </c>
      <c r="O21" s="915">
        <v>6.82</v>
      </c>
      <c r="P21" s="1768">
        <v>0.11764705882352942</v>
      </c>
      <c r="Q21" s="914">
        <v>2.5316455696202533</v>
      </c>
      <c r="R21" s="915">
        <v>45.1</v>
      </c>
      <c r="S21" s="914">
        <v>0.89605734767025091</v>
      </c>
      <c r="T21" s="914">
        <v>9.2793791574279378</v>
      </c>
      <c r="U21" s="914">
        <v>12</v>
      </c>
      <c r="V21" s="914">
        <v>21.27937915742794</v>
      </c>
      <c r="W21" s="915">
        <v>2420</v>
      </c>
      <c r="X21" s="915">
        <v>3000</v>
      </c>
      <c r="Y21" s="1041">
        <v>58.456097560975607</v>
      </c>
      <c r="Z21" s="914">
        <v>2</v>
      </c>
      <c r="AA21" s="914">
        <v>1.1000000000000001</v>
      </c>
      <c r="AB21" s="915">
        <v>1340</v>
      </c>
      <c r="AC21" s="1041">
        <v>1.4740000000000002</v>
      </c>
      <c r="AD21" s="1040">
        <v>11.952470588235297</v>
      </c>
      <c r="AE21" s="915">
        <v>27.979379157427939</v>
      </c>
      <c r="AF21" s="915">
        <v>269.67454428368251</v>
      </c>
      <c r="AG21" s="915" t="s">
        <v>1259</v>
      </c>
      <c r="AH21" s="915" t="s">
        <v>1259</v>
      </c>
      <c r="AI21" s="915" t="s">
        <v>1259</v>
      </c>
      <c r="AJ21" s="915">
        <v>27</v>
      </c>
      <c r="AK21" s="915">
        <v>1480</v>
      </c>
      <c r="AL21" s="1041">
        <v>39.898625000000003</v>
      </c>
      <c r="AM21" s="915">
        <v>237.49019607843138</v>
      </c>
      <c r="AN21" s="915">
        <v>163.20673712021136</v>
      </c>
      <c r="AO21" s="915">
        <v>-1</v>
      </c>
      <c r="AP21" s="915">
        <v>17.218039215686275</v>
      </c>
      <c r="AQ21" s="915">
        <v>200</v>
      </c>
      <c r="AR21" s="1041">
        <v>3.4744724998382597</v>
      </c>
      <c r="AS21" s="913">
        <v>1.5</v>
      </c>
      <c r="AT21" s="915">
        <v>30</v>
      </c>
      <c r="AU21" s="1041">
        <v>1.4523200000000003</v>
      </c>
      <c r="AW21" s="1041">
        <f>Eingabedaten!AK25*Res_Std!O21</f>
        <v>102.30000000000001</v>
      </c>
      <c r="AX21" s="1769"/>
      <c r="AY21" s="1770"/>
      <c r="AZ21" s="1771"/>
      <c r="BA21" s="1719">
        <v>400</v>
      </c>
      <c r="BB21" s="873">
        <v>0.18</v>
      </c>
      <c r="BC21" s="873">
        <v>0.12</v>
      </c>
      <c r="BD21" s="912">
        <v>12</v>
      </c>
      <c r="BE21" s="913">
        <v>6.1999999999999993</v>
      </c>
      <c r="BF21" s="913">
        <v>313</v>
      </c>
      <c r="BG21" s="913">
        <v>0.80000000000000016</v>
      </c>
      <c r="BH21" s="913">
        <v>15</v>
      </c>
      <c r="BI21" s="913">
        <v>4.7</v>
      </c>
      <c r="BJ21" s="1767">
        <v>5.5</v>
      </c>
      <c r="BK21" s="1040">
        <v>2</v>
      </c>
      <c r="BL21" s="913">
        <v>3410</v>
      </c>
      <c r="BM21" s="915">
        <v>6.82</v>
      </c>
      <c r="BN21" s="1768">
        <v>0.11764705882352942</v>
      </c>
      <c r="BO21" s="914">
        <v>2.5316455696202533</v>
      </c>
      <c r="BP21" s="915">
        <v>45.1</v>
      </c>
      <c r="BQ21" s="914">
        <v>0.89605734767025091</v>
      </c>
      <c r="BR21" s="914">
        <v>9.2793791574279378</v>
      </c>
      <c r="BS21" s="914">
        <v>12</v>
      </c>
      <c r="BT21" s="914">
        <v>21.27937915742794</v>
      </c>
      <c r="BU21" s="915">
        <v>2420</v>
      </c>
      <c r="BV21" s="915">
        <v>3000</v>
      </c>
      <c r="BW21" s="1041">
        <v>58.456097560975607</v>
      </c>
      <c r="BX21" s="914">
        <v>2</v>
      </c>
      <c r="BY21" s="914">
        <v>1.1000000000000001</v>
      </c>
      <c r="BZ21" s="915">
        <v>3510</v>
      </c>
      <c r="CA21" s="1041">
        <v>3.8610000000000007</v>
      </c>
      <c r="CB21" s="1040">
        <v>11.952470588235297</v>
      </c>
      <c r="CC21" s="915">
        <v>27.979379157427939</v>
      </c>
      <c r="CD21" s="915">
        <v>269.67454428368251</v>
      </c>
      <c r="CE21" s="915" t="s">
        <v>785</v>
      </c>
      <c r="CF21" s="915" t="s">
        <v>785</v>
      </c>
      <c r="CG21" s="915" t="s">
        <v>785</v>
      </c>
      <c r="CH21" s="915">
        <v>27</v>
      </c>
      <c r="CI21" s="915">
        <v>1480</v>
      </c>
      <c r="CJ21" s="1041">
        <v>39.898625000000003</v>
      </c>
      <c r="CK21" s="915">
        <v>237.49019607843138</v>
      </c>
      <c r="CL21" s="915">
        <v>163.20673712021136</v>
      </c>
      <c r="CM21" s="915">
        <v>-1</v>
      </c>
      <c r="CN21" s="915">
        <v>17.218039215686275</v>
      </c>
      <c r="CO21" s="915">
        <v>450</v>
      </c>
      <c r="CP21" s="1041">
        <v>7.8264511495564228</v>
      </c>
      <c r="CQ21" s="913">
        <v>1.5</v>
      </c>
      <c r="CR21" s="915">
        <v>30</v>
      </c>
      <c r="CS21" s="1041">
        <v>1.4523200000000003</v>
      </c>
      <c r="CU21" s="1719">
        <f t="shared" si="8"/>
        <v>0</v>
      </c>
      <c r="CV21" s="873">
        <f t="shared" si="14"/>
        <v>0</v>
      </c>
      <c r="CW21" s="873">
        <f t="shared" si="15"/>
        <v>0</v>
      </c>
      <c r="CX21" s="912">
        <f t="shared" si="16"/>
        <v>0</v>
      </c>
      <c r="CY21" s="913">
        <f t="shared" si="17"/>
        <v>0</v>
      </c>
      <c r="CZ21" s="913">
        <f t="shared" si="18"/>
        <v>0</v>
      </c>
      <c r="DA21" s="913">
        <f t="shared" si="19"/>
        <v>0</v>
      </c>
      <c r="DB21" s="913">
        <f t="shared" si="20"/>
        <v>0</v>
      </c>
      <c r="DC21" s="913">
        <f t="shared" si="21"/>
        <v>0</v>
      </c>
      <c r="DD21" s="1767">
        <f t="shared" si="22"/>
        <v>0</v>
      </c>
      <c r="DE21" s="1040">
        <f t="shared" si="23"/>
        <v>0</v>
      </c>
      <c r="DF21" s="913">
        <f t="shared" si="24"/>
        <v>0</v>
      </c>
      <c r="DG21" s="915">
        <f t="shared" si="25"/>
        <v>0</v>
      </c>
      <c r="DH21" s="1768">
        <f t="shared" si="26"/>
        <v>0</v>
      </c>
      <c r="DI21" s="914">
        <f t="shared" si="27"/>
        <v>0</v>
      </c>
      <c r="DJ21" s="915">
        <f t="shared" si="28"/>
        <v>0</v>
      </c>
      <c r="DK21" s="914">
        <f t="shared" si="29"/>
        <v>0</v>
      </c>
      <c r="DL21" s="914">
        <f t="shared" si="30"/>
        <v>0</v>
      </c>
      <c r="DM21" s="914">
        <f t="shared" si="31"/>
        <v>0</v>
      </c>
      <c r="DN21" s="914">
        <f t="shared" si="32"/>
        <v>0</v>
      </c>
      <c r="DO21" s="915">
        <f t="shared" si="33"/>
        <v>0</v>
      </c>
      <c r="DP21" s="915">
        <f t="shared" si="34"/>
        <v>0</v>
      </c>
      <c r="DQ21" s="1041">
        <f t="shared" si="9"/>
        <v>0</v>
      </c>
      <c r="DR21" s="914">
        <f t="shared" si="10"/>
        <v>0</v>
      </c>
      <c r="DS21" s="914">
        <f t="shared" si="11"/>
        <v>0</v>
      </c>
      <c r="DT21" s="915">
        <f t="shared" si="12"/>
        <v>-2170</v>
      </c>
      <c r="DU21" s="1041">
        <f t="shared" si="13"/>
        <v>-2.3870000000000005</v>
      </c>
      <c r="DV21" s="1040">
        <f t="shared" si="1"/>
        <v>0</v>
      </c>
      <c r="DW21" s="915">
        <f t="shared" si="1"/>
        <v>0</v>
      </c>
      <c r="DX21" s="915">
        <f t="shared" si="1"/>
        <v>0</v>
      </c>
      <c r="DY21" s="915" t="e">
        <f t="shared" si="1"/>
        <v>#VALUE!</v>
      </c>
      <c r="DZ21" s="915" t="e">
        <f t="shared" si="1"/>
        <v>#VALUE!</v>
      </c>
      <c r="EA21" s="915" t="e">
        <f t="shared" si="1"/>
        <v>#VALUE!</v>
      </c>
      <c r="EB21" s="915">
        <f t="shared" si="1"/>
        <v>0</v>
      </c>
      <c r="EC21" s="915">
        <f t="shared" si="1"/>
        <v>0</v>
      </c>
      <c r="ED21" s="1041">
        <f t="shared" si="1"/>
        <v>0</v>
      </c>
      <c r="EE21" s="915">
        <f t="shared" si="1"/>
        <v>0</v>
      </c>
      <c r="EF21" s="915">
        <f t="shared" si="1"/>
        <v>0</v>
      </c>
      <c r="EG21" s="915">
        <f t="shared" si="2"/>
        <v>0</v>
      </c>
      <c r="EH21" s="915">
        <f t="shared" si="3"/>
        <v>0</v>
      </c>
      <c r="EI21" s="915">
        <f t="shared" si="4"/>
        <v>-250</v>
      </c>
      <c r="EJ21" s="1041">
        <f t="shared" si="5"/>
        <v>-4.3519786497181627</v>
      </c>
      <c r="EK21" s="913">
        <f t="shared" si="5"/>
        <v>0</v>
      </c>
      <c r="EL21" s="915">
        <f t="shared" si="6"/>
        <v>0</v>
      </c>
      <c r="EM21" s="1041">
        <f t="shared" si="7"/>
        <v>0</v>
      </c>
    </row>
    <row r="22" spans="1:143">
      <c r="A22" s="890">
        <f>Eingabedaten!A26</f>
        <v>6.1</v>
      </c>
      <c r="B22" s="888" t="str">
        <f>Eingabedaten!C26</f>
        <v>Restaurant</v>
      </c>
      <c r="C22" s="1777">
        <v>144</v>
      </c>
      <c r="D22" s="884">
        <v>0.18</v>
      </c>
      <c r="E22" s="884">
        <v>0.125</v>
      </c>
      <c r="F22" s="908">
        <v>12</v>
      </c>
      <c r="G22" s="909">
        <v>5.2000000000000011</v>
      </c>
      <c r="H22" s="909">
        <v>313</v>
      </c>
      <c r="I22" s="909">
        <v>0.80000000000000016</v>
      </c>
      <c r="J22" s="909">
        <v>2</v>
      </c>
      <c r="K22" s="909">
        <v>35</v>
      </c>
      <c r="L22" s="1772">
        <v>40</v>
      </c>
      <c r="M22" s="1038">
        <v>2</v>
      </c>
      <c r="N22" s="909">
        <v>2250</v>
      </c>
      <c r="O22" s="911">
        <v>4.5</v>
      </c>
      <c r="P22" s="1773">
        <v>0.14705882352941177</v>
      </c>
      <c r="Q22" s="910">
        <v>2.6666666666666665</v>
      </c>
      <c r="R22" s="911">
        <v>40.099999999999994</v>
      </c>
      <c r="S22" s="910">
        <v>0.90909090909090917</v>
      </c>
      <c r="T22" s="910">
        <v>6.8578553615960098</v>
      </c>
      <c r="U22" s="910">
        <v>0</v>
      </c>
      <c r="V22" s="910">
        <v>6.8578553615960098</v>
      </c>
      <c r="W22" s="911">
        <v>2430</v>
      </c>
      <c r="X22" s="911">
        <v>0</v>
      </c>
      <c r="Y22" s="1039">
        <v>16.664588528678305</v>
      </c>
      <c r="Z22" s="910">
        <v>18</v>
      </c>
      <c r="AA22" s="910">
        <v>9.9</v>
      </c>
      <c r="AB22" s="911">
        <v>1550</v>
      </c>
      <c r="AC22" s="1039">
        <v>15.345000000000001</v>
      </c>
      <c r="AD22" s="1038">
        <v>23.796588235294124</v>
      </c>
      <c r="AE22" s="911">
        <v>43.857855361596009</v>
      </c>
      <c r="AF22" s="911">
        <v>239.95634932444844</v>
      </c>
      <c r="AG22" s="911" t="s">
        <v>1259</v>
      </c>
      <c r="AH22" s="911" t="s">
        <v>1259</v>
      </c>
      <c r="AI22" s="911" t="s">
        <v>1259</v>
      </c>
      <c r="AJ22" s="911">
        <v>36</v>
      </c>
      <c r="AK22" s="911">
        <v>320</v>
      </c>
      <c r="AL22" s="1039">
        <v>11.386736111111111</v>
      </c>
      <c r="AM22" s="911">
        <v>319.41458823529416</v>
      </c>
      <c r="AN22" s="911">
        <v>45.533299153156648</v>
      </c>
      <c r="AO22" s="911">
        <v>-3</v>
      </c>
      <c r="AP22" s="911">
        <v>70.981019607843152</v>
      </c>
      <c r="AQ22" s="911">
        <v>440</v>
      </c>
      <c r="AR22" s="1039">
        <v>31.189675410951558</v>
      </c>
      <c r="AS22" s="909">
        <v>15</v>
      </c>
      <c r="AT22" s="911">
        <v>45</v>
      </c>
      <c r="AU22" s="1039">
        <v>108.92400000000002</v>
      </c>
      <c r="AW22" s="1039">
        <f>Eingabedaten!AK26*Res_Std!O22</f>
        <v>9</v>
      </c>
      <c r="AX22" s="1769"/>
      <c r="AY22" s="1770"/>
      <c r="AZ22" s="1771"/>
      <c r="BA22" s="1777">
        <v>144</v>
      </c>
      <c r="BB22" s="884">
        <v>0.18</v>
      </c>
      <c r="BC22" s="884">
        <v>0.125</v>
      </c>
      <c r="BD22" s="908">
        <v>12</v>
      </c>
      <c r="BE22" s="909">
        <v>5.2000000000000011</v>
      </c>
      <c r="BF22" s="909">
        <v>313</v>
      </c>
      <c r="BG22" s="909">
        <v>0.80000000000000016</v>
      </c>
      <c r="BH22" s="909">
        <v>2</v>
      </c>
      <c r="BI22" s="909">
        <v>35</v>
      </c>
      <c r="BJ22" s="1772">
        <v>40</v>
      </c>
      <c r="BK22" s="1038">
        <v>2</v>
      </c>
      <c r="BL22" s="909">
        <v>2250</v>
      </c>
      <c r="BM22" s="911">
        <v>4.5</v>
      </c>
      <c r="BN22" s="1773">
        <v>0.14705882352941177</v>
      </c>
      <c r="BO22" s="910">
        <v>2.6666666666666665</v>
      </c>
      <c r="BP22" s="911">
        <v>40.099999999999994</v>
      </c>
      <c r="BQ22" s="910">
        <v>0.90909090909090917</v>
      </c>
      <c r="BR22" s="910">
        <v>6.8578553615960098</v>
      </c>
      <c r="BS22" s="910">
        <v>0</v>
      </c>
      <c r="BT22" s="910">
        <v>6.8578553615960098</v>
      </c>
      <c r="BU22" s="911">
        <v>2430</v>
      </c>
      <c r="BV22" s="911">
        <v>0</v>
      </c>
      <c r="BW22" s="1039">
        <v>16.664588528678305</v>
      </c>
      <c r="BX22" s="910">
        <v>18</v>
      </c>
      <c r="BY22" s="910">
        <v>9.9</v>
      </c>
      <c r="BZ22" s="911">
        <v>1550</v>
      </c>
      <c r="CA22" s="1039">
        <v>15.345000000000001</v>
      </c>
      <c r="CB22" s="1038">
        <v>23.796588235294124</v>
      </c>
      <c r="CC22" s="911">
        <v>43.857855361596009</v>
      </c>
      <c r="CD22" s="911">
        <v>239.95634932444844</v>
      </c>
      <c r="CE22" s="911" t="s">
        <v>785</v>
      </c>
      <c r="CF22" s="911" t="s">
        <v>785</v>
      </c>
      <c r="CG22" s="911" t="s">
        <v>785</v>
      </c>
      <c r="CH22" s="911">
        <v>36</v>
      </c>
      <c r="CI22" s="911">
        <v>320</v>
      </c>
      <c r="CJ22" s="1039">
        <v>11.386736111111111</v>
      </c>
      <c r="CK22" s="911">
        <v>319.41458823529416</v>
      </c>
      <c r="CL22" s="911">
        <v>45.533299153156648</v>
      </c>
      <c r="CM22" s="911">
        <v>-3</v>
      </c>
      <c r="CN22" s="911">
        <v>70.981019607843152</v>
      </c>
      <c r="CO22" s="911">
        <v>610</v>
      </c>
      <c r="CP22" s="1039">
        <v>43.135352481550832</v>
      </c>
      <c r="CQ22" s="909">
        <v>15</v>
      </c>
      <c r="CR22" s="911">
        <v>45</v>
      </c>
      <c r="CS22" s="1039">
        <v>108.92400000000002</v>
      </c>
      <c r="CU22" s="1777">
        <f t="shared" si="8"/>
        <v>0</v>
      </c>
      <c r="CV22" s="884">
        <f t="shared" si="14"/>
        <v>0</v>
      </c>
      <c r="CW22" s="884">
        <f t="shared" si="15"/>
        <v>0</v>
      </c>
      <c r="CX22" s="908">
        <f t="shared" si="16"/>
        <v>0</v>
      </c>
      <c r="CY22" s="909">
        <f t="shared" si="17"/>
        <v>0</v>
      </c>
      <c r="CZ22" s="909">
        <f t="shared" si="18"/>
        <v>0</v>
      </c>
      <c r="DA22" s="909">
        <f t="shared" si="19"/>
        <v>0</v>
      </c>
      <c r="DB22" s="909">
        <f t="shared" si="20"/>
        <v>0</v>
      </c>
      <c r="DC22" s="909">
        <f t="shared" si="21"/>
        <v>0</v>
      </c>
      <c r="DD22" s="1772">
        <f t="shared" si="22"/>
        <v>0</v>
      </c>
      <c r="DE22" s="1038">
        <f t="shared" si="23"/>
        <v>0</v>
      </c>
      <c r="DF22" s="909">
        <f t="shared" si="24"/>
        <v>0</v>
      </c>
      <c r="DG22" s="911">
        <f t="shared" si="25"/>
        <v>0</v>
      </c>
      <c r="DH22" s="1773">
        <f t="shared" si="26"/>
        <v>0</v>
      </c>
      <c r="DI22" s="910">
        <f t="shared" si="27"/>
        <v>0</v>
      </c>
      <c r="DJ22" s="911">
        <f t="shared" si="28"/>
        <v>0</v>
      </c>
      <c r="DK22" s="910">
        <f t="shared" si="29"/>
        <v>0</v>
      </c>
      <c r="DL22" s="910">
        <f t="shared" si="30"/>
        <v>0</v>
      </c>
      <c r="DM22" s="910">
        <f t="shared" si="31"/>
        <v>0</v>
      </c>
      <c r="DN22" s="910">
        <f t="shared" si="32"/>
        <v>0</v>
      </c>
      <c r="DO22" s="911">
        <f t="shared" si="33"/>
        <v>0</v>
      </c>
      <c r="DP22" s="911">
        <f t="shared" si="34"/>
        <v>0</v>
      </c>
      <c r="DQ22" s="1039">
        <f t="shared" si="9"/>
        <v>0</v>
      </c>
      <c r="DR22" s="910">
        <f t="shared" si="10"/>
        <v>0</v>
      </c>
      <c r="DS22" s="910">
        <f t="shared" si="11"/>
        <v>0</v>
      </c>
      <c r="DT22" s="911">
        <f t="shared" si="12"/>
        <v>0</v>
      </c>
      <c r="DU22" s="1039">
        <f t="shared" si="13"/>
        <v>0</v>
      </c>
      <c r="DV22" s="1038">
        <f t="shared" ref="DV22:DV50" si="35">AD22-CB22</f>
        <v>0</v>
      </c>
      <c r="DW22" s="911">
        <f t="shared" ref="DW22:DW50" si="36">AE22-CC22</f>
        <v>0</v>
      </c>
      <c r="DX22" s="911">
        <f t="shared" ref="DX22:DX50" si="37">AF22-CD22</f>
        <v>0</v>
      </c>
      <c r="DY22" s="911" t="e">
        <f t="shared" ref="DY22:DY50" si="38">AG22-CE22</f>
        <v>#VALUE!</v>
      </c>
      <c r="DZ22" s="911" t="e">
        <f t="shared" ref="DZ22:DZ50" si="39">AH22-CF22</f>
        <v>#VALUE!</v>
      </c>
      <c r="EA22" s="911" t="e">
        <f t="shared" ref="EA22:EA50" si="40">AI22-CG22</f>
        <v>#VALUE!</v>
      </c>
      <c r="EB22" s="911">
        <f t="shared" ref="EB22:EB50" si="41">AJ22-CH22</f>
        <v>0</v>
      </c>
      <c r="EC22" s="911">
        <f t="shared" ref="EC22:EC50" si="42">AK22-CI22</f>
        <v>0</v>
      </c>
      <c r="ED22" s="1039">
        <f t="shared" ref="ED22:ED50" si="43">AL22-CJ22</f>
        <v>0</v>
      </c>
      <c r="EE22" s="911">
        <f t="shared" ref="EE22:EE50" si="44">AM22-CK22</f>
        <v>0</v>
      </c>
      <c r="EF22" s="911">
        <f t="shared" ref="EF22:EF50" si="45">AN22-CL22</f>
        <v>0</v>
      </c>
      <c r="EG22" s="911">
        <f t="shared" si="2"/>
        <v>0</v>
      </c>
      <c r="EH22" s="911">
        <f t="shared" si="3"/>
        <v>0</v>
      </c>
      <c r="EI22" s="911">
        <f t="shared" si="4"/>
        <v>-170</v>
      </c>
      <c r="EJ22" s="1039">
        <f t="shared" si="5"/>
        <v>-11.945677070599274</v>
      </c>
      <c r="EK22" s="909">
        <f t="shared" si="5"/>
        <v>0</v>
      </c>
      <c r="EL22" s="911">
        <f t="shared" si="6"/>
        <v>0</v>
      </c>
      <c r="EM22" s="1039">
        <f t="shared" si="7"/>
        <v>0</v>
      </c>
    </row>
    <row r="23" spans="1:143">
      <c r="A23" s="889">
        <f>Eingabedaten!A27</f>
        <v>6.2</v>
      </c>
      <c r="B23" s="1013" t="str">
        <f>Eingabedaten!C27</f>
        <v>Selbstbedienungsrestaurant</v>
      </c>
      <c r="C23" s="1719">
        <v>400</v>
      </c>
      <c r="D23" s="873">
        <v>0.18</v>
      </c>
      <c r="E23" s="873">
        <v>0.125</v>
      </c>
      <c r="F23" s="912">
        <v>7</v>
      </c>
      <c r="G23" s="913">
        <v>3</v>
      </c>
      <c r="H23" s="913">
        <v>313</v>
      </c>
      <c r="I23" s="913">
        <v>0.80000000000000016</v>
      </c>
      <c r="J23" s="913">
        <v>2</v>
      </c>
      <c r="K23" s="913">
        <v>35</v>
      </c>
      <c r="L23" s="1767">
        <v>40</v>
      </c>
      <c r="M23" s="1040">
        <v>2</v>
      </c>
      <c r="N23" s="913">
        <v>1750</v>
      </c>
      <c r="O23" s="915">
        <v>3.5</v>
      </c>
      <c r="P23" s="1768">
        <v>8.8235294117647065E-2</v>
      </c>
      <c r="Q23" s="914">
        <v>4.4444444444444446</v>
      </c>
      <c r="R23" s="915">
        <v>40.099999999999994</v>
      </c>
      <c r="S23" s="914">
        <v>1.0204081632653061</v>
      </c>
      <c r="T23" s="914">
        <v>6.1097256857855369</v>
      </c>
      <c r="U23" s="914">
        <v>0</v>
      </c>
      <c r="V23" s="914">
        <v>6.1097256857855369</v>
      </c>
      <c r="W23" s="915">
        <v>1440</v>
      </c>
      <c r="X23" s="915">
        <v>0</v>
      </c>
      <c r="Y23" s="1041">
        <v>8.7980049875311721</v>
      </c>
      <c r="Z23" s="914">
        <v>18</v>
      </c>
      <c r="AA23" s="914">
        <v>9.9</v>
      </c>
      <c r="AB23" s="915">
        <v>760</v>
      </c>
      <c r="AC23" s="1041">
        <v>7.524</v>
      </c>
      <c r="AD23" s="1040">
        <v>18.540352941176472</v>
      </c>
      <c r="AE23" s="915">
        <v>43.109725685785534</v>
      </c>
      <c r="AF23" s="915">
        <v>153.93006721064222</v>
      </c>
      <c r="AG23" s="915" t="s">
        <v>1260</v>
      </c>
      <c r="AH23" s="915" t="s">
        <v>1259</v>
      </c>
      <c r="AI23" s="915" t="s">
        <v>1259</v>
      </c>
      <c r="AJ23" s="915">
        <v>30</v>
      </c>
      <c r="AK23" s="915">
        <v>280</v>
      </c>
      <c r="AL23" s="1041">
        <v>8.46875</v>
      </c>
      <c r="AM23" s="915">
        <v>816.51764705882363</v>
      </c>
      <c r="AN23" s="915">
        <v>45.55933375597948</v>
      </c>
      <c r="AO23" s="915">
        <v>-3</v>
      </c>
      <c r="AP23" s="915">
        <v>65.321411764705886</v>
      </c>
      <c r="AQ23" s="915">
        <v>180</v>
      </c>
      <c r="AR23" s="1041">
        <v>11.649014778696172</v>
      </c>
      <c r="AS23" s="915">
        <v>15</v>
      </c>
      <c r="AT23" s="915">
        <v>45</v>
      </c>
      <c r="AU23" s="1041">
        <v>108.92400000000002</v>
      </c>
      <c r="AW23" s="1041">
        <f>Eingabedaten!AK27*Res_Std!O23</f>
        <v>7</v>
      </c>
      <c r="AX23" s="1769"/>
      <c r="AY23" s="1770"/>
      <c r="AZ23" s="1771"/>
      <c r="BA23" s="1719">
        <v>400</v>
      </c>
      <c r="BB23" s="873">
        <v>0.18</v>
      </c>
      <c r="BC23" s="873">
        <v>0.125</v>
      </c>
      <c r="BD23" s="912">
        <v>7</v>
      </c>
      <c r="BE23" s="913">
        <v>3</v>
      </c>
      <c r="BF23" s="913">
        <v>313</v>
      </c>
      <c r="BG23" s="913">
        <v>0.80000000000000016</v>
      </c>
      <c r="BH23" s="913">
        <v>2</v>
      </c>
      <c r="BI23" s="913">
        <v>35</v>
      </c>
      <c r="BJ23" s="1767">
        <v>40</v>
      </c>
      <c r="BK23" s="1040">
        <v>2</v>
      </c>
      <c r="BL23" s="913">
        <v>1750</v>
      </c>
      <c r="BM23" s="915">
        <v>3.5</v>
      </c>
      <c r="BN23" s="1768">
        <v>8.8235294117647065E-2</v>
      </c>
      <c r="BO23" s="914">
        <v>4.4444444444444446</v>
      </c>
      <c r="BP23" s="915">
        <v>40.099999999999994</v>
      </c>
      <c r="BQ23" s="914">
        <v>1.0204081632653061</v>
      </c>
      <c r="BR23" s="914">
        <v>6.1097256857855369</v>
      </c>
      <c r="BS23" s="914">
        <v>0</v>
      </c>
      <c r="BT23" s="914">
        <v>6.1097256857855369</v>
      </c>
      <c r="BU23" s="915">
        <v>1440</v>
      </c>
      <c r="BV23" s="915">
        <v>0</v>
      </c>
      <c r="BW23" s="1041">
        <v>8.7980049875311721</v>
      </c>
      <c r="BX23" s="914">
        <v>18</v>
      </c>
      <c r="BY23" s="914">
        <v>9.9</v>
      </c>
      <c r="BZ23" s="915">
        <v>760</v>
      </c>
      <c r="CA23" s="1041">
        <v>7.524</v>
      </c>
      <c r="CB23" s="1040">
        <v>18.540352941176472</v>
      </c>
      <c r="CC23" s="915">
        <v>43.109725685785534</v>
      </c>
      <c r="CD23" s="915">
        <v>153.93006721064222</v>
      </c>
      <c r="CE23" s="915" t="s">
        <v>784</v>
      </c>
      <c r="CF23" s="915" t="s">
        <v>785</v>
      </c>
      <c r="CG23" s="915" t="s">
        <v>785</v>
      </c>
      <c r="CH23" s="915">
        <v>30</v>
      </c>
      <c r="CI23" s="915">
        <v>280</v>
      </c>
      <c r="CJ23" s="1041">
        <v>8.46875</v>
      </c>
      <c r="CK23" s="915">
        <v>816.51764705882363</v>
      </c>
      <c r="CL23" s="915">
        <v>45.55933375597948</v>
      </c>
      <c r="CM23" s="915">
        <v>-3</v>
      </c>
      <c r="CN23" s="915">
        <v>65.321411764705886</v>
      </c>
      <c r="CO23" s="915">
        <v>340</v>
      </c>
      <c r="CP23" s="1041">
        <v>22.076239901649807</v>
      </c>
      <c r="CQ23" s="915">
        <v>15</v>
      </c>
      <c r="CR23" s="915">
        <v>45</v>
      </c>
      <c r="CS23" s="1041">
        <v>108.92400000000002</v>
      </c>
      <c r="CU23" s="1719">
        <f t="shared" si="8"/>
        <v>0</v>
      </c>
      <c r="CV23" s="873">
        <f t="shared" si="14"/>
        <v>0</v>
      </c>
      <c r="CW23" s="873">
        <f t="shared" si="15"/>
        <v>0</v>
      </c>
      <c r="CX23" s="912">
        <f t="shared" si="16"/>
        <v>0</v>
      </c>
      <c r="CY23" s="913">
        <f t="shared" si="17"/>
        <v>0</v>
      </c>
      <c r="CZ23" s="913">
        <f t="shared" si="18"/>
        <v>0</v>
      </c>
      <c r="DA23" s="913">
        <f t="shared" si="19"/>
        <v>0</v>
      </c>
      <c r="DB23" s="913">
        <f t="shared" si="20"/>
        <v>0</v>
      </c>
      <c r="DC23" s="913">
        <f t="shared" si="21"/>
        <v>0</v>
      </c>
      <c r="DD23" s="1767">
        <f t="shared" si="22"/>
        <v>0</v>
      </c>
      <c r="DE23" s="1040">
        <f t="shared" si="23"/>
        <v>0</v>
      </c>
      <c r="DF23" s="913">
        <f t="shared" si="24"/>
        <v>0</v>
      </c>
      <c r="DG23" s="915">
        <f t="shared" si="25"/>
        <v>0</v>
      </c>
      <c r="DH23" s="1768">
        <f t="shared" si="26"/>
        <v>0</v>
      </c>
      <c r="DI23" s="914">
        <f t="shared" si="27"/>
        <v>0</v>
      </c>
      <c r="DJ23" s="915">
        <f t="shared" si="28"/>
        <v>0</v>
      </c>
      <c r="DK23" s="914">
        <f t="shared" si="29"/>
        <v>0</v>
      </c>
      <c r="DL23" s="914">
        <f t="shared" si="30"/>
        <v>0</v>
      </c>
      <c r="DM23" s="914">
        <f t="shared" si="31"/>
        <v>0</v>
      </c>
      <c r="DN23" s="914">
        <f t="shared" si="32"/>
        <v>0</v>
      </c>
      <c r="DO23" s="915">
        <f t="shared" si="33"/>
        <v>0</v>
      </c>
      <c r="DP23" s="915">
        <f t="shared" si="34"/>
        <v>0</v>
      </c>
      <c r="DQ23" s="1041">
        <f t="shared" si="9"/>
        <v>0</v>
      </c>
      <c r="DR23" s="914">
        <f t="shared" si="10"/>
        <v>0</v>
      </c>
      <c r="DS23" s="914">
        <f t="shared" si="11"/>
        <v>0</v>
      </c>
      <c r="DT23" s="915">
        <f t="shared" si="12"/>
        <v>0</v>
      </c>
      <c r="DU23" s="1041">
        <f t="shared" si="13"/>
        <v>0</v>
      </c>
      <c r="DV23" s="1040">
        <f t="shared" si="35"/>
        <v>0</v>
      </c>
      <c r="DW23" s="915">
        <f t="shared" si="36"/>
        <v>0</v>
      </c>
      <c r="DX23" s="915">
        <f t="shared" si="37"/>
        <v>0</v>
      </c>
      <c r="DY23" s="915" t="e">
        <f t="shared" si="38"/>
        <v>#VALUE!</v>
      </c>
      <c r="DZ23" s="915" t="e">
        <f t="shared" si="39"/>
        <v>#VALUE!</v>
      </c>
      <c r="EA23" s="915" t="e">
        <f t="shared" si="40"/>
        <v>#VALUE!</v>
      </c>
      <c r="EB23" s="915">
        <f t="shared" si="41"/>
        <v>0</v>
      </c>
      <c r="EC23" s="915">
        <f t="shared" si="42"/>
        <v>0</v>
      </c>
      <c r="ED23" s="1041">
        <f t="shared" si="43"/>
        <v>0</v>
      </c>
      <c r="EE23" s="915">
        <f t="shared" si="44"/>
        <v>0</v>
      </c>
      <c r="EF23" s="915">
        <f t="shared" si="45"/>
        <v>0</v>
      </c>
      <c r="EG23" s="915">
        <f t="shared" si="2"/>
        <v>0</v>
      </c>
      <c r="EH23" s="915">
        <f t="shared" si="3"/>
        <v>0</v>
      </c>
      <c r="EI23" s="915">
        <f t="shared" si="4"/>
        <v>-160</v>
      </c>
      <c r="EJ23" s="1041">
        <f t="shared" si="5"/>
        <v>-10.427225122953635</v>
      </c>
      <c r="EK23" s="915">
        <f t="shared" si="5"/>
        <v>0</v>
      </c>
      <c r="EL23" s="915">
        <f t="shared" si="6"/>
        <v>0</v>
      </c>
      <c r="EM23" s="1041">
        <f t="shared" si="7"/>
        <v>0</v>
      </c>
    </row>
    <row r="24" spans="1:143">
      <c r="A24" s="889">
        <f>Eingabedaten!A28</f>
        <v>6.3</v>
      </c>
      <c r="B24" s="1013" t="str">
        <f>Eingabedaten!C28</f>
        <v>Küche zu Restaurant</v>
      </c>
      <c r="C24" s="1719">
        <v>36</v>
      </c>
      <c r="D24" s="873">
        <v>0.215</v>
      </c>
      <c r="E24" s="873">
        <v>0.12</v>
      </c>
      <c r="F24" s="912">
        <v>13</v>
      </c>
      <c r="G24" s="913">
        <v>8.6</v>
      </c>
      <c r="H24" s="913">
        <v>313</v>
      </c>
      <c r="I24" s="913">
        <v>0.80000000000000016</v>
      </c>
      <c r="J24" s="913">
        <v>5</v>
      </c>
      <c r="K24" s="913">
        <v>18</v>
      </c>
      <c r="L24" s="1767">
        <v>34</v>
      </c>
      <c r="M24" s="1040">
        <v>200</v>
      </c>
      <c r="N24" s="913">
        <v>2530</v>
      </c>
      <c r="O24" s="915">
        <v>506</v>
      </c>
      <c r="P24" s="1768">
        <v>0.29411764705882354</v>
      </c>
      <c r="Q24" s="914">
        <v>1.3333333333333333</v>
      </c>
      <c r="R24" s="915">
        <v>55.1</v>
      </c>
      <c r="S24" s="914">
        <v>0.71428571428571419</v>
      </c>
      <c r="T24" s="914">
        <v>15.880217785843922</v>
      </c>
      <c r="U24" s="914">
        <v>0</v>
      </c>
      <c r="V24" s="914">
        <v>15.880217785843922</v>
      </c>
      <c r="W24" s="915">
        <v>2310</v>
      </c>
      <c r="X24" s="915">
        <v>0</v>
      </c>
      <c r="Y24" s="1041">
        <v>36.683303085299464</v>
      </c>
      <c r="Z24" s="914">
        <v>20</v>
      </c>
      <c r="AA24" s="914">
        <v>11</v>
      </c>
      <c r="AB24" s="915">
        <v>2160</v>
      </c>
      <c r="AC24" s="1041">
        <v>23.76</v>
      </c>
      <c r="AD24" s="1040">
        <v>31.944549019607848</v>
      </c>
      <c r="AE24" s="915">
        <v>233.88021778584391</v>
      </c>
      <c r="AF24" s="915">
        <v>2152.2728414590247</v>
      </c>
      <c r="AG24" s="915" t="s">
        <v>1259</v>
      </c>
      <c r="AH24" s="915" t="s">
        <v>1259</v>
      </c>
      <c r="AI24" s="915" t="s">
        <v>1259</v>
      </c>
      <c r="AJ24" s="915">
        <v>169</v>
      </c>
      <c r="AK24" s="915">
        <v>1900</v>
      </c>
      <c r="AL24" s="1041">
        <v>320.64583333333331</v>
      </c>
      <c r="AM24" s="915">
        <v>98.723294117647072</v>
      </c>
      <c r="AN24" s="915">
        <v>42.445909422414161</v>
      </c>
      <c r="AO24" s="915">
        <v>-3</v>
      </c>
      <c r="AP24" s="915">
        <v>85.011725490196085</v>
      </c>
      <c r="AQ24" s="915">
        <v>70</v>
      </c>
      <c r="AR24" s="1041">
        <v>5.5715458532546913</v>
      </c>
      <c r="AS24" s="913">
        <v>0</v>
      </c>
      <c r="AT24" s="915">
        <v>0</v>
      </c>
      <c r="AU24" s="1041">
        <v>0</v>
      </c>
      <c r="AW24" s="1041">
        <f>Eingabedaten!AK28*Res_Std!O24</f>
        <v>2530</v>
      </c>
      <c r="AX24" s="1769"/>
      <c r="AY24" s="1770"/>
      <c r="AZ24" s="1771"/>
      <c r="BA24" s="1719">
        <v>36</v>
      </c>
      <c r="BB24" s="873">
        <v>0.215</v>
      </c>
      <c r="BC24" s="873">
        <v>0.12</v>
      </c>
      <c r="BD24" s="912">
        <v>13</v>
      </c>
      <c r="BE24" s="913">
        <v>8.6</v>
      </c>
      <c r="BF24" s="913">
        <v>313</v>
      </c>
      <c r="BG24" s="913">
        <v>0.80000000000000016</v>
      </c>
      <c r="BH24" s="913">
        <v>5</v>
      </c>
      <c r="BI24" s="913">
        <v>18</v>
      </c>
      <c r="BJ24" s="1767">
        <v>34</v>
      </c>
      <c r="BK24" s="1040">
        <v>200</v>
      </c>
      <c r="BL24" s="913">
        <v>2530</v>
      </c>
      <c r="BM24" s="915">
        <v>506</v>
      </c>
      <c r="BN24" s="1768">
        <v>0.29411764705882354</v>
      </c>
      <c r="BO24" s="914">
        <v>1.3333333333333333</v>
      </c>
      <c r="BP24" s="915">
        <v>55.1</v>
      </c>
      <c r="BQ24" s="914">
        <v>0.71428571428571419</v>
      </c>
      <c r="BR24" s="914">
        <v>15.880217785843922</v>
      </c>
      <c r="BS24" s="914">
        <v>0</v>
      </c>
      <c r="BT24" s="914">
        <v>15.880217785843922</v>
      </c>
      <c r="BU24" s="915">
        <v>2310</v>
      </c>
      <c r="BV24" s="915">
        <v>0</v>
      </c>
      <c r="BW24" s="1041">
        <v>36.683303085299464</v>
      </c>
      <c r="BX24" s="914">
        <v>20</v>
      </c>
      <c r="BY24" s="914">
        <v>11</v>
      </c>
      <c r="BZ24" s="915">
        <v>2160</v>
      </c>
      <c r="CA24" s="1041">
        <v>23.76</v>
      </c>
      <c r="CB24" s="1040">
        <v>31.944549019607848</v>
      </c>
      <c r="CC24" s="915">
        <v>233.88021778584391</v>
      </c>
      <c r="CD24" s="915">
        <v>2152.2728414590247</v>
      </c>
      <c r="CE24" s="915" t="s">
        <v>785</v>
      </c>
      <c r="CF24" s="915" t="s">
        <v>785</v>
      </c>
      <c r="CG24" s="915" t="s">
        <v>785</v>
      </c>
      <c r="CH24" s="915">
        <v>169</v>
      </c>
      <c r="CI24" s="915">
        <v>1900</v>
      </c>
      <c r="CJ24" s="1041">
        <v>320.64583333333331</v>
      </c>
      <c r="CK24" s="915">
        <v>98.723294117647072</v>
      </c>
      <c r="CL24" s="915">
        <v>42.445909422414161</v>
      </c>
      <c r="CM24" s="915">
        <v>-3</v>
      </c>
      <c r="CN24" s="915">
        <v>85.011725490196085</v>
      </c>
      <c r="CO24" s="915">
        <v>230</v>
      </c>
      <c r="CP24" s="1041">
        <v>19.934855885076434</v>
      </c>
      <c r="CQ24" s="913">
        <v>0</v>
      </c>
      <c r="CR24" s="915">
        <v>0</v>
      </c>
      <c r="CS24" s="1041">
        <v>0</v>
      </c>
      <c r="CU24" s="1719">
        <f t="shared" si="8"/>
        <v>0</v>
      </c>
      <c r="CV24" s="873">
        <f t="shared" si="14"/>
        <v>0</v>
      </c>
      <c r="CW24" s="873">
        <f t="shared" si="15"/>
        <v>0</v>
      </c>
      <c r="CX24" s="912">
        <f t="shared" si="16"/>
        <v>0</v>
      </c>
      <c r="CY24" s="913">
        <f t="shared" si="17"/>
        <v>0</v>
      </c>
      <c r="CZ24" s="913">
        <f t="shared" si="18"/>
        <v>0</v>
      </c>
      <c r="DA24" s="913">
        <f t="shared" si="19"/>
        <v>0</v>
      </c>
      <c r="DB24" s="913">
        <f t="shared" si="20"/>
        <v>0</v>
      </c>
      <c r="DC24" s="913">
        <f t="shared" si="21"/>
        <v>0</v>
      </c>
      <c r="DD24" s="1767">
        <f t="shared" si="22"/>
        <v>0</v>
      </c>
      <c r="DE24" s="1040">
        <f t="shared" si="23"/>
        <v>0</v>
      </c>
      <c r="DF24" s="913">
        <f t="shared" si="24"/>
        <v>0</v>
      </c>
      <c r="DG24" s="915">
        <f t="shared" si="25"/>
        <v>0</v>
      </c>
      <c r="DH24" s="1768">
        <f t="shared" si="26"/>
        <v>0</v>
      </c>
      <c r="DI24" s="914">
        <f t="shared" si="27"/>
        <v>0</v>
      </c>
      <c r="DJ24" s="915">
        <f t="shared" si="28"/>
        <v>0</v>
      </c>
      <c r="DK24" s="914">
        <f t="shared" si="29"/>
        <v>0</v>
      </c>
      <c r="DL24" s="914">
        <f t="shared" si="30"/>
        <v>0</v>
      </c>
      <c r="DM24" s="914">
        <f t="shared" si="31"/>
        <v>0</v>
      </c>
      <c r="DN24" s="914">
        <f t="shared" si="32"/>
        <v>0</v>
      </c>
      <c r="DO24" s="915">
        <f t="shared" si="33"/>
        <v>0</v>
      </c>
      <c r="DP24" s="915">
        <f t="shared" si="34"/>
        <v>0</v>
      </c>
      <c r="DQ24" s="1041">
        <f t="shared" si="9"/>
        <v>0</v>
      </c>
      <c r="DR24" s="914">
        <f t="shared" si="10"/>
        <v>0</v>
      </c>
      <c r="DS24" s="914">
        <f t="shared" si="11"/>
        <v>0</v>
      </c>
      <c r="DT24" s="915">
        <f t="shared" si="12"/>
        <v>0</v>
      </c>
      <c r="DU24" s="1041">
        <f t="shared" si="13"/>
        <v>0</v>
      </c>
      <c r="DV24" s="1040">
        <f t="shared" si="35"/>
        <v>0</v>
      </c>
      <c r="DW24" s="915">
        <f t="shared" si="36"/>
        <v>0</v>
      </c>
      <c r="DX24" s="915">
        <f t="shared" si="37"/>
        <v>0</v>
      </c>
      <c r="DY24" s="915" t="e">
        <f t="shared" si="38"/>
        <v>#VALUE!</v>
      </c>
      <c r="DZ24" s="915" t="e">
        <f t="shared" si="39"/>
        <v>#VALUE!</v>
      </c>
      <c r="EA24" s="915" t="e">
        <f t="shared" si="40"/>
        <v>#VALUE!</v>
      </c>
      <c r="EB24" s="915">
        <f t="shared" si="41"/>
        <v>0</v>
      </c>
      <c r="EC24" s="915">
        <f t="shared" si="42"/>
        <v>0</v>
      </c>
      <c r="ED24" s="1041">
        <f t="shared" si="43"/>
        <v>0</v>
      </c>
      <c r="EE24" s="915">
        <f t="shared" si="44"/>
        <v>0</v>
      </c>
      <c r="EF24" s="915">
        <f t="shared" si="45"/>
        <v>0</v>
      </c>
      <c r="EG24" s="915">
        <f t="shared" si="2"/>
        <v>0</v>
      </c>
      <c r="EH24" s="915">
        <f t="shared" si="3"/>
        <v>0</v>
      </c>
      <c r="EI24" s="915">
        <f t="shared" si="4"/>
        <v>-160</v>
      </c>
      <c r="EJ24" s="1041">
        <f t="shared" si="5"/>
        <v>-14.363310031821744</v>
      </c>
      <c r="EK24" s="913">
        <f t="shared" si="5"/>
        <v>0</v>
      </c>
      <c r="EL24" s="915">
        <f t="shared" si="6"/>
        <v>0</v>
      </c>
      <c r="EM24" s="1041">
        <f t="shared" si="7"/>
        <v>0</v>
      </c>
    </row>
    <row r="25" spans="1:143">
      <c r="A25" s="891">
        <f>Eingabedaten!A29</f>
        <v>6.4</v>
      </c>
      <c r="B25" s="1536" t="str">
        <f>Eingabedaten!C29</f>
        <v>Küche zu Selbstbedienungsrest.</v>
      </c>
      <c r="C25" s="1780">
        <v>144</v>
      </c>
      <c r="D25" s="886">
        <v>0.215</v>
      </c>
      <c r="E25" s="886">
        <v>0.12</v>
      </c>
      <c r="F25" s="1758">
        <v>9</v>
      </c>
      <c r="G25" s="1759">
        <v>5.0000000000000009</v>
      </c>
      <c r="H25" s="1759">
        <v>313</v>
      </c>
      <c r="I25" s="1759">
        <v>0.80000000000000016</v>
      </c>
      <c r="J25" s="1759">
        <v>5</v>
      </c>
      <c r="K25" s="1759">
        <v>18</v>
      </c>
      <c r="L25" s="1760">
        <v>34</v>
      </c>
      <c r="M25" s="1774">
        <v>200</v>
      </c>
      <c r="N25" s="1759">
        <v>1730</v>
      </c>
      <c r="O25" s="1762">
        <v>346</v>
      </c>
      <c r="P25" s="1775">
        <v>0.14705882352941177</v>
      </c>
      <c r="Q25" s="1761">
        <v>2.6666666666666665</v>
      </c>
      <c r="R25" s="1762">
        <v>55.1</v>
      </c>
      <c r="S25" s="1761">
        <v>0.90909090909090917</v>
      </c>
      <c r="T25" s="1761">
        <v>12.477313974591651</v>
      </c>
      <c r="U25" s="1761">
        <v>0</v>
      </c>
      <c r="V25" s="1761">
        <v>12.477313974591651</v>
      </c>
      <c r="W25" s="1762">
        <v>1830</v>
      </c>
      <c r="X25" s="1762">
        <v>0</v>
      </c>
      <c r="Y25" s="1776">
        <v>22.833484573502719</v>
      </c>
      <c r="Z25" s="1761">
        <v>20</v>
      </c>
      <c r="AA25" s="1761">
        <v>11</v>
      </c>
      <c r="AB25" s="1762">
        <v>1240</v>
      </c>
      <c r="AC25" s="1776">
        <v>13.64</v>
      </c>
      <c r="AD25" s="1774">
        <v>19.908274509803924</v>
      </c>
      <c r="AE25" s="1762">
        <v>230.47731397459165</v>
      </c>
      <c r="AF25" s="1762">
        <v>1475.7010109688676</v>
      </c>
      <c r="AG25" s="1762" t="s">
        <v>1259</v>
      </c>
      <c r="AH25" s="1762" t="s">
        <v>1259</v>
      </c>
      <c r="AI25" s="1762" t="s">
        <v>1259</v>
      </c>
      <c r="AJ25" s="1762">
        <v>148</v>
      </c>
      <c r="AK25" s="1762">
        <v>1660</v>
      </c>
      <c r="AL25" s="1776">
        <v>245.41069444444443</v>
      </c>
      <c r="AM25" s="1762">
        <v>339.14258823529417</v>
      </c>
      <c r="AN25" s="1762">
        <v>41.908036598869394</v>
      </c>
      <c r="AO25" s="1762">
        <v>-3</v>
      </c>
      <c r="AP25" s="1762">
        <v>73.009862745098047</v>
      </c>
      <c r="AQ25" s="1762">
        <v>10</v>
      </c>
      <c r="AR25" s="1776">
        <v>0.83120033100920676</v>
      </c>
      <c r="AS25" s="1759">
        <v>0</v>
      </c>
      <c r="AT25" s="1762">
        <v>0</v>
      </c>
      <c r="AU25" s="1776">
        <v>0</v>
      </c>
      <c r="AW25" s="1776">
        <f>Eingabedaten!AK29*Res_Std!O25</f>
        <v>1730</v>
      </c>
      <c r="AX25" s="1769"/>
      <c r="AY25" s="1770"/>
      <c r="AZ25" s="1771"/>
      <c r="BA25" s="1780">
        <v>144</v>
      </c>
      <c r="BB25" s="886">
        <v>0.215</v>
      </c>
      <c r="BC25" s="886">
        <v>0.12</v>
      </c>
      <c r="BD25" s="1758">
        <v>9</v>
      </c>
      <c r="BE25" s="1759">
        <v>5.0000000000000009</v>
      </c>
      <c r="BF25" s="1759">
        <v>313</v>
      </c>
      <c r="BG25" s="1759">
        <v>0.80000000000000016</v>
      </c>
      <c r="BH25" s="1759">
        <v>5</v>
      </c>
      <c r="BI25" s="1759">
        <v>18</v>
      </c>
      <c r="BJ25" s="1760">
        <v>34</v>
      </c>
      <c r="BK25" s="1774">
        <v>200</v>
      </c>
      <c r="BL25" s="1759">
        <v>1730</v>
      </c>
      <c r="BM25" s="1762">
        <v>346</v>
      </c>
      <c r="BN25" s="1775">
        <v>0.14705882352941177</v>
      </c>
      <c r="BO25" s="1761">
        <v>2.6666666666666665</v>
      </c>
      <c r="BP25" s="1762">
        <v>55.1</v>
      </c>
      <c r="BQ25" s="1761">
        <v>0.90909090909090917</v>
      </c>
      <c r="BR25" s="1761">
        <v>12.477313974591651</v>
      </c>
      <c r="BS25" s="1761">
        <v>0</v>
      </c>
      <c r="BT25" s="1761">
        <v>12.477313974591651</v>
      </c>
      <c r="BU25" s="1762">
        <v>1830</v>
      </c>
      <c r="BV25" s="1762">
        <v>0</v>
      </c>
      <c r="BW25" s="1776">
        <v>22.833484573502719</v>
      </c>
      <c r="BX25" s="1761">
        <v>20</v>
      </c>
      <c r="BY25" s="1761">
        <v>11</v>
      </c>
      <c r="BZ25" s="1762">
        <v>1240</v>
      </c>
      <c r="CA25" s="1776">
        <v>13.64</v>
      </c>
      <c r="CB25" s="1774">
        <v>19.908274509803924</v>
      </c>
      <c r="CC25" s="1762">
        <v>230.47731397459165</v>
      </c>
      <c r="CD25" s="1762">
        <v>1475.7010109688676</v>
      </c>
      <c r="CE25" s="1762" t="s">
        <v>785</v>
      </c>
      <c r="CF25" s="1762" t="s">
        <v>785</v>
      </c>
      <c r="CG25" s="1762" t="s">
        <v>785</v>
      </c>
      <c r="CH25" s="1762">
        <v>148</v>
      </c>
      <c r="CI25" s="1762">
        <v>1660</v>
      </c>
      <c r="CJ25" s="1776">
        <v>245.41069444444443</v>
      </c>
      <c r="CK25" s="1762">
        <v>339.14258823529417</v>
      </c>
      <c r="CL25" s="1762">
        <v>41.908036598869394</v>
      </c>
      <c r="CM25" s="1762">
        <v>-3</v>
      </c>
      <c r="CN25" s="1762">
        <v>73.009862745098047</v>
      </c>
      <c r="CO25" s="1762">
        <v>130</v>
      </c>
      <c r="CP25" s="1776">
        <v>9.2911230389130726</v>
      </c>
      <c r="CQ25" s="1759">
        <v>0</v>
      </c>
      <c r="CR25" s="1762">
        <v>0</v>
      </c>
      <c r="CS25" s="1776">
        <v>0</v>
      </c>
      <c r="CU25" s="1780">
        <f t="shared" si="8"/>
        <v>0</v>
      </c>
      <c r="CV25" s="886">
        <f t="shared" si="14"/>
        <v>0</v>
      </c>
      <c r="CW25" s="886">
        <f t="shared" si="15"/>
        <v>0</v>
      </c>
      <c r="CX25" s="1758">
        <f t="shared" si="16"/>
        <v>0</v>
      </c>
      <c r="CY25" s="1759">
        <f t="shared" si="17"/>
        <v>0</v>
      </c>
      <c r="CZ25" s="1759">
        <f t="shared" si="18"/>
        <v>0</v>
      </c>
      <c r="DA25" s="1759">
        <f t="shared" si="19"/>
        <v>0</v>
      </c>
      <c r="DB25" s="1759">
        <f t="shared" si="20"/>
        <v>0</v>
      </c>
      <c r="DC25" s="1759">
        <f t="shared" si="21"/>
        <v>0</v>
      </c>
      <c r="DD25" s="1760">
        <f t="shared" si="22"/>
        <v>0</v>
      </c>
      <c r="DE25" s="1774">
        <f t="shared" si="23"/>
        <v>0</v>
      </c>
      <c r="DF25" s="1759">
        <f t="shared" si="24"/>
        <v>0</v>
      </c>
      <c r="DG25" s="1762">
        <f t="shared" si="25"/>
        <v>0</v>
      </c>
      <c r="DH25" s="1775">
        <f t="shared" si="26"/>
        <v>0</v>
      </c>
      <c r="DI25" s="1761">
        <f t="shared" si="27"/>
        <v>0</v>
      </c>
      <c r="DJ25" s="1762">
        <f t="shared" si="28"/>
        <v>0</v>
      </c>
      <c r="DK25" s="1761">
        <f t="shared" si="29"/>
        <v>0</v>
      </c>
      <c r="DL25" s="1761">
        <f t="shared" si="30"/>
        <v>0</v>
      </c>
      <c r="DM25" s="1761">
        <f t="shared" si="31"/>
        <v>0</v>
      </c>
      <c r="DN25" s="1761">
        <f t="shared" si="32"/>
        <v>0</v>
      </c>
      <c r="DO25" s="1762">
        <f t="shared" si="33"/>
        <v>0</v>
      </c>
      <c r="DP25" s="1762">
        <f t="shared" si="34"/>
        <v>0</v>
      </c>
      <c r="DQ25" s="1776">
        <f t="shared" si="9"/>
        <v>0</v>
      </c>
      <c r="DR25" s="1761">
        <f t="shared" si="10"/>
        <v>0</v>
      </c>
      <c r="DS25" s="1761">
        <f t="shared" si="11"/>
        <v>0</v>
      </c>
      <c r="DT25" s="1762">
        <f t="shared" si="12"/>
        <v>0</v>
      </c>
      <c r="DU25" s="1776">
        <f t="shared" si="13"/>
        <v>0</v>
      </c>
      <c r="DV25" s="1774">
        <f t="shared" si="35"/>
        <v>0</v>
      </c>
      <c r="DW25" s="1762">
        <f t="shared" si="36"/>
        <v>0</v>
      </c>
      <c r="DX25" s="1762">
        <f t="shared" si="37"/>
        <v>0</v>
      </c>
      <c r="DY25" s="1762" t="e">
        <f t="shared" si="38"/>
        <v>#VALUE!</v>
      </c>
      <c r="DZ25" s="1762" t="e">
        <f t="shared" si="39"/>
        <v>#VALUE!</v>
      </c>
      <c r="EA25" s="1762" t="e">
        <f t="shared" si="40"/>
        <v>#VALUE!</v>
      </c>
      <c r="EB25" s="1762">
        <f t="shared" si="41"/>
        <v>0</v>
      </c>
      <c r="EC25" s="1762">
        <f t="shared" si="42"/>
        <v>0</v>
      </c>
      <c r="ED25" s="1776">
        <f t="shared" si="43"/>
        <v>0</v>
      </c>
      <c r="EE25" s="1762">
        <f t="shared" si="44"/>
        <v>0</v>
      </c>
      <c r="EF25" s="1762">
        <f t="shared" si="45"/>
        <v>0</v>
      </c>
      <c r="EG25" s="1762">
        <f t="shared" si="2"/>
        <v>0</v>
      </c>
      <c r="EH25" s="1762">
        <f t="shared" si="3"/>
        <v>0</v>
      </c>
      <c r="EI25" s="1762">
        <f t="shared" si="4"/>
        <v>-120</v>
      </c>
      <c r="EJ25" s="1776">
        <f t="shared" si="5"/>
        <v>-8.4599227079038659</v>
      </c>
      <c r="EK25" s="1759">
        <f t="shared" si="5"/>
        <v>0</v>
      </c>
      <c r="EL25" s="1762">
        <f t="shared" si="6"/>
        <v>0</v>
      </c>
      <c r="EM25" s="1776">
        <f t="shared" si="7"/>
        <v>0</v>
      </c>
    </row>
    <row r="26" spans="1:143">
      <c r="A26" s="889">
        <f>Eingabedaten!A30</f>
        <v>7.1</v>
      </c>
      <c r="B26" s="1013" t="str">
        <f>Eingabedaten!C30</f>
        <v>Vorstellungsraum</v>
      </c>
      <c r="C26" s="1719">
        <v>400</v>
      </c>
      <c r="D26" s="873">
        <v>0.18</v>
      </c>
      <c r="E26" s="873">
        <v>0.125</v>
      </c>
      <c r="F26" s="912">
        <v>12</v>
      </c>
      <c r="G26" s="913">
        <v>7.6000000000000005</v>
      </c>
      <c r="H26" s="913">
        <v>313</v>
      </c>
      <c r="I26" s="913">
        <v>0.80000000000000016</v>
      </c>
      <c r="J26" s="913">
        <v>3</v>
      </c>
      <c r="K26" s="913">
        <v>23.3</v>
      </c>
      <c r="L26" s="1767">
        <v>26.5</v>
      </c>
      <c r="M26" s="1040">
        <v>2</v>
      </c>
      <c r="N26" s="913">
        <v>2300</v>
      </c>
      <c r="O26" s="915">
        <v>4.5999999999999996</v>
      </c>
      <c r="P26" s="1768">
        <v>0</v>
      </c>
      <c r="Q26" s="914">
        <v>1.6</v>
      </c>
      <c r="R26" s="915">
        <v>45.1</v>
      </c>
      <c r="S26" s="914">
        <v>0.76923076923076927</v>
      </c>
      <c r="T26" s="914">
        <v>10.809312638580931</v>
      </c>
      <c r="U26" s="914">
        <v>0</v>
      </c>
      <c r="V26" s="914">
        <v>10.809312638580931</v>
      </c>
      <c r="W26" s="915">
        <v>3000</v>
      </c>
      <c r="X26" s="915">
        <v>0</v>
      </c>
      <c r="Y26" s="1041">
        <v>32.427937915742795</v>
      </c>
      <c r="Z26" s="914">
        <v>12</v>
      </c>
      <c r="AA26" s="914">
        <v>6.6000000000000005</v>
      </c>
      <c r="AB26" s="915">
        <v>1820</v>
      </c>
      <c r="AC26" s="1041">
        <v>12.012000000000002</v>
      </c>
      <c r="AD26" s="1040">
        <v>8.5860000000000021</v>
      </c>
      <c r="AE26" s="915">
        <v>36.109312638580931</v>
      </c>
      <c r="AF26" s="915">
        <v>324.39175166297116</v>
      </c>
      <c r="AG26" s="915" t="s">
        <v>1259</v>
      </c>
      <c r="AH26" s="915" t="s">
        <v>1259</v>
      </c>
      <c r="AI26" s="915" t="s">
        <v>1259</v>
      </c>
      <c r="AJ26" s="915">
        <v>30</v>
      </c>
      <c r="AK26" s="915">
        <v>480</v>
      </c>
      <c r="AL26" s="1041">
        <v>14.4162</v>
      </c>
      <c r="AM26" s="915">
        <v>572.40000000000009</v>
      </c>
      <c r="AN26" s="915">
        <v>77.847658979734433</v>
      </c>
      <c r="AO26" s="915">
        <v>-2</v>
      </c>
      <c r="AP26" s="915">
        <v>44.361000000000004</v>
      </c>
      <c r="AQ26" s="915">
        <v>310</v>
      </c>
      <c r="AR26" s="1041">
        <v>13.725145640779264</v>
      </c>
      <c r="AS26" s="913">
        <v>1.5</v>
      </c>
      <c r="AT26" s="915">
        <v>30</v>
      </c>
      <c r="AU26" s="1041">
        <v>7.2616000000000014</v>
      </c>
      <c r="AW26" s="1041">
        <f>Eingabedaten!AK30*Res_Std!O26</f>
        <v>13.799999999999999</v>
      </c>
      <c r="AX26" s="1769"/>
      <c r="AY26" s="1770"/>
      <c r="AZ26" s="1771"/>
      <c r="BA26" s="1719">
        <v>400</v>
      </c>
      <c r="BB26" s="873">
        <v>0.18</v>
      </c>
      <c r="BC26" s="873">
        <v>0.125</v>
      </c>
      <c r="BD26" s="912">
        <v>12</v>
      </c>
      <c r="BE26" s="913">
        <v>7.6000000000000005</v>
      </c>
      <c r="BF26" s="913">
        <v>313</v>
      </c>
      <c r="BG26" s="913">
        <v>0.80000000000000016</v>
      </c>
      <c r="BH26" s="913">
        <v>3</v>
      </c>
      <c r="BI26" s="913">
        <v>23.3</v>
      </c>
      <c r="BJ26" s="1767">
        <v>26.5</v>
      </c>
      <c r="BK26" s="1040">
        <v>2</v>
      </c>
      <c r="BL26" s="913">
        <v>2300</v>
      </c>
      <c r="BM26" s="915">
        <v>4.5999999999999996</v>
      </c>
      <c r="BN26" s="1768">
        <v>0</v>
      </c>
      <c r="BO26" s="914">
        <v>1.6</v>
      </c>
      <c r="BP26" s="915">
        <v>45.1</v>
      </c>
      <c r="BQ26" s="914">
        <v>0.76923076923076927</v>
      </c>
      <c r="BR26" s="914">
        <v>10.809312638580931</v>
      </c>
      <c r="BS26" s="914">
        <v>0</v>
      </c>
      <c r="BT26" s="914">
        <v>10.809312638580931</v>
      </c>
      <c r="BU26" s="915">
        <v>3000</v>
      </c>
      <c r="BV26" s="915">
        <v>0</v>
      </c>
      <c r="BW26" s="1041">
        <v>32.427937915742795</v>
      </c>
      <c r="BX26" s="914">
        <v>12</v>
      </c>
      <c r="BY26" s="914">
        <v>6.6000000000000005</v>
      </c>
      <c r="BZ26" s="915">
        <v>1820</v>
      </c>
      <c r="CA26" s="1041">
        <v>12.012000000000002</v>
      </c>
      <c r="CB26" s="1040">
        <v>8.5860000000000021</v>
      </c>
      <c r="CC26" s="915">
        <v>36.109312638580931</v>
      </c>
      <c r="CD26" s="915">
        <v>324.39175166297116</v>
      </c>
      <c r="CE26" s="915" t="s">
        <v>785</v>
      </c>
      <c r="CF26" s="915" t="s">
        <v>785</v>
      </c>
      <c r="CG26" s="915" t="s">
        <v>785</v>
      </c>
      <c r="CH26" s="915">
        <v>30</v>
      </c>
      <c r="CI26" s="915">
        <v>480</v>
      </c>
      <c r="CJ26" s="1041">
        <v>14.4162</v>
      </c>
      <c r="CK26" s="915">
        <v>572.40000000000009</v>
      </c>
      <c r="CL26" s="915">
        <v>77.847658979734433</v>
      </c>
      <c r="CM26" s="915">
        <v>-2</v>
      </c>
      <c r="CN26" s="915">
        <v>44.361000000000004</v>
      </c>
      <c r="CO26" s="915">
        <v>530</v>
      </c>
      <c r="CP26" s="1041">
        <v>23.619913263750234</v>
      </c>
      <c r="CQ26" s="913">
        <v>1.5</v>
      </c>
      <c r="CR26" s="915">
        <v>30</v>
      </c>
      <c r="CS26" s="1041">
        <v>7.2616000000000014</v>
      </c>
      <c r="CU26" s="1719">
        <f t="shared" si="8"/>
        <v>0</v>
      </c>
      <c r="CV26" s="873">
        <f t="shared" si="14"/>
        <v>0</v>
      </c>
      <c r="CW26" s="873">
        <f t="shared" si="15"/>
        <v>0</v>
      </c>
      <c r="CX26" s="912">
        <f t="shared" si="16"/>
        <v>0</v>
      </c>
      <c r="CY26" s="913">
        <f t="shared" si="17"/>
        <v>0</v>
      </c>
      <c r="CZ26" s="913">
        <f t="shared" si="18"/>
        <v>0</v>
      </c>
      <c r="DA26" s="913">
        <f t="shared" si="19"/>
        <v>0</v>
      </c>
      <c r="DB26" s="913">
        <f t="shared" si="20"/>
        <v>0</v>
      </c>
      <c r="DC26" s="913">
        <f t="shared" si="21"/>
        <v>0</v>
      </c>
      <c r="DD26" s="1767">
        <f t="shared" si="22"/>
        <v>0</v>
      </c>
      <c r="DE26" s="1040">
        <f t="shared" si="23"/>
        <v>0</v>
      </c>
      <c r="DF26" s="913">
        <f t="shared" si="24"/>
        <v>0</v>
      </c>
      <c r="DG26" s="915">
        <f t="shared" si="25"/>
        <v>0</v>
      </c>
      <c r="DH26" s="1768">
        <f t="shared" si="26"/>
        <v>0</v>
      </c>
      <c r="DI26" s="914">
        <f t="shared" si="27"/>
        <v>0</v>
      </c>
      <c r="DJ26" s="915">
        <f t="shared" si="28"/>
        <v>0</v>
      </c>
      <c r="DK26" s="914">
        <f t="shared" si="29"/>
        <v>0</v>
      </c>
      <c r="DL26" s="914">
        <f t="shared" si="30"/>
        <v>0</v>
      </c>
      <c r="DM26" s="914">
        <f t="shared" si="31"/>
        <v>0</v>
      </c>
      <c r="DN26" s="914">
        <f t="shared" si="32"/>
        <v>0</v>
      </c>
      <c r="DO26" s="915">
        <f t="shared" si="33"/>
        <v>0</v>
      </c>
      <c r="DP26" s="915">
        <f t="shared" si="34"/>
        <v>0</v>
      </c>
      <c r="DQ26" s="1041">
        <f t="shared" si="9"/>
        <v>0</v>
      </c>
      <c r="DR26" s="914">
        <f t="shared" si="10"/>
        <v>0</v>
      </c>
      <c r="DS26" s="914">
        <f t="shared" si="11"/>
        <v>0</v>
      </c>
      <c r="DT26" s="915">
        <f t="shared" si="12"/>
        <v>0</v>
      </c>
      <c r="DU26" s="1041">
        <f t="shared" si="13"/>
        <v>0</v>
      </c>
      <c r="DV26" s="1040">
        <f t="shared" si="35"/>
        <v>0</v>
      </c>
      <c r="DW26" s="915">
        <f t="shared" si="36"/>
        <v>0</v>
      </c>
      <c r="DX26" s="915">
        <f t="shared" si="37"/>
        <v>0</v>
      </c>
      <c r="DY26" s="915" t="e">
        <f t="shared" si="38"/>
        <v>#VALUE!</v>
      </c>
      <c r="DZ26" s="915" t="e">
        <f t="shared" si="39"/>
        <v>#VALUE!</v>
      </c>
      <c r="EA26" s="915" t="e">
        <f t="shared" si="40"/>
        <v>#VALUE!</v>
      </c>
      <c r="EB26" s="915">
        <f t="shared" si="41"/>
        <v>0</v>
      </c>
      <c r="EC26" s="915">
        <f t="shared" si="42"/>
        <v>0</v>
      </c>
      <c r="ED26" s="1041">
        <f t="shared" si="43"/>
        <v>0</v>
      </c>
      <c r="EE26" s="915">
        <f t="shared" si="44"/>
        <v>0</v>
      </c>
      <c r="EF26" s="915">
        <f t="shared" si="45"/>
        <v>0</v>
      </c>
      <c r="EG26" s="915">
        <f t="shared" si="2"/>
        <v>0</v>
      </c>
      <c r="EH26" s="915">
        <f t="shared" si="3"/>
        <v>0</v>
      </c>
      <c r="EI26" s="915">
        <f t="shared" si="4"/>
        <v>-220</v>
      </c>
      <c r="EJ26" s="1041">
        <f t="shared" si="5"/>
        <v>-9.8947676229709707</v>
      </c>
      <c r="EK26" s="913">
        <f t="shared" si="5"/>
        <v>0</v>
      </c>
      <c r="EL26" s="915">
        <f t="shared" si="6"/>
        <v>0</v>
      </c>
      <c r="EM26" s="1041">
        <f t="shared" si="7"/>
        <v>0</v>
      </c>
    </row>
    <row r="27" spans="1:143">
      <c r="A27" s="889">
        <f>Eingabedaten!A31</f>
        <v>7.2</v>
      </c>
      <c r="B27" s="1013" t="str">
        <f>Eingabedaten!C31</f>
        <v>Mehrzweckhalle</v>
      </c>
      <c r="C27" s="1719">
        <v>400</v>
      </c>
      <c r="D27" s="873">
        <v>0.18</v>
      </c>
      <c r="E27" s="873">
        <v>0.125</v>
      </c>
      <c r="F27" s="912">
        <v>16</v>
      </c>
      <c r="G27" s="913">
        <v>10.399999999999997</v>
      </c>
      <c r="H27" s="913">
        <v>313</v>
      </c>
      <c r="I27" s="913">
        <v>0.80000000000000016</v>
      </c>
      <c r="J27" s="913">
        <v>3</v>
      </c>
      <c r="K27" s="913">
        <v>23.3</v>
      </c>
      <c r="L27" s="1767">
        <v>26.5</v>
      </c>
      <c r="M27" s="1040">
        <v>4</v>
      </c>
      <c r="N27" s="913">
        <v>2900</v>
      </c>
      <c r="O27" s="915">
        <v>11.6</v>
      </c>
      <c r="P27" s="1768">
        <v>0.20588235294117649</v>
      </c>
      <c r="Q27" s="914">
        <v>1.6</v>
      </c>
      <c r="R27" s="915">
        <v>45.1</v>
      </c>
      <c r="S27" s="914">
        <v>0.76923076923076927</v>
      </c>
      <c r="T27" s="914">
        <v>10.809312638580931</v>
      </c>
      <c r="U27" s="914">
        <v>0</v>
      </c>
      <c r="V27" s="914">
        <v>10.809312638580931</v>
      </c>
      <c r="W27" s="915">
        <v>2770</v>
      </c>
      <c r="X27" s="915">
        <v>0</v>
      </c>
      <c r="Y27" s="1041">
        <v>29.941796008869179</v>
      </c>
      <c r="Z27" s="914">
        <v>12</v>
      </c>
      <c r="AA27" s="914">
        <v>6.6000000000000005</v>
      </c>
      <c r="AB27" s="915">
        <v>2580</v>
      </c>
      <c r="AC27" s="1041">
        <v>17.027999999999999</v>
      </c>
      <c r="AD27" s="1040">
        <v>25.134823529411772</v>
      </c>
      <c r="AE27" s="915">
        <v>38.109312638580931</v>
      </c>
      <c r="AF27" s="915">
        <v>335.12491912551997</v>
      </c>
      <c r="AG27" s="915" t="s">
        <v>1259</v>
      </c>
      <c r="AH27" s="915" t="s">
        <v>1259</v>
      </c>
      <c r="AI27" s="915" t="s">
        <v>1259</v>
      </c>
      <c r="AJ27" s="915">
        <v>43</v>
      </c>
      <c r="AK27" s="915">
        <v>540</v>
      </c>
      <c r="AL27" s="1041">
        <v>23.260974999999998</v>
      </c>
      <c r="AM27" s="915">
        <v>696.80784313725496</v>
      </c>
      <c r="AN27" s="915">
        <v>60.734103981180276</v>
      </c>
      <c r="AO27" s="915">
        <v>-2</v>
      </c>
      <c r="AP27" s="915">
        <v>54.002607843137255</v>
      </c>
      <c r="AQ27" s="915">
        <v>600</v>
      </c>
      <c r="AR27" s="1041">
        <v>32.453560493816504</v>
      </c>
      <c r="AS27" s="913">
        <v>1.5</v>
      </c>
      <c r="AT27" s="915">
        <v>30</v>
      </c>
      <c r="AU27" s="1041">
        <v>7.2616000000000014</v>
      </c>
      <c r="AW27" s="1041">
        <f>Eingabedaten!AK31*Res_Std!O27</f>
        <v>34.799999999999997</v>
      </c>
      <c r="AX27" s="1769"/>
      <c r="AY27" s="1770"/>
      <c r="AZ27" s="1771"/>
      <c r="BA27" s="1719">
        <v>400</v>
      </c>
      <c r="BB27" s="873">
        <v>0.18</v>
      </c>
      <c r="BC27" s="873">
        <v>0.125</v>
      </c>
      <c r="BD27" s="912">
        <v>16</v>
      </c>
      <c r="BE27" s="913">
        <v>10.399999999999997</v>
      </c>
      <c r="BF27" s="913">
        <v>313</v>
      </c>
      <c r="BG27" s="913">
        <v>0.80000000000000016</v>
      </c>
      <c r="BH27" s="913">
        <v>3</v>
      </c>
      <c r="BI27" s="913">
        <v>23.3</v>
      </c>
      <c r="BJ27" s="1767">
        <v>26.5</v>
      </c>
      <c r="BK27" s="1040">
        <v>4</v>
      </c>
      <c r="BL27" s="913">
        <v>2900</v>
      </c>
      <c r="BM27" s="915">
        <v>11.6</v>
      </c>
      <c r="BN27" s="1768">
        <v>0.20588235294117649</v>
      </c>
      <c r="BO27" s="914">
        <v>1.6</v>
      </c>
      <c r="BP27" s="915">
        <v>45.1</v>
      </c>
      <c r="BQ27" s="914">
        <v>0.76923076923076927</v>
      </c>
      <c r="BR27" s="914">
        <v>10.809312638580931</v>
      </c>
      <c r="BS27" s="914">
        <v>0</v>
      </c>
      <c r="BT27" s="914">
        <v>10.809312638580931</v>
      </c>
      <c r="BU27" s="915">
        <v>2770</v>
      </c>
      <c r="BV27" s="915">
        <v>0</v>
      </c>
      <c r="BW27" s="1041">
        <v>29.941796008869179</v>
      </c>
      <c r="BX27" s="914">
        <v>12</v>
      </c>
      <c r="BY27" s="914">
        <v>6.6000000000000005</v>
      </c>
      <c r="BZ27" s="915">
        <v>2580</v>
      </c>
      <c r="CA27" s="1041">
        <v>17.027999999999999</v>
      </c>
      <c r="CB27" s="1040">
        <v>25.134823529411772</v>
      </c>
      <c r="CC27" s="915">
        <v>38.109312638580931</v>
      </c>
      <c r="CD27" s="915">
        <v>335.12491912551997</v>
      </c>
      <c r="CE27" s="915" t="s">
        <v>785</v>
      </c>
      <c r="CF27" s="915" t="s">
        <v>785</v>
      </c>
      <c r="CG27" s="915" t="s">
        <v>785</v>
      </c>
      <c r="CH27" s="915">
        <v>43</v>
      </c>
      <c r="CI27" s="915">
        <v>540</v>
      </c>
      <c r="CJ27" s="1041">
        <v>23.260974999999998</v>
      </c>
      <c r="CK27" s="915">
        <v>696.80784313725496</v>
      </c>
      <c r="CL27" s="915">
        <v>60.734103981180276</v>
      </c>
      <c r="CM27" s="915">
        <v>-2</v>
      </c>
      <c r="CN27" s="915">
        <v>54.002607843137255</v>
      </c>
      <c r="CO27" s="915">
        <v>820</v>
      </c>
      <c r="CP27" s="1041">
        <v>44.032748084607078</v>
      </c>
      <c r="CQ27" s="913">
        <v>1.5</v>
      </c>
      <c r="CR27" s="915">
        <v>30</v>
      </c>
      <c r="CS27" s="1041">
        <v>7.2616000000000014</v>
      </c>
      <c r="CU27" s="1719">
        <f t="shared" si="8"/>
        <v>0</v>
      </c>
      <c r="CV27" s="873">
        <f t="shared" si="14"/>
        <v>0</v>
      </c>
      <c r="CW27" s="873">
        <f t="shared" si="15"/>
        <v>0</v>
      </c>
      <c r="CX27" s="912">
        <f t="shared" si="16"/>
        <v>0</v>
      </c>
      <c r="CY27" s="913">
        <f t="shared" si="17"/>
        <v>0</v>
      </c>
      <c r="CZ27" s="913">
        <f t="shared" si="18"/>
        <v>0</v>
      </c>
      <c r="DA27" s="913">
        <f t="shared" si="19"/>
        <v>0</v>
      </c>
      <c r="DB27" s="913">
        <f t="shared" si="20"/>
        <v>0</v>
      </c>
      <c r="DC27" s="913">
        <f t="shared" si="21"/>
        <v>0</v>
      </c>
      <c r="DD27" s="1767">
        <f t="shared" si="22"/>
        <v>0</v>
      </c>
      <c r="DE27" s="1040">
        <f t="shared" si="23"/>
        <v>0</v>
      </c>
      <c r="DF27" s="913">
        <f t="shared" si="24"/>
        <v>0</v>
      </c>
      <c r="DG27" s="915">
        <f t="shared" si="25"/>
        <v>0</v>
      </c>
      <c r="DH27" s="1768">
        <f t="shared" si="26"/>
        <v>0</v>
      </c>
      <c r="DI27" s="914">
        <f t="shared" si="27"/>
        <v>0</v>
      </c>
      <c r="DJ27" s="915">
        <f t="shared" si="28"/>
        <v>0</v>
      </c>
      <c r="DK27" s="914">
        <f t="shared" si="29"/>
        <v>0</v>
      </c>
      <c r="DL27" s="914">
        <f t="shared" si="30"/>
        <v>0</v>
      </c>
      <c r="DM27" s="914">
        <f t="shared" si="31"/>
        <v>0</v>
      </c>
      <c r="DN27" s="914">
        <f t="shared" si="32"/>
        <v>0</v>
      </c>
      <c r="DO27" s="915">
        <f t="shared" si="33"/>
        <v>0</v>
      </c>
      <c r="DP27" s="915">
        <f t="shared" si="34"/>
        <v>0</v>
      </c>
      <c r="DQ27" s="1041">
        <f t="shared" si="9"/>
        <v>0</v>
      </c>
      <c r="DR27" s="914">
        <f t="shared" si="10"/>
        <v>0</v>
      </c>
      <c r="DS27" s="914">
        <f t="shared" si="11"/>
        <v>0</v>
      </c>
      <c r="DT27" s="915">
        <f t="shared" si="12"/>
        <v>0</v>
      </c>
      <c r="DU27" s="1041">
        <f t="shared" si="13"/>
        <v>0</v>
      </c>
      <c r="DV27" s="1040">
        <f t="shared" si="35"/>
        <v>0</v>
      </c>
      <c r="DW27" s="915">
        <f t="shared" si="36"/>
        <v>0</v>
      </c>
      <c r="DX27" s="915">
        <f t="shared" si="37"/>
        <v>0</v>
      </c>
      <c r="DY27" s="915" t="e">
        <f t="shared" si="38"/>
        <v>#VALUE!</v>
      </c>
      <c r="DZ27" s="915" t="e">
        <f t="shared" si="39"/>
        <v>#VALUE!</v>
      </c>
      <c r="EA27" s="915" t="e">
        <f t="shared" si="40"/>
        <v>#VALUE!</v>
      </c>
      <c r="EB27" s="915">
        <f t="shared" si="41"/>
        <v>0</v>
      </c>
      <c r="EC27" s="915">
        <f t="shared" si="42"/>
        <v>0</v>
      </c>
      <c r="ED27" s="1041">
        <f t="shared" si="43"/>
        <v>0</v>
      </c>
      <c r="EE27" s="915">
        <f t="shared" si="44"/>
        <v>0</v>
      </c>
      <c r="EF27" s="915">
        <f t="shared" si="45"/>
        <v>0</v>
      </c>
      <c r="EG27" s="915">
        <f t="shared" si="2"/>
        <v>0</v>
      </c>
      <c r="EH27" s="915">
        <f t="shared" si="3"/>
        <v>0</v>
      </c>
      <c r="EI27" s="915">
        <f t="shared" si="4"/>
        <v>-220</v>
      </c>
      <c r="EJ27" s="1041">
        <f t="shared" si="5"/>
        <v>-11.579187590790575</v>
      </c>
      <c r="EK27" s="913">
        <f t="shared" si="5"/>
        <v>0</v>
      </c>
      <c r="EL27" s="915">
        <f t="shared" si="6"/>
        <v>0</v>
      </c>
      <c r="EM27" s="1041">
        <f t="shared" si="7"/>
        <v>0</v>
      </c>
    </row>
    <row r="28" spans="1:143">
      <c r="A28" s="889">
        <f>Eingabedaten!A32</f>
        <v>7.3</v>
      </c>
      <c r="B28" s="1013" t="str">
        <f>Eingabedaten!C32</f>
        <v>Ausstellungshalle</v>
      </c>
      <c r="C28" s="1719">
        <v>400</v>
      </c>
      <c r="D28" s="873">
        <v>0.18</v>
      </c>
      <c r="E28" s="873">
        <v>0.125</v>
      </c>
      <c r="F28" s="912">
        <v>16</v>
      </c>
      <c r="G28" s="913">
        <v>10.399999999999997</v>
      </c>
      <c r="H28" s="913">
        <v>313</v>
      </c>
      <c r="I28" s="913">
        <v>0.80000000000000016</v>
      </c>
      <c r="J28" s="913">
        <v>3</v>
      </c>
      <c r="K28" s="913">
        <v>23.3</v>
      </c>
      <c r="L28" s="1767">
        <v>26.5</v>
      </c>
      <c r="M28" s="1040">
        <v>7</v>
      </c>
      <c r="N28" s="913">
        <v>2900</v>
      </c>
      <c r="O28" s="915">
        <v>20.3</v>
      </c>
      <c r="P28" s="1768">
        <v>0.20588235294117649</v>
      </c>
      <c r="Q28" s="914">
        <v>1.6</v>
      </c>
      <c r="R28" s="915">
        <v>45.1</v>
      </c>
      <c r="S28" s="914">
        <v>0.76923076923076927</v>
      </c>
      <c r="T28" s="914">
        <v>10.809312638580931</v>
      </c>
      <c r="U28" s="914">
        <v>0</v>
      </c>
      <c r="V28" s="914">
        <v>10.809312638580931</v>
      </c>
      <c r="W28" s="915">
        <v>2770</v>
      </c>
      <c r="X28" s="915">
        <v>0</v>
      </c>
      <c r="Y28" s="1041">
        <v>29.941796008869179</v>
      </c>
      <c r="Z28" s="914">
        <v>12</v>
      </c>
      <c r="AA28" s="914">
        <v>6.6000000000000005</v>
      </c>
      <c r="AB28" s="915">
        <v>2580</v>
      </c>
      <c r="AC28" s="1041">
        <v>17.027999999999999</v>
      </c>
      <c r="AD28" s="1040">
        <v>25.134823529411772</v>
      </c>
      <c r="AE28" s="915">
        <v>41.109312638580931</v>
      </c>
      <c r="AF28" s="915">
        <v>368.72491912551993</v>
      </c>
      <c r="AG28" s="915" t="s">
        <v>1259</v>
      </c>
      <c r="AH28" s="915" t="s">
        <v>1259</v>
      </c>
      <c r="AI28" s="915" t="s">
        <v>1259</v>
      </c>
      <c r="AJ28" s="915">
        <v>46</v>
      </c>
      <c r="AK28" s="915">
        <v>580</v>
      </c>
      <c r="AL28" s="1041">
        <v>26.652925</v>
      </c>
      <c r="AM28" s="915">
        <v>696.80784313725496</v>
      </c>
      <c r="AN28" s="915">
        <v>60.734103981180276</v>
      </c>
      <c r="AO28" s="915">
        <v>-2</v>
      </c>
      <c r="AP28" s="915">
        <v>54.002607843137255</v>
      </c>
      <c r="AQ28" s="915">
        <v>550</v>
      </c>
      <c r="AR28" s="1041">
        <v>29.926318728321085</v>
      </c>
      <c r="AS28" s="913">
        <v>1.5</v>
      </c>
      <c r="AT28" s="915">
        <v>30</v>
      </c>
      <c r="AU28" s="1041">
        <v>7.2616000000000014</v>
      </c>
      <c r="AW28" s="1041">
        <f>Eingabedaten!AK32*Res_Std!O28</f>
        <v>60.900000000000006</v>
      </c>
      <c r="AX28" s="1769"/>
      <c r="AY28" s="1770"/>
      <c r="AZ28" s="1771"/>
      <c r="BA28" s="1719">
        <v>400</v>
      </c>
      <c r="BB28" s="873">
        <v>0.18</v>
      </c>
      <c r="BC28" s="873">
        <v>0.125</v>
      </c>
      <c r="BD28" s="912">
        <v>16</v>
      </c>
      <c r="BE28" s="913">
        <v>10.399999999999997</v>
      </c>
      <c r="BF28" s="913">
        <v>313</v>
      </c>
      <c r="BG28" s="913">
        <v>0.80000000000000016</v>
      </c>
      <c r="BH28" s="913">
        <v>3</v>
      </c>
      <c r="BI28" s="913">
        <v>23.3</v>
      </c>
      <c r="BJ28" s="1767">
        <v>26.5</v>
      </c>
      <c r="BK28" s="1040">
        <v>7</v>
      </c>
      <c r="BL28" s="913">
        <v>2900</v>
      </c>
      <c r="BM28" s="915">
        <v>20.3</v>
      </c>
      <c r="BN28" s="1768">
        <v>0.20588235294117649</v>
      </c>
      <c r="BO28" s="914">
        <v>1.6</v>
      </c>
      <c r="BP28" s="915">
        <v>45.1</v>
      </c>
      <c r="BQ28" s="914">
        <v>0.76923076923076927</v>
      </c>
      <c r="BR28" s="914">
        <v>10.809312638580931</v>
      </c>
      <c r="BS28" s="914">
        <v>0</v>
      </c>
      <c r="BT28" s="914">
        <v>10.809312638580931</v>
      </c>
      <c r="BU28" s="915">
        <v>2770</v>
      </c>
      <c r="BV28" s="915">
        <v>0</v>
      </c>
      <c r="BW28" s="1041">
        <v>29.941796008869179</v>
      </c>
      <c r="BX28" s="914">
        <v>12</v>
      </c>
      <c r="BY28" s="914">
        <v>6.6000000000000005</v>
      </c>
      <c r="BZ28" s="915">
        <v>2580</v>
      </c>
      <c r="CA28" s="1041">
        <v>17.027999999999999</v>
      </c>
      <c r="CB28" s="1040">
        <v>25.134823529411772</v>
      </c>
      <c r="CC28" s="915">
        <v>41.109312638580931</v>
      </c>
      <c r="CD28" s="915">
        <v>368.72491912551993</v>
      </c>
      <c r="CE28" s="915" t="s">
        <v>785</v>
      </c>
      <c r="CF28" s="915" t="s">
        <v>785</v>
      </c>
      <c r="CG28" s="915" t="s">
        <v>785</v>
      </c>
      <c r="CH28" s="915">
        <v>46</v>
      </c>
      <c r="CI28" s="915">
        <v>580</v>
      </c>
      <c r="CJ28" s="1041">
        <v>26.652925</v>
      </c>
      <c r="CK28" s="915">
        <v>696.80784313725496</v>
      </c>
      <c r="CL28" s="915">
        <v>60.734103981180276</v>
      </c>
      <c r="CM28" s="915">
        <v>-2</v>
      </c>
      <c r="CN28" s="915">
        <v>54.002607843137255</v>
      </c>
      <c r="CO28" s="915">
        <v>780</v>
      </c>
      <c r="CP28" s="1041">
        <v>42.053894832667275</v>
      </c>
      <c r="CQ28" s="913">
        <v>1.5</v>
      </c>
      <c r="CR28" s="915">
        <v>30</v>
      </c>
      <c r="CS28" s="1041">
        <v>7.2616000000000014</v>
      </c>
      <c r="CU28" s="1719">
        <f t="shared" si="8"/>
        <v>0</v>
      </c>
      <c r="CV28" s="873">
        <f t="shared" si="14"/>
        <v>0</v>
      </c>
      <c r="CW28" s="873">
        <f t="shared" si="15"/>
        <v>0</v>
      </c>
      <c r="CX28" s="912">
        <f t="shared" si="16"/>
        <v>0</v>
      </c>
      <c r="CY28" s="913">
        <f t="shared" si="17"/>
        <v>0</v>
      </c>
      <c r="CZ28" s="913">
        <f t="shared" si="18"/>
        <v>0</v>
      </c>
      <c r="DA28" s="913">
        <f t="shared" si="19"/>
        <v>0</v>
      </c>
      <c r="DB28" s="913">
        <f t="shared" si="20"/>
        <v>0</v>
      </c>
      <c r="DC28" s="913">
        <f t="shared" si="21"/>
        <v>0</v>
      </c>
      <c r="DD28" s="1767">
        <f t="shared" si="22"/>
        <v>0</v>
      </c>
      <c r="DE28" s="1040">
        <f t="shared" si="23"/>
        <v>0</v>
      </c>
      <c r="DF28" s="913">
        <f t="shared" si="24"/>
        <v>0</v>
      </c>
      <c r="DG28" s="915">
        <f t="shared" si="25"/>
        <v>0</v>
      </c>
      <c r="DH28" s="1768">
        <f t="shared" si="26"/>
        <v>0</v>
      </c>
      <c r="DI28" s="914">
        <f t="shared" si="27"/>
        <v>0</v>
      </c>
      <c r="DJ28" s="915">
        <f t="shared" si="28"/>
        <v>0</v>
      </c>
      <c r="DK28" s="914">
        <f t="shared" si="29"/>
        <v>0</v>
      </c>
      <c r="DL28" s="914">
        <f t="shared" si="30"/>
        <v>0</v>
      </c>
      <c r="DM28" s="914">
        <f t="shared" si="31"/>
        <v>0</v>
      </c>
      <c r="DN28" s="914">
        <f t="shared" si="32"/>
        <v>0</v>
      </c>
      <c r="DO28" s="915">
        <f t="shared" si="33"/>
        <v>0</v>
      </c>
      <c r="DP28" s="915">
        <f t="shared" si="34"/>
        <v>0</v>
      </c>
      <c r="DQ28" s="1041">
        <f t="shared" si="9"/>
        <v>0</v>
      </c>
      <c r="DR28" s="914">
        <f t="shared" si="10"/>
        <v>0</v>
      </c>
      <c r="DS28" s="914">
        <f t="shared" si="11"/>
        <v>0</v>
      </c>
      <c r="DT28" s="915">
        <f t="shared" si="12"/>
        <v>0</v>
      </c>
      <c r="DU28" s="1041">
        <f t="shared" si="13"/>
        <v>0</v>
      </c>
      <c r="DV28" s="1040">
        <f t="shared" si="35"/>
        <v>0</v>
      </c>
      <c r="DW28" s="915">
        <f t="shared" si="36"/>
        <v>0</v>
      </c>
      <c r="DX28" s="915">
        <f t="shared" si="37"/>
        <v>0</v>
      </c>
      <c r="DY28" s="915" t="e">
        <f t="shared" si="38"/>
        <v>#VALUE!</v>
      </c>
      <c r="DZ28" s="915" t="e">
        <f t="shared" si="39"/>
        <v>#VALUE!</v>
      </c>
      <c r="EA28" s="915" t="e">
        <f t="shared" si="40"/>
        <v>#VALUE!</v>
      </c>
      <c r="EB28" s="915">
        <f t="shared" si="41"/>
        <v>0</v>
      </c>
      <c r="EC28" s="915">
        <f t="shared" si="42"/>
        <v>0</v>
      </c>
      <c r="ED28" s="1041">
        <f t="shared" si="43"/>
        <v>0</v>
      </c>
      <c r="EE28" s="915">
        <f t="shared" si="44"/>
        <v>0</v>
      </c>
      <c r="EF28" s="915">
        <f t="shared" si="45"/>
        <v>0</v>
      </c>
      <c r="EG28" s="915">
        <f t="shared" si="2"/>
        <v>0</v>
      </c>
      <c r="EH28" s="915">
        <f t="shared" si="3"/>
        <v>0</v>
      </c>
      <c r="EI28" s="915">
        <f t="shared" si="4"/>
        <v>-230</v>
      </c>
      <c r="EJ28" s="1041">
        <f t="shared" si="5"/>
        <v>-12.12757610434619</v>
      </c>
      <c r="EK28" s="913">
        <f t="shared" si="5"/>
        <v>0</v>
      </c>
      <c r="EL28" s="915">
        <f t="shared" si="6"/>
        <v>0</v>
      </c>
      <c r="EM28" s="1041">
        <f t="shared" si="7"/>
        <v>0</v>
      </c>
    </row>
    <row r="29" spans="1:143">
      <c r="A29" s="883">
        <f>Eingabedaten!A33</f>
        <v>8.1</v>
      </c>
      <c r="B29" s="888" t="str">
        <f>Eingabedaten!C33</f>
        <v xml:space="preserve">Bettenzimmer </v>
      </c>
      <c r="C29" s="1777">
        <v>36</v>
      </c>
      <c r="D29" s="884">
        <v>0.18</v>
      </c>
      <c r="E29" s="884">
        <v>0.13</v>
      </c>
      <c r="F29" s="908">
        <v>24</v>
      </c>
      <c r="G29" s="909">
        <v>24</v>
      </c>
      <c r="H29" s="909">
        <v>365</v>
      </c>
      <c r="I29" s="909">
        <v>0.80000000000000016</v>
      </c>
      <c r="J29" s="909">
        <v>15</v>
      </c>
      <c r="K29" s="909">
        <v>4.7</v>
      </c>
      <c r="L29" s="1772">
        <v>5.5</v>
      </c>
      <c r="M29" s="1038">
        <v>4</v>
      </c>
      <c r="N29" s="909">
        <v>1750</v>
      </c>
      <c r="O29" s="911">
        <v>7</v>
      </c>
      <c r="P29" s="1773">
        <v>0.24509803921568629</v>
      </c>
      <c r="Q29" s="910">
        <v>1.7142857142857142</v>
      </c>
      <c r="R29" s="911">
        <v>35.1</v>
      </c>
      <c r="S29" s="910">
        <v>0.78947368421052633</v>
      </c>
      <c r="T29" s="910">
        <v>4.5109211775878437</v>
      </c>
      <c r="U29" s="910">
        <v>0</v>
      </c>
      <c r="V29" s="910">
        <v>4.5109211775878437</v>
      </c>
      <c r="W29" s="911">
        <v>3020</v>
      </c>
      <c r="X29" s="911">
        <v>0</v>
      </c>
      <c r="Y29" s="1039">
        <v>13.622981956315289</v>
      </c>
      <c r="Z29" s="910">
        <v>2.4</v>
      </c>
      <c r="AA29" s="910">
        <v>1.32</v>
      </c>
      <c r="AB29" s="911">
        <v>7010</v>
      </c>
      <c r="AC29" s="1039">
        <v>9.2532000000000014</v>
      </c>
      <c r="AD29" s="1038">
        <v>22.471380392156867</v>
      </c>
      <c r="AE29" s="911">
        <v>13.210921177587842</v>
      </c>
      <c r="AF29" s="911">
        <v>161.55810292900239</v>
      </c>
      <c r="AG29" s="911" t="s">
        <v>1260</v>
      </c>
      <c r="AH29" s="911" t="s">
        <v>1259</v>
      </c>
      <c r="AI29" s="911" t="s">
        <v>1259</v>
      </c>
      <c r="AJ29" s="911">
        <v>23</v>
      </c>
      <c r="AK29" s="911">
        <v>760</v>
      </c>
      <c r="AL29" s="1039">
        <v>17.403611111111111</v>
      </c>
      <c r="AM29" s="911">
        <v>29.951811764705887</v>
      </c>
      <c r="AN29" s="911">
        <v>128.24599827801833</v>
      </c>
      <c r="AO29" s="911">
        <v>-1</v>
      </c>
      <c r="AP29" s="911">
        <v>25.791837908496735</v>
      </c>
      <c r="AQ29" s="911">
        <v>750</v>
      </c>
      <c r="AR29" s="1039">
        <v>19.398725282739779</v>
      </c>
      <c r="AS29" s="909">
        <v>60</v>
      </c>
      <c r="AT29" s="911">
        <v>240</v>
      </c>
      <c r="AU29" s="1039">
        <v>67.744000000000014</v>
      </c>
      <c r="AW29" s="1039">
        <f>Eingabedaten!AK33*Res_Std!O29</f>
        <v>105</v>
      </c>
      <c r="AX29" s="1769"/>
      <c r="AY29" s="1770"/>
      <c r="AZ29" s="1771"/>
      <c r="BA29" s="1777">
        <v>36</v>
      </c>
      <c r="BB29" s="884">
        <v>0.18</v>
      </c>
      <c r="BC29" s="884">
        <v>0.13</v>
      </c>
      <c r="BD29" s="908">
        <v>24</v>
      </c>
      <c r="BE29" s="909">
        <v>24</v>
      </c>
      <c r="BF29" s="909">
        <v>365</v>
      </c>
      <c r="BG29" s="909">
        <v>0.80000000000000016</v>
      </c>
      <c r="BH29" s="909">
        <v>15</v>
      </c>
      <c r="BI29" s="909">
        <v>4.7</v>
      </c>
      <c r="BJ29" s="1772">
        <v>5.5</v>
      </c>
      <c r="BK29" s="1038">
        <v>4</v>
      </c>
      <c r="BL29" s="909">
        <v>1750</v>
      </c>
      <c r="BM29" s="911">
        <v>7</v>
      </c>
      <c r="BN29" s="1773">
        <v>0.24509803921568629</v>
      </c>
      <c r="BO29" s="910">
        <v>1.7142857142857142</v>
      </c>
      <c r="BP29" s="911">
        <v>35.1</v>
      </c>
      <c r="BQ29" s="910">
        <v>0.78947368421052633</v>
      </c>
      <c r="BR29" s="910">
        <v>4.5109211775878437</v>
      </c>
      <c r="BS29" s="910">
        <v>0</v>
      </c>
      <c r="BT29" s="910">
        <v>4.5109211775878437</v>
      </c>
      <c r="BU29" s="911">
        <v>3020</v>
      </c>
      <c r="BV29" s="911">
        <v>0</v>
      </c>
      <c r="BW29" s="1039">
        <v>13.622981956315289</v>
      </c>
      <c r="BX29" s="910">
        <v>2.4</v>
      </c>
      <c r="BY29" s="910">
        <v>1.32</v>
      </c>
      <c r="BZ29" s="911">
        <v>7010</v>
      </c>
      <c r="CA29" s="1039">
        <v>9.2532000000000014</v>
      </c>
      <c r="CB29" s="1038">
        <v>22.471380392156867</v>
      </c>
      <c r="CC29" s="911">
        <v>13.210921177587842</v>
      </c>
      <c r="CD29" s="911">
        <v>161.55810292900239</v>
      </c>
      <c r="CE29" s="911" t="s">
        <v>784</v>
      </c>
      <c r="CF29" s="911" t="s">
        <v>785</v>
      </c>
      <c r="CG29" s="911" t="s">
        <v>785</v>
      </c>
      <c r="CH29" s="911">
        <v>23</v>
      </c>
      <c r="CI29" s="911">
        <v>760</v>
      </c>
      <c r="CJ29" s="1039">
        <v>17.403611111111111</v>
      </c>
      <c r="CK29" s="911">
        <v>29.951811764705887</v>
      </c>
      <c r="CL29" s="911">
        <v>128.24599827801833</v>
      </c>
      <c r="CM29" s="911">
        <v>-1</v>
      </c>
      <c r="CN29" s="911">
        <v>25.791837908496735</v>
      </c>
      <c r="CO29" s="911">
        <v>810</v>
      </c>
      <c r="CP29" s="1039">
        <v>20.77848055055507</v>
      </c>
      <c r="CQ29" s="909">
        <v>60</v>
      </c>
      <c r="CR29" s="911">
        <v>240</v>
      </c>
      <c r="CS29" s="1039">
        <v>67.744000000000014</v>
      </c>
      <c r="CU29" s="1777">
        <f t="shared" si="8"/>
        <v>0</v>
      </c>
      <c r="CV29" s="884">
        <f t="shared" si="14"/>
        <v>0</v>
      </c>
      <c r="CW29" s="884">
        <f t="shared" si="15"/>
        <v>0</v>
      </c>
      <c r="CX29" s="908">
        <f t="shared" si="16"/>
        <v>0</v>
      </c>
      <c r="CY29" s="909">
        <f t="shared" si="17"/>
        <v>0</v>
      </c>
      <c r="CZ29" s="909">
        <f t="shared" si="18"/>
        <v>0</v>
      </c>
      <c r="DA29" s="909">
        <f t="shared" si="19"/>
        <v>0</v>
      </c>
      <c r="DB29" s="909">
        <f t="shared" si="20"/>
        <v>0</v>
      </c>
      <c r="DC29" s="909">
        <f t="shared" si="21"/>
        <v>0</v>
      </c>
      <c r="DD29" s="1772">
        <f t="shared" si="22"/>
        <v>0</v>
      </c>
      <c r="DE29" s="1038">
        <f t="shared" si="23"/>
        <v>0</v>
      </c>
      <c r="DF29" s="909">
        <f t="shared" si="24"/>
        <v>0</v>
      </c>
      <c r="DG29" s="911">
        <f t="shared" si="25"/>
        <v>0</v>
      </c>
      <c r="DH29" s="1773">
        <f t="shared" si="26"/>
        <v>0</v>
      </c>
      <c r="DI29" s="910">
        <f t="shared" si="27"/>
        <v>0</v>
      </c>
      <c r="DJ29" s="911">
        <f t="shared" si="28"/>
        <v>0</v>
      </c>
      <c r="DK29" s="910">
        <f t="shared" si="29"/>
        <v>0</v>
      </c>
      <c r="DL29" s="910">
        <f t="shared" si="30"/>
        <v>0</v>
      </c>
      <c r="DM29" s="910">
        <f t="shared" si="31"/>
        <v>0</v>
      </c>
      <c r="DN29" s="910">
        <f t="shared" si="32"/>
        <v>0</v>
      </c>
      <c r="DO29" s="911">
        <f t="shared" si="33"/>
        <v>0</v>
      </c>
      <c r="DP29" s="911">
        <f t="shared" si="34"/>
        <v>0</v>
      </c>
      <c r="DQ29" s="1039">
        <f t="shared" si="9"/>
        <v>0</v>
      </c>
      <c r="DR29" s="910">
        <f t="shared" si="10"/>
        <v>0</v>
      </c>
      <c r="DS29" s="910">
        <f t="shared" si="11"/>
        <v>0</v>
      </c>
      <c r="DT29" s="911">
        <f t="shared" si="12"/>
        <v>0</v>
      </c>
      <c r="DU29" s="1039">
        <f t="shared" si="13"/>
        <v>0</v>
      </c>
      <c r="DV29" s="1038">
        <f t="shared" si="35"/>
        <v>0</v>
      </c>
      <c r="DW29" s="911">
        <f t="shared" si="36"/>
        <v>0</v>
      </c>
      <c r="DX29" s="911">
        <f t="shared" si="37"/>
        <v>0</v>
      </c>
      <c r="DY29" s="911" t="e">
        <f t="shared" si="38"/>
        <v>#VALUE!</v>
      </c>
      <c r="DZ29" s="911" t="e">
        <f t="shared" si="39"/>
        <v>#VALUE!</v>
      </c>
      <c r="EA29" s="911" t="e">
        <f t="shared" si="40"/>
        <v>#VALUE!</v>
      </c>
      <c r="EB29" s="911">
        <f t="shared" si="41"/>
        <v>0</v>
      </c>
      <c r="EC29" s="911">
        <f t="shared" si="42"/>
        <v>0</v>
      </c>
      <c r="ED29" s="1039">
        <f t="shared" si="43"/>
        <v>0</v>
      </c>
      <c r="EE29" s="911">
        <f t="shared" si="44"/>
        <v>0</v>
      </c>
      <c r="EF29" s="911">
        <f t="shared" si="45"/>
        <v>0</v>
      </c>
      <c r="EG29" s="911">
        <f t="shared" si="2"/>
        <v>0</v>
      </c>
      <c r="EH29" s="911">
        <f t="shared" si="3"/>
        <v>0</v>
      </c>
      <c r="EI29" s="911">
        <f t="shared" si="4"/>
        <v>-60</v>
      </c>
      <c r="EJ29" s="1039">
        <f t="shared" si="5"/>
        <v>-1.3797552678152911</v>
      </c>
      <c r="EK29" s="909">
        <f t="shared" si="5"/>
        <v>0</v>
      </c>
      <c r="EL29" s="911">
        <f t="shared" si="6"/>
        <v>0</v>
      </c>
      <c r="EM29" s="1039">
        <f t="shared" si="7"/>
        <v>0</v>
      </c>
    </row>
    <row r="30" spans="1:143">
      <c r="A30" s="889">
        <f>Eingabedaten!A34</f>
        <v>8.1999999999999993</v>
      </c>
      <c r="B30" s="1013" t="str">
        <f>Eingabedaten!C34</f>
        <v xml:space="preserve">Stationszimmer </v>
      </c>
      <c r="C30" s="1719">
        <v>36</v>
      </c>
      <c r="D30" s="873">
        <v>0.18</v>
      </c>
      <c r="E30" s="873">
        <v>0.125</v>
      </c>
      <c r="F30" s="912">
        <v>24</v>
      </c>
      <c r="G30" s="913">
        <v>10.799999999999995</v>
      </c>
      <c r="H30" s="913">
        <v>365</v>
      </c>
      <c r="I30" s="913">
        <v>0.80000000000000016</v>
      </c>
      <c r="J30" s="913">
        <v>3</v>
      </c>
      <c r="K30" s="913">
        <v>23.3</v>
      </c>
      <c r="L30" s="1767">
        <v>26.5</v>
      </c>
      <c r="M30" s="1040">
        <v>7</v>
      </c>
      <c r="N30" s="913">
        <v>3150</v>
      </c>
      <c r="O30" s="915">
        <v>22.05</v>
      </c>
      <c r="P30" s="1768">
        <v>0.29411764705882354</v>
      </c>
      <c r="Q30" s="914">
        <v>1.3333333333333333</v>
      </c>
      <c r="R30" s="915">
        <v>55.1</v>
      </c>
      <c r="S30" s="914">
        <v>0.71428571428571419</v>
      </c>
      <c r="T30" s="914">
        <v>15.880217785843922</v>
      </c>
      <c r="U30" s="914">
        <v>0</v>
      </c>
      <c r="V30" s="914">
        <v>15.880217785843922</v>
      </c>
      <c r="W30" s="915">
        <v>5480</v>
      </c>
      <c r="X30" s="915">
        <v>0</v>
      </c>
      <c r="Y30" s="1041">
        <v>87.0235934664247</v>
      </c>
      <c r="Z30" s="914">
        <v>12</v>
      </c>
      <c r="AA30" s="914">
        <v>6.6000000000000005</v>
      </c>
      <c r="AB30" s="915">
        <v>2920</v>
      </c>
      <c r="AC30" s="1041">
        <v>19.271999999999998</v>
      </c>
      <c r="AD30" s="1040">
        <v>31.501176470588241</v>
      </c>
      <c r="AE30" s="915">
        <v>46.180217785843922</v>
      </c>
      <c r="AF30" s="915">
        <v>514.7042401762244</v>
      </c>
      <c r="AG30" s="915" t="s">
        <v>1259</v>
      </c>
      <c r="AH30" s="915" t="s">
        <v>1259</v>
      </c>
      <c r="AI30" s="915" t="s">
        <v>1259</v>
      </c>
      <c r="AJ30" s="915">
        <v>49</v>
      </c>
      <c r="AK30" s="915">
        <v>810</v>
      </c>
      <c r="AL30" s="1041">
        <v>39.685833333333335</v>
      </c>
      <c r="AM30" s="915">
        <v>63.15529411764706</v>
      </c>
      <c r="AN30" s="915">
        <v>61.220520844975972</v>
      </c>
      <c r="AO30" s="915">
        <v>-2</v>
      </c>
      <c r="AP30" s="915">
        <v>54.383725490196078</v>
      </c>
      <c r="AQ30" s="915">
        <v>10</v>
      </c>
      <c r="AR30" s="1041">
        <v>0.50554857410998411</v>
      </c>
      <c r="AS30" s="913">
        <v>0</v>
      </c>
      <c r="AT30" s="915">
        <v>0</v>
      </c>
      <c r="AU30" s="1041">
        <v>0</v>
      </c>
      <c r="AW30" s="1041">
        <f>Eingabedaten!AK34*Res_Std!O30</f>
        <v>66.150000000000006</v>
      </c>
      <c r="AX30" s="1769"/>
      <c r="AY30" s="1770"/>
      <c r="AZ30" s="1771"/>
      <c r="BA30" s="1719">
        <v>36</v>
      </c>
      <c r="BB30" s="873">
        <v>0.18</v>
      </c>
      <c r="BC30" s="873">
        <v>0.125</v>
      </c>
      <c r="BD30" s="912">
        <v>24</v>
      </c>
      <c r="BE30" s="913">
        <v>10.799999999999995</v>
      </c>
      <c r="BF30" s="913">
        <v>365</v>
      </c>
      <c r="BG30" s="913">
        <v>0.80000000000000016</v>
      </c>
      <c r="BH30" s="913">
        <v>3</v>
      </c>
      <c r="BI30" s="913">
        <v>23.3</v>
      </c>
      <c r="BJ30" s="1767">
        <v>26.5</v>
      </c>
      <c r="BK30" s="1040">
        <v>7</v>
      </c>
      <c r="BL30" s="913">
        <v>3150</v>
      </c>
      <c r="BM30" s="915">
        <v>22.05</v>
      </c>
      <c r="BN30" s="1768">
        <v>0.29411764705882354</v>
      </c>
      <c r="BO30" s="914">
        <v>1.3333333333333333</v>
      </c>
      <c r="BP30" s="915">
        <v>55.1</v>
      </c>
      <c r="BQ30" s="914">
        <v>0.71428571428571419</v>
      </c>
      <c r="BR30" s="914">
        <v>15.880217785843922</v>
      </c>
      <c r="BS30" s="914">
        <v>0</v>
      </c>
      <c r="BT30" s="914">
        <v>15.880217785843922</v>
      </c>
      <c r="BU30" s="915">
        <v>5480</v>
      </c>
      <c r="BV30" s="915">
        <v>0</v>
      </c>
      <c r="BW30" s="1041">
        <v>87.0235934664247</v>
      </c>
      <c r="BX30" s="914">
        <v>12</v>
      </c>
      <c r="BY30" s="914">
        <v>6.6000000000000005</v>
      </c>
      <c r="BZ30" s="915">
        <v>2920</v>
      </c>
      <c r="CA30" s="1041">
        <v>19.271999999999998</v>
      </c>
      <c r="CB30" s="1040">
        <v>31.501176470588241</v>
      </c>
      <c r="CC30" s="915">
        <v>46.180217785843922</v>
      </c>
      <c r="CD30" s="915">
        <v>514.7042401762244</v>
      </c>
      <c r="CE30" s="915" t="s">
        <v>785</v>
      </c>
      <c r="CF30" s="915" t="s">
        <v>785</v>
      </c>
      <c r="CG30" s="915" t="s">
        <v>785</v>
      </c>
      <c r="CH30" s="915">
        <v>49</v>
      </c>
      <c r="CI30" s="915">
        <v>810</v>
      </c>
      <c r="CJ30" s="1041">
        <v>39.685833333333335</v>
      </c>
      <c r="CK30" s="915">
        <v>63.15529411764706</v>
      </c>
      <c r="CL30" s="915">
        <v>61.220520844975972</v>
      </c>
      <c r="CM30" s="915">
        <v>-2</v>
      </c>
      <c r="CN30" s="915">
        <v>54.383725490196078</v>
      </c>
      <c r="CO30" s="915">
        <v>170</v>
      </c>
      <c r="CP30" s="1041">
        <v>9.1321185174262549</v>
      </c>
      <c r="CQ30" s="913">
        <v>0</v>
      </c>
      <c r="CR30" s="915">
        <v>0</v>
      </c>
      <c r="CS30" s="1041">
        <v>0</v>
      </c>
      <c r="CU30" s="1719">
        <f t="shared" si="8"/>
        <v>0</v>
      </c>
      <c r="CV30" s="873">
        <f t="shared" si="14"/>
        <v>0</v>
      </c>
      <c r="CW30" s="873">
        <f t="shared" si="15"/>
        <v>0</v>
      </c>
      <c r="CX30" s="912">
        <f t="shared" si="16"/>
        <v>0</v>
      </c>
      <c r="CY30" s="913">
        <f t="shared" si="17"/>
        <v>0</v>
      </c>
      <c r="CZ30" s="913">
        <f t="shared" si="18"/>
        <v>0</v>
      </c>
      <c r="DA30" s="913">
        <f t="shared" si="19"/>
        <v>0</v>
      </c>
      <c r="DB30" s="913">
        <f t="shared" si="20"/>
        <v>0</v>
      </c>
      <c r="DC30" s="913">
        <f t="shared" si="21"/>
        <v>0</v>
      </c>
      <c r="DD30" s="1767">
        <f t="shared" si="22"/>
        <v>0</v>
      </c>
      <c r="DE30" s="1040">
        <f t="shared" si="23"/>
        <v>0</v>
      </c>
      <c r="DF30" s="913">
        <f t="shared" si="24"/>
        <v>0</v>
      </c>
      <c r="DG30" s="915">
        <f t="shared" si="25"/>
        <v>0</v>
      </c>
      <c r="DH30" s="1768">
        <f t="shared" si="26"/>
        <v>0</v>
      </c>
      <c r="DI30" s="914">
        <f t="shared" si="27"/>
        <v>0</v>
      </c>
      <c r="DJ30" s="915">
        <f t="shared" si="28"/>
        <v>0</v>
      </c>
      <c r="DK30" s="914">
        <f t="shared" si="29"/>
        <v>0</v>
      </c>
      <c r="DL30" s="914">
        <f t="shared" si="30"/>
        <v>0</v>
      </c>
      <c r="DM30" s="914">
        <f t="shared" si="31"/>
        <v>0</v>
      </c>
      <c r="DN30" s="914">
        <f t="shared" si="32"/>
        <v>0</v>
      </c>
      <c r="DO30" s="915">
        <f t="shared" si="33"/>
        <v>0</v>
      </c>
      <c r="DP30" s="915">
        <f t="shared" si="34"/>
        <v>0</v>
      </c>
      <c r="DQ30" s="1041">
        <f t="shared" si="9"/>
        <v>0</v>
      </c>
      <c r="DR30" s="914">
        <f t="shared" si="10"/>
        <v>0</v>
      </c>
      <c r="DS30" s="914">
        <f t="shared" si="11"/>
        <v>0</v>
      </c>
      <c r="DT30" s="915">
        <f t="shared" si="12"/>
        <v>0</v>
      </c>
      <c r="DU30" s="1041">
        <f t="shared" si="13"/>
        <v>0</v>
      </c>
      <c r="DV30" s="1040">
        <f t="shared" si="35"/>
        <v>0</v>
      </c>
      <c r="DW30" s="915">
        <f t="shared" si="36"/>
        <v>0</v>
      </c>
      <c r="DX30" s="915">
        <f t="shared" si="37"/>
        <v>0</v>
      </c>
      <c r="DY30" s="915" t="e">
        <f t="shared" si="38"/>
        <v>#VALUE!</v>
      </c>
      <c r="DZ30" s="915" t="e">
        <f t="shared" si="39"/>
        <v>#VALUE!</v>
      </c>
      <c r="EA30" s="915" t="e">
        <f t="shared" si="40"/>
        <v>#VALUE!</v>
      </c>
      <c r="EB30" s="915">
        <f t="shared" si="41"/>
        <v>0</v>
      </c>
      <c r="EC30" s="915">
        <f t="shared" si="42"/>
        <v>0</v>
      </c>
      <c r="ED30" s="1041">
        <f t="shared" si="43"/>
        <v>0</v>
      </c>
      <c r="EE30" s="915">
        <f t="shared" si="44"/>
        <v>0</v>
      </c>
      <c r="EF30" s="915">
        <f t="shared" si="45"/>
        <v>0</v>
      </c>
      <c r="EG30" s="915">
        <f t="shared" si="2"/>
        <v>0</v>
      </c>
      <c r="EH30" s="915">
        <f t="shared" si="3"/>
        <v>0</v>
      </c>
      <c r="EI30" s="915">
        <f t="shared" si="4"/>
        <v>-160</v>
      </c>
      <c r="EJ30" s="1041">
        <f t="shared" si="5"/>
        <v>-8.6265699433162712</v>
      </c>
      <c r="EK30" s="913">
        <f t="shared" si="5"/>
        <v>0</v>
      </c>
      <c r="EL30" s="915">
        <f t="shared" si="6"/>
        <v>0</v>
      </c>
      <c r="EM30" s="1041">
        <f t="shared" si="7"/>
        <v>0</v>
      </c>
    </row>
    <row r="31" spans="1:143">
      <c r="A31" s="891">
        <f>Eingabedaten!A35</f>
        <v>8.3000000000000007</v>
      </c>
      <c r="B31" s="1536" t="str">
        <f>Eingabedaten!C35</f>
        <v>Behandlungsraum</v>
      </c>
      <c r="C31" s="1780">
        <v>36</v>
      </c>
      <c r="D31" s="886">
        <v>0.18</v>
      </c>
      <c r="E31" s="886">
        <v>0.13</v>
      </c>
      <c r="F31" s="1758">
        <v>11</v>
      </c>
      <c r="G31" s="1759">
        <v>7.1999999999999993</v>
      </c>
      <c r="H31" s="1759">
        <v>313</v>
      </c>
      <c r="I31" s="1759">
        <v>0.80000000000000016</v>
      </c>
      <c r="J31" s="1759">
        <v>5</v>
      </c>
      <c r="K31" s="1759">
        <v>14</v>
      </c>
      <c r="L31" s="1760">
        <v>16</v>
      </c>
      <c r="M31" s="1774">
        <v>20</v>
      </c>
      <c r="N31" s="1759">
        <v>2180</v>
      </c>
      <c r="O31" s="1762">
        <v>43.6</v>
      </c>
      <c r="P31" s="1775">
        <v>0.29411764705882354</v>
      </c>
      <c r="Q31" s="1761">
        <v>1.3333333333333333</v>
      </c>
      <c r="R31" s="1762">
        <v>55.1</v>
      </c>
      <c r="S31" s="1761">
        <v>0.71428571428571419</v>
      </c>
      <c r="T31" s="1761">
        <v>15.880217785843922</v>
      </c>
      <c r="U31" s="1761">
        <v>0</v>
      </c>
      <c r="V31" s="1761">
        <v>15.880217785843922</v>
      </c>
      <c r="W31" s="1762">
        <v>1450</v>
      </c>
      <c r="X31" s="1762">
        <v>0</v>
      </c>
      <c r="Y31" s="1776">
        <v>23.026315789473689</v>
      </c>
      <c r="Z31" s="1761">
        <v>7.2</v>
      </c>
      <c r="AA31" s="1761">
        <v>3.9600000000000004</v>
      </c>
      <c r="AB31" s="1762">
        <v>1780</v>
      </c>
      <c r="AC31" s="1776">
        <v>7.0488000000000008</v>
      </c>
      <c r="AD31" s="1774">
        <v>29.39637647058824</v>
      </c>
      <c r="AE31" s="1762">
        <v>49.880217785843925</v>
      </c>
      <c r="AF31" s="1762">
        <v>279.58184453194127</v>
      </c>
      <c r="AG31" s="1762" t="s">
        <v>1259</v>
      </c>
      <c r="AH31" s="1762" t="s">
        <v>1259</v>
      </c>
      <c r="AI31" s="1762" t="s">
        <v>1259</v>
      </c>
      <c r="AJ31" s="1762">
        <v>44</v>
      </c>
      <c r="AK31" s="1762">
        <v>690</v>
      </c>
      <c r="AL31" s="1776">
        <v>30.210833333333333</v>
      </c>
      <c r="AM31" s="1762">
        <v>50.526494117647069</v>
      </c>
      <c r="AN31" s="1762">
        <v>79.728468605404913</v>
      </c>
      <c r="AO31" s="1762">
        <v>-2</v>
      </c>
      <c r="AP31" s="1762">
        <v>44.912439215686284</v>
      </c>
      <c r="AQ31" s="1762">
        <v>50</v>
      </c>
      <c r="AR31" s="1776">
        <v>2.3480892530399333</v>
      </c>
      <c r="AS31" s="1759">
        <v>0</v>
      </c>
      <c r="AT31" s="1762">
        <v>0</v>
      </c>
      <c r="AU31" s="1776">
        <v>0</v>
      </c>
      <c r="AW31" s="1776">
        <f>Eingabedaten!AK35*Res_Std!O31</f>
        <v>218</v>
      </c>
      <c r="AX31" s="1769"/>
      <c r="AY31" s="1770"/>
      <c r="AZ31" s="1771"/>
      <c r="BA31" s="1780">
        <v>36</v>
      </c>
      <c r="BB31" s="886">
        <v>0.18</v>
      </c>
      <c r="BC31" s="886">
        <v>0.13</v>
      </c>
      <c r="BD31" s="1758">
        <v>11</v>
      </c>
      <c r="BE31" s="1759">
        <v>7.1999999999999993</v>
      </c>
      <c r="BF31" s="1759">
        <v>313</v>
      </c>
      <c r="BG31" s="1759">
        <v>0.80000000000000016</v>
      </c>
      <c r="BH31" s="1759">
        <v>5</v>
      </c>
      <c r="BI31" s="1759">
        <v>14</v>
      </c>
      <c r="BJ31" s="1760">
        <v>16</v>
      </c>
      <c r="BK31" s="1774">
        <v>20</v>
      </c>
      <c r="BL31" s="1759">
        <v>2180</v>
      </c>
      <c r="BM31" s="1762">
        <v>43.6</v>
      </c>
      <c r="BN31" s="1775">
        <v>0.29411764705882354</v>
      </c>
      <c r="BO31" s="1761">
        <v>1.3333333333333333</v>
      </c>
      <c r="BP31" s="1762">
        <v>55.1</v>
      </c>
      <c r="BQ31" s="1761">
        <v>0.71428571428571419</v>
      </c>
      <c r="BR31" s="1761">
        <v>15.880217785843922</v>
      </c>
      <c r="BS31" s="1761">
        <v>0</v>
      </c>
      <c r="BT31" s="1761">
        <v>15.880217785843922</v>
      </c>
      <c r="BU31" s="1762">
        <v>1450</v>
      </c>
      <c r="BV31" s="1762">
        <v>0</v>
      </c>
      <c r="BW31" s="1776">
        <v>23.026315789473689</v>
      </c>
      <c r="BX31" s="1761">
        <v>7.2</v>
      </c>
      <c r="BY31" s="1761">
        <v>3.9600000000000004</v>
      </c>
      <c r="BZ31" s="1762">
        <v>1960</v>
      </c>
      <c r="CA31" s="1776">
        <v>7.7616000000000005</v>
      </c>
      <c r="CB31" s="1774">
        <v>29.39637647058824</v>
      </c>
      <c r="CC31" s="1762">
        <v>49.880217785843925</v>
      </c>
      <c r="CD31" s="1762">
        <v>279.58184453194127</v>
      </c>
      <c r="CE31" s="1762" t="s">
        <v>785</v>
      </c>
      <c r="CF31" s="1762" t="s">
        <v>785</v>
      </c>
      <c r="CG31" s="1762" t="s">
        <v>785</v>
      </c>
      <c r="CH31" s="1762">
        <v>44</v>
      </c>
      <c r="CI31" s="1762">
        <v>690</v>
      </c>
      <c r="CJ31" s="1776">
        <v>30.210833333333333</v>
      </c>
      <c r="CK31" s="1762">
        <v>50.526494117647069</v>
      </c>
      <c r="CL31" s="1762">
        <v>79.728468605404913</v>
      </c>
      <c r="CM31" s="1762">
        <v>-2</v>
      </c>
      <c r="CN31" s="1762">
        <v>44.912439215686284</v>
      </c>
      <c r="CO31" s="1762">
        <v>250</v>
      </c>
      <c r="CP31" s="1776">
        <v>11.076484677102773</v>
      </c>
      <c r="CQ31" s="1759">
        <v>0</v>
      </c>
      <c r="CR31" s="1762">
        <v>0</v>
      </c>
      <c r="CS31" s="1776">
        <v>0</v>
      </c>
      <c r="CU31" s="1780">
        <f t="shared" si="8"/>
        <v>0</v>
      </c>
      <c r="CV31" s="886">
        <f t="shared" si="14"/>
        <v>0</v>
      </c>
      <c r="CW31" s="886">
        <f t="shared" si="15"/>
        <v>0</v>
      </c>
      <c r="CX31" s="1758">
        <f t="shared" si="16"/>
        <v>0</v>
      </c>
      <c r="CY31" s="1759">
        <f t="shared" si="17"/>
        <v>0</v>
      </c>
      <c r="CZ31" s="1759">
        <f t="shared" si="18"/>
        <v>0</v>
      </c>
      <c r="DA31" s="1759">
        <f t="shared" si="19"/>
        <v>0</v>
      </c>
      <c r="DB31" s="1759">
        <f t="shared" si="20"/>
        <v>0</v>
      </c>
      <c r="DC31" s="1759">
        <f t="shared" si="21"/>
        <v>0</v>
      </c>
      <c r="DD31" s="1760">
        <f t="shared" si="22"/>
        <v>0</v>
      </c>
      <c r="DE31" s="1774">
        <f t="shared" si="23"/>
        <v>0</v>
      </c>
      <c r="DF31" s="1759">
        <f t="shared" si="24"/>
        <v>0</v>
      </c>
      <c r="DG31" s="1762">
        <f t="shared" si="25"/>
        <v>0</v>
      </c>
      <c r="DH31" s="1775">
        <f t="shared" si="26"/>
        <v>0</v>
      </c>
      <c r="DI31" s="1761">
        <f t="shared" si="27"/>
        <v>0</v>
      </c>
      <c r="DJ31" s="1762">
        <f t="shared" si="28"/>
        <v>0</v>
      </c>
      <c r="DK31" s="1761">
        <f t="shared" si="29"/>
        <v>0</v>
      </c>
      <c r="DL31" s="1761">
        <f t="shared" si="30"/>
        <v>0</v>
      </c>
      <c r="DM31" s="1761">
        <f t="shared" si="31"/>
        <v>0</v>
      </c>
      <c r="DN31" s="1761">
        <f t="shared" si="32"/>
        <v>0</v>
      </c>
      <c r="DO31" s="1762">
        <f t="shared" si="33"/>
        <v>0</v>
      </c>
      <c r="DP31" s="1762">
        <f t="shared" si="34"/>
        <v>0</v>
      </c>
      <c r="DQ31" s="1776">
        <f t="shared" si="9"/>
        <v>0</v>
      </c>
      <c r="DR31" s="1761">
        <f t="shared" si="10"/>
        <v>0</v>
      </c>
      <c r="DS31" s="1761">
        <f t="shared" si="11"/>
        <v>0</v>
      </c>
      <c r="DT31" s="1762">
        <f t="shared" si="12"/>
        <v>-180</v>
      </c>
      <c r="DU31" s="1776">
        <f t="shared" si="13"/>
        <v>-0.71279999999999966</v>
      </c>
      <c r="DV31" s="1774">
        <f t="shared" si="35"/>
        <v>0</v>
      </c>
      <c r="DW31" s="1762">
        <f t="shared" si="36"/>
        <v>0</v>
      </c>
      <c r="DX31" s="1762">
        <f t="shared" si="37"/>
        <v>0</v>
      </c>
      <c r="DY31" s="1762" t="e">
        <f t="shared" si="38"/>
        <v>#VALUE!</v>
      </c>
      <c r="DZ31" s="1762" t="e">
        <f t="shared" si="39"/>
        <v>#VALUE!</v>
      </c>
      <c r="EA31" s="1762" t="e">
        <f t="shared" si="40"/>
        <v>#VALUE!</v>
      </c>
      <c r="EB31" s="1762">
        <f t="shared" si="41"/>
        <v>0</v>
      </c>
      <c r="EC31" s="1762">
        <f t="shared" si="42"/>
        <v>0</v>
      </c>
      <c r="ED31" s="1776">
        <f t="shared" si="43"/>
        <v>0</v>
      </c>
      <c r="EE31" s="1762">
        <f t="shared" si="44"/>
        <v>0</v>
      </c>
      <c r="EF31" s="1762">
        <f t="shared" si="45"/>
        <v>0</v>
      </c>
      <c r="EG31" s="1762">
        <f t="shared" si="2"/>
        <v>0</v>
      </c>
      <c r="EH31" s="1762">
        <f t="shared" si="3"/>
        <v>0</v>
      </c>
      <c r="EI31" s="1762">
        <f t="shared" si="4"/>
        <v>-200</v>
      </c>
      <c r="EJ31" s="1776">
        <f t="shared" si="5"/>
        <v>-8.728395424062839</v>
      </c>
      <c r="EK31" s="1759">
        <f t="shared" si="5"/>
        <v>0</v>
      </c>
      <c r="EL31" s="1762">
        <f t="shared" si="6"/>
        <v>0</v>
      </c>
      <c r="EM31" s="1776">
        <f t="shared" si="7"/>
        <v>0</v>
      </c>
    </row>
    <row r="32" spans="1:143">
      <c r="A32" s="890">
        <f>Eingabedaten!A36</f>
        <v>9.1</v>
      </c>
      <c r="B32" s="888" t="str">
        <f>Eingabedaten!C36</f>
        <v>Produktion (grobe Arbeit)</v>
      </c>
      <c r="C32" s="1777">
        <v>400</v>
      </c>
      <c r="D32" s="884">
        <v>0.26</v>
      </c>
      <c r="E32" s="884">
        <v>0.115</v>
      </c>
      <c r="F32" s="908">
        <v>24</v>
      </c>
      <c r="G32" s="909">
        <v>14.2</v>
      </c>
      <c r="H32" s="909">
        <v>261</v>
      </c>
      <c r="I32" s="909">
        <v>0.80000000000000016</v>
      </c>
      <c r="J32" s="909">
        <v>15</v>
      </c>
      <c r="K32" s="909">
        <v>6</v>
      </c>
      <c r="L32" s="1772">
        <v>11.5</v>
      </c>
      <c r="M32" s="1038">
        <v>10</v>
      </c>
      <c r="N32" s="909">
        <v>3360</v>
      </c>
      <c r="O32" s="911">
        <v>33.6</v>
      </c>
      <c r="P32" s="1773">
        <v>0.20588235294117649</v>
      </c>
      <c r="Q32" s="910">
        <v>1.6</v>
      </c>
      <c r="R32" s="911">
        <v>45.1</v>
      </c>
      <c r="S32" s="910">
        <v>0.76923076923076927</v>
      </c>
      <c r="T32" s="910">
        <v>10.809312638580931</v>
      </c>
      <c r="U32" s="910">
        <v>0</v>
      </c>
      <c r="V32" s="910">
        <v>10.809312638580931</v>
      </c>
      <c r="W32" s="911">
        <v>3980</v>
      </c>
      <c r="X32" s="911">
        <v>0</v>
      </c>
      <c r="Y32" s="1039">
        <v>43.021064301552109</v>
      </c>
      <c r="Z32" s="910">
        <v>10</v>
      </c>
      <c r="AA32" s="910">
        <v>5.5</v>
      </c>
      <c r="AB32" s="911">
        <v>2740</v>
      </c>
      <c r="AC32" s="1039">
        <v>15.07</v>
      </c>
      <c r="AD32" s="1038">
        <v>17.782745098039221</v>
      </c>
      <c r="AE32" s="911">
        <v>26.809312638580931</v>
      </c>
      <c r="AF32" s="911">
        <v>361.67942023416742</v>
      </c>
      <c r="AG32" s="911" t="s">
        <v>1259</v>
      </c>
      <c r="AH32" s="911" t="s">
        <v>1259</v>
      </c>
      <c r="AI32" s="911" t="s">
        <v>1259</v>
      </c>
      <c r="AJ32" s="911">
        <v>19</v>
      </c>
      <c r="AK32" s="911">
        <v>180</v>
      </c>
      <c r="AL32" s="1039">
        <v>3.3576250000000001</v>
      </c>
      <c r="AM32" s="911">
        <v>620.00784313725501</v>
      </c>
      <c r="AN32" s="911">
        <v>68.25720104742507</v>
      </c>
      <c r="AO32" s="911">
        <v>-2</v>
      </c>
      <c r="AP32" s="911">
        <v>43.400549019607851</v>
      </c>
      <c r="AQ32" s="911">
        <v>350</v>
      </c>
      <c r="AR32" s="1039">
        <v>15.040236272214607</v>
      </c>
      <c r="AS32" s="909">
        <v>3</v>
      </c>
      <c r="AT32" s="911">
        <v>60</v>
      </c>
      <c r="AU32" s="1039">
        <v>2.4220800000000007</v>
      </c>
      <c r="AW32" s="1039">
        <f>Eingabedaten!AK36*Res_Std!O32</f>
        <v>504</v>
      </c>
      <c r="AX32" s="1769"/>
      <c r="AY32" s="1770"/>
      <c r="AZ32" s="1771"/>
      <c r="BA32" s="1777">
        <v>400</v>
      </c>
      <c r="BB32" s="884">
        <v>0.26</v>
      </c>
      <c r="BC32" s="884">
        <v>0.115</v>
      </c>
      <c r="BD32" s="908">
        <v>24</v>
      </c>
      <c r="BE32" s="909">
        <v>14.2</v>
      </c>
      <c r="BF32" s="909">
        <v>261</v>
      </c>
      <c r="BG32" s="909">
        <v>0.80000000000000016</v>
      </c>
      <c r="BH32" s="909">
        <v>15</v>
      </c>
      <c r="BI32" s="909">
        <v>6</v>
      </c>
      <c r="BJ32" s="1772">
        <v>11.5</v>
      </c>
      <c r="BK32" s="1038">
        <v>10</v>
      </c>
      <c r="BL32" s="909">
        <v>3360</v>
      </c>
      <c r="BM32" s="911">
        <v>33.6</v>
      </c>
      <c r="BN32" s="1773">
        <v>0.20588235294117649</v>
      </c>
      <c r="BO32" s="910">
        <v>1.6</v>
      </c>
      <c r="BP32" s="911">
        <v>45.1</v>
      </c>
      <c r="BQ32" s="910">
        <v>0.76923076923076927</v>
      </c>
      <c r="BR32" s="910">
        <v>10.809312638580931</v>
      </c>
      <c r="BS32" s="910">
        <v>0</v>
      </c>
      <c r="BT32" s="910">
        <v>10.809312638580931</v>
      </c>
      <c r="BU32" s="911">
        <v>3980</v>
      </c>
      <c r="BV32" s="911">
        <v>0</v>
      </c>
      <c r="BW32" s="1039">
        <v>43.021064301552109</v>
      </c>
      <c r="BX32" s="910">
        <v>10</v>
      </c>
      <c r="BY32" s="910">
        <v>5.5</v>
      </c>
      <c r="BZ32" s="911">
        <v>3240</v>
      </c>
      <c r="CA32" s="1039">
        <v>17.82</v>
      </c>
      <c r="CB32" s="1038">
        <v>17.782745098039221</v>
      </c>
      <c r="CC32" s="911">
        <v>26.809312638580931</v>
      </c>
      <c r="CD32" s="911">
        <v>361.67942023416742</v>
      </c>
      <c r="CE32" s="911" t="s">
        <v>785</v>
      </c>
      <c r="CF32" s="911" t="s">
        <v>785</v>
      </c>
      <c r="CG32" s="911" t="s">
        <v>785</v>
      </c>
      <c r="CH32" s="911">
        <v>19</v>
      </c>
      <c r="CI32" s="911">
        <v>180</v>
      </c>
      <c r="CJ32" s="1039">
        <v>3.3576250000000001</v>
      </c>
      <c r="CK32" s="911">
        <v>620.00784313725501</v>
      </c>
      <c r="CL32" s="911">
        <v>68.25720104742507</v>
      </c>
      <c r="CM32" s="911">
        <v>-2</v>
      </c>
      <c r="CN32" s="911">
        <v>43.400549019607851</v>
      </c>
      <c r="CO32" s="911">
        <v>640</v>
      </c>
      <c r="CP32" s="1039">
        <v>27.885573718745938</v>
      </c>
      <c r="CQ32" s="909">
        <v>3</v>
      </c>
      <c r="CR32" s="911">
        <v>60</v>
      </c>
      <c r="CS32" s="1039">
        <v>2.4220800000000007</v>
      </c>
      <c r="CU32" s="1777">
        <f t="shared" si="8"/>
        <v>0</v>
      </c>
      <c r="CV32" s="884">
        <f t="shared" si="14"/>
        <v>0</v>
      </c>
      <c r="CW32" s="884">
        <f t="shared" si="15"/>
        <v>0</v>
      </c>
      <c r="CX32" s="908">
        <f t="shared" si="16"/>
        <v>0</v>
      </c>
      <c r="CY32" s="909">
        <f t="shared" si="17"/>
        <v>0</v>
      </c>
      <c r="CZ32" s="909">
        <f t="shared" si="18"/>
        <v>0</v>
      </c>
      <c r="DA32" s="909">
        <f t="shared" si="19"/>
        <v>0</v>
      </c>
      <c r="DB32" s="909">
        <f t="shared" si="20"/>
        <v>0</v>
      </c>
      <c r="DC32" s="909">
        <f t="shared" si="21"/>
        <v>0</v>
      </c>
      <c r="DD32" s="1772">
        <f t="shared" si="22"/>
        <v>0</v>
      </c>
      <c r="DE32" s="1038">
        <f t="shared" si="23"/>
        <v>0</v>
      </c>
      <c r="DF32" s="909">
        <f t="shared" si="24"/>
        <v>0</v>
      </c>
      <c r="DG32" s="911">
        <f t="shared" si="25"/>
        <v>0</v>
      </c>
      <c r="DH32" s="1773">
        <f t="shared" si="26"/>
        <v>0</v>
      </c>
      <c r="DI32" s="910">
        <f t="shared" si="27"/>
        <v>0</v>
      </c>
      <c r="DJ32" s="911">
        <f t="shared" si="28"/>
        <v>0</v>
      </c>
      <c r="DK32" s="910">
        <f t="shared" si="29"/>
        <v>0</v>
      </c>
      <c r="DL32" s="910">
        <f t="shared" si="30"/>
        <v>0</v>
      </c>
      <c r="DM32" s="910">
        <f t="shared" si="31"/>
        <v>0</v>
      </c>
      <c r="DN32" s="910">
        <f t="shared" si="32"/>
        <v>0</v>
      </c>
      <c r="DO32" s="911">
        <f t="shared" si="33"/>
        <v>0</v>
      </c>
      <c r="DP32" s="911">
        <f t="shared" si="34"/>
        <v>0</v>
      </c>
      <c r="DQ32" s="1039">
        <f t="shared" si="9"/>
        <v>0</v>
      </c>
      <c r="DR32" s="910">
        <f t="shared" si="10"/>
        <v>0</v>
      </c>
      <c r="DS32" s="910">
        <f t="shared" si="11"/>
        <v>0</v>
      </c>
      <c r="DT32" s="911">
        <f t="shared" si="12"/>
        <v>-500</v>
      </c>
      <c r="DU32" s="1039">
        <f t="shared" si="13"/>
        <v>-2.75</v>
      </c>
      <c r="DV32" s="1038">
        <f t="shared" si="35"/>
        <v>0</v>
      </c>
      <c r="DW32" s="911">
        <f t="shared" si="36"/>
        <v>0</v>
      </c>
      <c r="DX32" s="911">
        <f t="shared" si="37"/>
        <v>0</v>
      </c>
      <c r="DY32" s="911" t="e">
        <f t="shared" si="38"/>
        <v>#VALUE!</v>
      </c>
      <c r="DZ32" s="911" t="e">
        <f t="shared" si="39"/>
        <v>#VALUE!</v>
      </c>
      <c r="EA32" s="911" t="e">
        <f t="shared" si="40"/>
        <v>#VALUE!</v>
      </c>
      <c r="EB32" s="911">
        <f t="shared" si="41"/>
        <v>0</v>
      </c>
      <c r="EC32" s="911">
        <f t="shared" si="42"/>
        <v>0</v>
      </c>
      <c r="ED32" s="1039">
        <f t="shared" si="43"/>
        <v>0</v>
      </c>
      <c r="EE32" s="911">
        <f t="shared" si="44"/>
        <v>0</v>
      </c>
      <c r="EF32" s="911">
        <f t="shared" si="45"/>
        <v>0</v>
      </c>
      <c r="EG32" s="911">
        <f t="shared" si="2"/>
        <v>0</v>
      </c>
      <c r="EH32" s="911">
        <f t="shared" si="3"/>
        <v>0</v>
      </c>
      <c r="EI32" s="911">
        <f t="shared" si="4"/>
        <v>-290</v>
      </c>
      <c r="EJ32" s="1039">
        <f t="shared" si="5"/>
        <v>-12.845337446531332</v>
      </c>
      <c r="EK32" s="909">
        <f t="shared" si="5"/>
        <v>0</v>
      </c>
      <c r="EL32" s="911">
        <f t="shared" si="6"/>
        <v>0</v>
      </c>
      <c r="EM32" s="1039">
        <f t="shared" si="7"/>
        <v>0</v>
      </c>
    </row>
    <row r="33" spans="1:143">
      <c r="A33" s="889">
        <f>Eingabedaten!A37</f>
        <v>9.1999999999999993</v>
      </c>
      <c r="B33" s="1013" t="str">
        <f>Eingabedaten!C37</f>
        <v>Produktion (feine Arbeit)</v>
      </c>
      <c r="C33" s="1719">
        <v>400</v>
      </c>
      <c r="D33" s="873">
        <v>0.18</v>
      </c>
      <c r="E33" s="873">
        <v>0.12</v>
      </c>
      <c r="F33" s="912">
        <v>11</v>
      </c>
      <c r="G33" s="913">
        <v>7.1999999999999993</v>
      </c>
      <c r="H33" s="913">
        <v>261</v>
      </c>
      <c r="I33" s="913">
        <v>0.80000000000000016</v>
      </c>
      <c r="J33" s="913">
        <v>15</v>
      </c>
      <c r="K33" s="913">
        <v>4.7</v>
      </c>
      <c r="L33" s="1767">
        <v>5.5</v>
      </c>
      <c r="M33" s="1040">
        <v>10</v>
      </c>
      <c r="N33" s="913">
        <v>2440</v>
      </c>
      <c r="O33" s="915">
        <v>24.4</v>
      </c>
      <c r="P33" s="1768">
        <v>0.20588235294117649</v>
      </c>
      <c r="Q33" s="914">
        <v>1.6</v>
      </c>
      <c r="R33" s="915">
        <v>55.1</v>
      </c>
      <c r="S33" s="914">
        <v>0.76923076923076927</v>
      </c>
      <c r="T33" s="914">
        <v>14.745916515426497</v>
      </c>
      <c r="U33" s="914">
        <v>0</v>
      </c>
      <c r="V33" s="914">
        <v>14.745916515426497</v>
      </c>
      <c r="W33" s="915">
        <v>1560</v>
      </c>
      <c r="X33" s="915">
        <v>0</v>
      </c>
      <c r="Y33" s="1041">
        <v>23.003629764065337</v>
      </c>
      <c r="Z33" s="914">
        <v>10</v>
      </c>
      <c r="AA33" s="914">
        <v>5.5</v>
      </c>
      <c r="AB33" s="915">
        <v>1470</v>
      </c>
      <c r="AC33" s="1041">
        <v>8.0850000000000009</v>
      </c>
      <c r="AD33" s="1040">
        <v>23.982823529411775</v>
      </c>
      <c r="AE33" s="915">
        <v>29.445916515426497</v>
      </c>
      <c r="AF33" s="915">
        <v>201.54466161921201</v>
      </c>
      <c r="AG33" s="915" t="s">
        <v>1259</v>
      </c>
      <c r="AH33" s="915" t="s">
        <v>1259</v>
      </c>
      <c r="AI33" s="915" t="s">
        <v>1259</v>
      </c>
      <c r="AJ33" s="915">
        <v>31</v>
      </c>
      <c r="AK33" s="915">
        <v>280</v>
      </c>
      <c r="AL33" s="1041">
        <v>8.7797999999999998</v>
      </c>
      <c r="AM33" s="915">
        <v>620.00784313725501</v>
      </c>
      <c r="AN33" s="915">
        <v>68.25720104742507</v>
      </c>
      <c r="AO33" s="915">
        <v>-2</v>
      </c>
      <c r="AP33" s="915">
        <v>46.500588235294124</v>
      </c>
      <c r="AQ33" s="915">
        <v>440</v>
      </c>
      <c r="AR33" s="1041">
        <v>20.573788236115817</v>
      </c>
      <c r="AS33" s="913">
        <v>3</v>
      </c>
      <c r="AT33" s="915">
        <v>60</v>
      </c>
      <c r="AU33" s="1041">
        <v>2.4220800000000007</v>
      </c>
      <c r="AW33" s="1041">
        <f>Eingabedaten!AK37*Res_Std!O33</f>
        <v>366</v>
      </c>
      <c r="AX33" s="1769"/>
      <c r="AY33" s="1770"/>
      <c r="AZ33" s="1771"/>
      <c r="BA33" s="1719">
        <v>400</v>
      </c>
      <c r="BB33" s="873">
        <v>0.18</v>
      </c>
      <c r="BC33" s="873">
        <v>0.12</v>
      </c>
      <c r="BD33" s="912">
        <v>11</v>
      </c>
      <c r="BE33" s="913">
        <v>7.1999999999999993</v>
      </c>
      <c r="BF33" s="913">
        <v>261</v>
      </c>
      <c r="BG33" s="913">
        <v>0.80000000000000016</v>
      </c>
      <c r="BH33" s="913">
        <v>15</v>
      </c>
      <c r="BI33" s="913">
        <v>4.7</v>
      </c>
      <c r="BJ33" s="1767">
        <v>5.5</v>
      </c>
      <c r="BK33" s="1040">
        <v>10</v>
      </c>
      <c r="BL33" s="913">
        <v>2440</v>
      </c>
      <c r="BM33" s="915">
        <v>24.4</v>
      </c>
      <c r="BN33" s="1768">
        <v>0.20588235294117649</v>
      </c>
      <c r="BO33" s="914">
        <v>1.6</v>
      </c>
      <c r="BP33" s="915">
        <v>55.1</v>
      </c>
      <c r="BQ33" s="914">
        <v>0.76923076923076927</v>
      </c>
      <c r="BR33" s="914">
        <v>14.745916515426497</v>
      </c>
      <c r="BS33" s="914">
        <v>0</v>
      </c>
      <c r="BT33" s="914">
        <v>14.745916515426497</v>
      </c>
      <c r="BU33" s="915">
        <v>1560</v>
      </c>
      <c r="BV33" s="915">
        <v>0</v>
      </c>
      <c r="BW33" s="1041">
        <v>23.003629764065337</v>
      </c>
      <c r="BX33" s="914">
        <v>10</v>
      </c>
      <c r="BY33" s="914">
        <v>5.5</v>
      </c>
      <c r="BZ33" s="915">
        <v>1630</v>
      </c>
      <c r="CA33" s="1041">
        <v>8.9649999999999999</v>
      </c>
      <c r="CB33" s="1040">
        <v>23.982823529411775</v>
      </c>
      <c r="CC33" s="915">
        <v>29.445916515426497</v>
      </c>
      <c r="CD33" s="915">
        <v>201.54466161921201</v>
      </c>
      <c r="CE33" s="915" t="s">
        <v>785</v>
      </c>
      <c r="CF33" s="915" t="s">
        <v>785</v>
      </c>
      <c r="CG33" s="915" t="s">
        <v>785</v>
      </c>
      <c r="CH33" s="915">
        <v>31</v>
      </c>
      <c r="CI33" s="915">
        <v>280</v>
      </c>
      <c r="CJ33" s="1041">
        <v>8.7797999999999998</v>
      </c>
      <c r="CK33" s="915">
        <v>620.00784313725501</v>
      </c>
      <c r="CL33" s="915">
        <v>68.25720104742507</v>
      </c>
      <c r="CM33" s="915">
        <v>-2</v>
      </c>
      <c r="CN33" s="915">
        <v>46.500588235294124</v>
      </c>
      <c r="CO33" s="915">
        <v>700</v>
      </c>
      <c r="CP33" s="1041">
        <v>32.56192183025383</v>
      </c>
      <c r="CQ33" s="913">
        <v>3</v>
      </c>
      <c r="CR33" s="915">
        <v>60</v>
      </c>
      <c r="CS33" s="1041">
        <v>2.4220800000000007</v>
      </c>
      <c r="CU33" s="1719">
        <f t="shared" si="8"/>
        <v>0</v>
      </c>
      <c r="CV33" s="873">
        <f t="shared" si="14"/>
        <v>0</v>
      </c>
      <c r="CW33" s="873">
        <f t="shared" si="15"/>
        <v>0</v>
      </c>
      <c r="CX33" s="912">
        <f t="shared" si="16"/>
        <v>0</v>
      </c>
      <c r="CY33" s="913">
        <f t="shared" si="17"/>
        <v>0</v>
      </c>
      <c r="CZ33" s="913">
        <f t="shared" si="18"/>
        <v>0</v>
      </c>
      <c r="DA33" s="913">
        <f t="shared" si="19"/>
        <v>0</v>
      </c>
      <c r="DB33" s="913">
        <f t="shared" si="20"/>
        <v>0</v>
      </c>
      <c r="DC33" s="913">
        <f t="shared" si="21"/>
        <v>0</v>
      </c>
      <c r="DD33" s="1767">
        <f t="shared" si="22"/>
        <v>0</v>
      </c>
      <c r="DE33" s="1040">
        <f t="shared" si="23"/>
        <v>0</v>
      </c>
      <c r="DF33" s="913">
        <f t="shared" si="24"/>
        <v>0</v>
      </c>
      <c r="DG33" s="915">
        <f t="shared" si="25"/>
        <v>0</v>
      </c>
      <c r="DH33" s="1768">
        <f t="shared" si="26"/>
        <v>0</v>
      </c>
      <c r="DI33" s="914">
        <f t="shared" si="27"/>
        <v>0</v>
      </c>
      <c r="DJ33" s="915">
        <f t="shared" si="28"/>
        <v>0</v>
      </c>
      <c r="DK33" s="914">
        <f t="shared" si="29"/>
        <v>0</v>
      </c>
      <c r="DL33" s="914">
        <f t="shared" si="30"/>
        <v>0</v>
      </c>
      <c r="DM33" s="914">
        <f t="shared" si="31"/>
        <v>0</v>
      </c>
      <c r="DN33" s="914">
        <f t="shared" si="32"/>
        <v>0</v>
      </c>
      <c r="DO33" s="915">
        <f t="shared" si="33"/>
        <v>0</v>
      </c>
      <c r="DP33" s="915">
        <f t="shared" si="34"/>
        <v>0</v>
      </c>
      <c r="DQ33" s="1041">
        <f t="shared" si="9"/>
        <v>0</v>
      </c>
      <c r="DR33" s="914">
        <f t="shared" si="10"/>
        <v>0</v>
      </c>
      <c r="DS33" s="914">
        <f t="shared" si="11"/>
        <v>0</v>
      </c>
      <c r="DT33" s="915">
        <f t="shared" si="12"/>
        <v>-160</v>
      </c>
      <c r="DU33" s="1041">
        <f t="shared" si="13"/>
        <v>-0.87999999999999901</v>
      </c>
      <c r="DV33" s="1040">
        <f t="shared" si="35"/>
        <v>0</v>
      </c>
      <c r="DW33" s="915">
        <f t="shared" si="36"/>
        <v>0</v>
      </c>
      <c r="DX33" s="915">
        <f t="shared" si="37"/>
        <v>0</v>
      </c>
      <c r="DY33" s="915" t="e">
        <f t="shared" si="38"/>
        <v>#VALUE!</v>
      </c>
      <c r="DZ33" s="915" t="e">
        <f t="shared" si="39"/>
        <v>#VALUE!</v>
      </c>
      <c r="EA33" s="915" t="e">
        <f t="shared" si="40"/>
        <v>#VALUE!</v>
      </c>
      <c r="EB33" s="915">
        <f t="shared" si="41"/>
        <v>0</v>
      </c>
      <c r="EC33" s="915">
        <f t="shared" si="42"/>
        <v>0</v>
      </c>
      <c r="ED33" s="1041">
        <f t="shared" si="43"/>
        <v>0</v>
      </c>
      <c r="EE33" s="915">
        <f t="shared" si="44"/>
        <v>0</v>
      </c>
      <c r="EF33" s="915">
        <f t="shared" si="45"/>
        <v>0</v>
      </c>
      <c r="EG33" s="915">
        <f t="shared" si="2"/>
        <v>0</v>
      </c>
      <c r="EH33" s="915">
        <f t="shared" si="3"/>
        <v>0</v>
      </c>
      <c r="EI33" s="915">
        <f t="shared" si="4"/>
        <v>-260</v>
      </c>
      <c r="EJ33" s="1041">
        <f t="shared" si="5"/>
        <v>-11.988133594138013</v>
      </c>
      <c r="EK33" s="913">
        <f t="shared" si="5"/>
        <v>0</v>
      </c>
      <c r="EL33" s="915">
        <f t="shared" si="6"/>
        <v>0</v>
      </c>
      <c r="EM33" s="1041">
        <f t="shared" si="7"/>
        <v>0</v>
      </c>
    </row>
    <row r="34" spans="1:143">
      <c r="A34" s="891">
        <f>Eingabedaten!A38</f>
        <v>9.3000000000000007</v>
      </c>
      <c r="B34" s="1536" t="str">
        <f>Eingabedaten!C38</f>
        <v>Laborraum</v>
      </c>
      <c r="C34" s="1780">
        <v>70</v>
      </c>
      <c r="D34" s="886">
        <v>0.18</v>
      </c>
      <c r="E34" s="886">
        <v>0.125</v>
      </c>
      <c r="F34" s="1758">
        <v>11</v>
      </c>
      <c r="G34" s="1759">
        <v>7.1999999999999993</v>
      </c>
      <c r="H34" s="1759">
        <v>261</v>
      </c>
      <c r="I34" s="1759">
        <v>0.80000000000000016</v>
      </c>
      <c r="J34" s="1759">
        <v>15</v>
      </c>
      <c r="K34" s="1759">
        <v>4.7</v>
      </c>
      <c r="L34" s="1760">
        <v>5.5</v>
      </c>
      <c r="M34" s="1774">
        <v>20</v>
      </c>
      <c r="N34" s="1759">
        <v>2440</v>
      </c>
      <c r="O34" s="1762">
        <v>48.8</v>
      </c>
      <c r="P34" s="1775">
        <v>0.33613445378151263</v>
      </c>
      <c r="Q34" s="1761">
        <v>1.2669683257918551</v>
      </c>
      <c r="R34" s="1762">
        <v>55.1</v>
      </c>
      <c r="S34" s="1761">
        <v>0.69860279441117767</v>
      </c>
      <c r="T34" s="1761">
        <v>16.236712470832252</v>
      </c>
      <c r="U34" s="1761">
        <v>0</v>
      </c>
      <c r="V34" s="1761">
        <v>16.236712470832252</v>
      </c>
      <c r="W34" s="1762">
        <v>1140</v>
      </c>
      <c r="X34" s="1762">
        <v>0</v>
      </c>
      <c r="Y34" s="1776">
        <v>18.509852216748769</v>
      </c>
      <c r="Z34" s="1761">
        <v>20</v>
      </c>
      <c r="AA34" s="1761">
        <v>11</v>
      </c>
      <c r="AB34" s="1762">
        <v>1470</v>
      </c>
      <c r="AC34" s="1776">
        <v>16.170000000000002</v>
      </c>
      <c r="AD34" s="1774">
        <v>40.863058823529428</v>
      </c>
      <c r="AE34" s="1762">
        <v>40.936712470832248</v>
      </c>
      <c r="AF34" s="1762">
        <v>230.67647765971938</v>
      </c>
      <c r="AG34" s="1762" t="s">
        <v>1259</v>
      </c>
      <c r="AH34" s="1762" t="s">
        <v>1259</v>
      </c>
      <c r="AI34" s="1762" t="s">
        <v>1259</v>
      </c>
      <c r="AJ34" s="1762">
        <v>48</v>
      </c>
      <c r="AK34" s="1762">
        <v>330</v>
      </c>
      <c r="AL34" s="1776">
        <v>15.816428571428572</v>
      </c>
      <c r="AM34" s="1762">
        <v>197.06509803921571</v>
      </c>
      <c r="AN34" s="1762">
        <v>40.778403075722956</v>
      </c>
      <c r="AO34" s="1762">
        <v>-3</v>
      </c>
      <c r="AP34" s="1762">
        <v>90.086901960784331</v>
      </c>
      <c r="AQ34" s="1762">
        <v>520</v>
      </c>
      <c r="AR34" s="1776">
        <v>46.978435977044533</v>
      </c>
      <c r="AS34" s="1759">
        <v>3</v>
      </c>
      <c r="AT34" s="1762">
        <v>60</v>
      </c>
      <c r="AU34" s="1776">
        <v>2.4220800000000007</v>
      </c>
      <c r="AW34" s="1776">
        <f>Eingabedaten!AK38*Res_Std!O34</f>
        <v>732</v>
      </c>
      <c r="AX34" s="1769"/>
      <c r="AY34" s="1770"/>
      <c r="AZ34" s="1771"/>
      <c r="BA34" s="1780">
        <v>70</v>
      </c>
      <c r="BB34" s="886">
        <v>0.18</v>
      </c>
      <c r="BC34" s="886">
        <v>0.125</v>
      </c>
      <c r="BD34" s="1758">
        <v>11</v>
      </c>
      <c r="BE34" s="1759">
        <v>7.1999999999999993</v>
      </c>
      <c r="BF34" s="1759">
        <v>261</v>
      </c>
      <c r="BG34" s="1759">
        <v>0.80000000000000016</v>
      </c>
      <c r="BH34" s="1759">
        <v>15</v>
      </c>
      <c r="BI34" s="1759">
        <v>4.7</v>
      </c>
      <c r="BJ34" s="1760">
        <v>5.5</v>
      </c>
      <c r="BK34" s="1774">
        <v>20</v>
      </c>
      <c r="BL34" s="1759">
        <v>2440</v>
      </c>
      <c r="BM34" s="1762">
        <v>48.8</v>
      </c>
      <c r="BN34" s="1775">
        <v>0.33613445378151263</v>
      </c>
      <c r="BO34" s="1761">
        <v>1.2669683257918551</v>
      </c>
      <c r="BP34" s="1762">
        <v>55.1</v>
      </c>
      <c r="BQ34" s="1761">
        <v>0.69860279441117767</v>
      </c>
      <c r="BR34" s="1761">
        <v>16.236712470832252</v>
      </c>
      <c r="BS34" s="1761">
        <v>0</v>
      </c>
      <c r="BT34" s="1761">
        <v>16.236712470832252</v>
      </c>
      <c r="BU34" s="1762">
        <v>1140</v>
      </c>
      <c r="BV34" s="1762">
        <v>0</v>
      </c>
      <c r="BW34" s="1776">
        <v>18.509852216748769</v>
      </c>
      <c r="BX34" s="1761">
        <v>20</v>
      </c>
      <c r="BY34" s="1761">
        <v>11</v>
      </c>
      <c r="BZ34" s="1762">
        <v>1470</v>
      </c>
      <c r="CA34" s="1776">
        <v>16.170000000000002</v>
      </c>
      <c r="CB34" s="1774">
        <v>40.863058823529428</v>
      </c>
      <c r="CC34" s="1762">
        <v>40.936712470832248</v>
      </c>
      <c r="CD34" s="1762">
        <v>230.67647765971938</v>
      </c>
      <c r="CE34" s="1762" t="s">
        <v>785</v>
      </c>
      <c r="CF34" s="1762" t="s">
        <v>785</v>
      </c>
      <c r="CG34" s="1762" t="s">
        <v>785</v>
      </c>
      <c r="CH34" s="1762">
        <v>48</v>
      </c>
      <c r="CI34" s="1762">
        <v>330</v>
      </c>
      <c r="CJ34" s="1776">
        <v>15.816428571428572</v>
      </c>
      <c r="CK34" s="1762">
        <v>197.06509803921571</v>
      </c>
      <c r="CL34" s="1762">
        <v>40.778403075722956</v>
      </c>
      <c r="CM34" s="1762">
        <v>-3</v>
      </c>
      <c r="CN34" s="1762">
        <v>90.086901960784331</v>
      </c>
      <c r="CO34" s="1762">
        <v>690</v>
      </c>
      <c r="CP34" s="1776">
        <v>62.394370143279538</v>
      </c>
      <c r="CQ34" s="1759">
        <v>3</v>
      </c>
      <c r="CR34" s="1762">
        <v>60</v>
      </c>
      <c r="CS34" s="1776">
        <v>2.4220800000000007</v>
      </c>
      <c r="CU34" s="1780">
        <f t="shared" si="8"/>
        <v>0</v>
      </c>
      <c r="CV34" s="886">
        <f t="shared" si="14"/>
        <v>0</v>
      </c>
      <c r="CW34" s="886">
        <f t="shared" si="15"/>
        <v>0</v>
      </c>
      <c r="CX34" s="1758">
        <f t="shared" si="16"/>
        <v>0</v>
      </c>
      <c r="CY34" s="1759">
        <f t="shared" si="17"/>
        <v>0</v>
      </c>
      <c r="CZ34" s="1759">
        <f t="shared" si="18"/>
        <v>0</v>
      </c>
      <c r="DA34" s="1759">
        <f t="shared" si="19"/>
        <v>0</v>
      </c>
      <c r="DB34" s="1759">
        <f t="shared" si="20"/>
        <v>0</v>
      </c>
      <c r="DC34" s="1759">
        <f t="shared" si="21"/>
        <v>0</v>
      </c>
      <c r="DD34" s="1760">
        <f t="shared" si="22"/>
        <v>0</v>
      </c>
      <c r="DE34" s="1774">
        <f t="shared" si="23"/>
        <v>0</v>
      </c>
      <c r="DF34" s="1759">
        <f t="shared" si="24"/>
        <v>0</v>
      </c>
      <c r="DG34" s="1762">
        <f t="shared" si="25"/>
        <v>0</v>
      </c>
      <c r="DH34" s="1775">
        <f t="shared" si="26"/>
        <v>0</v>
      </c>
      <c r="DI34" s="1761">
        <f t="shared" si="27"/>
        <v>0</v>
      </c>
      <c r="DJ34" s="1762">
        <f t="shared" si="28"/>
        <v>0</v>
      </c>
      <c r="DK34" s="1761">
        <f t="shared" si="29"/>
        <v>0</v>
      </c>
      <c r="DL34" s="1761">
        <f t="shared" si="30"/>
        <v>0</v>
      </c>
      <c r="DM34" s="1761">
        <f t="shared" si="31"/>
        <v>0</v>
      </c>
      <c r="DN34" s="1761">
        <f t="shared" si="32"/>
        <v>0</v>
      </c>
      <c r="DO34" s="1762">
        <f t="shared" si="33"/>
        <v>0</v>
      </c>
      <c r="DP34" s="1762">
        <f t="shared" si="34"/>
        <v>0</v>
      </c>
      <c r="DQ34" s="1776">
        <f t="shared" si="9"/>
        <v>0</v>
      </c>
      <c r="DR34" s="1761">
        <f t="shared" si="10"/>
        <v>0</v>
      </c>
      <c r="DS34" s="1761">
        <f t="shared" si="11"/>
        <v>0</v>
      </c>
      <c r="DT34" s="1762">
        <f t="shared" si="12"/>
        <v>0</v>
      </c>
      <c r="DU34" s="1776">
        <f t="shared" si="13"/>
        <v>0</v>
      </c>
      <c r="DV34" s="1774">
        <f t="shared" si="35"/>
        <v>0</v>
      </c>
      <c r="DW34" s="1762">
        <f t="shared" si="36"/>
        <v>0</v>
      </c>
      <c r="DX34" s="1762">
        <f t="shared" si="37"/>
        <v>0</v>
      </c>
      <c r="DY34" s="1762" t="e">
        <f t="shared" si="38"/>
        <v>#VALUE!</v>
      </c>
      <c r="DZ34" s="1762" t="e">
        <f t="shared" si="39"/>
        <v>#VALUE!</v>
      </c>
      <c r="EA34" s="1762" t="e">
        <f t="shared" si="40"/>
        <v>#VALUE!</v>
      </c>
      <c r="EB34" s="1762">
        <f t="shared" si="41"/>
        <v>0</v>
      </c>
      <c r="EC34" s="1762">
        <f t="shared" si="42"/>
        <v>0</v>
      </c>
      <c r="ED34" s="1776">
        <f t="shared" si="43"/>
        <v>0</v>
      </c>
      <c r="EE34" s="1762">
        <f t="shared" si="44"/>
        <v>0</v>
      </c>
      <c r="EF34" s="1762">
        <f t="shared" si="45"/>
        <v>0</v>
      </c>
      <c r="EG34" s="1762">
        <f t="shared" si="2"/>
        <v>0</v>
      </c>
      <c r="EH34" s="1762">
        <f t="shared" si="3"/>
        <v>0</v>
      </c>
      <c r="EI34" s="1762">
        <f t="shared" si="4"/>
        <v>-170</v>
      </c>
      <c r="EJ34" s="1776">
        <f t="shared" si="5"/>
        <v>-15.415934166235004</v>
      </c>
      <c r="EK34" s="1759">
        <f t="shared" si="5"/>
        <v>0</v>
      </c>
      <c r="EL34" s="1762">
        <f t="shared" si="6"/>
        <v>0</v>
      </c>
      <c r="EM34" s="1776">
        <f t="shared" si="7"/>
        <v>0</v>
      </c>
    </row>
    <row r="35" spans="1:143">
      <c r="A35" s="889">
        <f>Eingabedaten!A39</f>
        <v>10.1</v>
      </c>
      <c r="B35" s="1013" t="str">
        <f>Eingabedaten!C39</f>
        <v>Lagerhalle</v>
      </c>
      <c r="C35" s="1719">
        <v>400</v>
      </c>
      <c r="D35" s="873">
        <v>0</v>
      </c>
      <c r="E35" s="873">
        <v>0.115</v>
      </c>
      <c r="F35" s="912">
        <v>24</v>
      </c>
      <c r="G35" s="913">
        <v>14.2</v>
      </c>
      <c r="H35" s="913">
        <v>261</v>
      </c>
      <c r="I35" s="913">
        <v>0.80000000000000016</v>
      </c>
      <c r="J35" s="913">
        <v>40</v>
      </c>
      <c r="K35" s="913">
        <v>2.2999999999999998</v>
      </c>
      <c r="L35" s="1767">
        <v>4.5</v>
      </c>
      <c r="M35" s="1040">
        <v>0</v>
      </c>
      <c r="N35" s="913">
        <v>3160</v>
      </c>
      <c r="O35" s="915">
        <v>0</v>
      </c>
      <c r="P35" s="1768">
        <v>0.20588235294117649</v>
      </c>
      <c r="Q35" s="914">
        <v>1.4388489208633093</v>
      </c>
      <c r="R35" s="915">
        <v>35.1</v>
      </c>
      <c r="S35" s="914">
        <v>0.73746312684365778</v>
      </c>
      <c r="T35" s="914">
        <v>4.8290598290598297</v>
      </c>
      <c r="U35" s="914">
        <v>0</v>
      </c>
      <c r="V35" s="914">
        <v>4.8290598290598297</v>
      </c>
      <c r="W35" s="915">
        <v>3940</v>
      </c>
      <c r="X35" s="915">
        <v>0</v>
      </c>
      <c r="Y35" s="1041">
        <v>19.026495726495728</v>
      </c>
      <c r="Z35" s="914">
        <v>1.5</v>
      </c>
      <c r="AA35" s="914">
        <v>0.51</v>
      </c>
      <c r="AB35" s="915">
        <v>2740</v>
      </c>
      <c r="AC35" s="1041">
        <v>1.3974000000000002</v>
      </c>
      <c r="AD35" s="1040">
        <v>14.682705882352947</v>
      </c>
      <c r="AE35" s="915">
        <v>7.1290598290598295</v>
      </c>
      <c r="AF35" s="915">
        <v>90.450261256793098</v>
      </c>
      <c r="AG35" s="915" t="s">
        <v>18</v>
      </c>
      <c r="AH35" s="915" t="s">
        <v>18</v>
      </c>
      <c r="AI35" s="915" t="s">
        <v>18</v>
      </c>
      <c r="AJ35" s="915">
        <v>0</v>
      </c>
      <c r="AK35" s="915">
        <v>0</v>
      </c>
      <c r="AL35" s="1041">
        <v>0</v>
      </c>
      <c r="AM35" s="915">
        <v>293.60784313725492</v>
      </c>
      <c r="AN35" s="915">
        <v>144.13783892079604</v>
      </c>
      <c r="AO35" s="915">
        <v>-1</v>
      </c>
      <c r="AP35" s="915">
        <v>19.818529411764708</v>
      </c>
      <c r="AQ35" s="915">
        <v>870</v>
      </c>
      <c r="AR35" s="1041">
        <v>17.289456815468949</v>
      </c>
      <c r="AS35" s="913">
        <v>3</v>
      </c>
      <c r="AT35" s="915">
        <v>60</v>
      </c>
      <c r="AU35" s="1041">
        <v>0.9082800000000002</v>
      </c>
      <c r="AW35" s="1041">
        <f>Eingabedaten!AK39*Res_Std!O35</f>
        <v>0</v>
      </c>
      <c r="AX35" s="1769"/>
      <c r="AY35" s="1770"/>
      <c r="AZ35" s="1771"/>
      <c r="BA35" s="1719">
        <v>400</v>
      </c>
      <c r="BB35" s="873" t="s">
        <v>256</v>
      </c>
      <c r="BC35" s="873">
        <v>0.115</v>
      </c>
      <c r="BD35" s="912">
        <v>24</v>
      </c>
      <c r="BE35" s="913">
        <v>14.2</v>
      </c>
      <c r="BF35" s="913">
        <v>261</v>
      </c>
      <c r="BG35" s="913">
        <v>0.80000000000000016</v>
      </c>
      <c r="BH35" s="913">
        <v>40</v>
      </c>
      <c r="BI35" s="913">
        <v>2.2999999999999998</v>
      </c>
      <c r="BJ35" s="1767">
        <v>4.5</v>
      </c>
      <c r="BK35" s="1040">
        <v>0</v>
      </c>
      <c r="BL35" s="913">
        <v>3160</v>
      </c>
      <c r="BM35" s="915">
        <v>0</v>
      </c>
      <c r="BN35" s="1768">
        <v>0.20588235294117649</v>
      </c>
      <c r="BO35" s="914">
        <v>1.4388489208633093</v>
      </c>
      <c r="BP35" s="915">
        <v>35.1</v>
      </c>
      <c r="BQ35" s="914">
        <v>0.73746312684365778</v>
      </c>
      <c r="BR35" s="914">
        <v>4.8290598290598297</v>
      </c>
      <c r="BS35" s="914">
        <v>0</v>
      </c>
      <c r="BT35" s="914">
        <v>4.8290598290598297</v>
      </c>
      <c r="BU35" s="915">
        <v>3940</v>
      </c>
      <c r="BV35" s="915">
        <v>0</v>
      </c>
      <c r="BW35" s="1041">
        <v>19.026495726495728</v>
      </c>
      <c r="BX35" s="914">
        <v>1.5</v>
      </c>
      <c r="BY35" s="914">
        <v>0.51</v>
      </c>
      <c r="BZ35" s="915">
        <v>4990</v>
      </c>
      <c r="CA35" s="1041">
        <v>2.5449000000000002</v>
      </c>
      <c r="CB35" s="1040">
        <v>14.682705882352947</v>
      </c>
      <c r="CC35" s="915">
        <v>7.1290598290598295</v>
      </c>
      <c r="CD35" s="915">
        <v>90.450261256793098</v>
      </c>
      <c r="CE35" s="915" t="s">
        <v>18</v>
      </c>
      <c r="CF35" s="915" t="s">
        <v>18</v>
      </c>
      <c r="CG35" s="915" t="s">
        <v>18</v>
      </c>
      <c r="CH35" s="915">
        <v>0</v>
      </c>
      <c r="CI35" s="915">
        <v>0</v>
      </c>
      <c r="CJ35" s="1041">
        <v>0</v>
      </c>
      <c r="CK35" s="915">
        <v>293.60784313725492</v>
      </c>
      <c r="CL35" s="915">
        <v>144.13783892079604</v>
      </c>
      <c r="CM35" s="915">
        <v>-1</v>
      </c>
      <c r="CN35" s="915">
        <v>19.818529411764708</v>
      </c>
      <c r="CO35" s="915">
        <v>1000</v>
      </c>
      <c r="CP35" s="1041">
        <v>19.913440445353928</v>
      </c>
      <c r="CQ35" s="913">
        <v>3</v>
      </c>
      <c r="CR35" s="915">
        <v>60</v>
      </c>
      <c r="CS35" s="1041">
        <v>0.9082800000000002</v>
      </c>
      <c r="CU35" s="1719">
        <f t="shared" si="8"/>
        <v>0</v>
      </c>
      <c r="CV35" s="873" t="e">
        <f t="shared" si="14"/>
        <v>#VALUE!</v>
      </c>
      <c r="CW35" s="873">
        <f t="shared" si="15"/>
        <v>0</v>
      </c>
      <c r="CX35" s="912">
        <f t="shared" si="16"/>
        <v>0</v>
      </c>
      <c r="CY35" s="913">
        <f t="shared" si="17"/>
        <v>0</v>
      </c>
      <c r="CZ35" s="913">
        <f t="shared" si="18"/>
        <v>0</v>
      </c>
      <c r="DA35" s="913">
        <f t="shared" si="19"/>
        <v>0</v>
      </c>
      <c r="DB35" s="913">
        <f t="shared" si="20"/>
        <v>0</v>
      </c>
      <c r="DC35" s="913">
        <f t="shared" si="21"/>
        <v>0</v>
      </c>
      <c r="DD35" s="1767">
        <f t="shared" si="22"/>
        <v>0</v>
      </c>
      <c r="DE35" s="1040">
        <f t="shared" si="23"/>
        <v>0</v>
      </c>
      <c r="DF35" s="913">
        <f t="shared" si="24"/>
        <v>0</v>
      </c>
      <c r="DG35" s="915">
        <f t="shared" si="25"/>
        <v>0</v>
      </c>
      <c r="DH35" s="1768">
        <f t="shared" si="26"/>
        <v>0</v>
      </c>
      <c r="DI35" s="914">
        <f t="shared" si="27"/>
        <v>0</v>
      </c>
      <c r="DJ35" s="915">
        <f t="shared" si="28"/>
        <v>0</v>
      </c>
      <c r="DK35" s="914">
        <f t="shared" si="29"/>
        <v>0</v>
      </c>
      <c r="DL35" s="914">
        <f t="shared" si="30"/>
        <v>0</v>
      </c>
      <c r="DM35" s="914">
        <f t="shared" si="31"/>
        <v>0</v>
      </c>
      <c r="DN35" s="914">
        <f t="shared" si="32"/>
        <v>0</v>
      </c>
      <c r="DO35" s="915">
        <f t="shared" si="33"/>
        <v>0</v>
      </c>
      <c r="DP35" s="915">
        <f t="shared" si="34"/>
        <v>0</v>
      </c>
      <c r="DQ35" s="1041">
        <f t="shared" si="9"/>
        <v>0</v>
      </c>
      <c r="DR35" s="914">
        <f t="shared" si="10"/>
        <v>0</v>
      </c>
      <c r="DS35" s="914">
        <f t="shared" si="11"/>
        <v>0</v>
      </c>
      <c r="DT35" s="915">
        <f t="shared" si="12"/>
        <v>-2250</v>
      </c>
      <c r="DU35" s="1041">
        <f t="shared" si="13"/>
        <v>-1.1475</v>
      </c>
      <c r="DV35" s="1040">
        <f t="shared" si="35"/>
        <v>0</v>
      </c>
      <c r="DW35" s="915">
        <f t="shared" si="36"/>
        <v>0</v>
      </c>
      <c r="DX35" s="915">
        <f t="shared" si="37"/>
        <v>0</v>
      </c>
      <c r="DY35" s="915" t="e">
        <f t="shared" si="38"/>
        <v>#VALUE!</v>
      </c>
      <c r="DZ35" s="915" t="e">
        <f t="shared" si="39"/>
        <v>#VALUE!</v>
      </c>
      <c r="EA35" s="915" t="e">
        <f t="shared" si="40"/>
        <v>#VALUE!</v>
      </c>
      <c r="EB35" s="915">
        <f>AJ35-CH35</f>
        <v>0</v>
      </c>
      <c r="EC35" s="915">
        <f t="shared" si="42"/>
        <v>0</v>
      </c>
      <c r="ED35" s="1041">
        <f t="shared" si="43"/>
        <v>0</v>
      </c>
      <c r="EE35" s="915">
        <f t="shared" si="44"/>
        <v>0</v>
      </c>
      <c r="EF35" s="915">
        <f t="shared" si="45"/>
        <v>0</v>
      </c>
      <c r="EG35" s="915">
        <f t="shared" si="2"/>
        <v>0</v>
      </c>
      <c r="EH35" s="915">
        <f t="shared" si="3"/>
        <v>0</v>
      </c>
      <c r="EI35" s="915">
        <f t="shared" si="4"/>
        <v>-130</v>
      </c>
      <c r="EJ35" s="1041">
        <f t="shared" si="5"/>
        <v>-2.6239836298849788</v>
      </c>
      <c r="EK35" s="913">
        <f t="shared" si="5"/>
        <v>0</v>
      </c>
      <c r="EL35" s="915">
        <f t="shared" si="6"/>
        <v>0</v>
      </c>
      <c r="EM35" s="1041">
        <f t="shared" si="7"/>
        <v>0</v>
      </c>
    </row>
    <row r="36" spans="1:143">
      <c r="A36" s="890">
        <f>Eingabedaten!A40</f>
        <v>11.1</v>
      </c>
      <c r="B36" s="888" t="str">
        <f>Eingabedaten!C40</f>
        <v>Turnhalle</v>
      </c>
      <c r="C36" s="1777">
        <v>600</v>
      </c>
      <c r="D36" s="884">
        <v>0</v>
      </c>
      <c r="E36" s="884">
        <v>0.115</v>
      </c>
      <c r="F36" s="908">
        <v>15</v>
      </c>
      <c r="G36" s="909">
        <v>11.600000000000001</v>
      </c>
      <c r="H36" s="909">
        <v>261</v>
      </c>
      <c r="I36" s="1778">
        <v>0.69890410958904103</v>
      </c>
      <c r="J36" s="909">
        <v>20</v>
      </c>
      <c r="K36" s="909">
        <v>6</v>
      </c>
      <c r="L36" s="1772">
        <v>14</v>
      </c>
      <c r="M36" s="1038">
        <v>0</v>
      </c>
      <c r="N36" s="909">
        <v>4270</v>
      </c>
      <c r="O36" s="911">
        <v>0</v>
      </c>
      <c r="P36" s="1773">
        <v>0.20588235294117646</v>
      </c>
      <c r="Q36" s="910">
        <v>1.7266187050359711</v>
      </c>
      <c r="R36" s="911">
        <v>45.1</v>
      </c>
      <c r="S36" s="910">
        <v>0.79155672823219003</v>
      </c>
      <c r="T36" s="910">
        <v>10.504434589800443</v>
      </c>
      <c r="U36" s="910">
        <v>0</v>
      </c>
      <c r="V36" s="910">
        <v>10.504434589800443</v>
      </c>
      <c r="W36" s="911">
        <v>1920</v>
      </c>
      <c r="X36" s="911">
        <v>0</v>
      </c>
      <c r="Y36" s="1039">
        <v>20.168514412416851</v>
      </c>
      <c r="Z36" s="910">
        <v>4.5</v>
      </c>
      <c r="AA36" s="910">
        <v>1.53</v>
      </c>
      <c r="AB36" s="911">
        <v>2050</v>
      </c>
      <c r="AC36" s="1039">
        <v>3.1364999999999998</v>
      </c>
      <c r="AD36" s="1038">
        <v>14.682705882352943</v>
      </c>
      <c r="AE36" s="911">
        <v>16.504434589800443</v>
      </c>
      <c r="AF36" s="911">
        <v>115.08650111497667</v>
      </c>
      <c r="AG36" s="911" t="s">
        <v>18</v>
      </c>
      <c r="AH36" s="911" t="s">
        <v>18</v>
      </c>
      <c r="AI36" s="911" t="s">
        <v>18</v>
      </c>
      <c r="AJ36" s="911">
        <v>0</v>
      </c>
      <c r="AK36" s="911">
        <v>0</v>
      </c>
      <c r="AL36" s="1039">
        <v>0</v>
      </c>
      <c r="AM36" s="911">
        <v>597.8117647058823</v>
      </c>
      <c r="AN36" s="911">
        <v>101.57043334514111</v>
      </c>
      <c r="AO36" s="911">
        <v>-1</v>
      </c>
      <c r="AP36" s="911">
        <v>26.901529411764706</v>
      </c>
      <c r="AQ36" s="911">
        <v>600</v>
      </c>
      <c r="AR36" s="1039">
        <v>16.237516870970133</v>
      </c>
      <c r="AS36" s="909">
        <v>100</v>
      </c>
      <c r="AT36" s="911">
        <v>300</v>
      </c>
      <c r="AU36" s="1039">
        <v>52.900052054794521</v>
      </c>
      <c r="AW36" s="1039">
        <f>Eingabedaten!AK40*Res_Std!O36</f>
        <v>0</v>
      </c>
      <c r="AX36" s="1769"/>
      <c r="AY36" s="1770"/>
      <c r="AZ36" s="1771"/>
      <c r="BA36" s="1777">
        <v>600</v>
      </c>
      <c r="BB36" s="884" t="s">
        <v>256</v>
      </c>
      <c r="BC36" s="884">
        <v>0.115</v>
      </c>
      <c r="BD36" s="908">
        <v>15</v>
      </c>
      <c r="BE36" s="909">
        <v>11.600000000000001</v>
      </c>
      <c r="BF36" s="909">
        <v>261</v>
      </c>
      <c r="BG36" s="1778">
        <v>0.69890410958904103</v>
      </c>
      <c r="BH36" s="909">
        <v>20</v>
      </c>
      <c r="BI36" s="909">
        <v>6</v>
      </c>
      <c r="BJ36" s="1772">
        <v>14</v>
      </c>
      <c r="BK36" s="1038">
        <v>0</v>
      </c>
      <c r="BL36" s="909">
        <v>4270</v>
      </c>
      <c r="BM36" s="911">
        <v>0</v>
      </c>
      <c r="BN36" s="1773">
        <v>0.20588235294117646</v>
      </c>
      <c r="BO36" s="910">
        <v>1.7266187050359711</v>
      </c>
      <c r="BP36" s="911">
        <v>45.1</v>
      </c>
      <c r="BQ36" s="910">
        <v>0.79155672823219003</v>
      </c>
      <c r="BR36" s="910">
        <v>10.504434589800443</v>
      </c>
      <c r="BS36" s="910">
        <v>0</v>
      </c>
      <c r="BT36" s="910">
        <v>10.504434589800443</v>
      </c>
      <c r="BU36" s="911">
        <v>1920</v>
      </c>
      <c r="BV36" s="911">
        <v>0</v>
      </c>
      <c r="BW36" s="1039">
        <v>20.168514412416851</v>
      </c>
      <c r="BX36" s="910">
        <v>4.5</v>
      </c>
      <c r="BY36" s="910">
        <v>1.53</v>
      </c>
      <c r="BZ36" s="911">
        <v>3300</v>
      </c>
      <c r="CA36" s="1039">
        <v>5.0490000000000004</v>
      </c>
      <c r="CB36" s="1038">
        <v>14.682705882352943</v>
      </c>
      <c r="CC36" s="911">
        <v>16.504434589800443</v>
      </c>
      <c r="CD36" s="911">
        <v>115.08650111497667</v>
      </c>
      <c r="CE36" s="911" t="s">
        <v>18</v>
      </c>
      <c r="CF36" s="911" t="s">
        <v>18</v>
      </c>
      <c r="CG36" s="911" t="s">
        <v>18</v>
      </c>
      <c r="CH36" s="911">
        <v>0</v>
      </c>
      <c r="CI36" s="911">
        <v>0</v>
      </c>
      <c r="CJ36" s="1039">
        <v>0</v>
      </c>
      <c r="CK36" s="911">
        <v>597.8117647058823</v>
      </c>
      <c r="CL36" s="911">
        <v>101.57043334514111</v>
      </c>
      <c r="CM36" s="911">
        <v>-1</v>
      </c>
      <c r="CN36" s="911">
        <v>26.901529411764706</v>
      </c>
      <c r="CO36" s="911">
        <v>850</v>
      </c>
      <c r="CP36" s="1039">
        <v>22.844559272836566</v>
      </c>
      <c r="CQ36" s="909">
        <v>100</v>
      </c>
      <c r="CR36" s="911">
        <v>300</v>
      </c>
      <c r="CS36" s="1039">
        <v>52.900052054794521</v>
      </c>
      <c r="CU36" s="1777">
        <f t="shared" si="8"/>
        <v>0</v>
      </c>
      <c r="CV36" s="884" t="e">
        <f t="shared" si="14"/>
        <v>#VALUE!</v>
      </c>
      <c r="CW36" s="884">
        <f t="shared" si="15"/>
        <v>0</v>
      </c>
      <c r="CX36" s="908">
        <f t="shared" si="16"/>
        <v>0</v>
      </c>
      <c r="CY36" s="909">
        <f t="shared" si="17"/>
        <v>0</v>
      </c>
      <c r="CZ36" s="909">
        <f t="shared" si="18"/>
        <v>0</v>
      </c>
      <c r="DA36" s="1778">
        <f t="shared" si="19"/>
        <v>0</v>
      </c>
      <c r="DB36" s="909">
        <f t="shared" si="20"/>
        <v>0</v>
      </c>
      <c r="DC36" s="909">
        <f t="shared" si="21"/>
        <v>0</v>
      </c>
      <c r="DD36" s="1772">
        <f t="shared" si="22"/>
        <v>0</v>
      </c>
      <c r="DE36" s="1038">
        <f t="shared" si="23"/>
        <v>0</v>
      </c>
      <c r="DF36" s="909">
        <f t="shared" si="24"/>
        <v>0</v>
      </c>
      <c r="DG36" s="911">
        <f t="shared" si="25"/>
        <v>0</v>
      </c>
      <c r="DH36" s="1773">
        <f t="shared" si="26"/>
        <v>0</v>
      </c>
      <c r="DI36" s="910">
        <f t="shared" si="27"/>
        <v>0</v>
      </c>
      <c r="DJ36" s="911">
        <f t="shared" si="28"/>
        <v>0</v>
      </c>
      <c r="DK36" s="910">
        <f t="shared" si="29"/>
        <v>0</v>
      </c>
      <c r="DL36" s="910">
        <f t="shared" si="30"/>
        <v>0</v>
      </c>
      <c r="DM36" s="910">
        <f t="shared" si="31"/>
        <v>0</v>
      </c>
      <c r="DN36" s="910">
        <f t="shared" si="32"/>
        <v>0</v>
      </c>
      <c r="DO36" s="911">
        <f t="shared" si="33"/>
        <v>0</v>
      </c>
      <c r="DP36" s="911">
        <f t="shared" si="34"/>
        <v>0</v>
      </c>
      <c r="DQ36" s="1039">
        <f t="shared" si="9"/>
        <v>0</v>
      </c>
      <c r="DR36" s="910">
        <f t="shared" si="10"/>
        <v>0</v>
      </c>
      <c r="DS36" s="910">
        <f t="shared" si="11"/>
        <v>0</v>
      </c>
      <c r="DT36" s="911">
        <f t="shared" si="12"/>
        <v>-1250</v>
      </c>
      <c r="DU36" s="1039">
        <f t="shared" si="13"/>
        <v>-1.9125000000000005</v>
      </c>
      <c r="DV36" s="1038">
        <f t="shared" si="35"/>
        <v>0</v>
      </c>
      <c r="DW36" s="911">
        <f t="shared" si="36"/>
        <v>0</v>
      </c>
      <c r="DX36" s="911">
        <f t="shared" si="37"/>
        <v>0</v>
      </c>
      <c r="DY36" s="911" t="e">
        <f t="shared" si="38"/>
        <v>#VALUE!</v>
      </c>
      <c r="DZ36" s="911" t="e">
        <f t="shared" si="39"/>
        <v>#VALUE!</v>
      </c>
      <c r="EA36" s="911" t="e">
        <f t="shared" si="40"/>
        <v>#VALUE!</v>
      </c>
      <c r="EB36" s="911">
        <f t="shared" si="41"/>
        <v>0</v>
      </c>
      <c r="EC36" s="911">
        <f t="shared" si="42"/>
        <v>0</v>
      </c>
      <c r="ED36" s="1039">
        <f t="shared" si="43"/>
        <v>0</v>
      </c>
      <c r="EE36" s="911">
        <f t="shared" si="44"/>
        <v>0</v>
      </c>
      <c r="EF36" s="911">
        <f t="shared" si="45"/>
        <v>0</v>
      </c>
      <c r="EG36" s="911">
        <f t="shared" si="2"/>
        <v>0</v>
      </c>
      <c r="EH36" s="911">
        <f t="shared" si="3"/>
        <v>0</v>
      </c>
      <c r="EI36" s="911">
        <f t="shared" si="4"/>
        <v>-250</v>
      </c>
      <c r="EJ36" s="1039">
        <f t="shared" si="5"/>
        <v>-6.6070424018664333</v>
      </c>
      <c r="EK36" s="909">
        <f t="shared" si="5"/>
        <v>0</v>
      </c>
      <c r="EL36" s="911">
        <f t="shared" si="6"/>
        <v>0</v>
      </c>
      <c r="EM36" s="1039">
        <f t="shared" si="7"/>
        <v>0</v>
      </c>
    </row>
    <row r="37" spans="1:143">
      <c r="A37" s="889">
        <f>Eingabedaten!A41</f>
        <v>11.2</v>
      </c>
      <c r="B37" s="1013" t="str">
        <f>Eingabedaten!C41</f>
        <v>Fitnessraum</v>
      </c>
      <c r="C37" s="1719">
        <v>144</v>
      </c>
      <c r="D37" s="873">
        <v>0.18</v>
      </c>
      <c r="E37" s="873">
        <v>0.115</v>
      </c>
      <c r="F37" s="912">
        <v>15</v>
      </c>
      <c r="G37" s="913">
        <v>11.600000000000001</v>
      </c>
      <c r="H37" s="913">
        <v>313</v>
      </c>
      <c r="I37" s="913">
        <v>0.80000000000000016</v>
      </c>
      <c r="J37" s="913">
        <v>10</v>
      </c>
      <c r="K37" s="913">
        <v>12</v>
      </c>
      <c r="L37" s="1767">
        <v>28</v>
      </c>
      <c r="M37" s="1040">
        <v>2</v>
      </c>
      <c r="N37" s="913">
        <v>5710</v>
      </c>
      <c r="O37" s="915">
        <v>11.42</v>
      </c>
      <c r="P37" s="1768">
        <v>0.14705882352941177</v>
      </c>
      <c r="Q37" s="914">
        <v>2.0338983050847452</v>
      </c>
      <c r="R37" s="915">
        <v>45.1</v>
      </c>
      <c r="S37" s="914">
        <v>0.83798882681564235</v>
      </c>
      <c r="T37" s="914">
        <v>9.9223946784922408</v>
      </c>
      <c r="U37" s="914">
        <v>0</v>
      </c>
      <c r="V37" s="914">
        <v>9.9223946784922408</v>
      </c>
      <c r="W37" s="915">
        <v>3000</v>
      </c>
      <c r="X37" s="915">
        <v>0</v>
      </c>
      <c r="Y37" s="1041">
        <v>29.767184035476724</v>
      </c>
      <c r="Z37" s="914">
        <v>9</v>
      </c>
      <c r="AA37" s="914">
        <v>4.95</v>
      </c>
      <c r="AB37" s="915">
        <v>2800</v>
      </c>
      <c r="AC37" s="1041">
        <v>13.86</v>
      </c>
      <c r="AD37" s="1040">
        <v>18.282588235294121</v>
      </c>
      <c r="AE37" s="915">
        <v>23.922394678492239</v>
      </c>
      <c r="AF37" s="915">
        <v>262.15693266525739</v>
      </c>
      <c r="AG37" s="915" t="s">
        <v>1259</v>
      </c>
      <c r="AH37" s="915" t="s">
        <v>1259</v>
      </c>
      <c r="AI37" s="915" t="s">
        <v>1259</v>
      </c>
      <c r="AJ37" s="915">
        <v>25</v>
      </c>
      <c r="AK37" s="915">
        <v>340</v>
      </c>
      <c r="AL37" s="1041">
        <v>8.5770138888888887</v>
      </c>
      <c r="AM37" s="915">
        <v>187.07858823529412</v>
      </c>
      <c r="AN37" s="915">
        <v>75.972350091311114</v>
      </c>
      <c r="AO37" s="915">
        <v>-2</v>
      </c>
      <c r="AP37" s="915">
        <v>36.37639215686275</v>
      </c>
      <c r="AQ37" s="915">
        <v>320</v>
      </c>
      <c r="AR37" s="1041">
        <v>11.538732344464593</v>
      </c>
      <c r="AS37" s="913">
        <v>60</v>
      </c>
      <c r="AT37" s="915">
        <v>180</v>
      </c>
      <c r="AU37" s="1041">
        <v>87.139200000000017</v>
      </c>
      <c r="AW37" s="1041">
        <f>Eingabedaten!AK41*Res_Std!O37</f>
        <v>114.2</v>
      </c>
      <c r="AX37" s="1769"/>
      <c r="AY37" s="1770"/>
      <c r="AZ37" s="1771"/>
      <c r="BA37" s="1719">
        <v>144</v>
      </c>
      <c r="BB37" s="873">
        <v>0.18</v>
      </c>
      <c r="BC37" s="873">
        <v>0.115</v>
      </c>
      <c r="BD37" s="912">
        <v>15</v>
      </c>
      <c r="BE37" s="913">
        <v>11.600000000000001</v>
      </c>
      <c r="BF37" s="913">
        <v>313</v>
      </c>
      <c r="BG37" s="913">
        <v>0.80000000000000016</v>
      </c>
      <c r="BH37" s="913">
        <v>10</v>
      </c>
      <c r="BI37" s="913">
        <v>12</v>
      </c>
      <c r="BJ37" s="1767">
        <v>28</v>
      </c>
      <c r="BK37" s="1040">
        <v>2</v>
      </c>
      <c r="BL37" s="913">
        <v>5710</v>
      </c>
      <c r="BM37" s="915">
        <v>11.42</v>
      </c>
      <c r="BN37" s="1768">
        <v>0.14705882352941177</v>
      </c>
      <c r="BO37" s="914">
        <v>2.0338983050847452</v>
      </c>
      <c r="BP37" s="915">
        <v>45.1</v>
      </c>
      <c r="BQ37" s="914">
        <v>0.83798882681564235</v>
      </c>
      <c r="BR37" s="914">
        <v>9.9223946784922408</v>
      </c>
      <c r="BS37" s="914">
        <v>0</v>
      </c>
      <c r="BT37" s="914">
        <v>9.9223946784922408</v>
      </c>
      <c r="BU37" s="915">
        <v>3000</v>
      </c>
      <c r="BV37" s="915">
        <v>0</v>
      </c>
      <c r="BW37" s="1041">
        <v>29.767184035476724</v>
      </c>
      <c r="BX37" s="914">
        <v>9</v>
      </c>
      <c r="BY37" s="914">
        <v>4.95</v>
      </c>
      <c r="BZ37" s="915">
        <v>3370</v>
      </c>
      <c r="CA37" s="1041">
        <v>16.6815</v>
      </c>
      <c r="CB37" s="1040">
        <v>18.282588235294121</v>
      </c>
      <c r="CC37" s="915">
        <v>23.922394678492239</v>
      </c>
      <c r="CD37" s="915">
        <v>262.15693266525739</v>
      </c>
      <c r="CE37" s="915" t="s">
        <v>785</v>
      </c>
      <c r="CF37" s="915" t="s">
        <v>785</v>
      </c>
      <c r="CG37" s="915" t="s">
        <v>785</v>
      </c>
      <c r="CH37" s="915">
        <v>25</v>
      </c>
      <c r="CI37" s="915">
        <v>340</v>
      </c>
      <c r="CJ37" s="1041">
        <v>8.5770138888888887</v>
      </c>
      <c r="CK37" s="915">
        <v>187.07858823529412</v>
      </c>
      <c r="CL37" s="915">
        <v>75.972350091311114</v>
      </c>
      <c r="CM37" s="915">
        <v>-2</v>
      </c>
      <c r="CN37" s="915">
        <v>36.37639215686275</v>
      </c>
      <c r="CO37" s="915">
        <v>610</v>
      </c>
      <c r="CP37" s="1041">
        <v>22.181230369573097</v>
      </c>
      <c r="CQ37" s="913">
        <v>60</v>
      </c>
      <c r="CR37" s="915">
        <v>180</v>
      </c>
      <c r="CS37" s="1041">
        <v>87.139200000000017</v>
      </c>
      <c r="CU37" s="1719">
        <f t="shared" si="8"/>
        <v>0</v>
      </c>
      <c r="CV37" s="873">
        <f t="shared" si="14"/>
        <v>0</v>
      </c>
      <c r="CW37" s="873">
        <f t="shared" si="15"/>
        <v>0</v>
      </c>
      <c r="CX37" s="912">
        <f t="shared" si="16"/>
        <v>0</v>
      </c>
      <c r="CY37" s="913">
        <f t="shared" si="17"/>
        <v>0</v>
      </c>
      <c r="CZ37" s="913">
        <f t="shared" si="18"/>
        <v>0</v>
      </c>
      <c r="DA37" s="913">
        <f t="shared" si="19"/>
        <v>0</v>
      </c>
      <c r="DB37" s="913">
        <f t="shared" si="20"/>
        <v>0</v>
      </c>
      <c r="DC37" s="913">
        <f t="shared" si="21"/>
        <v>0</v>
      </c>
      <c r="DD37" s="1767">
        <f t="shared" si="22"/>
        <v>0</v>
      </c>
      <c r="DE37" s="1040">
        <f t="shared" si="23"/>
        <v>0</v>
      </c>
      <c r="DF37" s="913">
        <f t="shared" si="24"/>
        <v>0</v>
      </c>
      <c r="DG37" s="915">
        <f t="shared" si="25"/>
        <v>0</v>
      </c>
      <c r="DH37" s="1768">
        <f t="shared" si="26"/>
        <v>0</v>
      </c>
      <c r="DI37" s="914">
        <f t="shared" si="27"/>
        <v>0</v>
      </c>
      <c r="DJ37" s="915">
        <f t="shared" si="28"/>
        <v>0</v>
      </c>
      <c r="DK37" s="914">
        <f t="shared" si="29"/>
        <v>0</v>
      </c>
      <c r="DL37" s="914">
        <f t="shared" si="30"/>
        <v>0</v>
      </c>
      <c r="DM37" s="914">
        <f t="shared" si="31"/>
        <v>0</v>
      </c>
      <c r="DN37" s="914">
        <f t="shared" si="32"/>
        <v>0</v>
      </c>
      <c r="DO37" s="915">
        <f t="shared" si="33"/>
        <v>0</v>
      </c>
      <c r="DP37" s="915">
        <f t="shared" si="34"/>
        <v>0</v>
      </c>
      <c r="DQ37" s="1041">
        <f t="shared" si="9"/>
        <v>0</v>
      </c>
      <c r="DR37" s="914">
        <f t="shared" si="10"/>
        <v>0</v>
      </c>
      <c r="DS37" s="914">
        <f t="shared" si="11"/>
        <v>0</v>
      </c>
      <c r="DT37" s="915">
        <f t="shared" si="12"/>
        <v>-570</v>
      </c>
      <c r="DU37" s="1041">
        <f t="shared" si="13"/>
        <v>-2.8215000000000003</v>
      </c>
      <c r="DV37" s="1040">
        <f t="shared" si="35"/>
        <v>0</v>
      </c>
      <c r="DW37" s="915">
        <f t="shared" si="36"/>
        <v>0</v>
      </c>
      <c r="DX37" s="915">
        <f t="shared" si="37"/>
        <v>0</v>
      </c>
      <c r="DY37" s="915" t="e">
        <f t="shared" si="38"/>
        <v>#VALUE!</v>
      </c>
      <c r="DZ37" s="915" t="e">
        <f t="shared" si="39"/>
        <v>#VALUE!</v>
      </c>
      <c r="EA37" s="915" t="e">
        <f t="shared" si="40"/>
        <v>#VALUE!</v>
      </c>
      <c r="EB37" s="915">
        <f t="shared" si="41"/>
        <v>0</v>
      </c>
      <c r="EC37" s="915">
        <f t="shared" si="42"/>
        <v>0</v>
      </c>
      <c r="ED37" s="1041">
        <f t="shared" si="43"/>
        <v>0</v>
      </c>
      <c r="EE37" s="915">
        <f t="shared" si="44"/>
        <v>0</v>
      </c>
      <c r="EF37" s="915">
        <f t="shared" si="45"/>
        <v>0</v>
      </c>
      <c r="EG37" s="915">
        <f t="shared" si="2"/>
        <v>0</v>
      </c>
      <c r="EH37" s="915">
        <f t="shared" si="3"/>
        <v>0</v>
      </c>
      <c r="EI37" s="915">
        <f t="shared" si="4"/>
        <v>-290</v>
      </c>
      <c r="EJ37" s="1041">
        <f t="shared" si="5"/>
        <v>-10.642498025108504</v>
      </c>
      <c r="EK37" s="913">
        <f t="shared" si="5"/>
        <v>0</v>
      </c>
      <c r="EL37" s="915">
        <f t="shared" si="6"/>
        <v>0</v>
      </c>
      <c r="EM37" s="1041">
        <f t="shared" si="7"/>
        <v>0</v>
      </c>
    </row>
    <row r="38" spans="1:143">
      <c r="A38" s="891">
        <f>Eingabedaten!A42</f>
        <v>11.3</v>
      </c>
      <c r="B38" s="1536" t="str">
        <f>Eingabedaten!C42</f>
        <v>Schwimmhalle</v>
      </c>
      <c r="C38" s="1780">
        <v>400</v>
      </c>
      <c r="D38" s="886">
        <v>0.26</v>
      </c>
      <c r="E38" s="886">
        <v>0.15</v>
      </c>
      <c r="F38" s="1758">
        <v>15</v>
      </c>
      <c r="G38" s="1759">
        <v>11.600000000000001</v>
      </c>
      <c r="H38" s="1759">
        <v>313</v>
      </c>
      <c r="I38" s="1759">
        <v>0.80000000000000016</v>
      </c>
      <c r="J38" s="1759">
        <v>10</v>
      </c>
      <c r="K38" s="1759">
        <v>7</v>
      </c>
      <c r="L38" s="1760">
        <v>8</v>
      </c>
      <c r="M38" s="1774">
        <v>2</v>
      </c>
      <c r="N38" s="1759">
        <v>5710</v>
      </c>
      <c r="O38" s="1762">
        <v>11.42</v>
      </c>
      <c r="P38" s="1775">
        <v>0.20588235294117649</v>
      </c>
      <c r="Q38" s="1761">
        <v>1.4388489208633093</v>
      </c>
      <c r="R38" s="1762">
        <v>45.1</v>
      </c>
      <c r="S38" s="1761">
        <v>0.73746312684365778</v>
      </c>
      <c r="T38" s="1761">
        <v>11.274944567627495</v>
      </c>
      <c r="U38" s="1761">
        <v>0</v>
      </c>
      <c r="V38" s="1761">
        <v>11.274944567627495</v>
      </c>
      <c r="W38" s="1762">
        <v>2630</v>
      </c>
      <c r="X38" s="1762">
        <v>0</v>
      </c>
      <c r="Y38" s="1776">
        <v>29.653104212860313</v>
      </c>
      <c r="Z38" s="1761">
        <v>3.6</v>
      </c>
      <c r="AA38" s="1761">
        <v>1.9800000000000002</v>
      </c>
      <c r="AB38" s="1762">
        <v>2800</v>
      </c>
      <c r="AC38" s="1776">
        <v>5.5440000000000005</v>
      </c>
      <c r="AD38" s="1774">
        <v>16.553945098039222</v>
      </c>
      <c r="AE38" s="1762">
        <v>20.274944567627493</v>
      </c>
      <c r="AF38" s="1762">
        <v>174.82297797776386</v>
      </c>
      <c r="AG38" s="1762" t="s">
        <v>18</v>
      </c>
      <c r="AH38" s="1762" t="s">
        <v>18</v>
      </c>
      <c r="AI38" s="1762" t="s">
        <v>18</v>
      </c>
      <c r="AJ38" s="1762">
        <v>0</v>
      </c>
      <c r="AK38" s="1762">
        <v>0</v>
      </c>
      <c r="AL38" s="1776">
        <v>0.27065</v>
      </c>
      <c r="AM38" s="1762">
        <v>374.24784313725496</v>
      </c>
      <c r="AN38" s="1762">
        <v>113.08014401696683</v>
      </c>
      <c r="AO38" s="1762">
        <v>-1</v>
      </c>
      <c r="AP38" s="1762">
        <v>30.875447058823532</v>
      </c>
      <c r="AQ38" s="1762">
        <v>950</v>
      </c>
      <c r="AR38" s="1776">
        <v>29.466693295145785</v>
      </c>
      <c r="AS38" s="1759">
        <v>120</v>
      </c>
      <c r="AT38" s="1762">
        <v>360</v>
      </c>
      <c r="AU38" s="1776">
        <v>174.27840000000003</v>
      </c>
      <c r="AW38" s="1776">
        <f>Eingabedaten!AK42*Res_Std!O38</f>
        <v>114.2</v>
      </c>
      <c r="AX38" s="1769"/>
      <c r="AY38" s="1770"/>
      <c r="AZ38" s="1771"/>
      <c r="BA38" s="1780">
        <v>400</v>
      </c>
      <c r="BB38" s="886">
        <v>0.26</v>
      </c>
      <c r="BC38" s="886">
        <v>0.15</v>
      </c>
      <c r="BD38" s="1758">
        <v>15</v>
      </c>
      <c r="BE38" s="1759">
        <v>11.600000000000001</v>
      </c>
      <c r="BF38" s="1759">
        <v>313</v>
      </c>
      <c r="BG38" s="1759">
        <v>0.80000000000000016</v>
      </c>
      <c r="BH38" s="1759">
        <v>10</v>
      </c>
      <c r="BI38" s="1759">
        <v>7</v>
      </c>
      <c r="BJ38" s="1760">
        <v>8</v>
      </c>
      <c r="BK38" s="1774">
        <v>2</v>
      </c>
      <c r="BL38" s="1759">
        <v>5710</v>
      </c>
      <c r="BM38" s="1762">
        <v>11.42</v>
      </c>
      <c r="BN38" s="1775">
        <v>0.20588235294117649</v>
      </c>
      <c r="BO38" s="1761">
        <v>1.4388489208633093</v>
      </c>
      <c r="BP38" s="1762">
        <v>45.1</v>
      </c>
      <c r="BQ38" s="1761">
        <v>0.73746312684365778</v>
      </c>
      <c r="BR38" s="1761">
        <v>11.274944567627495</v>
      </c>
      <c r="BS38" s="1761">
        <v>0</v>
      </c>
      <c r="BT38" s="1761">
        <v>11.274944567627495</v>
      </c>
      <c r="BU38" s="1762">
        <v>2630</v>
      </c>
      <c r="BV38" s="1762">
        <v>0</v>
      </c>
      <c r="BW38" s="1776">
        <v>29.653104212860313</v>
      </c>
      <c r="BX38" s="1761">
        <v>3.6</v>
      </c>
      <c r="BY38" s="1761">
        <v>1.9800000000000002</v>
      </c>
      <c r="BZ38" s="1762">
        <v>4510</v>
      </c>
      <c r="CA38" s="1776">
        <v>8.929800000000002</v>
      </c>
      <c r="CB38" s="1774">
        <v>16.553945098039222</v>
      </c>
      <c r="CC38" s="1762">
        <v>20.274944567627493</v>
      </c>
      <c r="CD38" s="1762">
        <v>174.82297797776386</v>
      </c>
      <c r="CE38" s="1762" t="s">
        <v>18</v>
      </c>
      <c r="CF38" s="1762" t="s">
        <v>18</v>
      </c>
      <c r="CG38" s="1762" t="s">
        <v>18</v>
      </c>
      <c r="CH38" s="1762">
        <v>0</v>
      </c>
      <c r="CI38" s="1762">
        <v>0</v>
      </c>
      <c r="CJ38" s="1776">
        <v>0.27065</v>
      </c>
      <c r="CK38" s="1762">
        <v>374.24784313725496</v>
      </c>
      <c r="CL38" s="1762">
        <v>113.08014401696683</v>
      </c>
      <c r="CM38" s="1762">
        <v>-1</v>
      </c>
      <c r="CN38" s="1762">
        <v>30.875447058823532</v>
      </c>
      <c r="CO38" s="1762">
        <v>1290</v>
      </c>
      <c r="CP38" s="1776">
        <v>39.752228146028507</v>
      </c>
      <c r="CQ38" s="1759">
        <v>120</v>
      </c>
      <c r="CR38" s="1762">
        <v>360</v>
      </c>
      <c r="CS38" s="1776">
        <v>174.27840000000003</v>
      </c>
      <c r="CU38" s="1780">
        <f t="shared" si="8"/>
        <v>0</v>
      </c>
      <c r="CV38" s="886">
        <f t="shared" si="14"/>
        <v>0</v>
      </c>
      <c r="CW38" s="886">
        <f t="shared" si="15"/>
        <v>0</v>
      </c>
      <c r="CX38" s="1758">
        <f t="shared" si="16"/>
        <v>0</v>
      </c>
      <c r="CY38" s="1759">
        <f t="shared" si="17"/>
        <v>0</v>
      </c>
      <c r="CZ38" s="1759">
        <f t="shared" si="18"/>
        <v>0</v>
      </c>
      <c r="DA38" s="1759">
        <f t="shared" si="19"/>
        <v>0</v>
      </c>
      <c r="DB38" s="1759">
        <f t="shared" si="20"/>
        <v>0</v>
      </c>
      <c r="DC38" s="1759">
        <f t="shared" si="21"/>
        <v>0</v>
      </c>
      <c r="DD38" s="1760">
        <f t="shared" si="22"/>
        <v>0</v>
      </c>
      <c r="DE38" s="1774">
        <f t="shared" si="23"/>
        <v>0</v>
      </c>
      <c r="DF38" s="1759">
        <f t="shared" si="24"/>
        <v>0</v>
      </c>
      <c r="DG38" s="1762">
        <f t="shared" si="25"/>
        <v>0</v>
      </c>
      <c r="DH38" s="1775">
        <f t="shared" si="26"/>
        <v>0</v>
      </c>
      <c r="DI38" s="1761">
        <f t="shared" si="27"/>
        <v>0</v>
      </c>
      <c r="DJ38" s="1762">
        <f t="shared" si="28"/>
        <v>0</v>
      </c>
      <c r="DK38" s="1761">
        <f t="shared" si="29"/>
        <v>0</v>
      </c>
      <c r="DL38" s="1761">
        <f t="shared" si="30"/>
        <v>0</v>
      </c>
      <c r="DM38" s="1761">
        <f t="shared" si="31"/>
        <v>0</v>
      </c>
      <c r="DN38" s="1761">
        <f t="shared" si="32"/>
        <v>0</v>
      </c>
      <c r="DO38" s="1762">
        <f t="shared" si="33"/>
        <v>0</v>
      </c>
      <c r="DP38" s="1762">
        <f t="shared" si="34"/>
        <v>0</v>
      </c>
      <c r="DQ38" s="1776">
        <f t="shared" si="9"/>
        <v>0</v>
      </c>
      <c r="DR38" s="1761">
        <f t="shared" si="10"/>
        <v>0</v>
      </c>
      <c r="DS38" s="1761">
        <f t="shared" si="11"/>
        <v>0</v>
      </c>
      <c r="DT38" s="1762">
        <f t="shared" si="12"/>
        <v>-1710</v>
      </c>
      <c r="DU38" s="1776">
        <f t="shared" si="13"/>
        <v>-3.3858000000000015</v>
      </c>
      <c r="DV38" s="1774">
        <f t="shared" si="35"/>
        <v>0</v>
      </c>
      <c r="DW38" s="1762">
        <f t="shared" si="36"/>
        <v>0</v>
      </c>
      <c r="DX38" s="1762">
        <f t="shared" si="37"/>
        <v>0</v>
      </c>
      <c r="DY38" s="1762" t="e">
        <f t="shared" si="38"/>
        <v>#VALUE!</v>
      </c>
      <c r="DZ38" s="1762" t="e">
        <f t="shared" si="39"/>
        <v>#VALUE!</v>
      </c>
      <c r="EA38" s="1762" t="e">
        <f t="shared" si="40"/>
        <v>#VALUE!</v>
      </c>
      <c r="EB38" s="1762">
        <f t="shared" si="41"/>
        <v>0</v>
      </c>
      <c r="EC38" s="1762">
        <f t="shared" si="42"/>
        <v>0</v>
      </c>
      <c r="ED38" s="1776">
        <f t="shared" si="43"/>
        <v>0</v>
      </c>
      <c r="EE38" s="1762">
        <f t="shared" si="44"/>
        <v>0</v>
      </c>
      <c r="EF38" s="1762">
        <f t="shared" si="45"/>
        <v>0</v>
      </c>
      <c r="EG38" s="1762">
        <f t="shared" si="2"/>
        <v>0</v>
      </c>
      <c r="EH38" s="1762">
        <f t="shared" si="3"/>
        <v>0</v>
      </c>
      <c r="EI38" s="1762">
        <f t="shared" si="4"/>
        <v>-340</v>
      </c>
      <c r="EJ38" s="1776">
        <f t="shared" si="5"/>
        <v>-10.285534850882723</v>
      </c>
      <c r="EK38" s="1759">
        <f t="shared" si="5"/>
        <v>0</v>
      </c>
      <c r="EL38" s="1762">
        <f t="shared" si="6"/>
        <v>0</v>
      </c>
      <c r="EM38" s="1776">
        <f t="shared" si="7"/>
        <v>0</v>
      </c>
    </row>
    <row r="39" spans="1:143">
      <c r="A39" s="890">
        <f>Eingabedaten!A43</f>
        <v>12.1</v>
      </c>
      <c r="B39" s="888" t="str">
        <f>Eingabedaten!C43</f>
        <v>Verkehrsfläche</v>
      </c>
      <c r="C39" s="1777">
        <v>20</v>
      </c>
      <c r="D39" s="884">
        <v>0</v>
      </c>
      <c r="E39" s="884">
        <v>0.115</v>
      </c>
      <c r="F39" s="908">
        <v>13</v>
      </c>
      <c r="G39" s="909">
        <v>4.8</v>
      </c>
      <c r="H39" s="909">
        <v>365</v>
      </c>
      <c r="I39" s="909">
        <v>0.80000000000000016</v>
      </c>
      <c r="J39" s="909">
        <v>0</v>
      </c>
      <c r="K39" s="909">
        <v>0</v>
      </c>
      <c r="L39" s="1772">
        <v>0</v>
      </c>
      <c r="M39" s="1038">
        <v>0</v>
      </c>
      <c r="N39" s="909">
        <v>0</v>
      </c>
      <c r="O39" s="911">
        <v>0</v>
      </c>
      <c r="P39" s="1773">
        <v>8.8235294117647065E-2</v>
      </c>
      <c r="Q39" s="910">
        <v>0.68027210884353739</v>
      </c>
      <c r="R39" s="911">
        <v>35.1</v>
      </c>
      <c r="S39" s="910">
        <v>0.50607287449392702</v>
      </c>
      <c r="T39" s="910">
        <v>7.0370370370370381</v>
      </c>
      <c r="U39" s="910">
        <v>0</v>
      </c>
      <c r="V39" s="910">
        <v>7.0370370370370381</v>
      </c>
      <c r="W39" s="911">
        <v>2970</v>
      </c>
      <c r="X39" s="911">
        <v>0</v>
      </c>
      <c r="Y39" s="1039">
        <v>20.900000000000002</v>
      </c>
      <c r="Z39" s="910">
        <v>2</v>
      </c>
      <c r="AA39" s="910">
        <v>1.1000000000000001</v>
      </c>
      <c r="AB39" s="911">
        <v>790</v>
      </c>
      <c r="AC39" s="1039">
        <v>0.86900000000000011</v>
      </c>
      <c r="AD39" s="1038">
        <v>6.2925882352941196</v>
      </c>
      <c r="AE39" s="911">
        <v>7.0370370370370381</v>
      </c>
      <c r="AF39" s="911">
        <v>45.173709565444362</v>
      </c>
      <c r="AG39" s="911" t="s">
        <v>18</v>
      </c>
      <c r="AH39" s="911" t="s">
        <v>18</v>
      </c>
      <c r="AI39" s="911" t="s">
        <v>18</v>
      </c>
      <c r="AJ39" s="911">
        <v>0</v>
      </c>
      <c r="AK39" s="911">
        <v>0</v>
      </c>
      <c r="AL39" s="1039">
        <v>0</v>
      </c>
      <c r="AM39" s="911">
        <v>8.5658823529411769</v>
      </c>
      <c r="AN39" s="911">
        <v>293.72338964427962</v>
      </c>
      <c r="AO39" s="911">
        <v>0</v>
      </c>
      <c r="AP39" s="911">
        <v>11.13564705882353</v>
      </c>
      <c r="AQ39" s="911">
        <v>220</v>
      </c>
      <c r="AR39" s="1039">
        <v>2.4404002635338853</v>
      </c>
      <c r="AS39" s="909">
        <v>0</v>
      </c>
      <c r="AT39" s="911">
        <v>0</v>
      </c>
      <c r="AU39" s="1039">
        <v>0</v>
      </c>
      <c r="AW39" s="1039">
        <f>Eingabedaten!AK43*Res_Std!O39</f>
        <v>0</v>
      </c>
      <c r="AX39" s="1769"/>
      <c r="AY39" s="1770"/>
      <c r="AZ39" s="1771"/>
      <c r="BA39" s="1777">
        <v>20</v>
      </c>
      <c r="BB39" s="884" t="s">
        <v>256</v>
      </c>
      <c r="BC39" s="884">
        <v>0.115</v>
      </c>
      <c r="BD39" s="908">
        <v>13</v>
      </c>
      <c r="BE39" s="909">
        <v>4.8</v>
      </c>
      <c r="BF39" s="909">
        <v>365</v>
      </c>
      <c r="BG39" s="909">
        <v>0.80000000000000016</v>
      </c>
      <c r="BH39" s="909" t="s">
        <v>256</v>
      </c>
      <c r="BI39" s="909">
        <v>0</v>
      </c>
      <c r="BJ39" s="1772">
        <v>0</v>
      </c>
      <c r="BK39" s="1038">
        <v>0</v>
      </c>
      <c r="BL39" s="909">
        <v>0</v>
      </c>
      <c r="BM39" s="911">
        <v>0</v>
      </c>
      <c r="BN39" s="1773">
        <v>8.8235294117647065E-2</v>
      </c>
      <c r="BO39" s="910">
        <v>0.68027210884353739</v>
      </c>
      <c r="BP39" s="911">
        <v>35.1</v>
      </c>
      <c r="BQ39" s="910">
        <v>0.50607287449392702</v>
      </c>
      <c r="BR39" s="910">
        <v>7.0370370370370381</v>
      </c>
      <c r="BS39" s="910">
        <v>0</v>
      </c>
      <c r="BT39" s="910">
        <v>7.0370370370370381</v>
      </c>
      <c r="BU39" s="911">
        <v>2970</v>
      </c>
      <c r="BV39" s="911">
        <v>0</v>
      </c>
      <c r="BW39" s="1039">
        <v>20.900000000000002</v>
      </c>
      <c r="BX39" s="910">
        <v>2</v>
      </c>
      <c r="BY39" s="910">
        <v>1.1000000000000001</v>
      </c>
      <c r="BZ39" s="911">
        <v>3120</v>
      </c>
      <c r="CA39" s="1039">
        <v>3.4320000000000004</v>
      </c>
      <c r="CB39" s="1038">
        <v>6.2925882352941196</v>
      </c>
      <c r="CC39" s="911">
        <v>7.0370370370370381</v>
      </c>
      <c r="CD39" s="911">
        <v>45.173709565444362</v>
      </c>
      <c r="CE39" s="911" t="s">
        <v>18</v>
      </c>
      <c r="CF39" s="911" t="s">
        <v>18</v>
      </c>
      <c r="CG39" s="911" t="s">
        <v>18</v>
      </c>
      <c r="CH39" s="911">
        <v>0</v>
      </c>
      <c r="CI39" s="911">
        <v>0</v>
      </c>
      <c r="CJ39" s="1039">
        <v>0</v>
      </c>
      <c r="CK39" s="911">
        <v>8.5658823529411769</v>
      </c>
      <c r="CL39" s="911">
        <v>293.72338964427962</v>
      </c>
      <c r="CM39" s="911">
        <v>0</v>
      </c>
      <c r="CN39" s="911">
        <v>11.13564705882353</v>
      </c>
      <c r="CO39" s="911">
        <v>460</v>
      </c>
      <c r="CP39" s="1039">
        <v>5.0903461322585564</v>
      </c>
      <c r="CQ39" s="909">
        <v>0</v>
      </c>
      <c r="CR39" s="911">
        <v>0</v>
      </c>
      <c r="CS39" s="1039">
        <v>0</v>
      </c>
      <c r="CU39" s="1777">
        <f t="shared" si="8"/>
        <v>0</v>
      </c>
      <c r="CV39" s="884" t="e">
        <f t="shared" si="14"/>
        <v>#VALUE!</v>
      </c>
      <c r="CW39" s="884">
        <f t="shared" si="15"/>
        <v>0</v>
      </c>
      <c r="CX39" s="908">
        <f t="shared" si="16"/>
        <v>0</v>
      </c>
      <c r="CY39" s="909">
        <f t="shared" si="17"/>
        <v>0</v>
      </c>
      <c r="CZ39" s="909">
        <f t="shared" si="18"/>
        <v>0</v>
      </c>
      <c r="DA39" s="909">
        <f t="shared" si="19"/>
        <v>0</v>
      </c>
      <c r="DB39" s="909" t="e">
        <f t="shared" si="20"/>
        <v>#VALUE!</v>
      </c>
      <c r="DC39" s="909">
        <f t="shared" si="21"/>
        <v>0</v>
      </c>
      <c r="DD39" s="1772">
        <f t="shared" si="22"/>
        <v>0</v>
      </c>
      <c r="DE39" s="1038">
        <f t="shared" si="23"/>
        <v>0</v>
      </c>
      <c r="DF39" s="909">
        <f t="shared" si="24"/>
        <v>0</v>
      </c>
      <c r="DG39" s="911">
        <f t="shared" si="25"/>
        <v>0</v>
      </c>
      <c r="DH39" s="1773">
        <f t="shared" si="26"/>
        <v>0</v>
      </c>
      <c r="DI39" s="910">
        <f t="shared" si="27"/>
        <v>0</v>
      </c>
      <c r="DJ39" s="911">
        <f t="shared" si="28"/>
        <v>0</v>
      </c>
      <c r="DK39" s="910">
        <f t="shared" si="29"/>
        <v>0</v>
      </c>
      <c r="DL39" s="910">
        <f t="shared" si="30"/>
        <v>0</v>
      </c>
      <c r="DM39" s="910">
        <f t="shared" si="31"/>
        <v>0</v>
      </c>
      <c r="DN39" s="910">
        <f t="shared" si="32"/>
        <v>0</v>
      </c>
      <c r="DO39" s="911">
        <f t="shared" si="33"/>
        <v>0</v>
      </c>
      <c r="DP39" s="911">
        <f t="shared" si="34"/>
        <v>0</v>
      </c>
      <c r="DQ39" s="1039">
        <f t="shared" si="9"/>
        <v>0</v>
      </c>
      <c r="DR39" s="910">
        <f t="shared" si="10"/>
        <v>0</v>
      </c>
      <c r="DS39" s="910">
        <f t="shared" si="11"/>
        <v>0</v>
      </c>
      <c r="DT39" s="911">
        <f t="shared" si="12"/>
        <v>-2330</v>
      </c>
      <c r="DU39" s="1039">
        <f t="shared" si="13"/>
        <v>-2.5630000000000002</v>
      </c>
      <c r="DV39" s="1038">
        <f t="shared" si="35"/>
        <v>0</v>
      </c>
      <c r="DW39" s="911">
        <f t="shared" si="36"/>
        <v>0</v>
      </c>
      <c r="DX39" s="911">
        <f t="shared" si="37"/>
        <v>0</v>
      </c>
      <c r="DY39" s="911" t="e">
        <f t="shared" si="38"/>
        <v>#VALUE!</v>
      </c>
      <c r="DZ39" s="911" t="e">
        <f t="shared" si="39"/>
        <v>#VALUE!</v>
      </c>
      <c r="EA39" s="911" t="e">
        <f t="shared" si="40"/>
        <v>#VALUE!</v>
      </c>
      <c r="EB39" s="911">
        <f t="shared" si="41"/>
        <v>0</v>
      </c>
      <c r="EC39" s="911">
        <f t="shared" si="42"/>
        <v>0</v>
      </c>
      <c r="ED39" s="1039">
        <f t="shared" si="43"/>
        <v>0</v>
      </c>
      <c r="EE39" s="911">
        <f t="shared" si="44"/>
        <v>0</v>
      </c>
      <c r="EF39" s="911">
        <f t="shared" si="45"/>
        <v>0</v>
      </c>
      <c r="EG39" s="911">
        <f t="shared" si="2"/>
        <v>0</v>
      </c>
      <c r="EH39" s="911">
        <f t="shared" si="3"/>
        <v>0</v>
      </c>
      <c r="EI39" s="911">
        <f t="shared" si="4"/>
        <v>-240</v>
      </c>
      <c r="EJ39" s="1039">
        <f t="shared" si="5"/>
        <v>-2.6499458687246711</v>
      </c>
      <c r="EK39" s="909">
        <f t="shared" si="5"/>
        <v>0</v>
      </c>
      <c r="EL39" s="911">
        <f t="shared" si="6"/>
        <v>0</v>
      </c>
      <c r="EM39" s="1039">
        <f t="shared" si="7"/>
        <v>0</v>
      </c>
    </row>
    <row r="40" spans="1:143">
      <c r="A40" s="889">
        <f>Eingabedaten!A44</f>
        <v>12.2</v>
      </c>
      <c r="B40" s="1013" t="str">
        <f>Eingabedaten!C44</f>
        <v>Verkehrsfläche 24 h</v>
      </c>
      <c r="C40" s="1719">
        <v>20</v>
      </c>
      <c r="D40" s="873">
        <v>0.18</v>
      </c>
      <c r="E40" s="873">
        <v>0.115</v>
      </c>
      <c r="F40" s="912">
        <v>24</v>
      </c>
      <c r="G40" s="913">
        <v>7.0000000000000018</v>
      </c>
      <c r="H40" s="913">
        <v>365</v>
      </c>
      <c r="I40" s="913">
        <v>0.80000000000000016</v>
      </c>
      <c r="J40" s="913">
        <v>0</v>
      </c>
      <c r="K40" s="913">
        <v>0</v>
      </c>
      <c r="L40" s="1767">
        <v>0</v>
      </c>
      <c r="M40" s="1040">
        <v>0</v>
      </c>
      <c r="N40" s="913">
        <v>0</v>
      </c>
      <c r="O40" s="915">
        <v>0</v>
      </c>
      <c r="P40" s="1768">
        <v>8.8235294117647065E-2</v>
      </c>
      <c r="Q40" s="914">
        <v>0.68027210884353739</v>
      </c>
      <c r="R40" s="915">
        <v>40.099999999999994</v>
      </c>
      <c r="S40" s="914">
        <v>0.50607287449392702</v>
      </c>
      <c r="T40" s="914">
        <v>12.319201995012474</v>
      </c>
      <c r="U40" s="914">
        <v>0</v>
      </c>
      <c r="V40" s="914">
        <v>12.319201995012474</v>
      </c>
      <c r="W40" s="915">
        <v>6440</v>
      </c>
      <c r="X40" s="915">
        <v>0</v>
      </c>
      <c r="Y40" s="1041">
        <v>79.335660847880334</v>
      </c>
      <c r="Z40" s="914">
        <v>2</v>
      </c>
      <c r="AA40" s="914">
        <v>1.1000000000000001</v>
      </c>
      <c r="AB40" s="915">
        <v>1260</v>
      </c>
      <c r="AC40" s="1041">
        <v>1.3859999999999999</v>
      </c>
      <c r="AD40" s="1040">
        <v>8.8623529411764732</v>
      </c>
      <c r="AE40" s="915">
        <v>12.319201995012474</v>
      </c>
      <c r="AF40" s="915">
        <v>239.57402993912567</v>
      </c>
      <c r="AG40" s="915" t="s">
        <v>1259</v>
      </c>
      <c r="AH40" s="915" t="s">
        <v>1259</v>
      </c>
      <c r="AI40" s="915" t="s">
        <v>1259</v>
      </c>
      <c r="AJ40" s="915">
        <v>15</v>
      </c>
      <c r="AK40" s="915">
        <v>2100</v>
      </c>
      <c r="AL40" s="1041">
        <v>31.49</v>
      </c>
      <c r="AM40" s="915">
        <v>8.5658823529411769</v>
      </c>
      <c r="AN40" s="915">
        <v>293.72338964427962</v>
      </c>
      <c r="AO40" s="915">
        <v>0</v>
      </c>
      <c r="AP40" s="915">
        <v>11.13564705882353</v>
      </c>
      <c r="AQ40" s="915">
        <v>0</v>
      </c>
      <c r="AR40" s="1041">
        <v>0</v>
      </c>
      <c r="AS40" s="913">
        <v>0</v>
      </c>
      <c r="AT40" s="915">
        <v>0</v>
      </c>
      <c r="AU40" s="1041">
        <v>0</v>
      </c>
      <c r="AW40" s="1041">
        <f>Eingabedaten!AK44*Res_Std!O40</f>
        <v>0</v>
      </c>
      <c r="AX40" s="1769"/>
      <c r="AY40" s="1770"/>
      <c r="AZ40" s="1771"/>
      <c r="BA40" s="1719">
        <v>20</v>
      </c>
      <c r="BB40" s="873">
        <v>0.18</v>
      </c>
      <c r="BC40" s="873">
        <v>0.115</v>
      </c>
      <c r="BD40" s="912">
        <v>24</v>
      </c>
      <c r="BE40" s="913">
        <v>7.0000000000000018</v>
      </c>
      <c r="BF40" s="913">
        <v>365</v>
      </c>
      <c r="BG40" s="913">
        <v>0.80000000000000016</v>
      </c>
      <c r="BH40" s="913" t="s">
        <v>256</v>
      </c>
      <c r="BI40" s="913">
        <v>0</v>
      </c>
      <c r="BJ40" s="1767">
        <v>0</v>
      </c>
      <c r="BK40" s="1040">
        <v>0</v>
      </c>
      <c r="BL40" s="913">
        <v>0</v>
      </c>
      <c r="BM40" s="915">
        <v>0</v>
      </c>
      <c r="BN40" s="1768">
        <v>8.8235294117647065E-2</v>
      </c>
      <c r="BO40" s="914">
        <v>0.68027210884353739</v>
      </c>
      <c r="BP40" s="915">
        <v>40.099999999999994</v>
      </c>
      <c r="BQ40" s="914">
        <v>0.50607287449392702</v>
      </c>
      <c r="BR40" s="914">
        <v>12.319201995012474</v>
      </c>
      <c r="BS40" s="914">
        <v>0</v>
      </c>
      <c r="BT40" s="914">
        <v>12.319201995012474</v>
      </c>
      <c r="BU40" s="915">
        <v>6440</v>
      </c>
      <c r="BV40" s="915">
        <v>0</v>
      </c>
      <c r="BW40" s="1041">
        <v>79.335660847880334</v>
      </c>
      <c r="BX40" s="914">
        <v>2</v>
      </c>
      <c r="BY40" s="914">
        <v>1.1000000000000001</v>
      </c>
      <c r="BZ40" s="915">
        <v>4990</v>
      </c>
      <c r="CA40" s="1041">
        <v>5.4889999999999999</v>
      </c>
      <c r="CB40" s="1040">
        <v>8.8623529411764732</v>
      </c>
      <c r="CC40" s="915">
        <v>12.319201995012474</v>
      </c>
      <c r="CD40" s="915">
        <v>239.57402993912567</v>
      </c>
      <c r="CE40" s="915" t="s">
        <v>785</v>
      </c>
      <c r="CF40" s="915" t="s">
        <v>785</v>
      </c>
      <c r="CG40" s="915" t="s">
        <v>785</v>
      </c>
      <c r="CH40" s="915">
        <v>15</v>
      </c>
      <c r="CI40" s="915">
        <v>2100</v>
      </c>
      <c r="CJ40" s="1041">
        <v>31.49</v>
      </c>
      <c r="CK40" s="915">
        <v>8.5658823529411769</v>
      </c>
      <c r="CL40" s="915">
        <v>293.72338964427962</v>
      </c>
      <c r="CM40" s="915">
        <v>0</v>
      </c>
      <c r="CN40" s="915">
        <v>11.13564705882353</v>
      </c>
      <c r="CO40" s="915">
        <v>70</v>
      </c>
      <c r="CP40" s="1041">
        <v>0.76200871010601556</v>
      </c>
      <c r="CQ40" s="913">
        <v>0</v>
      </c>
      <c r="CR40" s="915">
        <v>0</v>
      </c>
      <c r="CS40" s="1041">
        <v>0</v>
      </c>
      <c r="CU40" s="1719">
        <f t="shared" si="8"/>
        <v>0</v>
      </c>
      <c r="CV40" s="873">
        <f t="shared" si="14"/>
        <v>0</v>
      </c>
      <c r="CW40" s="873">
        <f t="shared" si="15"/>
        <v>0</v>
      </c>
      <c r="CX40" s="912">
        <f t="shared" si="16"/>
        <v>0</v>
      </c>
      <c r="CY40" s="913">
        <f t="shared" si="17"/>
        <v>0</v>
      </c>
      <c r="CZ40" s="913">
        <f t="shared" si="18"/>
        <v>0</v>
      </c>
      <c r="DA40" s="913">
        <f t="shared" si="19"/>
        <v>0</v>
      </c>
      <c r="DB40" s="913" t="e">
        <f t="shared" si="20"/>
        <v>#VALUE!</v>
      </c>
      <c r="DC40" s="913">
        <f t="shared" si="21"/>
        <v>0</v>
      </c>
      <c r="DD40" s="1767">
        <f t="shared" si="22"/>
        <v>0</v>
      </c>
      <c r="DE40" s="1040">
        <f t="shared" si="23"/>
        <v>0</v>
      </c>
      <c r="DF40" s="913">
        <f t="shared" si="24"/>
        <v>0</v>
      </c>
      <c r="DG40" s="915">
        <f t="shared" si="25"/>
        <v>0</v>
      </c>
      <c r="DH40" s="1768">
        <f t="shared" si="26"/>
        <v>0</v>
      </c>
      <c r="DI40" s="914">
        <f t="shared" si="27"/>
        <v>0</v>
      </c>
      <c r="DJ40" s="915">
        <f t="shared" si="28"/>
        <v>0</v>
      </c>
      <c r="DK40" s="914">
        <f t="shared" si="29"/>
        <v>0</v>
      </c>
      <c r="DL40" s="914">
        <f t="shared" si="30"/>
        <v>0</v>
      </c>
      <c r="DM40" s="914">
        <f t="shared" si="31"/>
        <v>0</v>
      </c>
      <c r="DN40" s="914">
        <f t="shared" si="32"/>
        <v>0</v>
      </c>
      <c r="DO40" s="915">
        <f t="shared" si="33"/>
        <v>0</v>
      </c>
      <c r="DP40" s="915">
        <f t="shared" si="34"/>
        <v>0</v>
      </c>
      <c r="DQ40" s="1041">
        <f t="shared" si="9"/>
        <v>0</v>
      </c>
      <c r="DR40" s="914">
        <f t="shared" si="10"/>
        <v>0</v>
      </c>
      <c r="DS40" s="914">
        <f t="shared" si="11"/>
        <v>0</v>
      </c>
      <c r="DT40" s="915">
        <f t="shared" si="12"/>
        <v>-3730</v>
      </c>
      <c r="DU40" s="1041">
        <f t="shared" si="13"/>
        <v>-4.1029999999999998</v>
      </c>
      <c r="DV40" s="1040">
        <f t="shared" si="35"/>
        <v>0</v>
      </c>
      <c r="DW40" s="915">
        <f t="shared" si="36"/>
        <v>0</v>
      </c>
      <c r="DX40" s="915">
        <f t="shared" si="37"/>
        <v>0</v>
      </c>
      <c r="DY40" s="915" t="e">
        <f t="shared" si="38"/>
        <v>#VALUE!</v>
      </c>
      <c r="DZ40" s="915" t="e">
        <f t="shared" si="39"/>
        <v>#VALUE!</v>
      </c>
      <c r="EA40" s="915" t="e">
        <f t="shared" si="40"/>
        <v>#VALUE!</v>
      </c>
      <c r="EB40" s="915">
        <f t="shared" si="41"/>
        <v>0</v>
      </c>
      <c r="EC40" s="915">
        <f t="shared" si="42"/>
        <v>0</v>
      </c>
      <c r="ED40" s="1041">
        <f t="shared" si="43"/>
        <v>0</v>
      </c>
      <c r="EE40" s="915">
        <f t="shared" si="44"/>
        <v>0</v>
      </c>
      <c r="EF40" s="915">
        <f t="shared" si="45"/>
        <v>0</v>
      </c>
      <c r="EG40" s="915">
        <f t="shared" si="2"/>
        <v>0</v>
      </c>
      <c r="EH40" s="915">
        <f t="shared" si="3"/>
        <v>0</v>
      </c>
      <c r="EI40" s="915">
        <f t="shared" si="4"/>
        <v>-70</v>
      </c>
      <c r="EJ40" s="1041">
        <f t="shared" si="5"/>
        <v>-0.76200871010601556</v>
      </c>
      <c r="EK40" s="913">
        <f t="shared" si="5"/>
        <v>0</v>
      </c>
      <c r="EL40" s="915">
        <f t="shared" si="6"/>
        <v>0</v>
      </c>
      <c r="EM40" s="1041">
        <f t="shared" si="7"/>
        <v>0</v>
      </c>
    </row>
    <row r="41" spans="1:143">
      <c r="A41" s="889">
        <f>Eingabedaten!A45</f>
        <v>12.3</v>
      </c>
      <c r="B41" s="1013" t="str">
        <f>Eingabedaten!C45</f>
        <v>Treppenhaus</v>
      </c>
      <c r="C41" s="1719">
        <v>20</v>
      </c>
      <c r="D41" s="873">
        <v>0</v>
      </c>
      <c r="E41" s="873">
        <v>0.115</v>
      </c>
      <c r="F41" s="912">
        <v>13</v>
      </c>
      <c r="G41" s="913">
        <v>4.8</v>
      </c>
      <c r="H41" s="913">
        <v>365</v>
      </c>
      <c r="I41" s="913">
        <v>0.80000000000000016</v>
      </c>
      <c r="J41" s="913">
        <v>0</v>
      </c>
      <c r="K41" s="913">
        <v>0</v>
      </c>
      <c r="L41" s="1767">
        <v>0</v>
      </c>
      <c r="M41" s="1040">
        <v>0</v>
      </c>
      <c r="N41" s="913">
        <v>0</v>
      </c>
      <c r="O41" s="915">
        <v>0</v>
      </c>
      <c r="P41" s="1768">
        <v>8.8235294117647065E-2</v>
      </c>
      <c r="Q41" s="914">
        <v>0.68027210884353739</v>
      </c>
      <c r="R41" s="915">
        <v>35.1</v>
      </c>
      <c r="S41" s="914">
        <v>0.50607287449392702</v>
      </c>
      <c r="T41" s="914">
        <v>7.0370370370370381</v>
      </c>
      <c r="U41" s="914">
        <v>0</v>
      </c>
      <c r="V41" s="914">
        <v>7.0370370370370381</v>
      </c>
      <c r="W41" s="915">
        <v>2970</v>
      </c>
      <c r="X41" s="915">
        <v>0</v>
      </c>
      <c r="Y41" s="1041">
        <v>20.900000000000002</v>
      </c>
      <c r="Z41" s="914">
        <v>2</v>
      </c>
      <c r="AA41" s="914">
        <v>0</v>
      </c>
      <c r="AB41" s="915">
        <v>0</v>
      </c>
      <c r="AC41" s="1041">
        <v>0</v>
      </c>
      <c r="AD41" s="1040">
        <v>6.2925882352941196</v>
      </c>
      <c r="AE41" s="915">
        <v>7.0370370370370381</v>
      </c>
      <c r="AF41" s="915">
        <v>45.173709565444362</v>
      </c>
      <c r="AG41" s="915" t="s">
        <v>18</v>
      </c>
      <c r="AH41" s="915" t="s">
        <v>18</v>
      </c>
      <c r="AI41" s="915" t="s">
        <v>18</v>
      </c>
      <c r="AJ41" s="915">
        <v>0</v>
      </c>
      <c r="AK41" s="915">
        <v>0</v>
      </c>
      <c r="AL41" s="1041">
        <v>0</v>
      </c>
      <c r="AM41" s="915">
        <v>17.525882352941174</v>
      </c>
      <c r="AN41" s="915">
        <v>143.55910586024032</v>
      </c>
      <c r="AO41" s="915">
        <v>-1</v>
      </c>
      <c r="AP41" s="915">
        <v>23.659941176470586</v>
      </c>
      <c r="AQ41" s="915">
        <v>230</v>
      </c>
      <c r="AR41" s="1041">
        <v>5.3896598577703791</v>
      </c>
      <c r="AS41" s="913">
        <v>0</v>
      </c>
      <c r="AT41" s="915">
        <v>0</v>
      </c>
      <c r="AU41" s="1041">
        <v>0</v>
      </c>
      <c r="AW41" s="1041">
        <f>Eingabedaten!AK45*Res_Std!O41</f>
        <v>0</v>
      </c>
      <c r="AX41" s="1769"/>
      <c r="AY41" s="1770"/>
      <c r="AZ41" s="1771"/>
      <c r="BA41" s="1719">
        <v>20</v>
      </c>
      <c r="BB41" s="873" t="s">
        <v>256</v>
      </c>
      <c r="BC41" s="873">
        <v>0.115</v>
      </c>
      <c r="BD41" s="912">
        <v>13</v>
      </c>
      <c r="BE41" s="913">
        <v>4.8</v>
      </c>
      <c r="BF41" s="913">
        <v>365</v>
      </c>
      <c r="BG41" s="913">
        <v>0.80000000000000016</v>
      </c>
      <c r="BH41" s="913" t="s">
        <v>256</v>
      </c>
      <c r="BI41" s="913">
        <v>0</v>
      </c>
      <c r="BJ41" s="1767">
        <v>0</v>
      </c>
      <c r="BK41" s="1040">
        <v>0</v>
      </c>
      <c r="BL41" s="913">
        <v>0</v>
      </c>
      <c r="BM41" s="915">
        <v>0</v>
      </c>
      <c r="BN41" s="1768">
        <v>8.8235294117647065E-2</v>
      </c>
      <c r="BO41" s="914">
        <v>0.68027210884353739</v>
      </c>
      <c r="BP41" s="915">
        <v>35.1</v>
      </c>
      <c r="BQ41" s="914">
        <v>0.50607287449392702</v>
      </c>
      <c r="BR41" s="914">
        <v>7.0370370370370381</v>
      </c>
      <c r="BS41" s="914">
        <v>0</v>
      </c>
      <c r="BT41" s="914">
        <v>7.0370370370370381</v>
      </c>
      <c r="BU41" s="915">
        <v>2970</v>
      </c>
      <c r="BV41" s="915">
        <v>0</v>
      </c>
      <c r="BW41" s="1041">
        <v>20.900000000000002</v>
      </c>
      <c r="BX41" s="914">
        <v>2</v>
      </c>
      <c r="BY41" s="914">
        <v>1.1000000000000001</v>
      </c>
      <c r="BZ41" s="915">
        <v>3120</v>
      </c>
      <c r="CA41" s="1041">
        <v>3.4320000000000004</v>
      </c>
      <c r="CB41" s="1040">
        <v>6.2925882352941196</v>
      </c>
      <c r="CC41" s="915">
        <v>7.0370370370370381</v>
      </c>
      <c r="CD41" s="915">
        <v>45.173709565444362</v>
      </c>
      <c r="CE41" s="915" t="s">
        <v>18</v>
      </c>
      <c r="CF41" s="915" t="s">
        <v>18</v>
      </c>
      <c r="CG41" s="915" t="s">
        <v>18</v>
      </c>
      <c r="CH41" s="915">
        <v>0</v>
      </c>
      <c r="CI41" s="915">
        <v>0</v>
      </c>
      <c r="CJ41" s="1041">
        <v>0</v>
      </c>
      <c r="CK41" s="915">
        <v>8.5658823529411769</v>
      </c>
      <c r="CL41" s="915">
        <v>293.72338964427962</v>
      </c>
      <c r="CM41" s="915">
        <v>0</v>
      </c>
      <c r="CN41" s="915">
        <v>11.13564705882353</v>
      </c>
      <c r="CO41" s="915">
        <v>460</v>
      </c>
      <c r="CP41" s="1041">
        <v>5.0903461322585564</v>
      </c>
      <c r="CQ41" s="913">
        <v>0</v>
      </c>
      <c r="CR41" s="915">
        <v>0</v>
      </c>
      <c r="CS41" s="1041">
        <v>0</v>
      </c>
      <c r="CU41" s="1719">
        <f t="shared" si="8"/>
        <v>0</v>
      </c>
      <c r="CV41" s="873" t="e">
        <f t="shared" si="14"/>
        <v>#VALUE!</v>
      </c>
      <c r="CW41" s="873">
        <f t="shared" si="15"/>
        <v>0</v>
      </c>
      <c r="CX41" s="912">
        <f t="shared" si="16"/>
        <v>0</v>
      </c>
      <c r="CY41" s="913">
        <f t="shared" si="17"/>
        <v>0</v>
      </c>
      <c r="CZ41" s="913">
        <f t="shared" si="18"/>
        <v>0</v>
      </c>
      <c r="DA41" s="913">
        <f t="shared" si="19"/>
        <v>0</v>
      </c>
      <c r="DB41" s="913" t="e">
        <f t="shared" si="20"/>
        <v>#VALUE!</v>
      </c>
      <c r="DC41" s="913">
        <f t="shared" si="21"/>
        <v>0</v>
      </c>
      <c r="DD41" s="1767">
        <f t="shared" si="22"/>
        <v>0</v>
      </c>
      <c r="DE41" s="1040">
        <f t="shared" si="23"/>
        <v>0</v>
      </c>
      <c r="DF41" s="913">
        <f t="shared" si="24"/>
        <v>0</v>
      </c>
      <c r="DG41" s="915">
        <f t="shared" si="25"/>
        <v>0</v>
      </c>
      <c r="DH41" s="1768">
        <f t="shared" si="26"/>
        <v>0</v>
      </c>
      <c r="DI41" s="914">
        <f t="shared" si="27"/>
        <v>0</v>
      </c>
      <c r="DJ41" s="915">
        <f t="shared" si="28"/>
        <v>0</v>
      </c>
      <c r="DK41" s="914">
        <f t="shared" si="29"/>
        <v>0</v>
      </c>
      <c r="DL41" s="914">
        <f t="shared" si="30"/>
        <v>0</v>
      </c>
      <c r="DM41" s="914">
        <f t="shared" si="31"/>
        <v>0</v>
      </c>
      <c r="DN41" s="914">
        <f t="shared" si="32"/>
        <v>0</v>
      </c>
      <c r="DO41" s="915">
        <f t="shared" si="33"/>
        <v>0</v>
      </c>
      <c r="DP41" s="915">
        <f t="shared" si="34"/>
        <v>0</v>
      </c>
      <c r="DQ41" s="1041">
        <f t="shared" si="9"/>
        <v>0</v>
      </c>
      <c r="DR41" s="914">
        <f t="shared" si="10"/>
        <v>0</v>
      </c>
      <c r="DS41" s="914">
        <f t="shared" si="11"/>
        <v>-1.1000000000000001</v>
      </c>
      <c r="DT41" s="915">
        <f t="shared" si="12"/>
        <v>-3120</v>
      </c>
      <c r="DU41" s="1041">
        <f t="shared" si="13"/>
        <v>-3.4320000000000004</v>
      </c>
      <c r="DV41" s="1040">
        <f t="shared" si="35"/>
        <v>0</v>
      </c>
      <c r="DW41" s="915">
        <f t="shared" si="36"/>
        <v>0</v>
      </c>
      <c r="DX41" s="915">
        <f t="shared" si="37"/>
        <v>0</v>
      </c>
      <c r="DY41" s="915" t="e">
        <f t="shared" si="38"/>
        <v>#VALUE!</v>
      </c>
      <c r="DZ41" s="915" t="e">
        <f t="shared" si="39"/>
        <v>#VALUE!</v>
      </c>
      <c r="EA41" s="915" t="e">
        <f t="shared" si="40"/>
        <v>#VALUE!</v>
      </c>
      <c r="EB41" s="915">
        <f t="shared" si="41"/>
        <v>0</v>
      </c>
      <c r="EC41" s="915">
        <f t="shared" si="42"/>
        <v>0</v>
      </c>
      <c r="ED41" s="1041">
        <f t="shared" si="43"/>
        <v>0</v>
      </c>
      <c r="EE41" s="915">
        <f t="shared" si="44"/>
        <v>8.9599999999999973</v>
      </c>
      <c r="EF41" s="915">
        <f t="shared" si="45"/>
        <v>-150.1642837840393</v>
      </c>
      <c r="EG41" s="915">
        <f t="shared" si="2"/>
        <v>-1</v>
      </c>
      <c r="EH41" s="915">
        <f t="shared" si="3"/>
        <v>12.524294117647056</v>
      </c>
      <c r="EI41" s="915">
        <f t="shared" si="4"/>
        <v>-230</v>
      </c>
      <c r="EJ41" s="1041">
        <f t="shared" si="5"/>
        <v>0.29931372551182278</v>
      </c>
      <c r="EK41" s="913">
        <f t="shared" si="5"/>
        <v>0</v>
      </c>
      <c r="EL41" s="915">
        <f t="shared" si="6"/>
        <v>0</v>
      </c>
      <c r="EM41" s="1041">
        <f t="shared" si="7"/>
        <v>0</v>
      </c>
    </row>
    <row r="42" spans="1:143">
      <c r="A42" s="889">
        <f>Eingabedaten!A46</f>
        <v>12.4</v>
      </c>
      <c r="B42" s="1013" t="str">
        <f>Eingabedaten!C46</f>
        <v>Nebenraum</v>
      </c>
      <c r="C42" s="1719">
        <v>20</v>
      </c>
      <c r="D42" s="873">
        <v>0</v>
      </c>
      <c r="E42" s="873">
        <v>0.115</v>
      </c>
      <c r="F42" s="912">
        <v>13</v>
      </c>
      <c r="G42" s="913">
        <v>4.8</v>
      </c>
      <c r="H42" s="913">
        <v>365</v>
      </c>
      <c r="I42" s="913">
        <v>0.80000000000000016</v>
      </c>
      <c r="J42" s="913">
        <v>0</v>
      </c>
      <c r="K42" s="913">
        <v>0</v>
      </c>
      <c r="L42" s="1767">
        <v>0</v>
      </c>
      <c r="M42" s="1040">
        <v>0</v>
      </c>
      <c r="N42" s="913">
        <v>0</v>
      </c>
      <c r="O42" s="915">
        <v>0</v>
      </c>
      <c r="P42" s="1768">
        <v>0.17647058823529413</v>
      </c>
      <c r="Q42" s="914">
        <v>0.90702947845804982</v>
      </c>
      <c r="R42" s="915">
        <v>35.1</v>
      </c>
      <c r="S42" s="914">
        <v>0.59453032104637327</v>
      </c>
      <c r="T42" s="914">
        <v>5.9900284900284912</v>
      </c>
      <c r="U42" s="914">
        <v>0</v>
      </c>
      <c r="V42" s="914">
        <v>5.9900284900284912</v>
      </c>
      <c r="W42" s="915">
        <v>2170</v>
      </c>
      <c r="X42" s="915">
        <v>0</v>
      </c>
      <c r="Y42" s="1041">
        <v>12.998361823361826</v>
      </c>
      <c r="Z42" s="914">
        <v>0.5</v>
      </c>
      <c r="AA42" s="914">
        <v>0.14000000000000001</v>
      </c>
      <c r="AB42" s="915">
        <v>790</v>
      </c>
      <c r="AC42" s="1041">
        <v>0.1106</v>
      </c>
      <c r="AD42" s="1040">
        <v>12.585176470588239</v>
      </c>
      <c r="AE42" s="915">
        <v>5.9900284900284912</v>
      </c>
      <c r="AF42" s="915">
        <v>1.1966846696036487E-2</v>
      </c>
      <c r="AG42" s="915" t="s">
        <v>18</v>
      </c>
      <c r="AH42" s="915" t="s">
        <v>18</v>
      </c>
      <c r="AI42" s="915" t="s">
        <v>18</v>
      </c>
      <c r="AJ42" s="915">
        <v>0</v>
      </c>
      <c r="AK42" s="915">
        <v>0</v>
      </c>
      <c r="AL42" s="1041">
        <v>0</v>
      </c>
      <c r="AM42" s="915">
        <v>9.4517647058823542</v>
      </c>
      <c r="AN42" s="915">
        <v>242.0711974110032</v>
      </c>
      <c r="AO42" s="915">
        <v>0</v>
      </c>
      <c r="AP42" s="915">
        <v>12.287294117647061</v>
      </c>
      <c r="AQ42" s="915">
        <v>840</v>
      </c>
      <c r="AR42" s="1041">
        <v>10.328074905918431</v>
      </c>
      <c r="AS42" s="913">
        <v>0</v>
      </c>
      <c r="AT42" s="915">
        <v>0</v>
      </c>
      <c r="AU42" s="1041">
        <v>0</v>
      </c>
      <c r="AW42" s="1041">
        <f>Eingabedaten!AK46*Res_Std!O42</f>
        <v>0</v>
      </c>
      <c r="AX42" s="1769"/>
      <c r="AY42" s="1770"/>
      <c r="AZ42" s="1771"/>
      <c r="BA42" s="1719">
        <v>20</v>
      </c>
      <c r="BB42" s="873" t="s">
        <v>256</v>
      </c>
      <c r="BC42" s="873">
        <v>0.115</v>
      </c>
      <c r="BD42" s="912">
        <v>13</v>
      </c>
      <c r="BE42" s="913">
        <v>4.8</v>
      </c>
      <c r="BF42" s="913">
        <v>365</v>
      </c>
      <c r="BG42" s="913">
        <v>0.80000000000000016</v>
      </c>
      <c r="BH42" s="913" t="s">
        <v>256</v>
      </c>
      <c r="BI42" s="913">
        <v>0</v>
      </c>
      <c r="BJ42" s="1767">
        <v>0</v>
      </c>
      <c r="BK42" s="1040">
        <v>0</v>
      </c>
      <c r="BL42" s="913">
        <v>0</v>
      </c>
      <c r="BM42" s="915">
        <v>0</v>
      </c>
      <c r="BN42" s="1768">
        <v>0.17647058823529413</v>
      </c>
      <c r="BO42" s="914">
        <v>0.90702947845804982</v>
      </c>
      <c r="BP42" s="915">
        <v>35.1</v>
      </c>
      <c r="BQ42" s="914">
        <v>0.59453032104637327</v>
      </c>
      <c r="BR42" s="914">
        <v>5.9900284900284912</v>
      </c>
      <c r="BS42" s="914">
        <v>0</v>
      </c>
      <c r="BT42" s="914">
        <v>5.9900284900284912</v>
      </c>
      <c r="BU42" s="915">
        <v>2170</v>
      </c>
      <c r="BV42" s="915">
        <v>0</v>
      </c>
      <c r="BW42" s="1041">
        <v>12.998361823361826</v>
      </c>
      <c r="BX42" s="914">
        <v>0.5</v>
      </c>
      <c r="BY42" s="914">
        <v>0.14000000000000001</v>
      </c>
      <c r="BZ42" s="915">
        <v>3120</v>
      </c>
      <c r="CA42" s="1041">
        <v>0.43680000000000008</v>
      </c>
      <c r="CB42" s="1040">
        <v>12.585176470588239</v>
      </c>
      <c r="CC42" s="915">
        <v>5.9900284900284912</v>
      </c>
      <c r="CD42" s="915">
        <v>1.1966846696036487E-2</v>
      </c>
      <c r="CE42" s="915" t="s">
        <v>18</v>
      </c>
      <c r="CF42" s="915" t="s">
        <v>18</v>
      </c>
      <c r="CG42" s="915" t="s">
        <v>18</v>
      </c>
      <c r="CH42" s="915">
        <v>0</v>
      </c>
      <c r="CI42" s="915">
        <v>0</v>
      </c>
      <c r="CJ42" s="1041">
        <v>0</v>
      </c>
      <c r="CK42" s="915">
        <v>9.4517647058823542</v>
      </c>
      <c r="CL42" s="915">
        <v>242.0711974110032</v>
      </c>
      <c r="CM42" s="915">
        <v>0</v>
      </c>
      <c r="CN42" s="915">
        <v>12.287294117647061</v>
      </c>
      <c r="CO42" s="915">
        <v>870</v>
      </c>
      <c r="CP42" s="1041">
        <v>10.676850448975509</v>
      </c>
      <c r="CQ42" s="913">
        <v>0</v>
      </c>
      <c r="CR42" s="915">
        <v>0</v>
      </c>
      <c r="CS42" s="1041">
        <v>0</v>
      </c>
      <c r="CU42" s="1719">
        <f t="shared" si="8"/>
        <v>0</v>
      </c>
      <c r="CV42" s="873" t="e">
        <f t="shared" si="14"/>
        <v>#VALUE!</v>
      </c>
      <c r="CW42" s="873">
        <f t="shared" si="15"/>
        <v>0</v>
      </c>
      <c r="CX42" s="912">
        <f t="shared" si="16"/>
        <v>0</v>
      </c>
      <c r="CY42" s="913">
        <f t="shared" si="17"/>
        <v>0</v>
      </c>
      <c r="CZ42" s="913">
        <f t="shared" si="18"/>
        <v>0</v>
      </c>
      <c r="DA42" s="913">
        <f t="shared" si="19"/>
        <v>0</v>
      </c>
      <c r="DB42" s="913" t="e">
        <f t="shared" si="20"/>
        <v>#VALUE!</v>
      </c>
      <c r="DC42" s="913">
        <f t="shared" si="21"/>
        <v>0</v>
      </c>
      <c r="DD42" s="1767">
        <f t="shared" si="22"/>
        <v>0</v>
      </c>
      <c r="DE42" s="1040">
        <f t="shared" si="23"/>
        <v>0</v>
      </c>
      <c r="DF42" s="913">
        <f t="shared" si="24"/>
        <v>0</v>
      </c>
      <c r="DG42" s="915">
        <f t="shared" si="25"/>
        <v>0</v>
      </c>
      <c r="DH42" s="1768">
        <f t="shared" si="26"/>
        <v>0</v>
      </c>
      <c r="DI42" s="914">
        <f t="shared" si="27"/>
        <v>0</v>
      </c>
      <c r="DJ42" s="915">
        <f t="shared" si="28"/>
        <v>0</v>
      </c>
      <c r="DK42" s="914">
        <f t="shared" si="29"/>
        <v>0</v>
      </c>
      <c r="DL42" s="914">
        <f t="shared" si="30"/>
        <v>0</v>
      </c>
      <c r="DM42" s="914">
        <f t="shared" si="31"/>
        <v>0</v>
      </c>
      <c r="DN42" s="914">
        <f t="shared" si="32"/>
        <v>0</v>
      </c>
      <c r="DO42" s="915">
        <f t="shared" si="33"/>
        <v>0</v>
      </c>
      <c r="DP42" s="915">
        <f t="shared" si="34"/>
        <v>0</v>
      </c>
      <c r="DQ42" s="1041">
        <f t="shared" si="9"/>
        <v>0</v>
      </c>
      <c r="DR42" s="914">
        <f t="shared" si="10"/>
        <v>0</v>
      </c>
      <c r="DS42" s="914">
        <f t="shared" si="11"/>
        <v>0</v>
      </c>
      <c r="DT42" s="915">
        <f t="shared" si="12"/>
        <v>-2330</v>
      </c>
      <c r="DU42" s="1041">
        <f t="shared" si="13"/>
        <v>-0.32620000000000005</v>
      </c>
      <c r="DV42" s="1040">
        <f t="shared" si="35"/>
        <v>0</v>
      </c>
      <c r="DW42" s="915">
        <f t="shared" si="36"/>
        <v>0</v>
      </c>
      <c r="DX42" s="915">
        <f t="shared" si="37"/>
        <v>0</v>
      </c>
      <c r="DY42" s="915" t="e">
        <f t="shared" si="38"/>
        <v>#VALUE!</v>
      </c>
      <c r="DZ42" s="915" t="e">
        <f t="shared" si="39"/>
        <v>#VALUE!</v>
      </c>
      <c r="EA42" s="915" t="e">
        <f t="shared" si="40"/>
        <v>#VALUE!</v>
      </c>
      <c r="EB42" s="915">
        <f t="shared" si="41"/>
        <v>0</v>
      </c>
      <c r="EC42" s="915">
        <f t="shared" si="42"/>
        <v>0</v>
      </c>
      <c r="ED42" s="1041">
        <f t="shared" si="43"/>
        <v>0</v>
      </c>
      <c r="EE42" s="915">
        <f t="shared" si="44"/>
        <v>0</v>
      </c>
      <c r="EF42" s="915">
        <f t="shared" si="45"/>
        <v>0</v>
      </c>
      <c r="EG42" s="915">
        <f t="shared" si="2"/>
        <v>0</v>
      </c>
      <c r="EH42" s="915">
        <f t="shared" si="3"/>
        <v>0</v>
      </c>
      <c r="EI42" s="915">
        <f t="shared" si="4"/>
        <v>-30</v>
      </c>
      <c r="EJ42" s="1041">
        <f t="shared" si="5"/>
        <v>-0.34877554305707825</v>
      </c>
      <c r="EK42" s="913">
        <f t="shared" si="5"/>
        <v>0</v>
      </c>
      <c r="EL42" s="915">
        <f t="shared" si="6"/>
        <v>0</v>
      </c>
      <c r="EM42" s="1041">
        <f t="shared" si="7"/>
        <v>0</v>
      </c>
    </row>
    <row r="43" spans="1:143">
      <c r="A43" s="889">
        <f>Eingabedaten!A47</f>
        <v>12.5</v>
      </c>
      <c r="B43" s="1013" t="str">
        <f>Eingabedaten!C47</f>
        <v>Küche, Teeküche</v>
      </c>
      <c r="C43" s="1719">
        <v>20</v>
      </c>
      <c r="D43" s="873">
        <v>0</v>
      </c>
      <c r="E43" s="873">
        <v>0.12</v>
      </c>
      <c r="F43" s="912">
        <v>11</v>
      </c>
      <c r="G43" s="913">
        <v>4.5999999999999996</v>
      </c>
      <c r="H43" s="913">
        <v>261</v>
      </c>
      <c r="I43" s="913">
        <v>0.80000000000000016</v>
      </c>
      <c r="J43" s="913">
        <v>2</v>
      </c>
      <c r="K43" s="913">
        <v>35</v>
      </c>
      <c r="L43" s="1767">
        <v>40</v>
      </c>
      <c r="M43" s="1040">
        <v>40</v>
      </c>
      <c r="N43" s="913">
        <v>1430</v>
      </c>
      <c r="O43" s="915">
        <v>57.2</v>
      </c>
      <c r="P43" s="1768">
        <v>0.17647058823529413</v>
      </c>
      <c r="Q43" s="914">
        <v>1.2698412698412698</v>
      </c>
      <c r="R43" s="915">
        <v>40.099999999999994</v>
      </c>
      <c r="S43" s="914">
        <v>0.69930069930069916</v>
      </c>
      <c r="T43" s="914">
        <v>8.9152119700748163</v>
      </c>
      <c r="U43" s="914">
        <v>0</v>
      </c>
      <c r="V43" s="914">
        <v>8.9152119700748163</v>
      </c>
      <c r="W43" s="915">
        <v>1240</v>
      </c>
      <c r="X43" s="915">
        <v>0</v>
      </c>
      <c r="Y43" s="1041">
        <v>11.054862842892772</v>
      </c>
      <c r="Z43" s="914">
        <v>20</v>
      </c>
      <c r="AA43" s="914">
        <v>11</v>
      </c>
      <c r="AB43" s="915">
        <v>1030</v>
      </c>
      <c r="AC43" s="1041">
        <v>11.33</v>
      </c>
      <c r="AD43" s="1040">
        <v>12.585176470588239</v>
      </c>
      <c r="AE43" s="915">
        <v>83.915211970074822</v>
      </c>
      <c r="AF43" s="915">
        <v>407.40090333664625</v>
      </c>
      <c r="AG43" s="915" t="s">
        <v>18</v>
      </c>
      <c r="AH43" s="915" t="s">
        <v>18</v>
      </c>
      <c r="AI43" s="915" t="s">
        <v>18</v>
      </c>
      <c r="AJ43" s="915">
        <v>0</v>
      </c>
      <c r="AK43" s="915">
        <v>0</v>
      </c>
      <c r="AL43" s="1041">
        <v>0</v>
      </c>
      <c r="AM43" s="915">
        <v>46.891764705882359</v>
      </c>
      <c r="AN43" s="915">
        <v>48.793215916503584</v>
      </c>
      <c r="AO43" s="915">
        <v>-3</v>
      </c>
      <c r="AP43" s="915">
        <v>72.682235294117646</v>
      </c>
      <c r="AQ43" s="915">
        <v>60</v>
      </c>
      <c r="AR43" s="1041">
        <v>4.1341172202531222</v>
      </c>
      <c r="AS43" s="913">
        <v>0</v>
      </c>
      <c r="AT43" s="915">
        <v>0</v>
      </c>
      <c r="AU43" s="1041">
        <v>0</v>
      </c>
      <c r="AW43" s="1041">
        <f>Eingabedaten!AK47*Res_Std!O43</f>
        <v>114.4</v>
      </c>
      <c r="AX43" s="1769"/>
      <c r="AY43" s="1770"/>
      <c r="AZ43" s="1771"/>
      <c r="BA43" s="1719">
        <v>20</v>
      </c>
      <c r="BB43" s="873" t="s">
        <v>256</v>
      </c>
      <c r="BC43" s="873">
        <v>0.12</v>
      </c>
      <c r="BD43" s="912">
        <v>11</v>
      </c>
      <c r="BE43" s="913">
        <v>4.5999999999999996</v>
      </c>
      <c r="BF43" s="913">
        <v>261</v>
      </c>
      <c r="BG43" s="913">
        <v>0.80000000000000016</v>
      </c>
      <c r="BH43" s="913">
        <v>2</v>
      </c>
      <c r="BI43" s="913">
        <v>35</v>
      </c>
      <c r="BJ43" s="1767">
        <v>40</v>
      </c>
      <c r="BK43" s="1040">
        <v>40</v>
      </c>
      <c r="BL43" s="913">
        <v>1430</v>
      </c>
      <c r="BM43" s="915">
        <v>57.2</v>
      </c>
      <c r="BN43" s="1768">
        <v>0.17647058823529413</v>
      </c>
      <c r="BO43" s="914">
        <v>1.2698412698412698</v>
      </c>
      <c r="BP43" s="915">
        <v>40.099999999999994</v>
      </c>
      <c r="BQ43" s="914">
        <v>0.69930069930069916</v>
      </c>
      <c r="BR43" s="914">
        <v>8.9152119700748163</v>
      </c>
      <c r="BS43" s="914">
        <v>0</v>
      </c>
      <c r="BT43" s="914">
        <v>8.9152119700748163</v>
      </c>
      <c r="BU43" s="915">
        <v>1240</v>
      </c>
      <c r="BV43" s="915">
        <v>0</v>
      </c>
      <c r="BW43" s="1041">
        <v>11.054862842892772</v>
      </c>
      <c r="BX43" s="914">
        <v>20</v>
      </c>
      <c r="BY43" s="914">
        <v>11</v>
      </c>
      <c r="BZ43" s="915">
        <v>1030</v>
      </c>
      <c r="CA43" s="1041">
        <v>11.33</v>
      </c>
      <c r="CB43" s="1040">
        <v>12.585176470588239</v>
      </c>
      <c r="CC43" s="915">
        <v>83.915211970074822</v>
      </c>
      <c r="CD43" s="915">
        <v>407.40090333664625</v>
      </c>
      <c r="CE43" s="915" t="s">
        <v>18</v>
      </c>
      <c r="CF43" s="915" t="s">
        <v>18</v>
      </c>
      <c r="CG43" s="915" t="s">
        <v>18</v>
      </c>
      <c r="CH43" s="915">
        <v>0</v>
      </c>
      <c r="CI43" s="915">
        <v>0</v>
      </c>
      <c r="CJ43" s="1041">
        <v>0</v>
      </c>
      <c r="CK43" s="915">
        <v>46.891764705882359</v>
      </c>
      <c r="CL43" s="915">
        <v>48.793215916503584</v>
      </c>
      <c r="CM43" s="915">
        <v>-3</v>
      </c>
      <c r="CN43" s="915">
        <v>72.682235294117646</v>
      </c>
      <c r="CO43" s="915">
        <v>240</v>
      </c>
      <c r="CP43" s="1041">
        <v>17.156626675587614</v>
      </c>
      <c r="CQ43" s="913">
        <v>0</v>
      </c>
      <c r="CR43" s="915">
        <v>0</v>
      </c>
      <c r="CS43" s="1041">
        <v>0</v>
      </c>
      <c r="CU43" s="1719">
        <f t="shared" si="8"/>
        <v>0</v>
      </c>
      <c r="CV43" s="873" t="e">
        <f t="shared" si="14"/>
        <v>#VALUE!</v>
      </c>
      <c r="CW43" s="873">
        <f t="shared" si="15"/>
        <v>0</v>
      </c>
      <c r="CX43" s="912">
        <f t="shared" si="16"/>
        <v>0</v>
      </c>
      <c r="CY43" s="913">
        <f t="shared" si="17"/>
        <v>0</v>
      </c>
      <c r="CZ43" s="913">
        <f t="shared" si="18"/>
        <v>0</v>
      </c>
      <c r="DA43" s="913">
        <f t="shared" si="19"/>
        <v>0</v>
      </c>
      <c r="DB43" s="913">
        <f t="shared" si="20"/>
        <v>0</v>
      </c>
      <c r="DC43" s="913">
        <f t="shared" si="21"/>
        <v>0</v>
      </c>
      <c r="DD43" s="1767">
        <f t="shared" si="22"/>
        <v>0</v>
      </c>
      <c r="DE43" s="1040">
        <f t="shared" si="23"/>
        <v>0</v>
      </c>
      <c r="DF43" s="913">
        <f t="shared" si="24"/>
        <v>0</v>
      </c>
      <c r="DG43" s="915">
        <f t="shared" si="25"/>
        <v>0</v>
      </c>
      <c r="DH43" s="1768">
        <f t="shared" si="26"/>
        <v>0</v>
      </c>
      <c r="DI43" s="914">
        <f t="shared" si="27"/>
        <v>0</v>
      </c>
      <c r="DJ43" s="915">
        <f t="shared" si="28"/>
        <v>0</v>
      </c>
      <c r="DK43" s="914">
        <f t="shared" si="29"/>
        <v>0</v>
      </c>
      <c r="DL43" s="914">
        <f t="shared" si="30"/>
        <v>0</v>
      </c>
      <c r="DM43" s="914">
        <f t="shared" si="31"/>
        <v>0</v>
      </c>
      <c r="DN43" s="914">
        <f t="shared" si="32"/>
        <v>0</v>
      </c>
      <c r="DO43" s="915">
        <f t="shared" si="33"/>
        <v>0</v>
      </c>
      <c r="DP43" s="915">
        <f t="shared" si="34"/>
        <v>0</v>
      </c>
      <c r="DQ43" s="1041">
        <f t="shared" si="9"/>
        <v>0</v>
      </c>
      <c r="DR43" s="914">
        <f t="shared" si="10"/>
        <v>0</v>
      </c>
      <c r="DS43" s="914">
        <f t="shared" si="11"/>
        <v>0</v>
      </c>
      <c r="DT43" s="915">
        <f t="shared" si="12"/>
        <v>0</v>
      </c>
      <c r="DU43" s="1041">
        <f t="shared" si="13"/>
        <v>0</v>
      </c>
      <c r="DV43" s="1040">
        <f t="shared" si="35"/>
        <v>0</v>
      </c>
      <c r="DW43" s="915">
        <f t="shared" si="36"/>
        <v>0</v>
      </c>
      <c r="DX43" s="915">
        <f t="shared" si="37"/>
        <v>0</v>
      </c>
      <c r="DY43" s="915" t="e">
        <f t="shared" si="38"/>
        <v>#VALUE!</v>
      </c>
      <c r="DZ43" s="915" t="e">
        <f t="shared" si="39"/>
        <v>#VALUE!</v>
      </c>
      <c r="EA43" s="915" t="e">
        <f t="shared" si="40"/>
        <v>#VALUE!</v>
      </c>
      <c r="EB43" s="915">
        <f t="shared" si="41"/>
        <v>0</v>
      </c>
      <c r="EC43" s="915">
        <f t="shared" si="42"/>
        <v>0</v>
      </c>
      <c r="ED43" s="1041">
        <f t="shared" si="43"/>
        <v>0</v>
      </c>
      <c r="EE43" s="915">
        <f t="shared" si="44"/>
        <v>0</v>
      </c>
      <c r="EF43" s="915">
        <f t="shared" si="45"/>
        <v>0</v>
      </c>
      <c r="EG43" s="915">
        <f t="shared" si="2"/>
        <v>0</v>
      </c>
      <c r="EH43" s="915">
        <f t="shared" si="3"/>
        <v>0</v>
      </c>
      <c r="EI43" s="915">
        <f t="shared" si="4"/>
        <v>-180</v>
      </c>
      <c r="EJ43" s="1041">
        <f t="shared" si="5"/>
        <v>-13.022509455334491</v>
      </c>
      <c r="EK43" s="913">
        <f t="shared" si="5"/>
        <v>0</v>
      </c>
      <c r="EL43" s="915">
        <f t="shared" si="6"/>
        <v>0</v>
      </c>
      <c r="EM43" s="1041">
        <f t="shared" si="7"/>
        <v>0</v>
      </c>
    </row>
    <row r="44" spans="1:143">
      <c r="A44" s="889">
        <f>Eingabedaten!A48</f>
        <v>12.6</v>
      </c>
      <c r="B44" s="1013" t="str">
        <f>Eingabedaten!C48</f>
        <v xml:space="preserve">WC, Bad, Dusche </v>
      </c>
      <c r="C44" s="1719">
        <v>20</v>
      </c>
      <c r="D44" s="873">
        <v>0</v>
      </c>
      <c r="E44" s="873">
        <v>0.125</v>
      </c>
      <c r="F44" s="912">
        <v>11</v>
      </c>
      <c r="G44" s="913">
        <v>6</v>
      </c>
      <c r="H44" s="913">
        <v>261</v>
      </c>
      <c r="I44" s="913">
        <v>0.80000000000000016</v>
      </c>
      <c r="J44" s="913">
        <v>0</v>
      </c>
      <c r="K44" s="913">
        <v>0</v>
      </c>
      <c r="L44" s="1767">
        <v>0</v>
      </c>
      <c r="M44" s="1040">
        <v>0</v>
      </c>
      <c r="N44" s="913">
        <v>0</v>
      </c>
      <c r="O44" s="915">
        <v>0</v>
      </c>
      <c r="P44" s="1768">
        <v>0.17647058823529413</v>
      </c>
      <c r="Q44" s="914">
        <v>0.90702947845804982</v>
      </c>
      <c r="R44" s="915">
        <v>40.099999999999994</v>
      </c>
      <c r="S44" s="914">
        <v>0.59453032104637327</v>
      </c>
      <c r="T44" s="914">
        <v>10.48628428927681</v>
      </c>
      <c r="U44" s="914">
        <v>0</v>
      </c>
      <c r="V44" s="914">
        <v>10.48628428927681</v>
      </c>
      <c r="W44" s="915">
        <v>1240</v>
      </c>
      <c r="X44" s="915">
        <v>0</v>
      </c>
      <c r="Y44" s="1041">
        <v>13.002992518703243</v>
      </c>
      <c r="Z44" s="914">
        <v>16</v>
      </c>
      <c r="AA44" s="914">
        <v>4.4800000000000004</v>
      </c>
      <c r="AB44" s="915">
        <v>1160</v>
      </c>
      <c r="AC44" s="1041">
        <v>5.1968000000000005</v>
      </c>
      <c r="AD44" s="1040">
        <v>12.585176470588239</v>
      </c>
      <c r="AE44" s="915">
        <v>10.48628428927681</v>
      </c>
      <c r="AF44" s="915">
        <v>12.233789798768562</v>
      </c>
      <c r="AG44" s="915" t="s">
        <v>18</v>
      </c>
      <c r="AH44" s="915" t="s">
        <v>18</v>
      </c>
      <c r="AI44" s="915" t="s">
        <v>18</v>
      </c>
      <c r="AJ44" s="915">
        <v>0</v>
      </c>
      <c r="AK44" s="915">
        <v>0</v>
      </c>
      <c r="AL44" s="1041">
        <v>0</v>
      </c>
      <c r="AM44" s="915">
        <v>39.211764705882359</v>
      </c>
      <c r="AN44" s="915">
        <v>58.34983498349834</v>
      </c>
      <c r="AO44" s="915">
        <v>-2</v>
      </c>
      <c r="AP44" s="915">
        <v>60.778235294117657</v>
      </c>
      <c r="AQ44" s="915">
        <v>520</v>
      </c>
      <c r="AR44" s="1041">
        <v>31.638927932693974</v>
      </c>
      <c r="AS44" s="913">
        <v>0</v>
      </c>
      <c r="AT44" s="915">
        <v>0</v>
      </c>
      <c r="AU44" s="1041">
        <v>0</v>
      </c>
      <c r="AW44" s="1041">
        <f>Eingabedaten!AK48*Res_Std!O44</f>
        <v>0</v>
      </c>
      <c r="AX44" s="1769"/>
      <c r="AY44" s="1770"/>
      <c r="AZ44" s="1771"/>
      <c r="BA44" s="1719">
        <v>20</v>
      </c>
      <c r="BB44" s="873" t="s">
        <v>256</v>
      </c>
      <c r="BC44" s="873">
        <v>0.125</v>
      </c>
      <c r="BD44" s="912">
        <v>11</v>
      </c>
      <c r="BE44" s="913">
        <v>6</v>
      </c>
      <c r="BF44" s="913">
        <v>261</v>
      </c>
      <c r="BG44" s="913">
        <v>0.80000000000000016</v>
      </c>
      <c r="BH44" s="913" t="s">
        <v>256</v>
      </c>
      <c r="BI44" s="913">
        <v>0</v>
      </c>
      <c r="BJ44" s="1767">
        <v>0</v>
      </c>
      <c r="BK44" s="1040">
        <v>0</v>
      </c>
      <c r="BL44" s="913">
        <v>0</v>
      </c>
      <c r="BM44" s="915">
        <v>0</v>
      </c>
      <c r="BN44" s="1768">
        <v>0.17647058823529413</v>
      </c>
      <c r="BO44" s="914">
        <v>0.90702947845804982</v>
      </c>
      <c r="BP44" s="915">
        <v>40.099999999999994</v>
      </c>
      <c r="BQ44" s="914">
        <v>0.59453032104637327</v>
      </c>
      <c r="BR44" s="914">
        <v>10.48628428927681</v>
      </c>
      <c r="BS44" s="914">
        <v>0</v>
      </c>
      <c r="BT44" s="914">
        <v>10.48628428927681</v>
      </c>
      <c r="BU44" s="915">
        <v>1240</v>
      </c>
      <c r="BV44" s="915">
        <v>0</v>
      </c>
      <c r="BW44" s="1041">
        <v>13.002992518703243</v>
      </c>
      <c r="BX44" s="914">
        <v>16</v>
      </c>
      <c r="BY44" s="914">
        <v>4.4800000000000004</v>
      </c>
      <c r="BZ44" s="915">
        <v>1160</v>
      </c>
      <c r="CA44" s="1041">
        <v>5.1968000000000005</v>
      </c>
      <c r="CB44" s="1040">
        <v>12.585176470588239</v>
      </c>
      <c r="CC44" s="915">
        <v>10.48628428927681</v>
      </c>
      <c r="CD44" s="915">
        <v>12.233789798768562</v>
      </c>
      <c r="CE44" s="915" t="s">
        <v>18</v>
      </c>
      <c r="CF44" s="915" t="s">
        <v>18</v>
      </c>
      <c r="CG44" s="915" t="s">
        <v>18</v>
      </c>
      <c r="CH44" s="915">
        <v>0</v>
      </c>
      <c r="CI44" s="915">
        <v>0</v>
      </c>
      <c r="CJ44" s="1041">
        <v>0</v>
      </c>
      <c r="CK44" s="915">
        <v>39.211764705882359</v>
      </c>
      <c r="CL44" s="915">
        <v>58.34983498349834</v>
      </c>
      <c r="CM44" s="915">
        <v>-2</v>
      </c>
      <c r="CN44" s="915">
        <v>60.778235294117657</v>
      </c>
      <c r="CO44" s="915">
        <v>650</v>
      </c>
      <c r="CP44" s="1041">
        <v>39.204063161798992</v>
      </c>
      <c r="CQ44" s="913">
        <v>0</v>
      </c>
      <c r="CR44" s="915">
        <v>0</v>
      </c>
      <c r="CS44" s="1041">
        <v>0</v>
      </c>
      <c r="CU44" s="1719">
        <f t="shared" si="8"/>
        <v>0</v>
      </c>
      <c r="CV44" s="873" t="e">
        <f t="shared" si="14"/>
        <v>#VALUE!</v>
      </c>
      <c r="CW44" s="873">
        <f t="shared" si="15"/>
        <v>0</v>
      </c>
      <c r="CX44" s="912">
        <f t="shared" si="16"/>
        <v>0</v>
      </c>
      <c r="CY44" s="913">
        <f t="shared" si="17"/>
        <v>0</v>
      </c>
      <c r="CZ44" s="913">
        <f t="shared" si="18"/>
        <v>0</v>
      </c>
      <c r="DA44" s="913">
        <f t="shared" si="19"/>
        <v>0</v>
      </c>
      <c r="DB44" s="913" t="e">
        <f t="shared" si="20"/>
        <v>#VALUE!</v>
      </c>
      <c r="DC44" s="913">
        <f t="shared" si="21"/>
        <v>0</v>
      </c>
      <c r="DD44" s="1767">
        <f t="shared" si="22"/>
        <v>0</v>
      </c>
      <c r="DE44" s="1040">
        <f t="shared" si="23"/>
        <v>0</v>
      </c>
      <c r="DF44" s="913">
        <f t="shared" si="24"/>
        <v>0</v>
      </c>
      <c r="DG44" s="915">
        <f t="shared" si="25"/>
        <v>0</v>
      </c>
      <c r="DH44" s="1768">
        <f t="shared" si="26"/>
        <v>0</v>
      </c>
      <c r="DI44" s="914">
        <f t="shared" si="27"/>
        <v>0</v>
      </c>
      <c r="DJ44" s="915">
        <f t="shared" si="28"/>
        <v>0</v>
      </c>
      <c r="DK44" s="914">
        <f t="shared" si="29"/>
        <v>0</v>
      </c>
      <c r="DL44" s="914">
        <f t="shared" si="30"/>
        <v>0</v>
      </c>
      <c r="DM44" s="914">
        <f t="shared" si="31"/>
        <v>0</v>
      </c>
      <c r="DN44" s="914">
        <f t="shared" si="32"/>
        <v>0</v>
      </c>
      <c r="DO44" s="915">
        <f t="shared" si="33"/>
        <v>0</v>
      </c>
      <c r="DP44" s="915">
        <f t="shared" si="34"/>
        <v>0</v>
      </c>
      <c r="DQ44" s="1041">
        <f t="shared" si="9"/>
        <v>0</v>
      </c>
      <c r="DR44" s="914">
        <f t="shared" si="10"/>
        <v>0</v>
      </c>
      <c r="DS44" s="914">
        <f t="shared" si="11"/>
        <v>0</v>
      </c>
      <c r="DT44" s="915">
        <f t="shared" si="12"/>
        <v>0</v>
      </c>
      <c r="DU44" s="1041">
        <f t="shared" si="13"/>
        <v>0</v>
      </c>
      <c r="DV44" s="1040">
        <f t="shared" si="35"/>
        <v>0</v>
      </c>
      <c r="DW44" s="915">
        <f t="shared" si="36"/>
        <v>0</v>
      </c>
      <c r="DX44" s="915">
        <f t="shared" si="37"/>
        <v>0</v>
      </c>
      <c r="DY44" s="915" t="e">
        <f t="shared" si="38"/>
        <v>#VALUE!</v>
      </c>
      <c r="DZ44" s="915" t="e">
        <f t="shared" si="39"/>
        <v>#VALUE!</v>
      </c>
      <c r="EA44" s="915" t="e">
        <f t="shared" si="40"/>
        <v>#VALUE!</v>
      </c>
      <c r="EB44" s="915">
        <f t="shared" si="41"/>
        <v>0</v>
      </c>
      <c r="EC44" s="915">
        <f t="shared" si="42"/>
        <v>0</v>
      </c>
      <c r="ED44" s="1041">
        <f t="shared" si="43"/>
        <v>0</v>
      </c>
      <c r="EE44" s="915">
        <f t="shared" si="44"/>
        <v>0</v>
      </c>
      <c r="EF44" s="915">
        <f t="shared" si="45"/>
        <v>0</v>
      </c>
      <c r="EG44" s="915">
        <f t="shared" si="2"/>
        <v>0</v>
      </c>
      <c r="EH44" s="915">
        <f t="shared" si="3"/>
        <v>0</v>
      </c>
      <c r="EI44" s="915">
        <f t="shared" si="4"/>
        <v>-130</v>
      </c>
      <c r="EJ44" s="1041">
        <f t="shared" si="5"/>
        <v>-7.5651352291050173</v>
      </c>
      <c r="EK44" s="913">
        <f t="shared" si="5"/>
        <v>0</v>
      </c>
      <c r="EL44" s="915">
        <f t="shared" si="6"/>
        <v>0</v>
      </c>
      <c r="EM44" s="1041">
        <f t="shared" si="7"/>
        <v>0</v>
      </c>
    </row>
    <row r="45" spans="1:143">
      <c r="A45" s="882">
        <f>Eingabedaten!A49</f>
        <v>12.7</v>
      </c>
      <c r="B45" s="1013" t="str">
        <f>Eingabedaten!C49</f>
        <v>WC</v>
      </c>
      <c r="C45" s="1719">
        <v>4</v>
      </c>
      <c r="D45" s="873">
        <v>0</v>
      </c>
      <c r="E45" s="873">
        <v>0.12</v>
      </c>
      <c r="F45" s="912">
        <v>11</v>
      </c>
      <c r="G45" s="913">
        <v>6</v>
      </c>
      <c r="H45" s="913">
        <v>261</v>
      </c>
      <c r="I45" s="913">
        <v>0.80000000000000016</v>
      </c>
      <c r="J45" s="913">
        <v>0</v>
      </c>
      <c r="K45" s="913">
        <v>0</v>
      </c>
      <c r="L45" s="1767">
        <v>0</v>
      </c>
      <c r="M45" s="1040">
        <v>0</v>
      </c>
      <c r="N45" s="913">
        <v>0</v>
      </c>
      <c r="O45" s="915">
        <v>0</v>
      </c>
      <c r="P45" s="1768">
        <v>0.44117647058823534</v>
      </c>
      <c r="Q45" s="914">
        <v>0.4081632653061224</v>
      </c>
      <c r="R45" s="915">
        <v>40.099999999999994</v>
      </c>
      <c r="S45" s="914">
        <v>0.36231884057971009</v>
      </c>
      <c r="T45" s="914">
        <v>17.206982543640905</v>
      </c>
      <c r="U45" s="914">
        <v>0</v>
      </c>
      <c r="V45" s="914">
        <v>17.206982543640905</v>
      </c>
      <c r="W45" s="915">
        <v>2300</v>
      </c>
      <c r="X45" s="915">
        <v>0</v>
      </c>
      <c r="Y45" s="1041">
        <v>39.576059850374087</v>
      </c>
      <c r="Z45" s="914">
        <v>8</v>
      </c>
      <c r="AA45" s="914">
        <v>2.2400000000000002</v>
      </c>
      <c r="AB45" s="915">
        <v>1160</v>
      </c>
      <c r="AC45" s="1041">
        <v>2.5984000000000003</v>
      </c>
      <c r="AD45" s="1040">
        <v>31.462941176470597</v>
      </c>
      <c r="AE45" s="915">
        <v>17.206982543640905</v>
      </c>
      <c r="AF45" s="915">
        <v>223.55329012981105</v>
      </c>
      <c r="AG45" s="915" t="s">
        <v>18</v>
      </c>
      <c r="AH45" s="915" t="s">
        <v>18</v>
      </c>
      <c r="AI45" s="915" t="s">
        <v>18</v>
      </c>
      <c r="AJ45" s="915">
        <v>0</v>
      </c>
      <c r="AK45" s="915">
        <v>0</v>
      </c>
      <c r="AL45" s="1041">
        <v>0</v>
      </c>
      <c r="AM45" s="915">
        <v>7.0298823529411774</v>
      </c>
      <c r="AN45" s="915">
        <v>88.024232687351457</v>
      </c>
      <c r="AO45" s="915">
        <v>-2</v>
      </c>
      <c r="AP45" s="915">
        <v>52.724117647058833</v>
      </c>
      <c r="AQ45" s="915">
        <v>720</v>
      </c>
      <c r="AR45" s="1041">
        <v>37.967650161661183</v>
      </c>
      <c r="AS45" s="913">
        <v>0</v>
      </c>
      <c r="AT45" s="915">
        <v>0</v>
      </c>
      <c r="AU45" s="1041">
        <v>0</v>
      </c>
      <c r="AW45" s="1041">
        <f>Eingabedaten!AK49*Res_Std!O45</f>
        <v>0</v>
      </c>
      <c r="AX45" s="1769"/>
      <c r="AY45" s="1770"/>
      <c r="AZ45" s="1771"/>
      <c r="BA45" s="1719">
        <v>4</v>
      </c>
      <c r="BB45" s="873" t="s">
        <v>256</v>
      </c>
      <c r="BC45" s="873">
        <v>0.12</v>
      </c>
      <c r="BD45" s="912">
        <v>11</v>
      </c>
      <c r="BE45" s="913">
        <v>6</v>
      </c>
      <c r="BF45" s="913">
        <v>261</v>
      </c>
      <c r="BG45" s="913">
        <v>0.80000000000000016</v>
      </c>
      <c r="BH45" s="913" t="s">
        <v>256</v>
      </c>
      <c r="BI45" s="913">
        <v>0</v>
      </c>
      <c r="BJ45" s="1767">
        <v>0</v>
      </c>
      <c r="BK45" s="1040">
        <v>0</v>
      </c>
      <c r="BL45" s="913">
        <v>0</v>
      </c>
      <c r="BM45" s="915">
        <v>0</v>
      </c>
      <c r="BN45" s="1768">
        <v>0.44117647058823534</v>
      </c>
      <c r="BO45" s="914">
        <v>0.4081632653061224</v>
      </c>
      <c r="BP45" s="915">
        <v>40.099999999999994</v>
      </c>
      <c r="BQ45" s="914">
        <v>0.36231884057971009</v>
      </c>
      <c r="BR45" s="914">
        <v>17.206982543640905</v>
      </c>
      <c r="BS45" s="914">
        <v>0</v>
      </c>
      <c r="BT45" s="914">
        <v>17.206982543640905</v>
      </c>
      <c r="BU45" s="915">
        <v>2300</v>
      </c>
      <c r="BV45" s="915">
        <v>0</v>
      </c>
      <c r="BW45" s="1041">
        <v>39.576059850374087</v>
      </c>
      <c r="BX45" s="914">
        <v>8</v>
      </c>
      <c r="BY45" s="914">
        <v>2.2400000000000002</v>
      </c>
      <c r="BZ45" s="915">
        <v>1490</v>
      </c>
      <c r="CA45" s="1041">
        <v>3.3376000000000006</v>
      </c>
      <c r="CB45" s="1040">
        <v>31.462941176470597</v>
      </c>
      <c r="CC45" s="915">
        <v>17.206982543640905</v>
      </c>
      <c r="CD45" s="915">
        <v>223.55329012981105</v>
      </c>
      <c r="CE45" s="915" t="s">
        <v>18</v>
      </c>
      <c r="CF45" s="915" t="s">
        <v>18</v>
      </c>
      <c r="CG45" s="915" t="s">
        <v>18</v>
      </c>
      <c r="CH45" s="915">
        <v>0</v>
      </c>
      <c r="CI45" s="915">
        <v>0</v>
      </c>
      <c r="CJ45" s="1041">
        <v>0</v>
      </c>
      <c r="CK45" s="915">
        <v>7.0298823529411774</v>
      </c>
      <c r="CL45" s="915">
        <v>88.024232687351457</v>
      </c>
      <c r="CM45" s="915">
        <v>-2</v>
      </c>
      <c r="CN45" s="915">
        <v>52.724117647058833</v>
      </c>
      <c r="CO45" s="915">
        <v>950</v>
      </c>
      <c r="CP45" s="1041">
        <v>49.950108834166087</v>
      </c>
      <c r="CQ45" s="913">
        <v>0</v>
      </c>
      <c r="CR45" s="915">
        <v>0</v>
      </c>
      <c r="CS45" s="1041">
        <v>0</v>
      </c>
      <c r="CU45" s="1719">
        <f t="shared" si="8"/>
        <v>0</v>
      </c>
      <c r="CV45" s="873" t="e">
        <f t="shared" si="14"/>
        <v>#VALUE!</v>
      </c>
      <c r="CW45" s="873">
        <f t="shared" si="15"/>
        <v>0</v>
      </c>
      <c r="CX45" s="912">
        <f t="shared" si="16"/>
        <v>0</v>
      </c>
      <c r="CY45" s="913">
        <f t="shared" si="17"/>
        <v>0</v>
      </c>
      <c r="CZ45" s="913">
        <f t="shared" si="18"/>
        <v>0</v>
      </c>
      <c r="DA45" s="913">
        <f t="shared" si="19"/>
        <v>0</v>
      </c>
      <c r="DB45" s="913" t="e">
        <f t="shared" si="20"/>
        <v>#VALUE!</v>
      </c>
      <c r="DC45" s="913">
        <f t="shared" si="21"/>
        <v>0</v>
      </c>
      <c r="DD45" s="1767">
        <f t="shared" si="22"/>
        <v>0</v>
      </c>
      <c r="DE45" s="1040">
        <f t="shared" si="23"/>
        <v>0</v>
      </c>
      <c r="DF45" s="913">
        <f t="shared" si="24"/>
        <v>0</v>
      </c>
      <c r="DG45" s="915">
        <f t="shared" si="25"/>
        <v>0</v>
      </c>
      <c r="DH45" s="1768">
        <f t="shared" si="26"/>
        <v>0</v>
      </c>
      <c r="DI45" s="914">
        <f t="shared" si="27"/>
        <v>0</v>
      </c>
      <c r="DJ45" s="915">
        <f t="shared" si="28"/>
        <v>0</v>
      </c>
      <c r="DK45" s="914">
        <f t="shared" si="29"/>
        <v>0</v>
      </c>
      <c r="DL45" s="914">
        <f t="shared" si="30"/>
        <v>0</v>
      </c>
      <c r="DM45" s="914">
        <f t="shared" si="31"/>
        <v>0</v>
      </c>
      <c r="DN45" s="914">
        <f t="shared" si="32"/>
        <v>0</v>
      </c>
      <c r="DO45" s="915">
        <f t="shared" si="33"/>
        <v>0</v>
      </c>
      <c r="DP45" s="915">
        <f t="shared" si="34"/>
        <v>0</v>
      </c>
      <c r="DQ45" s="1041">
        <f t="shared" si="9"/>
        <v>0</v>
      </c>
      <c r="DR45" s="914">
        <f t="shared" si="10"/>
        <v>0</v>
      </c>
      <c r="DS45" s="914">
        <f t="shared" si="11"/>
        <v>0</v>
      </c>
      <c r="DT45" s="915">
        <f t="shared" si="12"/>
        <v>-330</v>
      </c>
      <c r="DU45" s="1041">
        <f t="shared" si="13"/>
        <v>-0.7392000000000003</v>
      </c>
      <c r="DV45" s="1040">
        <f t="shared" si="35"/>
        <v>0</v>
      </c>
      <c r="DW45" s="915">
        <f t="shared" si="36"/>
        <v>0</v>
      </c>
      <c r="DX45" s="915">
        <f t="shared" si="37"/>
        <v>0</v>
      </c>
      <c r="DY45" s="915" t="e">
        <f t="shared" si="38"/>
        <v>#VALUE!</v>
      </c>
      <c r="DZ45" s="915" t="e">
        <f t="shared" si="39"/>
        <v>#VALUE!</v>
      </c>
      <c r="EA45" s="915" t="e">
        <f t="shared" si="40"/>
        <v>#VALUE!</v>
      </c>
      <c r="EB45" s="915">
        <f t="shared" si="41"/>
        <v>0</v>
      </c>
      <c r="EC45" s="915">
        <f t="shared" si="42"/>
        <v>0</v>
      </c>
      <c r="ED45" s="1041">
        <f t="shared" si="43"/>
        <v>0</v>
      </c>
      <c r="EE45" s="915">
        <f t="shared" si="44"/>
        <v>0</v>
      </c>
      <c r="EF45" s="915">
        <f t="shared" si="45"/>
        <v>0</v>
      </c>
      <c r="EG45" s="915">
        <f t="shared" si="2"/>
        <v>0</v>
      </c>
      <c r="EH45" s="915">
        <f t="shared" si="3"/>
        <v>0</v>
      </c>
      <c r="EI45" s="915">
        <f t="shared" si="4"/>
        <v>-230</v>
      </c>
      <c r="EJ45" s="1041">
        <f t="shared" si="5"/>
        <v>-11.982458672504904</v>
      </c>
      <c r="EK45" s="913">
        <f t="shared" si="5"/>
        <v>0</v>
      </c>
      <c r="EL45" s="915">
        <f t="shared" si="6"/>
        <v>0</v>
      </c>
      <c r="EM45" s="1041">
        <f t="shared" si="7"/>
        <v>0</v>
      </c>
    </row>
    <row r="46" spans="1:143">
      <c r="A46" s="889">
        <f>Eingabedaten!A50</f>
        <v>12.8</v>
      </c>
      <c r="B46" s="1013" t="str">
        <f>Eingabedaten!C50</f>
        <v>Garderobe, Dusche</v>
      </c>
      <c r="C46" s="1719">
        <v>36</v>
      </c>
      <c r="D46" s="873">
        <v>0</v>
      </c>
      <c r="E46" s="873">
        <v>0.125</v>
      </c>
      <c r="F46" s="912">
        <v>11</v>
      </c>
      <c r="G46" s="913">
        <v>6</v>
      </c>
      <c r="H46" s="913">
        <v>313</v>
      </c>
      <c r="I46" s="913">
        <v>0.80000000000000016</v>
      </c>
      <c r="J46" s="913">
        <v>0</v>
      </c>
      <c r="K46" s="913">
        <v>0</v>
      </c>
      <c r="L46" s="1767">
        <v>0</v>
      </c>
      <c r="M46" s="1040">
        <v>0</v>
      </c>
      <c r="N46" s="913">
        <v>0</v>
      </c>
      <c r="O46" s="915">
        <v>0</v>
      </c>
      <c r="P46" s="1768">
        <v>0.17647058823529413</v>
      </c>
      <c r="Q46" s="914">
        <v>1.0169491525423726</v>
      </c>
      <c r="R46" s="915">
        <v>40.099999999999994</v>
      </c>
      <c r="S46" s="914">
        <v>0.63025210084033612</v>
      </c>
      <c r="T46" s="914">
        <v>9.8919368246051551</v>
      </c>
      <c r="U46" s="914">
        <v>0</v>
      </c>
      <c r="V46" s="914">
        <v>9.8919368246051551</v>
      </c>
      <c r="W46" s="915">
        <v>1490</v>
      </c>
      <c r="X46" s="915">
        <v>0</v>
      </c>
      <c r="Y46" s="1041">
        <v>14.738985868661681</v>
      </c>
      <c r="Z46" s="914">
        <v>20</v>
      </c>
      <c r="AA46" s="914">
        <v>5.6000000000000005</v>
      </c>
      <c r="AB46" s="915">
        <v>1160</v>
      </c>
      <c r="AC46" s="1041">
        <v>6.4960000000000013</v>
      </c>
      <c r="AD46" s="1040">
        <v>12.585176470588239</v>
      </c>
      <c r="AE46" s="915">
        <v>9.8919368246051551</v>
      </c>
      <c r="AF46" s="915">
        <v>11.540396242992143</v>
      </c>
      <c r="AG46" s="915" t="s">
        <v>18</v>
      </c>
      <c r="AH46" s="915" t="s">
        <v>18</v>
      </c>
      <c r="AI46" s="915" t="s">
        <v>18</v>
      </c>
      <c r="AJ46" s="915">
        <v>0</v>
      </c>
      <c r="AK46" s="915">
        <v>0</v>
      </c>
      <c r="AL46" s="1041">
        <v>0</v>
      </c>
      <c r="AM46" s="915">
        <v>84.405176470588245</v>
      </c>
      <c r="AN46" s="915">
        <v>47.215113653469814</v>
      </c>
      <c r="AO46" s="915">
        <v>-3</v>
      </c>
      <c r="AP46" s="915">
        <v>75.026823529411772</v>
      </c>
      <c r="AQ46" s="915">
        <v>470</v>
      </c>
      <c r="AR46" s="1041">
        <v>35.461645665788048</v>
      </c>
      <c r="AS46" s="913">
        <v>0</v>
      </c>
      <c r="AT46" s="915">
        <v>0</v>
      </c>
      <c r="AU46" s="1041">
        <v>0</v>
      </c>
      <c r="AW46" s="1041">
        <f>Eingabedaten!AK50*Res_Std!O46</f>
        <v>0</v>
      </c>
      <c r="AX46" s="1769"/>
      <c r="AY46" s="1770"/>
      <c r="AZ46" s="1771"/>
      <c r="BA46" s="1719">
        <v>36</v>
      </c>
      <c r="BB46" s="873" t="s">
        <v>256</v>
      </c>
      <c r="BC46" s="873">
        <v>0.125</v>
      </c>
      <c r="BD46" s="912">
        <v>11</v>
      </c>
      <c r="BE46" s="913">
        <v>6</v>
      </c>
      <c r="BF46" s="913">
        <v>313</v>
      </c>
      <c r="BG46" s="913">
        <v>0.80000000000000016</v>
      </c>
      <c r="BH46" s="913" t="s">
        <v>256</v>
      </c>
      <c r="BI46" s="913">
        <v>0</v>
      </c>
      <c r="BJ46" s="1767">
        <v>0</v>
      </c>
      <c r="BK46" s="1040">
        <v>0</v>
      </c>
      <c r="BL46" s="913">
        <v>0</v>
      </c>
      <c r="BM46" s="915">
        <v>0</v>
      </c>
      <c r="BN46" s="1768">
        <v>0.17647058823529413</v>
      </c>
      <c r="BO46" s="914">
        <v>1.0169491525423726</v>
      </c>
      <c r="BP46" s="915">
        <v>40.099999999999994</v>
      </c>
      <c r="BQ46" s="914">
        <v>0.63025210084033612</v>
      </c>
      <c r="BR46" s="914">
        <v>9.8919368246051551</v>
      </c>
      <c r="BS46" s="914">
        <v>0</v>
      </c>
      <c r="BT46" s="914">
        <v>9.8919368246051551</v>
      </c>
      <c r="BU46" s="915">
        <v>1490</v>
      </c>
      <c r="BV46" s="915">
        <v>0</v>
      </c>
      <c r="BW46" s="1041">
        <v>14.738985868661681</v>
      </c>
      <c r="BX46" s="914">
        <v>20</v>
      </c>
      <c r="BY46" s="914">
        <v>5.6000000000000005</v>
      </c>
      <c r="BZ46" s="915">
        <v>1160</v>
      </c>
      <c r="CA46" s="1041">
        <v>6.4960000000000013</v>
      </c>
      <c r="CB46" s="1040">
        <v>12.585176470588239</v>
      </c>
      <c r="CC46" s="915">
        <v>9.8919368246051551</v>
      </c>
      <c r="CD46" s="915">
        <v>11.540396242992143</v>
      </c>
      <c r="CE46" s="915" t="s">
        <v>18</v>
      </c>
      <c r="CF46" s="915" t="s">
        <v>18</v>
      </c>
      <c r="CG46" s="915" t="s">
        <v>18</v>
      </c>
      <c r="CH46" s="915">
        <v>0</v>
      </c>
      <c r="CI46" s="915">
        <v>0</v>
      </c>
      <c r="CJ46" s="1041">
        <v>0</v>
      </c>
      <c r="CK46" s="915">
        <v>84.405176470588245</v>
      </c>
      <c r="CL46" s="915">
        <v>47.215113653469814</v>
      </c>
      <c r="CM46" s="915">
        <v>-3</v>
      </c>
      <c r="CN46" s="915">
        <v>75.026823529411772</v>
      </c>
      <c r="CO46" s="915">
        <v>580</v>
      </c>
      <c r="CP46" s="1041">
        <v>43.618474910681542</v>
      </c>
      <c r="CQ46" s="913">
        <v>0</v>
      </c>
      <c r="CR46" s="915">
        <v>0</v>
      </c>
      <c r="CS46" s="1041">
        <v>0</v>
      </c>
      <c r="CU46" s="1719">
        <f t="shared" si="8"/>
        <v>0</v>
      </c>
      <c r="CV46" s="873" t="e">
        <f t="shared" si="14"/>
        <v>#VALUE!</v>
      </c>
      <c r="CW46" s="873">
        <f t="shared" si="15"/>
        <v>0</v>
      </c>
      <c r="CX46" s="912">
        <f t="shared" si="16"/>
        <v>0</v>
      </c>
      <c r="CY46" s="913">
        <f t="shared" si="17"/>
        <v>0</v>
      </c>
      <c r="CZ46" s="913">
        <f t="shared" si="18"/>
        <v>0</v>
      </c>
      <c r="DA46" s="913">
        <f t="shared" si="19"/>
        <v>0</v>
      </c>
      <c r="DB46" s="913" t="e">
        <f t="shared" si="20"/>
        <v>#VALUE!</v>
      </c>
      <c r="DC46" s="913">
        <f t="shared" si="21"/>
        <v>0</v>
      </c>
      <c r="DD46" s="1767">
        <f t="shared" si="22"/>
        <v>0</v>
      </c>
      <c r="DE46" s="1040">
        <f t="shared" si="23"/>
        <v>0</v>
      </c>
      <c r="DF46" s="913">
        <f t="shared" si="24"/>
        <v>0</v>
      </c>
      <c r="DG46" s="915">
        <f t="shared" si="25"/>
        <v>0</v>
      </c>
      <c r="DH46" s="1768">
        <f t="shared" si="26"/>
        <v>0</v>
      </c>
      <c r="DI46" s="914">
        <f t="shared" si="27"/>
        <v>0</v>
      </c>
      <c r="DJ46" s="915">
        <f t="shared" si="28"/>
        <v>0</v>
      </c>
      <c r="DK46" s="914">
        <f t="shared" si="29"/>
        <v>0</v>
      </c>
      <c r="DL46" s="914">
        <f t="shared" si="30"/>
        <v>0</v>
      </c>
      <c r="DM46" s="914">
        <f t="shared" si="31"/>
        <v>0</v>
      </c>
      <c r="DN46" s="914">
        <f t="shared" si="32"/>
        <v>0</v>
      </c>
      <c r="DO46" s="915">
        <f t="shared" si="33"/>
        <v>0</v>
      </c>
      <c r="DP46" s="915">
        <f t="shared" si="34"/>
        <v>0</v>
      </c>
      <c r="DQ46" s="1041">
        <f t="shared" si="9"/>
        <v>0</v>
      </c>
      <c r="DR46" s="914">
        <f t="shared" si="10"/>
        <v>0</v>
      </c>
      <c r="DS46" s="914">
        <f t="shared" si="11"/>
        <v>0</v>
      </c>
      <c r="DT46" s="915">
        <f t="shared" si="12"/>
        <v>0</v>
      </c>
      <c r="DU46" s="1041">
        <f t="shared" si="13"/>
        <v>0</v>
      </c>
      <c r="DV46" s="1040">
        <f t="shared" si="35"/>
        <v>0</v>
      </c>
      <c r="DW46" s="915">
        <f t="shared" si="36"/>
        <v>0</v>
      </c>
      <c r="DX46" s="915">
        <f t="shared" si="37"/>
        <v>0</v>
      </c>
      <c r="DY46" s="915" t="e">
        <f t="shared" si="38"/>
        <v>#VALUE!</v>
      </c>
      <c r="DZ46" s="915" t="e">
        <f t="shared" si="39"/>
        <v>#VALUE!</v>
      </c>
      <c r="EA46" s="915" t="e">
        <f t="shared" si="40"/>
        <v>#VALUE!</v>
      </c>
      <c r="EB46" s="915">
        <f t="shared" si="41"/>
        <v>0</v>
      </c>
      <c r="EC46" s="915">
        <f t="shared" si="42"/>
        <v>0</v>
      </c>
      <c r="ED46" s="1041">
        <f t="shared" si="43"/>
        <v>0</v>
      </c>
      <c r="EE46" s="915">
        <f t="shared" si="44"/>
        <v>0</v>
      </c>
      <c r="EF46" s="915">
        <f t="shared" si="45"/>
        <v>0</v>
      </c>
      <c r="EG46" s="915">
        <f t="shared" si="2"/>
        <v>0</v>
      </c>
      <c r="EH46" s="915">
        <f t="shared" si="3"/>
        <v>0</v>
      </c>
      <c r="EI46" s="915">
        <f t="shared" si="4"/>
        <v>-110</v>
      </c>
      <c r="EJ46" s="1041">
        <f t="shared" si="5"/>
        <v>-8.156829244893494</v>
      </c>
      <c r="EK46" s="913">
        <f t="shared" si="5"/>
        <v>0</v>
      </c>
      <c r="EL46" s="915">
        <f t="shared" si="6"/>
        <v>0</v>
      </c>
      <c r="EM46" s="1041">
        <f t="shared" si="7"/>
        <v>0</v>
      </c>
    </row>
    <row r="47" spans="1:143">
      <c r="A47" s="889">
        <f>Eingabedaten!A51</f>
        <v>12.9</v>
      </c>
      <c r="B47" s="1013" t="str">
        <f>Eingabedaten!C51</f>
        <v>Parkhaus</v>
      </c>
      <c r="C47" s="1719">
        <v>400</v>
      </c>
      <c r="D47" s="873">
        <v>0</v>
      </c>
      <c r="E47" s="873">
        <v>0</v>
      </c>
      <c r="F47" s="912">
        <v>11</v>
      </c>
      <c r="G47" s="913">
        <v>6</v>
      </c>
      <c r="H47" s="913">
        <v>365</v>
      </c>
      <c r="I47" s="913">
        <v>0.80000000000000016</v>
      </c>
      <c r="J47" s="913">
        <v>0</v>
      </c>
      <c r="K47" s="913">
        <v>0</v>
      </c>
      <c r="L47" s="1767">
        <v>0</v>
      </c>
      <c r="M47" s="1040">
        <v>1</v>
      </c>
      <c r="N47" s="913">
        <v>2130</v>
      </c>
      <c r="O47" s="915">
        <v>2.13</v>
      </c>
      <c r="P47" s="1768">
        <v>0</v>
      </c>
      <c r="Q47" s="914">
        <v>3.3898305084745761</v>
      </c>
      <c r="R47" s="915">
        <v>33.849999999999994</v>
      </c>
      <c r="S47" s="914">
        <v>0.96525096525096532</v>
      </c>
      <c r="T47" s="914">
        <v>2.8692762186115219</v>
      </c>
      <c r="U47" s="914">
        <v>0</v>
      </c>
      <c r="V47" s="914">
        <v>2.8692762186115219</v>
      </c>
      <c r="W47" s="915">
        <v>3210</v>
      </c>
      <c r="X47" s="915">
        <v>0</v>
      </c>
      <c r="Y47" s="1041">
        <v>9.2103766617429859</v>
      </c>
      <c r="Z47" s="914">
        <v>2</v>
      </c>
      <c r="AA47" s="914">
        <v>0.28000000000000003</v>
      </c>
      <c r="AB47" s="915">
        <v>1620</v>
      </c>
      <c r="AC47" s="1041">
        <v>0.4536</v>
      </c>
      <c r="AD47" s="1040">
        <v>0</v>
      </c>
      <c r="AE47" s="915">
        <v>3.8692762186115219</v>
      </c>
      <c r="AF47" s="915">
        <v>44.600590841949781</v>
      </c>
      <c r="AG47" s="915" t="s">
        <v>18</v>
      </c>
      <c r="AH47" s="915" t="s">
        <v>18</v>
      </c>
      <c r="AI47" s="915" t="s">
        <v>18</v>
      </c>
      <c r="AJ47" s="915">
        <v>0</v>
      </c>
      <c r="AK47" s="915">
        <v>0</v>
      </c>
      <c r="AL47" s="1041">
        <v>0</v>
      </c>
      <c r="AM47" s="915">
        <v>275.2</v>
      </c>
      <c r="AN47" s="915">
        <v>130.81395348837211</v>
      </c>
      <c r="AO47" s="915">
        <v>-1</v>
      </c>
      <c r="AP47" s="915">
        <v>0</v>
      </c>
      <c r="AQ47" s="915">
        <v>0</v>
      </c>
      <c r="AR47" s="1041">
        <v>0</v>
      </c>
      <c r="AS47" s="913">
        <v>0</v>
      </c>
      <c r="AT47" s="915">
        <v>0</v>
      </c>
      <c r="AU47" s="1041">
        <v>0</v>
      </c>
      <c r="AW47" s="1041">
        <f>Eingabedaten!AK51*Res_Std!O47</f>
        <v>0</v>
      </c>
      <c r="AX47" s="1769"/>
      <c r="AY47" s="1770"/>
      <c r="AZ47" s="1771"/>
      <c r="BA47" s="1719">
        <v>400</v>
      </c>
      <c r="BB47" s="873" t="s">
        <v>256</v>
      </c>
      <c r="BC47" s="873" t="s">
        <v>256</v>
      </c>
      <c r="BD47" s="912">
        <v>11</v>
      </c>
      <c r="BE47" s="913">
        <v>6</v>
      </c>
      <c r="BF47" s="913">
        <v>365</v>
      </c>
      <c r="BG47" s="913">
        <v>0.80000000000000016</v>
      </c>
      <c r="BH47" s="913" t="s">
        <v>256</v>
      </c>
      <c r="BI47" s="913">
        <v>0</v>
      </c>
      <c r="BJ47" s="1767">
        <v>0</v>
      </c>
      <c r="BK47" s="1040">
        <v>1</v>
      </c>
      <c r="BL47" s="913">
        <v>2130</v>
      </c>
      <c r="BM47" s="915">
        <v>2.13</v>
      </c>
      <c r="BN47" s="1768">
        <v>0</v>
      </c>
      <c r="BO47" s="914">
        <v>3.3898305084745761</v>
      </c>
      <c r="BP47" s="915">
        <v>33.849999999999994</v>
      </c>
      <c r="BQ47" s="914">
        <v>0.96525096525096532</v>
      </c>
      <c r="BR47" s="914">
        <v>2.8692762186115219</v>
      </c>
      <c r="BS47" s="914">
        <v>0</v>
      </c>
      <c r="BT47" s="914">
        <v>2.8692762186115219</v>
      </c>
      <c r="BU47" s="915">
        <v>3210</v>
      </c>
      <c r="BV47" s="915">
        <v>0</v>
      </c>
      <c r="BW47" s="1041">
        <v>9.2103766617429859</v>
      </c>
      <c r="BX47" s="914">
        <v>2</v>
      </c>
      <c r="BY47" s="914">
        <v>0.28000000000000003</v>
      </c>
      <c r="BZ47" s="915">
        <v>3800</v>
      </c>
      <c r="CA47" s="1041">
        <v>1.0640000000000001</v>
      </c>
      <c r="CB47" s="1040">
        <v>0</v>
      </c>
      <c r="CC47" s="915">
        <v>3.8692762186115219</v>
      </c>
      <c r="CD47" s="915">
        <v>44.600590841949781</v>
      </c>
      <c r="CE47" s="915" t="s">
        <v>18</v>
      </c>
      <c r="CF47" s="915" t="s">
        <v>18</v>
      </c>
      <c r="CG47" s="915" t="s">
        <v>18</v>
      </c>
      <c r="CH47" s="915">
        <v>0</v>
      </c>
      <c r="CI47" s="915">
        <v>0</v>
      </c>
      <c r="CJ47" s="1041">
        <v>0</v>
      </c>
      <c r="CK47" s="915">
        <v>96.000000000000014</v>
      </c>
      <c r="CL47" s="915">
        <v>374.99999999999994</v>
      </c>
      <c r="CM47" s="915">
        <v>0</v>
      </c>
      <c r="CN47" s="915">
        <v>0</v>
      </c>
      <c r="CO47" s="915">
        <v>0</v>
      </c>
      <c r="CP47" s="1041">
        <v>0</v>
      </c>
      <c r="CQ47" s="913">
        <v>0</v>
      </c>
      <c r="CR47" s="915">
        <v>0</v>
      </c>
      <c r="CS47" s="1041">
        <v>0</v>
      </c>
      <c r="CU47" s="1719">
        <f t="shared" si="8"/>
        <v>0</v>
      </c>
      <c r="CV47" s="873" t="e">
        <f t="shared" si="14"/>
        <v>#VALUE!</v>
      </c>
      <c r="CW47" s="873" t="e">
        <f t="shared" si="15"/>
        <v>#VALUE!</v>
      </c>
      <c r="CX47" s="912">
        <f t="shared" si="16"/>
        <v>0</v>
      </c>
      <c r="CY47" s="913">
        <f t="shared" si="17"/>
        <v>0</v>
      </c>
      <c r="CZ47" s="913">
        <f t="shared" si="18"/>
        <v>0</v>
      </c>
      <c r="DA47" s="913">
        <f t="shared" si="19"/>
        <v>0</v>
      </c>
      <c r="DB47" s="913" t="e">
        <f t="shared" si="20"/>
        <v>#VALUE!</v>
      </c>
      <c r="DC47" s="913">
        <f t="shared" si="21"/>
        <v>0</v>
      </c>
      <c r="DD47" s="1767">
        <f t="shared" si="22"/>
        <v>0</v>
      </c>
      <c r="DE47" s="1040">
        <f t="shared" si="23"/>
        <v>0</v>
      </c>
      <c r="DF47" s="913">
        <f t="shared" si="24"/>
        <v>0</v>
      </c>
      <c r="DG47" s="915">
        <f t="shared" si="25"/>
        <v>0</v>
      </c>
      <c r="DH47" s="1768">
        <f t="shared" si="26"/>
        <v>0</v>
      </c>
      <c r="DI47" s="914">
        <f t="shared" si="27"/>
        <v>0</v>
      </c>
      <c r="DJ47" s="915">
        <f t="shared" si="28"/>
        <v>0</v>
      </c>
      <c r="DK47" s="914">
        <f t="shared" si="29"/>
        <v>0</v>
      </c>
      <c r="DL47" s="914">
        <f t="shared" si="30"/>
        <v>0</v>
      </c>
      <c r="DM47" s="914">
        <f t="shared" si="31"/>
        <v>0</v>
      </c>
      <c r="DN47" s="914">
        <f t="shared" si="32"/>
        <v>0</v>
      </c>
      <c r="DO47" s="915">
        <f t="shared" si="33"/>
        <v>0</v>
      </c>
      <c r="DP47" s="915">
        <f t="shared" si="34"/>
        <v>0</v>
      </c>
      <c r="DQ47" s="1041">
        <f t="shared" si="9"/>
        <v>0</v>
      </c>
      <c r="DR47" s="914">
        <f t="shared" si="10"/>
        <v>0</v>
      </c>
      <c r="DS47" s="914">
        <f t="shared" si="11"/>
        <v>0</v>
      </c>
      <c r="DT47" s="915">
        <f t="shared" si="12"/>
        <v>-2180</v>
      </c>
      <c r="DU47" s="1041">
        <f t="shared" si="13"/>
        <v>-0.61040000000000005</v>
      </c>
      <c r="DV47" s="1040">
        <f t="shared" si="35"/>
        <v>0</v>
      </c>
      <c r="DW47" s="915">
        <f t="shared" si="36"/>
        <v>0</v>
      </c>
      <c r="DX47" s="915">
        <f t="shared" si="37"/>
        <v>0</v>
      </c>
      <c r="DY47" s="915" t="e">
        <f t="shared" si="38"/>
        <v>#VALUE!</v>
      </c>
      <c r="DZ47" s="915" t="e">
        <f t="shared" si="39"/>
        <v>#VALUE!</v>
      </c>
      <c r="EA47" s="915" t="e">
        <f t="shared" si="40"/>
        <v>#VALUE!</v>
      </c>
      <c r="EB47" s="915">
        <f t="shared" si="41"/>
        <v>0</v>
      </c>
      <c r="EC47" s="915">
        <f t="shared" si="42"/>
        <v>0</v>
      </c>
      <c r="ED47" s="1041">
        <f t="shared" si="43"/>
        <v>0</v>
      </c>
      <c r="EE47" s="915">
        <f t="shared" si="44"/>
        <v>179.2</v>
      </c>
      <c r="EF47" s="915">
        <f t="shared" si="45"/>
        <v>-244.18604651162784</v>
      </c>
      <c r="EG47" s="915">
        <f t="shared" si="2"/>
        <v>-1</v>
      </c>
      <c r="EH47" s="915">
        <f t="shared" si="3"/>
        <v>0</v>
      </c>
      <c r="EI47" s="915">
        <f t="shared" si="4"/>
        <v>0</v>
      </c>
      <c r="EJ47" s="1041">
        <f t="shared" si="5"/>
        <v>0</v>
      </c>
      <c r="EK47" s="913">
        <f t="shared" si="5"/>
        <v>0</v>
      </c>
      <c r="EL47" s="915">
        <f t="shared" si="6"/>
        <v>0</v>
      </c>
      <c r="EM47" s="1041">
        <f t="shared" si="7"/>
        <v>0</v>
      </c>
    </row>
    <row r="48" spans="1:143">
      <c r="A48" s="1713" t="str">
        <f>Eingabedaten!A52</f>
        <v>12.10</v>
      </c>
      <c r="B48" s="1013" t="str">
        <f>Eingabedaten!C52</f>
        <v>Wasch- und Trockenraum</v>
      </c>
      <c r="C48" s="1719">
        <v>36</v>
      </c>
      <c r="D48" s="873">
        <v>0</v>
      </c>
      <c r="E48" s="873">
        <v>0</v>
      </c>
      <c r="F48" s="912">
        <v>11</v>
      </c>
      <c r="G48" s="913">
        <v>6</v>
      </c>
      <c r="H48" s="913">
        <v>365</v>
      </c>
      <c r="I48" s="913">
        <v>0.80000000000000016</v>
      </c>
      <c r="J48" s="913">
        <v>0</v>
      </c>
      <c r="K48" s="913">
        <v>0</v>
      </c>
      <c r="L48" s="1767">
        <v>0</v>
      </c>
      <c r="M48" s="1040">
        <v>20</v>
      </c>
      <c r="N48" s="913">
        <v>1720</v>
      </c>
      <c r="O48" s="915">
        <v>34.4</v>
      </c>
      <c r="P48" s="1768">
        <v>0.17647058823529413</v>
      </c>
      <c r="Q48" s="914">
        <v>1.0169491525423726</v>
      </c>
      <c r="R48" s="915">
        <v>40.099999999999994</v>
      </c>
      <c r="S48" s="914">
        <v>0.63025210084033612</v>
      </c>
      <c r="T48" s="914">
        <v>9.8919368246051551</v>
      </c>
      <c r="U48" s="914">
        <v>0</v>
      </c>
      <c r="V48" s="914">
        <v>9.8919368246051551</v>
      </c>
      <c r="W48" s="915">
        <v>1730</v>
      </c>
      <c r="X48" s="915">
        <v>0</v>
      </c>
      <c r="Y48" s="1041">
        <v>17.11305070656692</v>
      </c>
      <c r="Z48" s="914">
        <v>4</v>
      </c>
      <c r="AA48" s="914">
        <v>1.1200000000000001</v>
      </c>
      <c r="AB48" s="915">
        <v>1160</v>
      </c>
      <c r="AC48" s="1041">
        <v>1.2992000000000001</v>
      </c>
      <c r="AD48" s="1040">
        <v>12.585176470588239</v>
      </c>
      <c r="AE48" s="915">
        <v>29.891936824605153</v>
      </c>
      <c r="AF48" s="915">
        <v>157.5403962429921</v>
      </c>
      <c r="AG48" s="915" t="s">
        <v>18</v>
      </c>
      <c r="AH48" s="915" t="s">
        <v>18</v>
      </c>
      <c r="AI48" s="915" t="s">
        <v>18</v>
      </c>
      <c r="AJ48" s="915">
        <v>0</v>
      </c>
      <c r="AK48" s="915">
        <v>0</v>
      </c>
      <c r="AL48" s="1041">
        <v>0</v>
      </c>
      <c r="AM48" s="915">
        <v>29.109176470588238</v>
      </c>
      <c r="AN48" s="915">
        <v>136.90528153644695</v>
      </c>
      <c r="AO48" s="915">
        <v>-1</v>
      </c>
      <c r="AP48" s="915">
        <v>0</v>
      </c>
      <c r="AQ48" s="915">
        <v>0</v>
      </c>
      <c r="AR48" s="1041">
        <v>0</v>
      </c>
      <c r="AS48" s="913">
        <v>0</v>
      </c>
      <c r="AT48" s="915">
        <v>0</v>
      </c>
      <c r="AU48" s="1041">
        <v>0</v>
      </c>
      <c r="AW48" s="1041">
        <f>Eingabedaten!AK52*Res_Std!O48</f>
        <v>0</v>
      </c>
      <c r="AX48" s="1769"/>
      <c r="AY48" s="1770"/>
      <c r="AZ48" s="1771"/>
      <c r="BA48" s="1719">
        <v>36</v>
      </c>
      <c r="BB48" s="873" t="s">
        <v>256</v>
      </c>
      <c r="BC48" s="873" t="s">
        <v>256</v>
      </c>
      <c r="BD48" s="912">
        <v>11</v>
      </c>
      <c r="BE48" s="913">
        <v>6</v>
      </c>
      <c r="BF48" s="913">
        <v>365</v>
      </c>
      <c r="BG48" s="913">
        <v>0.80000000000000016</v>
      </c>
      <c r="BH48" s="913" t="s">
        <v>256</v>
      </c>
      <c r="BI48" s="913">
        <v>0</v>
      </c>
      <c r="BJ48" s="1767">
        <v>0</v>
      </c>
      <c r="BK48" s="1040">
        <v>20</v>
      </c>
      <c r="BL48" s="913">
        <v>1720</v>
      </c>
      <c r="BM48" s="915">
        <v>34.4</v>
      </c>
      <c r="BN48" s="1768">
        <v>0.17647058823529413</v>
      </c>
      <c r="BO48" s="914">
        <v>1.0169491525423726</v>
      </c>
      <c r="BP48" s="915">
        <v>40.099999999999994</v>
      </c>
      <c r="BQ48" s="914">
        <v>0.63025210084033612</v>
      </c>
      <c r="BR48" s="914">
        <v>9.8919368246051551</v>
      </c>
      <c r="BS48" s="914">
        <v>0</v>
      </c>
      <c r="BT48" s="914">
        <v>9.8919368246051551</v>
      </c>
      <c r="BU48" s="915">
        <v>1730</v>
      </c>
      <c r="BV48" s="915">
        <v>0</v>
      </c>
      <c r="BW48" s="1041">
        <v>17.11305070656692</v>
      </c>
      <c r="BX48" s="914">
        <v>4</v>
      </c>
      <c r="BY48" s="914">
        <v>1.1200000000000001</v>
      </c>
      <c r="BZ48" s="915">
        <v>2700</v>
      </c>
      <c r="CA48" s="1041">
        <v>3.0240000000000005</v>
      </c>
      <c r="CB48" s="1040">
        <v>12.585176470588239</v>
      </c>
      <c r="CC48" s="915">
        <v>29.891936824605153</v>
      </c>
      <c r="CD48" s="915">
        <v>157.5403962429921</v>
      </c>
      <c r="CE48" s="915" t="s">
        <v>18</v>
      </c>
      <c r="CF48" s="915" t="s">
        <v>18</v>
      </c>
      <c r="CG48" s="915" t="s">
        <v>18</v>
      </c>
      <c r="CH48" s="915">
        <v>0</v>
      </c>
      <c r="CI48" s="915">
        <v>0</v>
      </c>
      <c r="CJ48" s="1041">
        <v>0</v>
      </c>
      <c r="CK48" s="915">
        <v>29.109176470588238</v>
      </c>
      <c r="CL48" s="915">
        <v>136.90528153644695</v>
      </c>
      <c r="CM48" s="915">
        <v>-1</v>
      </c>
      <c r="CN48" s="915">
        <v>0</v>
      </c>
      <c r="CO48" s="915">
        <v>0</v>
      </c>
      <c r="CP48" s="1041">
        <v>0</v>
      </c>
      <c r="CQ48" s="913">
        <v>0</v>
      </c>
      <c r="CR48" s="915">
        <v>0</v>
      </c>
      <c r="CS48" s="1041">
        <v>0</v>
      </c>
      <c r="CU48" s="1719">
        <f t="shared" si="8"/>
        <v>0</v>
      </c>
      <c r="CV48" s="873" t="e">
        <f t="shared" si="14"/>
        <v>#VALUE!</v>
      </c>
      <c r="CW48" s="873" t="e">
        <f t="shared" si="15"/>
        <v>#VALUE!</v>
      </c>
      <c r="CX48" s="912">
        <f t="shared" si="16"/>
        <v>0</v>
      </c>
      <c r="CY48" s="913">
        <f t="shared" si="17"/>
        <v>0</v>
      </c>
      <c r="CZ48" s="913">
        <f t="shared" si="18"/>
        <v>0</v>
      </c>
      <c r="DA48" s="913">
        <f t="shared" si="19"/>
        <v>0</v>
      </c>
      <c r="DB48" s="913" t="e">
        <f t="shared" si="20"/>
        <v>#VALUE!</v>
      </c>
      <c r="DC48" s="913">
        <f t="shared" si="21"/>
        <v>0</v>
      </c>
      <c r="DD48" s="1767">
        <f t="shared" si="22"/>
        <v>0</v>
      </c>
      <c r="DE48" s="1040">
        <f t="shared" si="23"/>
        <v>0</v>
      </c>
      <c r="DF48" s="913">
        <f t="shared" si="24"/>
        <v>0</v>
      </c>
      <c r="DG48" s="915">
        <f t="shared" si="25"/>
        <v>0</v>
      </c>
      <c r="DH48" s="1768">
        <f t="shared" si="26"/>
        <v>0</v>
      </c>
      <c r="DI48" s="914">
        <f t="shared" si="27"/>
        <v>0</v>
      </c>
      <c r="DJ48" s="915">
        <f t="shared" si="28"/>
        <v>0</v>
      </c>
      <c r="DK48" s="914">
        <f t="shared" si="29"/>
        <v>0</v>
      </c>
      <c r="DL48" s="914">
        <f t="shared" si="30"/>
        <v>0</v>
      </c>
      <c r="DM48" s="914">
        <f t="shared" si="31"/>
        <v>0</v>
      </c>
      <c r="DN48" s="914">
        <f t="shared" si="32"/>
        <v>0</v>
      </c>
      <c r="DO48" s="915">
        <f t="shared" si="33"/>
        <v>0</v>
      </c>
      <c r="DP48" s="915">
        <f t="shared" si="34"/>
        <v>0</v>
      </c>
      <c r="DQ48" s="1041">
        <f t="shared" si="9"/>
        <v>0</v>
      </c>
      <c r="DR48" s="914">
        <f t="shared" si="10"/>
        <v>0</v>
      </c>
      <c r="DS48" s="914">
        <f t="shared" si="11"/>
        <v>0</v>
      </c>
      <c r="DT48" s="915">
        <f t="shared" si="12"/>
        <v>-1540</v>
      </c>
      <c r="DU48" s="1041">
        <f t="shared" si="13"/>
        <v>-1.7248000000000003</v>
      </c>
      <c r="DV48" s="1040">
        <f t="shared" si="35"/>
        <v>0</v>
      </c>
      <c r="DW48" s="915">
        <f t="shared" si="36"/>
        <v>0</v>
      </c>
      <c r="DX48" s="915">
        <f t="shared" si="37"/>
        <v>0</v>
      </c>
      <c r="DY48" s="915" t="e">
        <f t="shared" si="38"/>
        <v>#VALUE!</v>
      </c>
      <c r="DZ48" s="915" t="e">
        <f t="shared" si="39"/>
        <v>#VALUE!</v>
      </c>
      <c r="EA48" s="915" t="e">
        <f t="shared" si="40"/>
        <v>#VALUE!</v>
      </c>
      <c r="EB48" s="915">
        <f t="shared" si="41"/>
        <v>0</v>
      </c>
      <c r="EC48" s="915">
        <f t="shared" si="42"/>
        <v>0</v>
      </c>
      <c r="ED48" s="1041">
        <f t="shared" si="43"/>
        <v>0</v>
      </c>
      <c r="EE48" s="915">
        <f t="shared" si="44"/>
        <v>0</v>
      </c>
      <c r="EF48" s="915">
        <f t="shared" si="45"/>
        <v>0</v>
      </c>
      <c r="EG48" s="915">
        <f t="shared" si="2"/>
        <v>0</v>
      </c>
      <c r="EH48" s="915">
        <f t="shared" si="3"/>
        <v>0</v>
      </c>
      <c r="EI48" s="915">
        <f t="shared" si="4"/>
        <v>0</v>
      </c>
      <c r="EJ48" s="1041">
        <f t="shared" si="5"/>
        <v>0</v>
      </c>
      <c r="EK48" s="913">
        <f t="shared" si="5"/>
        <v>0</v>
      </c>
      <c r="EL48" s="915">
        <f t="shared" si="6"/>
        <v>0</v>
      </c>
      <c r="EM48" s="1041">
        <f t="shared" si="7"/>
        <v>0</v>
      </c>
    </row>
    <row r="49" spans="1:143">
      <c r="A49" s="1783">
        <f>Eingabedaten!A53</f>
        <v>12.11</v>
      </c>
      <c r="B49" s="1013" t="str">
        <f>Eingabedaten!C53</f>
        <v>Kühlraum</v>
      </c>
      <c r="C49" s="1719">
        <v>36</v>
      </c>
      <c r="D49" s="873">
        <v>0.37</v>
      </c>
      <c r="E49" s="873">
        <v>0.37</v>
      </c>
      <c r="F49" s="912">
        <v>0</v>
      </c>
      <c r="G49" s="913">
        <v>0</v>
      </c>
      <c r="H49" s="913">
        <v>261</v>
      </c>
      <c r="I49" s="913">
        <v>0.80000000000000016</v>
      </c>
      <c r="J49" s="913">
        <v>0</v>
      </c>
      <c r="K49" s="913">
        <v>0</v>
      </c>
      <c r="L49" s="1767">
        <v>0</v>
      </c>
      <c r="M49" s="1040">
        <v>100</v>
      </c>
      <c r="N49" s="913">
        <v>3180</v>
      </c>
      <c r="O49" s="915">
        <v>318</v>
      </c>
      <c r="P49" s="1768">
        <v>0</v>
      </c>
      <c r="Q49" s="914">
        <v>1.0169491525423726</v>
      </c>
      <c r="R49" s="915">
        <v>35.1</v>
      </c>
      <c r="S49" s="914">
        <v>0.63025210084033612</v>
      </c>
      <c r="T49" s="914">
        <v>5.6505223171889831</v>
      </c>
      <c r="U49" s="914">
        <v>0</v>
      </c>
      <c r="V49" s="914">
        <v>5.6505223171889831</v>
      </c>
      <c r="W49" s="915">
        <v>0</v>
      </c>
      <c r="X49" s="915">
        <v>0</v>
      </c>
      <c r="Y49" s="1041">
        <v>0</v>
      </c>
      <c r="Z49" s="914">
        <v>0</v>
      </c>
      <c r="AA49" s="914">
        <v>0</v>
      </c>
      <c r="AB49" s="915">
        <v>0</v>
      </c>
      <c r="AC49" s="1041">
        <v>0</v>
      </c>
      <c r="AD49" s="1040">
        <v>4.74</v>
      </c>
      <c r="AE49" s="915">
        <v>5.6505223171889831</v>
      </c>
      <c r="AF49" s="915">
        <v>11.301044634377966</v>
      </c>
      <c r="AG49" s="915" t="s">
        <v>18</v>
      </c>
      <c r="AH49" s="915" t="s">
        <v>18</v>
      </c>
      <c r="AI49" s="915" t="s">
        <v>18</v>
      </c>
      <c r="AJ49" s="915">
        <v>0</v>
      </c>
      <c r="AK49" s="915">
        <v>0</v>
      </c>
      <c r="AL49" s="1041">
        <v>0</v>
      </c>
      <c r="AM49" s="915">
        <v>5.6880000000000006</v>
      </c>
      <c r="AN49" s="915">
        <v>767.72151898734171</v>
      </c>
      <c r="AO49" s="915">
        <v>0</v>
      </c>
      <c r="AP49" s="915">
        <v>0</v>
      </c>
      <c r="AQ49" s="915">
        <v>0</v>
      </c>
      <c r="AR49" s="1041">
        <v>0</v>
      </c>
      <c r="AS49" s="913">
        <v>0</v>
      </c>
      <c r="AT49" s="915">
        <v>0</v>
      </c>
      <c r="AU49" s="1041">
        <v>0</v>
      </c>
      <c r="AW49" s="1041">
        <f>Eingabedaten!AK53*Res_Std!O49</f>
        <v>0</v>
      </c>
      <c r="AX49" s="1769"/>
      <c r="AY49" s="1770"/>
      <c r="AZ49" s="1771"/>
      <c r="BA49" s="1719">
        <v>36</v>
      </c>
      <c r="BB49" s="873">
        <v>0.37</v>
      </c>
      <c r="BC49" s="873">
        <v>0.37</v>
      </c>
      <c r="BD49" s="912">
        <v>0</v>
      </c>
      <c r="BE49" s="913">
        <v>0</v>
      </c>
      <c r="BF49" s="913">
        <v>261</v>
      </c>
      <c r="BG49" s="913">
        <v>0.80000000000000016</v>
      </c>
      <c r="BH49" s="913" t="s">
        <v>256</v>
      </c>
      <c r="BI49" s="913">
        <v>0</v>
      </c>
      <c r="BJ49" s="1767">
        <v>0</v>
      </c>
      <c r="BK49" s="1040">
        <v>100</v>
      </c>
      <c r="BL49" s="913">
        <v>3730</v>
      </c>
      <c r="BM49" s="915">
        <v>373</v>
      </c>
      <c r="BN49" s="1768">
        <v>0</v>
      </c>
      <c r="BO49" s="914">
        <v>1.0169491525423726</v>
      </c>
      <c r="BP49" s="915">
        <v>35.1</v>
      </c>
      <c r="BQ49" s="914">
        <v>0.63025210084033612</v>
      </c>
      <c r="BR49" s="914">
        <v>5.6505223171889831</v>
      </c>
      <c r="BS49" s="914">
        <v>0</v>
      </c>
      <c r="BT49" s="914">
        <v>5.6505223171889831</v>
      </c>
      <c r="BU49" s="915">
        <v>0</v>
      </c>
      <c r="BV49" s="915">
        <v>0</v>
      </c>
      <c r="BW49" s="1041">
        <v>0</v>
      </c>
      <c r="BX49" s="914">
        <v>0</v>
      </c>
      <c r="BY49" s="914">
        <v>0</v>
      </c>
      <c r="BZ49" s="915">
        <v>0</v>
      </c>
      <c r="CA49" s="1041">
        <v>0</v>
      </c>
      <c r="CB49" s="1040">
        <v>4.74</v>
      </c>
      <c r="CC49" s="915">
        <v>5.6505223171889831</v>
      </c>
      <c r="CD49" s="915">
        <v>11.301044634377966</v>
      </c>
      <c r="CE49" s="915" t="s">
        <v>18</v>
      </c>
      <c r="CF49" s="915" t="s">
        <v>18</v>
      </c>
      <c r="CG49" s="915" t="s">
        <v>18</v>
      </c>
      <c r="CH49" s="915">
        <v>0</v>
      </c>
      <c r="CI49" s="915">
        <v>0</v>
      </c>
      <c r="CJ49" s="1041">
        <v>0</v>
      </c>
      <c r="CK49" s="915">
        <v>5.6880000000000006</v>
      </c>
      <c r="CL49" s="915">
        <v>767.72151898734171</v>
      </c>
      <c r="CM49" s="915">
        <v>0</v>
      </c>
      <c r="CN49" s="915">
        <v>0</v>
      </c>
      <c r="CO49" s="915">
        <v>0</v>
      </c>
      <c r="CP49" s="1041">
        <v>0</v>
      </c>
      <c r="CQ49" s="913">
        <v>0</v>
      </c>
      <c r="CR49" s="915">
        <v>0</v>
      </c>
      <c r="CS49" s="1041">
        <v>0</v>
      </c>
      <c r="CU49" s="1719">
        <f t="shared" si="8"/>
        <v>0</v>
      </c>
      <c r="CV49" s="873">
        <f t="shared" si="14"/>
        <v>0</v>
      </c>
      <c r="CW49" s="873">
        <f t="shared" si="15"/>
        <v>0</v>
      </c>
      <c r="CX49" s="912">
        <f t="shared" si="16"/>
        <v>0</v>
      </c>
      <c r="CY49" s="913">
        <f t="shared" si="17"/>
        <v>0</v>
      </c>
      <c r="CZ49" s="913">
        <f t="shared" si="18"/>
        <v>0</v>
      </c>
      <c r="DA49" s="913">
        <f t="shared" si="19"/>
        <v>0</v>
      </c>
      <c r="DB49" s="913" t="e">
        <f t="shared" si="20"/>
        <v>#VALUE!</v>
      </c>
      <c r="DC49" s="913">
        <f t="shared" si="21"/>
        <v>0</v>
      </c>
      <c r="DD49" s="1767">
        <f t="shared" si="22"/>
        <v>0</v>
      </c>
      <c r="DE49" s="1040">
        <f t="shared" si="23"/>
        <v>0</v>
      </c>
      <c r="DF49" s="913">
        <f t="shared" si="24"/>
        <v>-550</v>
      </c>
      <c r="DG49" s="915">
        <f t="shared" si="25"/>
        <v>-55</v>
      </c>
      <c r="DH49" s="1768">
        <f t="shared" si="26"/>
        <v>0</v>
      </c>
      <c r="DI49" s="914">
        <f t="shared" si="27"/>
        <v>0</v>
      </c>
      <c r="DJ49" s="915">
        <f t="shared" si="28"/>
        <v>0</v>
      </c>
      <c r="DK49" s="914">
        <f t="shared" si="29"/>
        <v>0</v>
      </c>
      <c r="DL49" s="914">
        <f t="shared" si="30"/>
        <v>0</v>
      </c>
      <c r="DM49" s="914">
        <f t="shared" si="31"/>
        <v>0</v>
      </c>
      <c r="DN49" s="914">
        <f t="shared" si="32"/>
        <v>0</v>
      </c>
      <c r="DO49" s="915">
        <f t="shared" si="33"/>
        <v>0</v>
      </c>
      <c r="DP49" s="915">
        <f t="shared" si="34"/>
        <v>0</v>
      </c>
      <c r="DQ49" s="1041">
        <f t="shared" si="9"/>
        <v>0</v>
      </c>
      <c r="DR49" s="914">
        <f t="shared" si="10"/>
        <v>0</v>
      </c>
      <c r="DS49" s="914">
        <f t="shared" si="11"/>
        <v>0</v>
      </c>
      <c r="DT49" s="915">
        <f t="shared" si="12"/>
        <v>0</v>
      </c>
      <c r="DU49" s="1041">
        <f t="shared" si="13"/>
        <v>0</v>
      </c>
      <c r="DV49" s="1040">
        <f t="shared" si="35"/>
        <v>0</v>
      </c>
      <c r="DW49" s="915">
        <f t="shared" si="36"/>
        <v>0</v>
      </c>
      <c r="DX49" s="915">
        <f t="shared" si="37"/>
        <v>0</v>
      </c>
      <c r="DY49" s="915" t="e">
        <f t="shared" si="38"/>
        <v>#VALUE!</v>
      </c>
      <c r="DZ49" s="915" t="e">
        <f t="shared" si="39"/>
        <v>#VALUE!</v>
      </c>
      <c r="EA49" s="915" t="e">
        <f t="shared" si="40"/>
        <v>#VALUE!</v>
      </c>
      <c r="EB49" s="915">
        <f t="shared" si="41"/>
        <v>0</v>
      </c>
      <c r="EC49" s="915">
        <f t="shared" si="42"/>
        <v>0</v>
      </c>
      <c r="ED49" s="1041">
        <f t="shared" si="43"/>
        <v>0</v>
      </c>
      <c r="EE49" s="915">
        <f t="shared" si="44"/>
        <v>0</v>
      </c>
      <c r="EF49" s="915">
        <f t="shared" si="45"/>
        <v>0</v>
      </c>
      <c r="EG49" s="915">
        <f t="shared" si="2"/>
        <v>0</v>
      </c>
      <c r="EH49" s="915">
        <f t="shared" si="3"/>
        <v>0</v>
      </c>
      <c r="EI49" s="915">
        <f t="shared" si="4"/>
        <v>0</v>
      </c>
      <c r="EJ49" s="1041">
        <f t="shared" si="5"/>
        <v>0</v>
      </c>
      <c r="EK49" s="913">
        <f t="shared" si="5"/>
        <v>0</v>
      </c>
      <c r="EL49" s="915">
        <f t="shared" si="6"/>
        <v>0</v>
      </c>
      <c r="EM49" s="1041">
        <f t="shared" si="7"/>
        <v>0</v>
      </c>
    </row>
    <row r="50" spans="1:143">
      <c r="A50" s="1784">
        <f>Eingabedaten!A54</f>
        <v>12.12</v>
      </c>
      <c r="B50" s="1785" t="str">
        <f>Eingabedaten!C54</f>
        <v>Serverraum</v>
      </c>
      <c r="C50" s="1786">
        <v>20</v>
      </c>
      <c r="D50" s="1787">
        <v>0.18</v>
      </c>
      <c r="E50" s="1787">
        <v>0.115</v>
      </c>
      <c r="F50" s="1758">
        <v>11</v>
      </c>
      <c r="G50" s="1759">
        <v>6</v>
      </c>
      <c r="H50" s="1759">
        <v>365</v>
      </c>
      <c r="I50" s="1759">
        <v>0.80000000000000016</v>
      </c>
      <c r="J50" s="1759">
        <v>0</v>
      </c>
      <c r="K50" s="1759">
        <v>0</v>
      </c>
      <c r="L50" s="1760">
        <v>0</v>
      </c>
      <c r="M50" s="1774">
        <v>100</v>
      </c>
      <c r="N50" s="1759">
        <v>7010</v>
      </c>
      <c r="O50" s="1762">
        <v>701</v>
      </c>
      <c r="P50" s="1775">
        <v>0</v>
      </c>
      <c r="Q50" s="1761">
        <v>0.75329566854990582</v>
      </c>
      <c r="R50" s="1762">
        <v>35.1</v>
      </c>
      <c r="S50" s="1761">
        <v>0.53705692803437166</v>
      </c>
      <c r="T50" s="1761">
        <v>6.6310541310541309</v>
      </c>
      <c r="U50" s="1761">
        <v>0</v>
      </c>
      <c r="V50" s="1761">
        <v>6.6310541310541309</v>
      </c>
      <c r="W50" s="1762">
        <v>0</v>
      </c>
      <c r="X50" s="1762">
        <v>0</v>
      </c>
      <c r="Y50" s="1776">
        <v>0</v>
      </c>
      <c r="Z50" s="1761">
        <v>2</v>
      </c>
      <c r="AA50" s="1761">
        <v>1.1000000000000001</v>
      </c>
      <c r="AB50" s="1762">
        <v>1620</v>
      </c>
      <c r="AC50" s="1776">
        <v>1.7820000000000003</v>
      </c>
      <c r="AD50" s="1774">
        <v>2.2320000000000002</v>
      </c>
      <c r="AE50" s="1762">
        <v>106.63105413105413</v>
      </c>
      <c r="AF50" s="1762">
        <v>2413.2621082621081</v>
      </c>
      <c r="AG50" s="1762" t="s">
        <v>1259</v>
      </c>
      <c r="AH50" s="1762" t="s">
        <v>1259</v>
      </c>
      <c r="AI50" s="1762" t="s">
        <v>1259</v>
      </c>
      <c r="AJ50" s="1762">
        <v>101</v>
      </c>
      <c r="AK50" s="1762">
        <v>6730</v>
      </c>
      <c r="AL50" s="1776">
        <v>679.8415</v>
      </c>
      <c r="AM50" s="1762">
        <v>7.4400000000000013</v>
      </c>
      <c r="AN50" s="1762">
        <v>326.07526881720423</v>
      </c>
      <c r="AO50" s="1762">
        <v>0</v>
      </c>
      <c r="AP50" s="1762">
        <v>9.6720000000000006</v>
      </c>
      <c r="AQ50" s="1762">
        <v>0</v>
      </c>
      <c r="AR50" s="1776">
        <v>0</v>
      </c>
      <c r="AS50" s="1759">
        <v>0</v>
      </c>
      <c r="AT50" s="1762">
        <v>0</v>
      </c>
      <c r="AU50" s="1776">
        <v>0</v>
      </c>
      <c r="AW50" s="1776">
        <f>Eingabedaten!AK54*Res_Std!O50</f>
        <v>0</v>
      </c>
      <c r="AX50" s="1769"/>
      <c r="AY50" s="1770"/>
      <c r="AZ50" s="1771"/>
      <c r="BA50" s="1786">
        <v>20</v>
      </c>
      <c r="BB50" s="1787">
        <v>0.18</v>
      </c>
      <c r="BC50" s="1787">
        <v>0.115</v>
      </c>
      <c r="BD50" s="1758">
        <v>11</v>
      </c>
      <c r="BE50" s="1759">
        <v>6</v>
      </c>
      <c r="BF50" s="1759">
        <v>365</v>
      </c>
      <c r="BG50" s="1759">
        <v>0.80000000000000016</v>
      </c>
      <c r="BH50" s="1759" t="s">
        <v>256</v>
      </c>
      <c r="BI50" s="1759">
        <v>0</v>
      </c>
      <c r="BJ50" s="1760">
        <v>0</v>
      </c>
      <c r="BK50" s="1774">
        <v>100</v>
      </c>
      <c r="BL50" s="1759">
        <v>7010</v>
      </c>
      <c r="BM50" s="1762">
        <v>701</v>
      </c>
      <c r="BN50" s="1775">
        <v>0</v>
      </c>
      <c r="BO50" s="1761">
        <v>0.75329566854990582</v>
      </c>
      <c r="BP50" s="1762">
        <v>35.1</v>
      </c>
      <c r="BQ50" s="1761">
        <v>0.53705692803437166</v>
      </c>
      <c r="BR50" s="1761">
        <v>6.6310541310541309</v>
      </c>
      <c r="BS50" s="1761">
        <v>0</v>
      </c>
      <c r="BT50" s="1761">
        <v>6.6310541310541309</v>
      </c>
      <c r="BU50" s="1762">
        <v>0</v>
      </c>
      <c r="BV50" s="1762">
        <v>0</v>
      </c>
      <c r="BW50" s="1776">
        <v>0</v>
      </c>
      <c r="BX50" s="1761">
        <v>2</v>
      </c>
      <c r="BY50" s="1761">
        <v>1.1000000000000001</v>
      </c>
      <c r="BZ50" s="1762">
        <v>3800</v>
      </c>
      <c r="CA50" s="1776">
        <v>4.18</v>
      </c>
      <c r="CB50" s="1774">
        <v>2.2320000000000002</v>
      </c>
      <c r="CC50" s="1762">
        <v>106.63105413105413</v>
      </c>
      <c r="CD50" s="1762">
        <v>2413.2621082621081</v>
      </c>
      <c r="CE50" s="1762" t="s">
        <v>785</v>
      </c>
      <c r="CF50" s="1762" t="s">
        <v>785</v>
      </c>
      <c r="CG50" s="1762" t="s">
        <v>785</v>
      </c>
      <c r="CH50" s="1762">
        <v>101</v>
      </c>
      <c r="CI50" s="1762">
        <v>6730</v>
      </c>
      <c r="CJ50" s="1776">
        <v>679.8415</v>
      </c>
      <c r="CK50" s="1762">
        <v>7.4400000000000013</v>
      </c>
      <c r="CL50" s="1762">
        <v>326.07526881720423</v>
      </c>
      <c r="CM50" s="1762">
        <v>0</v>
      </c>
      <c r="CN50" s="1762">
        <v>9.6720000000000006</v>
      </c>
      <c r="CO50" s="1762">
        <v>0</v>
      </c>
      <c r="CP50" s="1776">
        <v>0</v>
      </c>
      <c r="CQ50" s="1759">
        <v>0</v>
      </c>
      <c r="CR50" s="1762">
        <v>0</v>
      </c>
      <c r="CS50" s="1776">
        <v>0</v>
      </c>
      <c r="CU50" s="1786">
        <f t="shared" si="8"/>
        <v>0</v>
      </c>
      <c r="CV50" s="1787">
        <f t="shared" si="14"/>
        <v>0</v>
      </c>
      <c r="CW50" s="1787">
        <f t="shared" si="15"/>
        <v>0</v>
      </c>
      <c r="CX50" s="1758">
        <f t="shared" si="16"/>
        <v>0</v>
      </c>
      <c r="CY50" s="1759">
        <f t="shared" si="17"/>
        <v>0</v>
      </c>
      <c r="CZ50" s="1759">
        <f t="shared" si="18"/>
        <v>0</v>
      </c>
      <c r="DA50" s="1759">
        <f t="shared" si="19"/>
        <v>0</v>
      </c>
      <c r="DB50" s="1759" t="e">
        <f t="shared" si="20"/>
        <v>#VALUE!</v>
      </c>
      <c r="DC50" s="1759">
        <f t="shared" si="21"/>
        <v>0</v>
      </c>
      <c r="DD50" s="1760">
        <f t="shared" si="22"/>
        <v>0</v>
      </c>
      <c r="DE50" s="1774">
        <f t="shared" si="23"/>
        <v>0</v>
      </c>
      <c r="DF50" s="1759">
        <f t="shared" si="24"/>
        <v>0</v>
      </c>
      <c r="DG50" s="1762">
        <f t="shared" si="25"/>
        <v>0</v>
      </c>
      <c r="DH50" s="1775">
        <f t="shared" si="26"/>
        <v>0</v>
      </c>
      <c r="DI50" s="1761">
        <f t="shared" si="27"/>
        <v>0</v>
      </c>
      <c r="DJ50" s="1762">
        <f t="shared" si="28"/>
        <v>0</v>
      </c>
      <c r="DK50" s="1761">
        <f t="shared" si="29"/>
        <v>0</v>
      </c>
      <c r="DL50" s="1761">
        <f t="shared" si="30"/>
        <v>0</v>
      </c>
      <c r="DM50" s="1761">
        <f t="shared" si="31"/>
        <v>0</v>
      </c>
      <c r="DN50" s="1761">
        <f t="shared" si="32"/>
        <v>0</v>
      </c>
      <c r="DO50" s="1762">
        <f t="shared" si="33"/>
        <v>0</v>
      </c>
      <c r="DP50" s="1762">
        <f t="shared" si="34"/>
        <v>0</v>
      </c>
      <c r="DQ50" s="1776">
        <f t="shared" si="9"/>
        <v>0</v>
      </c>
      <c r="DR50" s="1761">
        <f t="shared" si="10"/>
        <v>0</v>
      </c>
      <c r="DS50" s="1761">
        <f t="shared" si="11"/>
        <v>0</v>
      </c>
      <c r="DT50" s="1762">
        <f t="shared" si="12"/>
        <v>-2180</v>
      </c>
      <c r="DU50" s="1776">
        <f t="shared" si="13"/>
        <v>-2.3979999999999997</v>
      </c>
      <c r="DV50" s="1774">
        <f t="shared" si="35"/>
        <v>0</v>
      </c>
      <c r="DW50" s="1762">
        <f t="shared" si="36"/>
        <v>0</v>
      </c>
      <c r="DX50" s="1762">
        <f t="shared" si="37"/>
        <v>0</v>
      </c>
      <c r="DY50" s="1762" t="e">
        <f t="shared" si="38"/>
        <v>#VALUE!</v>
      </c>
      <c r="DZ50" s="1762" t="e">
        <f t="shared" si="39"/>
        <v>#VALUE!</v>
      </c>
      <c r="EA50" s="1762" t="e">
        <f t="shared" si="40"/>
        <v>#VALUE!</v>
      </c>
      <c r="EB50" s="1762">
        <f t="shared" si="41"/>
        <v>0</v>
      </c>
      <c r="EC50" s="1762">
        <f t="shared" si="42"/>
        <v>0</v>
      </c>
      <c r="ED50" s="1776">
        <f t="shared" si="43"/>
        <v>0</v>
      </c>
      <c r="EE50" s="1762">
        <f t="shared" si="44"/>
        <v>0</v>
      </c>
      <c r="EF50" s="1762">
        <f t="shared" si="45"/>
        <v>0</v>
      </c>
      <c r="EG50" s="1762">
        <f t="shared" si="2"/>
        <v>0</v>
      </c>
      <c r="EH50" s="1762">
        <f t="shared" si="3"/>
        <v>0</v>
      </c>
      <c r="EI50" s="1762">
        <f t="shared" si="4"/>
        <v>0</v>
      </c>
      <c r="EJ50" s="1776">
        <f t="shared" si="5"/>
        <v>0</v>
      </c>
      <c r="EK50" s="1759">
        <f t="shared" si="5"/>
        <v>0</v>
      </c>
      <c r="EL50" s="1762">
        <f t="shared" si="6"/>
        <v>0</v>
      </c>
      <c r="EM50" s="1776">
        <f t="shared" si="7"/>
        <v>0</v>
      </c>
    </row>
    <row r="53" spans="1:143" hidden="1">
      <c r="B53" s="1031" t="s">
        <v>656</v>
      </c>
    </row>
    <row r="54" spans="1:143" hidden="1">
      <c r="B54" s="1031" t="s">
        <v>657</v>
      </c>
    </row>
  </sheetData>
  <sheetProtection password="DFA6" sheet="1" objects="1" scenarios="1"/>
  <pageMargins left="0.70866141732283472" right="0.70866141732283472" top="0.74803149606299213" bottom="0.74803149606299213" header="0.31496062992125984" footer="0.31496062992125984"/>
  <pageSetup paperSize="8" scale="89" fitToWidth="0" orientation="landscape" horizontalDpi="4294967293" r:id="rId1"/>
  <headerFooter>
    <oddHeader>&amp;R&amp;D</oddHeader>
    <oddFooter>&amp;C SIA 2024, Copyright © 201X by SIA Zurich&amp;R&amp;P/&amp;N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theme="6" tint="0.59999389629810485"/>
    <pageSetUpPr fitToPage="1"/>
  </sheetPr>
  <dimension ref="A1:EJ50"/>
  <sheetViews>
    <sheetView showGridLines="0" showRowColHeaders="0" zoomScale="90" zoomScaleNormal="90" workbookViewId="0">
      <selection activeCell="D33" sqref="D33"/>
    </sheetView>
  </sheetViews>
  <sheetFormatPr baseColWidth="10" defaultColWidth="11.44140625" defaultRowHeight="13.2"/>
  <cols>
    <col min="1" max="1" width="5.88671875" style="1031" customWidth="1"/>
    <col min="2" max="2" width="30.44140625" style="1031" customWidth="1"/>
    <col min="3" max="3" width="6.44140625" style="1031" hidden="1" customWidth="1"/>
    <col min="4" max="4" width="7.109375" style="1031" hidden="1" customWidth="1"/>
    <col min="5" max="6" width="6.5546875" style="1031" hidden="1" customWidth="1"/>
    <col min="7" max="7" width="5.44140625" style="1031" hidden="1" customWidth="1"/>
    <col min="8" max="8" width="4.44140625" style="1031" hidden="1" customWidth="1"/>
    <col min="9" max="9" width="5.33203125" style="1031" hidden="1" customWidth="1"/>
    <col min="10" max="10" width="11.44140625" style="1031" hidden="1" customWidth="1"/>
    <col min="11" max="11" width="5.88671875" style="1031" hidden="1" customWidth="1"/>
    <col min="12" max="12" width="7.44140625" style="1031" hidden="1" customWidth="1"/>
    <col min="13" max="13" width="10.109375" style="1031" hidden="1" customWidth="1"/>
    <col min="14" max="14" width="5.88671875" style="1031" customWidth="1"/>
    <col min="15" max="15" width="7.88671875" style="1031" customWidth="1"/>
    <col min="16" max="16" width="3.6640625" style="1031" customWidth="1"/>
    <col min="17" max="17" width="2.88671875" style="1031" customWidth="1"/>
    <col min="18" max="18" width="6.109375" style="1031" customWidth="1"/>
    <col min="19" max="19" width="5.109375" style="1031" customWidth="1"/>
    <col min="20" max="20" width="7" style="1031" customWidth="1"/>
    <col min="21" max="21" width="7.88671875" style="1031" hidden="1" customWidth="1"/>
    <col min="22" max="22" width="7.88671875" style="1031" customWidth="1"/>
    <col min="23" max="23" width="6.88671875" style="1031" customWidth="1"/>
    <col min="24" max="24" width="7" style="1031" customWidth="1"/>
    <col min="25" max="25" width="8.33203125" style="1031" customWidth="1"/>
    <col min="26" max="26" width="5.44140625" style="1031" hidden="1" customWidth="1"/>
    <col min="27" max="27" width="7.44140625" style="1031" customWidth="1"/>
    <col min="28" max="28" width="6.44140625" style="1031" customWidth="1"/>
    <col min="29" max="29" width="8.33203125" style="1031" customWidth="1"/>
    <col min="30" max="30" width="6.5546875" style="1031" customWidth="1"/>
    <col min="31" max="31" width="6.109375" style="1031" customWidth="1"/>
    <col min="32" max="32" width="7.5546875" style="1031" customWidth="1"/>
    <col min="33" max="33" width="13.44140625" style="1031" bestFit="1" customWidth="1"/>
    <col min="34" max="34" width="13.44140625" style="1031" customWidth="1"/>
    <col min="35" max="35" width="13.44140625" style="1031" bestFit="1" customWidth="1"/>
    <col min="36" max="36" width="6.109375" style="1031" customWidth="1"/>
    <col min="37" max="37" width="5.88671875" style="1031" customWidth="1"/>
    <col min="38" max="38" width="7.88671875" style="1031" customWidth="1"/>
    <col min="39" max="39" width="6" style="1031" customWidth="1"/>
    <col min="40" max="40" width="5.44140625" style="1031" customWidth="1"/>
    <col min="41" max="41" width="3.5546875" style="1031" bestFit="1" customWidth="1"/>
    <col min="42" max="42" width="5.88671875" style="1031" bestFit="1" customWidth="1"/>
    <col min="43" max="43" width="5" style="1031" bestFit="1" customWidth="1"/>
    <col min="44" max="44" width="7.88671875" style="1031" bestFit="1" customWidth="1"/>
    <col min="45" max="45" width="6.33203125" style="1031" hidden="1" customWidth="1"/>
    <col min="46" max="46" width="6.44140625" style="1031" hidden="1" customWidth="1"/>
    <col min="47" max="47" width="9.109375" style="1031" customWidth="1"/>
    <col min="48" max="49" width="11.44140625" style="1031"/>
    <col min="50" max="50" width="6.44140625" style="1031" hidden="1" customWidth="1"/>
    <col min="51" max="51" width="7.109375" style="1031" hidden="1" customWidth="1"/>
    <col min="52" max="53" width="6.5546875" style="1031" hidden="1" customWidth="1"/>
    <col min="54" max="54" width="5.44140625" style="1031" hidden="1" customWidth="1"/>
    <col min="55" max="55" width="4.44140625" style="1031" hidden="1" customWidth="1"/>
    <col min="56" max="56" width="5.33203125" style="1031" hidden="1" customWidth="1"/>
    <col min="57" max="57" width="11.44140625" style="1031" hidden="1" customWidth="1"/>
    <col min="58" max="58" width="5.88671875" style="1031" hidden="1" customWidth="1"/>
    <col min="59" max="59" width="7.44140625" style="1031" hidden="1" customWidth="1"/>
    <col min="60" max="60" width="10.109375" style="1031" hidden="1" customWidth="1"/>
    <col min="61" max="61" width="5.88671875" style="1031" hidden="1" customWidth="1"/>
    <col min="62" max="62" width="7.88671875" style="1031" hidden="1" customWidth="1"/>
    <col min="63" max="63" width="3.6640625" style="1031" hidden="1" customWidth="1"/>
    <col min="64" max="64" width="2.88671875" style="1031" hidden="1" customWidth="1"/>
    <col min="65" max="65" width="6.109375" style="1031" hidden="1" customWidth="1"/>
    <col min="66" max="66" width="5.109375" style="1031" hidden="1" customWidth="1"/>
    <col min="67" max="67" width="7" style="1031" hidden="1" customWidth="1"/>
    <col min="68" max="69" width="7.88671875" style="1031" hidden="1" customWidth="1"/>
    <col min="70" max="70" width="6.88671875" style="1031" hidden="1" customWidth="1"/>
    <col min="71" max="71" width="7" style="1031" hidden="1" customWidth="1"/>
    <col min="72" max="72" width="8.33203125" style="1031" hidden="1" customWidth="1"/>
    <col min="73" max="73" width="5.44140625" style="1031" hidden="1" customWidth="1"/>
    <col min="74" max="74" width="7.44140625" style="1031" hidden="1" customWidth="1"/>
    <col min="75" max="75" width="6.44140625" style="1031" hidden="1" customWidth="1"/>
    <col min="76" max="76" width="8.33203125" style="1031" hidden="1" customWidth="1"/>
    <col min="77" max="77" width="6.5546875" style="1031" hidden="1" customWidth="1"/>
    <col min="78" max="78" width="6.109375" style="1031" hidden="1" customWidth="1"/>
    <col min="79" max="79" width="7.5546875" style="1031" hidden="1" customWidth="1"/>
    <col min="80" max="82" width="13.44140625" style="1031" hidden="1" customWidth="1"/>
    <col min="83" max="83" width="6.109375" style="1031" hidden="1" customWidth="1"/>
    <col min="84" max="84" width="5.88671875" style="1031" hidden="1" customWidth="1"/>
    <col min="85" max="85" width="7.88671875" style="1031" hidden="1" customWidth="1"/>
    <col min="86" max="86" width="6" style="1031" hidden="1" customWidth="1"/>
    <col min="87" max="87" width="5.44140625" style="1031" hidden="1" customWidth="1"/>
    <col min="88" max="88" width="3.5546875" style="1031" hidden="1" customWidth="1"/>
    <col min="89" max="89" width="5.88671875" style="1031" hidden="1" customWidth="1"/>
    <col min="90" max="90" width="5" style="1031" hidden="1" customWidth="1"/>
    <col min="91" max="91" width="7.88671875" style="1031" hidden="1" customWidth="1"/>
    <col min="92" max="92" width="6.33203125" style="1031" hidden="1" customWidth="1"/>
    <col min="93" max="93" width="6.44140625" style="1031" hidden="1" customWidth="1"/>
    <col min="94" max="94" width="7.88671875" style="1031" hidden="1" customWidth="1"/>
    <col min="95" max="95" width="0" style="1031" hidden="1" customWidth="1"/>
    <col min="96" max="96" width="6.44140625" style="1031" hidden="1" customWidth="1"/>
    <col min="97" max="97" width="7.109375" style="1031" hidden="1" customWidth="1"/>
    <col min="98" max="99" width="6.5546875" style="1031" hidden="1" customWidth="1"/>
    <col min="100" max="100" width="5.44140625" style="1031" hidden="1" customWidth="1"/>
    <col min="101" max="101" width="4.44140625" style="1031" hidden="1" customWidth="1"/>
    <col min="102" max="102" width="5.33203125" style="1031" hidden="1" customWidth="1"/>
    <col min="103" max="103" width="11.44140625" style="1031" hidden="1" customWidth="1"/>
    <col min="104" max="104" width="5.88671875" style="1031" hidden="1" customWidth="1"/>
    <col min="105" max="105" width="7.44140625" style="1031" hidden="1" customWidth="1"/>
    <col min="106" max="106" width="10.109375" style="1031" hidden="1" customWidth="1"/>
    <col min="107" max="107" width="5.88671875" style="1031" hidden="1" customWidth="1"/>
    <col min="108" max="108" width="7.88671875" style="1031" hidden="1" customWidth="1"/>
    <col min="109" max="109" width="3.6640625" style="1031" hidden="1" customWidth="1"/>
    <col min="110" max="110" width="2.88671875" style="1031" hidden="1" customWidth="1"/>
    <col min="111" max="111" width="6.109375" style="1031" hidden="1" customWidth="1"/>
    <col min="112" max="112" width="5.109375" style="1031" hidden="1" customWidth="1"/>
    <col min="113" max="113" width="7" style="1031" hidden="1" customWidth="1"/>
    <col min="114" max="115" width="7.88671875" style="1031" hidden="1" customWidth="1"/>
    <col min="116" max="116" width="6.88671875" style="1031" hidden="1" customWidth="1"/>
    <col min="117" max="117" width="7" style="1031" hidden="1" customWidth="1"/>
    <col min="118" max="118" width="8.33203125" style="1031" hidden="1" customWidth="1"/>
    <col min="119" max="119" width="5.44140625" style="1031" hidden="1" customWidth="1"/>
    <col min="120" max="120" width="7.44140625" style="1031" hidden="1" customWidth="1"/>
    <col min="121" max="121" width="6.44140625" style="1031" hidden="1" customWidth="1"/>
    <col min="122" max="122" width="8.33203125" style="1031" hidden="1" customWidth="1"/>
    <col min="123" max="123" width="6.5546875" style="1031" hidden="1" customWidth="1"/>
    <col min="124" max="124" width="6.109375" style="1031" hidden="1" customWidth="1"/>
    <col min="125" max="125" width="7.5546875" style="1031" hidden="1" customWidth="1"/>
    <col min="126" max="128" width="13.44140625" style="1031" hidden="1" customWidth="1"/>
    <col min="129" max="129" width="6.109375" style="1031" hidden="1" customWidth="1"/>
    <col min="130" max="130" width="5.88671875" style="1031" hidden="1" customWidth="1"/>
    <col min="131" max="131" width="7.88671875" style="1031" hidden="1" customWidth="1"/>
    <col min="132" max="132" width="6" style="1031" hidden="1" customWidth="1"/>
    <col min="133" max="133" width="5.44140625" style="1031" hidden="1" customWidth="1"/>
    <col min="134" max="134" width="3.5546875" style="1031" hidden="1" customWidth="1"/>
    <col min="135" max="135" width="5.88671875" style="1031" hidden="1" customWidth="1"/>
    <col min="136" max="136" width="5" style="1031" hidden="1" customWidth="1"/>
    <col min="137" max="137" width="7.88671875" style="1031" hidden="1" customWidth="1"/>
    <col min="138" max="138" width="6.33203125" style="1031" hidden="1" customWidth="1"/>
    <col min="139" max="139" width="6.44140625" style="1031" hidden="1" customWidth="1"/>
    <col min="140" max="140" width="7.88671875" style="1031" hidden="1" customWidth="1"/>
    <col min="141" max="16384" width="11.44140625" style="1031"/>
  </cols>
  <sheetData>
    <row r="1" spans="1:140" ht="15.6">
      <c r="A1" s="356" t="str">
        <f>Begriffe!F360</f>
        <v>SIA 2024 - Resultate Zielwert</v>
      </c>
      <c r="B1" s="873"/>
      <c r="C1" s="873"/>
      <c r="D1" s="873"/>
      <c r="E1" s="873"/>
      <c r="F1" s="873"/>
      <c r="G1" s="873"/>
      <c r="H1" s="873"/>
      <c r="I1" s="873"/>
      <c r="J1" s="873"/>
      <c r="K1" s="873"/>
      <c r="L1" s="873"/>
      <c r="M1" s="873"/>
      <c r="N1" s="873"/>
      <c r="O1" s="873"/>
      <c r="P1" s="873"/>
      <c r="Q1" s="873"/>
      <c r="R1" s="873"/>
      <c r="S1" s="873"/>
      <c r="T1" s="873"/>
      <c r="U1" s="873"/>
      <c r="V1" s="873"/>
      <c r="W1" s="873"/>
      <c r="X1" s="873"/>
      <c r="Y1" s="873"/>
      <c r="Z1" s="873"/>
      <c r="AA1" s="873"/>
      <c r="AB1" s="873"/>
      <c r="AC1" s="873"/>
      <c r="AD1" s="873"/>
      <c r="AE1" s="873"/>
      <c r="AF1" s="873"/>
      <c r="AG1" s="873"/>
    </row>
    <row r="2" spans="1:140">
      <c r="A2" s="873"/>
      <c r="B2" s="873"/>
      <c r="C2" s="1752"/>
      <c r="D2" s="1752"/>
      <c r="E2" s="1752"/>
      <c r="F2" s="1753"/>
      <c r="G2" s="1753"/>
      <c r="H2" s="1753"/>
      <c r="I2" s="1753"/>
      <c r="J2" s="1753"/>
      <c r="K2" s="1753"/>
      <c r="L2" s="1753"/>
      <c r="M2" s="1753" t="s">
        <v>26</v>
      </c>
      <c r="N2" s="1753"/>
      <c r="O2" s="1753"/>
      <c r="P2" s="1753"/>
      <c r="Q2" s="1753"/>
      <c r="R2" s="1753"/>
      <c r="S2" s="1753"/>
      <c r="T2" s="1753"/>
      <c r="U2" s="1753" t="s">
        <v>26</v>
      </c>
      <c r="V2" s="1753"/>
      <c r="W2" s="1753"/>
      <c r="X2" s="1753"/>
      <c r="Y2" s="1753"/>
      <c r="Z2" s="1753" t="s">
        <v>26</v>
      </c>
      <c r="AA2" s="1753"/>
      <c r="AB2" s="1753"/>
      <c r="AC2" s="1753"/>
      <c r="AD2" s="1753"/>
      <c r="AE2" s="1753"/>
      <c r="AF2" s="1753"/>
      <c r="AG2" s="1753"/>
      <c r="AH2" s="1753"/>
      <c r="AI2" s="1753"/>
      <c r="AJ2" s="1753"/>
      <c r="AK2" s="1753"/>
      <c r="AL2" s="1753"/>
      <c r="AM2" s="1753"/>
      <c r="AN2" s="1753"/>
      <c r="AO2" s="1753"/>
      <c r="AP2" s="1753"/>
      <c r="AQ2" s="1753"/>
      <c r="AR2" s="1753"/>
      <c r="AS2" s="1753" t="s">
        <v>26</v>
      </c>
      <c r="AT2" s="1753" t="s">
        <v>26</v>
      </c>
      <c r="AU2" s="1753"/>
    </row>
    <row r="3" spans="1:140">
      <c r="A3" s="286" t="str">
        <f>Begriffe!F195</f>
        <v>Raumnutzung</v>
      </c>
      <c r="B3" s="1754"/>
      <c r="C3" s="286" t="str">
        <f>Begriffe!F196</f>
        <v>Raum</v>
      </c>
      <c r="D3" s="287"/>
      <c r="E3" s="287"/>
      <c r="F3" s="515" t="str">
        <f>Begriffe!F201</f>
        <v>Personen</v>
      </c>
      <c r="G3" s="517"/>
      <c r="H3" s="517"/>
      <c r="I3" s="517"/>
      <c r="J3" s="517"/>
      <c r="K3" s="517"/>
      <c r="L3" s="1755"/>
      <c r="M3" s="515" t="str">
        <f>Begriffe!F202</f>
        <v>Geräte</v>
      </c>
      <c r="N3" s="517" t="str">
        <f>Begriffe!F202</f>
        <v>Geräte</v>
      </c>
      <c r="O3" s="874"/>
      <c r="P3" s="515" t="str">
        <f>Begriffe!F203</f>
        <v>Beleuchtung</v>
      </c>
      <c r="Q3" s="874"/>
      <c r="R3" s="874"/>
      <c r="S3" s="874"/>
      <c r="T3" s="517"/>
      <c r="U3" s="517"/>
      <c r="V3" s="517"/>
      <c r="W3" s="517"/>
      <c r="X3" s="517"/>
      <c r="Y3" s="518"/>
      <c r="Z3" s="515" t="str">
        <f>Begriffe!F205</f>
        <v>Lüftung</v>
      </c>
      <c r="AA3" s="515" t="str">
        <f>Begriffe!F205</f>
        <v>Lüftung</v>
      </c>
      <c r="AB3" s="517"/>
      <c r="AC3" s="518"/>
      <c r="AD3" s="515" t="str">
        <f>Begriffe!F206</f>
        <v>Raumkühlung</v>
      </c>
      <c r="AE3" s="517"/>
      <c r="AF3" s="517"/>
      <c r="AG3" s="517"/>
      <c r="AH3" s="517"/>
      <c r="AI3" s="517"/>
      <c r="AJ3" s="517"/>
      <c r="AK3" s="517"/>
      <c r="AL3" s="518"/>
      <c r="AM3" s="517" t="str">
        <f>Begriffe!F208</f>
        <v>Raumheizung</v>
      </c>
      <c r="AN3" s="517"/>
      <c r="AO3" s="517"/>
      <c r="AP3" s="517"/>
      <c r="AQ3" s="517"/>
      <c r="AR3" s="518"/>
      <c r="AS3" s="517" t="str">
        <f>Begriffe!F209</f>
        <v>Wasser</v>
      </c>
      <c r="AT3" s="517"/>
      <c r="AU3" s="518" t="str">
        <f>Begriffe!F209</f>
        <v>Wasser</v>
      </c>
      <c r="AX3" s="286" t="s">
        <v>0</v>
      </c>
      <c r="AY3" s="287"/>
      <c r="AZ3" s="287"/>
      <c r="BA3" s="515" t="s">
        <v>12</v>
      </c>
      <c r="BB3" s="517"/>
      <c r="BC3" s="517"/>
      <c r="BD3" s="517"/>
      <c r="BE3" s="517"/>
      <c r="BF3" s="517"/>
      <c r="BG3" s="1755"/>
      <c r="BH3" s="515" t="s">
        <v>64</v>
      </c>
      <c r="BI3" s="517" t="s">
        <v>64</v>
      </c>
      <c r="BJ3" s="874"/>
      <c r="BK3" s="515" t="s">
        <v>19</v>
      </c>
      <c r="BL3" s="874"/>
      <c r="BM3" s="874"/>
      <c r="BN3" s="874"/>
      <c r="BO3" s="517"/>
      <c r="BP3" s="517"/>
      <c r="BQ3" s="517"/>
      <c r="BR3" s="517"/>
      <c r="BS3" s="517"/>
      <c r="BT3" s="518"/>
      <c r="BU3" s="515" t="s">
        <v>23</v>
      </c>
      <c r="BV3" s="515" t="s">
        <v>23</v>
      </c>
      <c r="BW3" s="517"/>
      <c r="BX3" s="518"/>
      <c r="BY3" s="515" t="s">
        <v>369</v>
      </c>
      <c r="BZ3" s="517"/>
      <c r="CA3" s="517"/>
      <c r="CB3" s="517"/>
      <c r="CC3" s="517"/>
      <c r="CD3" s="517"/>
      <c r="CE3" s="517"/>
      <c r="CF3" s="517"/>
      <c r="CG3" s="518"/>
      <c r="CH3" s="517" t="s">
        <v>370</v>
      </c>
      <c r="CI3" s="517"/>
      <c r="CJ3" s="517"/>
      <c r="CK3" s="517"/>
      <c r="CL3" s="517"/>
      <c r="CM3" s="518"/>
      <c r="CN3" s="517" t="s">
        <v>772</v>
      </c>
      <c r="CO3" s="517"/>
      <c r="CP3" s="518"/>
      <c r="CR3" s="286" t="s">
        <v>0</v>
      </c>
      <c r="CS3" s="287"/>
      <c r="CT3" s="287"/>
      <c r="CU3" s="515" t="s">
        <v>12</v>
      </c>
      <c r="CV3" s="517"/>
      <c r="CW3" s="517"/>
      <c r="CX3" s="517"/>
      <c r="CY3" s="517"/>
      <c r="CZ3" s="517"/>
      <c r="DA3" s="1755"/>
      <c r="DB3" s="515" t="s">
        <v>64</v>
      </c>
      <c r="DC3" s="517" t="s">
        <v>64</v>
      </c>
      <c r="DD3" s="874"/>
      <c r="DE3" s="515" t="s">
        <v>19</v>
      </c>
      <c r="DF3" s="874"/>
      <c r="DG3" s="874"/>
      <c r="DH3" s="874"/>
      <c r="DI3" s="517"/>
      <c r="DJ3" s="517"/>
      <c r="DK3" s="517"/>
      <c r="DL3" s="517"/>
      <c r="DM3" s="517"/>
      <c r="DN3" s="518"/>
      <c r="DO3" s="515" t="s">
        <v>23</v>
      </c>
      <c r="DP3" s="515" t="s">
        <v>23</v>
      </c>
      <c r="DQ3" s="517"/>
      <c r="DR3" s="518"/>
      <c r="DS3" s="515" t="s">
        <v>369</v>
      </c>
      <c r="DT3" s="517"/>
      <c r="DU3" s="517"/>
      <c r="DV3" s="517"/>
      <c r="DW3" s="517"/>
      <c r="DX3" s="517"/>
      <c r="DY3" s="517"/>
      <c r="DZ3" s="517"/>
      <c r="EA3" s="518"/>
      <c r="EB3" s="517" t="s">
        <v>370</v>
      </c>
      <c r="EC3" s="517"/>
      <c r="ED3" s="517"/>
      <c r="EE3" s="517"/>
      <c r="EF3" s="517"/>
      <c r="EG3" s="518"/>
      <c r="EH3" s="517" t="s">
        <v>772</v>
      </c>
      <c r="EI3" s="517"/>
      <c r="EJ3" s="518"/>
    </row>
    <row r="4" spans="1:140" ht="166.5" customHeight="1">
      <c r="A4" s="875" t="s">
        <v>714</v>
      </c>
      <c r="B4" s="514" t="str">
        <f>Begriffe!F194</f>
        <v>Bezeichnung</v>
      </c>
      <c r="C4" s="513" t="str">
        <f>Begriffe!F154</f>
        <v>Nettogeschossfläche</v>
      </c>
      <c r="D4" s="512" t="str">
        <f>Begriffe!F54 &amp; " " &amp; Begriffe!F225</f>
        <v>Maximale Luftgeschwindigkeit Sommer</v>
      </c>
      <c r="E4" s="512" t="str">
        <f>Begriffe!F54 &amp; " " &amp; Begriffe!F226</f>
        <v>Maximale Luftgeschwindigkeit Winter</v>
      </c>
      <c r="F4" s="513" t="str">
        <f>Begriffe!F58</f>
        <v>Nutzungsstunden pro Tag</v>
      </c>
      <c r="G4" s="512" t="str">
        <f>Begriffe!F81</f>
        <v>Volllaststunden pro Tag</v>
      </c>
      <c r="H4" s="512" t="str">
        <f>Begriffe!F60</f>
        <v>Nutzungstage pro Jahr</v>
      </c>
      <c r="I4" s="512" t="str">
        <f>Begriffe!F30</f>
        <v>Jahresgleichzeitigkeit</v>
      </c>
      <c r="J4" s="512" t="str">
        <f>Begriffe!F62</f>
        <v>Personenfläche</v>
      </c>
      <c r="K4" s="512" t="str">
        <f>Begriffe!F89</f>
        <v>Wärmeeintragsleistung Personen</v>
      </c>
      <c r="L4" s="514" t="str">
        <f>Begriffe!F22</f>
        <v>Feuchteproduktion Personen</v>
      </c>
      <c r="M4" s="513" t="str">
        <f>Begriffe!F19</f>
        <v>Elektrische Leistung der Geräte</v>
      </c>
      <c r="N4" s="512" t="str">
        <f>Begriffe!F33</f>
        <v>Jährliche Volllaststunden der Geräte</v>
      </c>
      <c r="O4" s="512" t="str">
        <f>Begriffe!F40</f>
        <v>Jährlicher Elektrizitätsbedarf der Geräte</v>
      </c>
      <c r="P4" s="876" t="str">
        <f>Begriffe!F27</f>
        <v>Glasflächenzahl</v>
      </c>
      <c r="Q4" s="877" t="str">
        <f>Begriffe!F65</f>
        <v>Raumindex</v>
      </c>
      <c r="R4" s="1757" t="str">
        <f>Begriffe!F51</f>
        <v>Leuchten-Lichtausbeute</v>
      </c>
      <c r="S4" s="1757" t="str">
        <f>Begriffe!F67</f>
        <v>Raumwirkungsgrad</v>
      </c>
      <c r="T4" s="512" t="str">
        <f>Begriffe!F18</f>
        <v>Elektrische Leistung der Raumbeleuchtung</v>
      </c>
      <c r="U4" s="512" t="str">
        <f>Begriffe!F17</f>
        <v>Elektrische Leistung der Akzentbeleuchtung</v>
      </c>
      <c r="V4" s="512" t="str">
        <f>Begriffe!F302</f>
        <v>Elektrische Leistung Beleuchtung</v>
      </c>
      <c r="W4" s="512" t="str">
        <f>Begriffe!F37</f>
        <v xml:space="preserve">Jährliche Volllaststunden der Raumbeleuchtung </v>
      </c>
      <c r="X4" s="512" t="str">
        <f>Begriffe!F38</f>
        <v xml:space="preserve">Jährliche Volllaststunden der Akzentbeleuchtung </v>
      </c>
      <c r="Y4" s="514" t="str">
        <f>Begriffe!F39</f>
        <v>Jährlicher Elektrizitätsbedarf Beleuchtung</v>
      </c>
      <c r="Z4" s="876" t="str">
        <f>Begriffe!F10</f>
        <v>Aussenluft-Volumenstrom</v>
      </c>
      <c r="AA4" s="877" t="str">
        <f>Begriffe!F20</f>
        <v>Elektrische Leistung der Lüftung</v>
      </c>
      <c r="AB4" s="512" t="str">
        <f>Begriffe!F34</f>
        <v>Jährliche Volllaststunden der Lüftung</v>
      </c>
      <c r="AC4" s="512" t="str">
        <f>Begriffe!F41</f>
        <v>Jährlicher Elektrizitätsbedarf für die Lüftung</v>
      </c>
      <c r="AD4" s="513" t="str">
        <f>Begriffe!F21</f>
        <v>Externe Wärmeeintragsleistung</v>
      </c>
      <c r="AE4" s="512" t="str">
        <f>Begriffe!F29</f>
        <v>Interne Wärmeeintragsleistung</v>
      </c>
      <c r="AF4" s="512" t="str">
        <f>Begriffe!F28</f>
        <v>Interne Wärmeeinträge pro Tag</v>
      </c>
      <c r="AG4" s="512" t="str">
        <f>Begriffe!$F57 &amp; " " &amp; Begriffe!$F329</f>
        <v>Notwendigkeit einer Kühlung mit Fensterlüftung Tag und Nacht</v>
      </c>
      <c r="AH4" s="512" t="str">
        <f>Begriffe!$F57 &amp; " " &amp; Begriffe!$F330</f>
        <v>Notwendigkeit einer Kühlung mit Fensterlüftung bei Belegung</v>
      </c>
      <c r="AI4" s="512" t="str">
        <f>Begriffe!$F57 &amp; " " &amp; Begriffe!$F331</f>
        <v>Notwendigkeit einer Kühlung ohne Fensterlüftung</v>
      </c>
      <c r="AJ4" s="512" t="str">
        <f>Begriffe!F46</f>
        <v>Klimakälteleistungsbedarf</v>
      </c>
      <c r="AK4" s="512" t="str">
        <f>Begriffe!F35</f>
        <v>Jährliche Volllaststunden der Raumkühlung</v>
      </c>
      <c r="AL4" s="514" t="str">
        <f>Begriffe!F44</f>
        <v>Jährlicher Klimakältebedarf</v>
      </c>
      <c r="AM4" s="512" t="str">
        <f>Begriffe!F91</f>
        <v>Wärmetransferkoeffizient</v>
      </c>
      <c r="AN4" s="512" t="str">
        <f>Begriffe!F94</f>
        <v>Zeitkonstante</v>
      </c>
      <c r="AO4" s="512" t="str">
        <f>Begriffe!F75</f>
        <v>Temperaturkorrektur</v>
      </c>
      <c r="AP4" s="512" t="str">
        <f>Begriffe!F56</f>
        <v>Norm-Heizwärmeleistungsbedarf</v>
      </c>
      <c r="AQ4" s="512" t="str">
        <f>Begriffe!F36</f>
        <v>Jährliche Volllaststunden der Raumheizung</v>
      </c>
      <c r="AR4" s="514" t="str">
        <f>Begriffe!F43</f>
        <v xml:space="preserve">Jährlicher Heizwärmebedarf </v>
      </c>
      <c r="AS4" s="512" t="str">
        <f>Begriffe!F92</f>
        <v>Warmwasserbedarf pro Person</v>
      </c>
      <c r="AT4" s="512" t="str">
        <f>Begriffe!F93</f>
        <v>Wasserbedarf pro Person</v>
      </c>
      <c r="AU4" s="514" t="str">
        <f>Begriffe!F45</f>
        <v>Jährlicher Wärmebedarf für Warmwasser</v>
      </c>
      <c r="AX4" s="513" t="s">
        <v>373</v>
      </c>
      <c r="AY4" s="512" t="s">
        <v>1376</v>
      </c>
      <c r="AZ4" s="512" t="s">
        <v>1377</v>
      </c>
      <c r="BA4" s="513" t="s">
        <v>866</v>
      </c>
      <c r="BB4" s="512" t="s">
        <v>867</v>
      </c>
      <c r="BC4" s="512" t="s">
        <v>868</v>
      </c>
      <c r="BD4" s="512" t="s">
        <v>103</v>
      </c>
      <c r="BE4" s="512" t="s">
        <v>131</v>
      </c>
      <c r="BF4" s="512" t="s">
        <v>735</v>
      </c>
      <c r="BG4" s="514" t="s">
        <v>754</v>
      </c>
      <c r="BH4" s="513" t="s">
        <v>967</v>
      </c>
      <c r="BI4" s="512" t="s">
        <v>1282</v>
      </c>
      <c r="BJ4" s="512" t="s">
        <v>1014</v>
      </c>
      <c r="BK4" s="876" t="s">
        <v>737</v>
      </c>
      <c r="BL4" s="877" t="s">
        <v>738</v>
      </c>
      <c r="BM4" s="1757" t="s">
        <v>739</v>
      </c>
      <c r="BN4" s="1757" t="s">
        <v>740</v>
      </c>
      <c r="BO4" s="512" t="s">
        <v>964</v>
      </c>
      <c r="BP4" s="512" t="s">
        <v>961</v>
      </c>
      <c r="BQ4" s="512" t="s">
        <v>769</v>
      </c>
      <c r="BR4" s="512" t="s">
        <v>1005</v>
      </c>
      <c r="BS4" s="512" t="s">
        <v>1008</v>
      </c>
      <c r="BT4" s="514" t="s">
        <v>741</v>
      </c>
      <c r="BU4" s="876" t="s">
        <v>540</v>
      </c>
      <c r="BV4" s="877" t="s">
        <v>970</v>
      </c>
      <c r="BW4" s="512" t="s">
        <v>1281</v>
      </c>
      <c r="BX4" s="512" t="s">
        <v>1016</v>
      </c>
      <c r="BY4" s="513" t="s">
        <v>841</v>
      </c>
      <c r="BZ4" s="512" t="s">
        <v>842</v>
      </c>
      <c r="CA4" s="512" t="s">
        <v>742</v>
      </c>
      <c r="CB4" s="512" t="s">
        <v>1378</v>
      </c>
      <c r="CC4" s="512" t="s">
        <v>1379</v>
      </c>
      <c r="CD4" s="512" t="s">
        <v>1380</v>
      </c>
      <c r="CE4" s="512" t="s">
        <v>744</v>
      </c>
      <c r="CF4" s="512" t="s">
        <v>1283</v>
      </c>
      <c r="CG4" s="514" t="s">
        <v>746</v>
      </c>
      <c r="CH4" s="512" t="s">
        <v>887</v>
      </c>
      <c r="CI4" s="512" t="s">
        <v>747</v>
      </c>
      <c r="CJ4" s="512" t="s">
        <v>1102</v>
      </c>
      <c r="CK4" s="512" t="s">
        <v>748</v>
      </c>
      <c r="CL4" s="512" t="s">
        <v>1284</v>
      </c>
      <c r="CM4" s="514" t="s">
        <v>1023</v>
      </c>
      <c r="CN4" s="512" t="s">
        <v>824</v>
      </c>
      <c r="CO4" s="512" t="s">
        <v>823</v>
      </c>
      <c r="CP4" s="514" t="s">
        <v>749</v>
      </c>
      <c r="CR4" s="513" t="s">
        <v>373</v>
      </c>
      <c r="CS4" s="512" t="s">
        <v>1376</v>
      </c>
      <c r="CT4" s="512" t="s">
        <v>1377</v>
      </c>
      <c r="CU4" s="513" t="s">
        <v>866</v>
      </c>
      <c r="CV4" s="512" t="s">
        <v>867</v>
      </c>
      <c r="CW4" s="512" t="s">
        <v>868</v>
      </c>
      <c r="CX4" s="512" t="s">
        <v>103</v>
      </c>
      <c r="CY4" s="512" t="s">
        <v>131</v>
      </c>
      <c r="CZ4" s="512" t="s">
        <v>735</v>
      </c>
      <c r="DA4" s="514" t="s">
        <v>754</v>
      </c>
      <c r="DB4" s="513" t="s">
        <v>967</v>
      </c>
      <c r="DC4" s="512" t="s">
        <v>1282</v>
      </c>
      <c r="DD4" s="512" t="s">
        <v>1014</v>
      </c>
      <c r="DE4" s="876" t="s">
        <v>737</v>
      </c>
      <c r="DF4" s="877" t="s">
        <v>738</v>
      </c>
      <c r="DG4" s="1757" t="s">
        <v>739</v>
      </c>
      <c r="DH4" s="1757" t="s">
        <v>740</v>
      </c>
      <c r="DI4" s="512" t="s">
        <v>964</v>
      </c>
      <c r="DJ4" s="512" t="s">
        <v>961</v>
      </c>
      <c r="DK4" s="512" t="s">
        <v>769</v>
      </c>
      <c r="DL4" s="512" t="s">
        <v>1005</v>
      </c>
      <c r="DM4" s="512" t="s">
        <v>1008</v>
      </c>
      <c r="DN4" s="514" t="s">
        <v>741</v>
      </c>
      <c r="DO4" s="876" t="s">
        <v>540</v>
      </c>
      <c r="DP4" s="877" t="s">
        <v>970</v>
      </c>
      <c r="DQ4" s="512" t="s">
        <v>1281</v>
      </c>
      <c r="DR4" s="512" t="s">
        <v>1016</v>
      </c>
      <c r="DS4" s="513" t="s">
        <v>841</v>
      </c>
      <c r="DT4" s="512" t="s">
        <v>842</v>
      </c>
      <c r="DU4" s="512" t="s">
        <v>742</v>
      </c>
      <c r="DV4" s="512" t="s">
        <v>1378</v>
      </c>
      <c r="DW4" s="512" t="s">
        <v>1379</v>
      </c>
      <c r="DX4" s="512" t="s">
        <v>1380</v>
      </c>
      <c r="DY4" s="512" t="s">
        <v>744</v>
      </c>
      <c r="DZ4" s="512" t="s">
        <v>1283</v>
      </c>
      <c r="EA4" s="514" t="s">
        <v>746</v>
      </c>
      <c r="EB4" s="512" t="s">
        <v>887</v>
      </c>
      <c r="EC4" s="512" t="s">
        <v>747</v>
      </c>
      <c r="ED4" s="512" t="s">
        <v>1102</v>
      </c>
      <c r="EE4" s="512" t="s">
        <v>748</v>
      </c>
      <c r="EF4" s="512" t="s">
        <v>1284</v>
      </c>
      <c r="EG4" s="514" t="s">
        <v>1023</v>
      </c>
      <c r="EH4" s="512" t="s">
        <v>824</v>
      </c>
      <c r="EI4" s="512" t="s">
        <v>823</v>
      </c>
      <c r="EJ4" s="514" t="s">
        <v>749</v>
      </c>
    </row>
    <row r="5" spans="1:140" ht="15.6">
      <c r="A5" s="919"/>
      <c r="B5" s="1350"/>
      <c r="C5" s="1758" t="s">
        <v>646</v>
      </c>
      <c r="D5" s="1759" t="s">
        <v>7</v>
      </c>
      <c r="E5" s="1759" t="s">
        <v>7</v>
      </c>
      <c r="F5" s="1758" t="s">
        <v>17</v>
      </c>
      <c r="G5" s="1759" t="s">
        <v>17</v>
      </c>
      <c r="H5" s="1759" t="s">
        <v>48</v>
      </c>
      <c r="I5" s="1759" t="s">
        <v>18</v>
      </c>
      <c r="J5" s="1759" t="s">
        <v>132</v>
      </c>
      <c r="K5" s="1759" t="s">
        <v>188</v>
      </c>
      <c r="L5" s="1760" t="s">
        <v>648</v>
      </c>
      <c r="M5" s="1758" t="s">
        <v>188</v>
      </c>
      <c r="N5" s="1759" t="s">
        <v>17</v>
      </c>
      <c r="O5" s="1761" t="s">
        <v>649</v>
      </c>
      <c r="P5" s="1758" t="s">
        <v>18</v>
      </c>
      <c r="Q5" s="1761" t="s">
        <v>18</v>
      </c>
      <c r="R5" s="1761" t="s">
        <v>97</v>
      </c>
      <c r="S5" s="1761" t="s">
        <v>18</v>
      </c>
      <c r="T5" s="1761" t="s">
        <v>188</v>
      </c>
      <c r="U5" s="1761" t="s">
        <v>188</v>
      </c>
      <c r="V5" s="1761" t="s">
        <v>188</v>
      </c>
      <c r="W5" s="1762" t="s">
        <v>17</v>
      </c>
      <c r="X5" s="1762" t="s">
        <v>17</v>
      </c>
      <c r="Y5" s="1763" t="s">
        <v>649</v>
      </c>
      <c r="Z5" s="1764" t="s">
        <v>240</v>
      </c>
      <c r="AA5" s="1761" t="s">
        <v>188</v>
      </c>
      <c r="AB5" s="1762" t="s">
        <v>17</v>
      </c>
      <c r="AC5" s="1763" t="s">
        <v>649</v>
      </c>
      <c r="AD5" s="1765" t="s">
        <v>188</v>
      </c>
      <c r="AE5" s="1761" t="s">
        <v>188</v>
      </c>
      <c r="AF5" s="1759" t="s">
        <v>694</v>
      </c>
      <c r="AG5" s="1759"/>
      <c r="AH5" s="1759"/>
      <c r="AI5" s="1759"/>
      <c r="AJ5" s="1759" t="s">
        <v>188</v>
      </c>
      <c r="AK5" s="1759" t="s">
        <v>17</v>
      </c>
      <c r="AL5" s="1763" t="s">
        <v>649</v>
      </c>
      <c r="AM5" s="1761" t="s">
        <v>62</v>
      </c>
      <c r="AN5" s="1761" t="s">
        <v>17</v>
      </c>
      <c r="AO5" s="1761" t="s">
        <v>73</v>
      </c>
      <c r="AP5" s="1759" t="s">
        <v>188</v>
      </c>
      <c r="AQ5" s="1759" t="s">
        <v>17</v>
      </c>
      <c r="AR5" s="1763" t="s">
        <v>649</v>
      </c>
      <c r="AS5" s="1766" t="s">
        <v>916</v>
      </c>
      <c r="AT5" s="1759" t="s">
        <v>916</v>
      </c>
      <c r="AU5" s="1763" t="s">
        <v>649</v>
      </c>
      <c r="AX5" s="1758" t="s">
        <v>273</v>
      </c>
      <c r="AY5" s="1759" t="s">
        <v>7</v>
      </c>
      <c r="AZ5" s="1759" t="s">
        <v>7</v>
      </c>
      <c r="BA5" s="1758" t="s">
        <v>17</v>
      </c>
      <c r="BB5" s="1759" t="s">
        <v>17</v>
      </c>
      <c r="BC5" s="1759" t="s">
        <v>48</v>
      </c>
      <c r="BD5" s="1759" t="s">
        <v>18</v>
      </c>
      <c r="BE5" s="1759" t="s">
        <v>132</v>
      </c>
      <c r="BF5" s="1759" t="s">
        <v>29</v>
      </c>
      <c r="BG5" s="1760" t="s">
        <v>1381</v>
      </c>
      <c r="BH5" s="1758" t="s">
        <v>29</v>
      </c>
      <c r="BI5" s="1759" t="s">
        <v>17</v>
      </c>
      <c r="BJ5" s="1761" t="s">
        <v>168</v>
      </c>
      <c r="BK5" s="1758" t="s">
        <v>18</v>
      </c>
      <c r="BL5" s="1761" t="s">
        <v>18</v>
      </c>
      <c r="BM5" s="1761" t="s">
        <v>97</v>
      </c>
      <c r="BN5" s="1761" t="s">
        <v>18</v>
      </c>
      <c r="BO5" s="1761" t="s">
        <v>29</v>
      </c>
      <c r="BP5" s="1761" t="s">
        <v>29</v>
      </c>
      <c r="BQ5" s="1761" t="s">
        <v>29</v>
      </c>
      <c r="BR5" s="1762" t="s">
        <v>17</v>
      </c>
      <c r="BS5" s="1762" t="s">
        <v>17</v>
      </c>
      <c r="BT5" s="1763" t="s">
        <v>168</v>
      </c>
      <c r="BU5" s="1764" t="s">
        <v>1384</v>
      </c>
      <c r="BV5" s="1761" t="s">
        <v>29</v>
      </c>
      <c r="BW5" s="1762" t="s">
        <v>17</v>
      </c>
      <c r="BX5" s="1763" t="s">
        <v>168</v>
      </c>
      <c r="BY5" s="1765" t="s">
        <v>29</v>
      </c>
      <c r="BZ5" s="1761" t="s">
        <v>29</v>
      </c>
      <c r="CA5" s="1759" t="s">
        <v>789</v>
      </c>
      <c r="CB5" s="1759"/>
      <c r="CC5" s="1759"/>
      <c r="CD5" s="1759"/>
      <c r="CE5" s="1759" t="s">
        <v>29</v>
      </c>
      <c r="CF5" s="1759" t="s">
        <v>17</v>
      </c>
      <c r="CG5" s="1763" t="s">
        <v>168</v>
      </c>
      <c r="CH5" s="1761" t="s">
        <v>62</v>
      </c>
      <c r="CI5" s="1761" t="s">
        <v>17</v>
      </c>
      <c r="CJ5" s="1761" t="s">
        <v>73</v>
      </c>
      <c r="CK5" s="1759" t="s">
        <v>29</v>
      </c>
      <c r="CL5" s="1759" t="s">
        <v>17</v>
      </c>
      <c r="CM5" s="1763" t="s">
        <v>168</v>
      </c>
      <c r="CN5" s="1766" t="s">
        <v>1383</v>
      </c>
      <c r="CO5" s="1759" t="s">
        <v>1383</v>
      </c>
      <c r="CP5" s="1763" t="s">
        <v>168</v>
      </c>
      <c r="CR5" s="1758" t="s">
        <v>273</v>
      </c>
      <c r="CS5" s="1759" t="s">
        <v>7</v>
      </c>
      <c r="CT5" s="1759" t="s">
        <v>7</v>
      </c>
      <c r="CU5" s="1758" t="s">
        <v>17</v>
      </c>
      <c r="CV5" s="1759" t="s">
        <v>17</v>
      </c>
      <c r="CW5" s="1759" t="s">
        <v>48</v>
      </c>
      <c r="CX5" s="1759" t="s">
        <v>18</v>
      </c>
      <c r="CY5" s="1759" t="s">
        <v>132</v>
      </c>
      <c r="CZ5" s="1759" t="s">
        <v>29</v>
      </c>
      <c r="DA5" s="1760" t="s">
        <v>1381</v>
      </c>
      <c r="DB5" s="1758" t="s">
        <v>29</v>
      </c>
      <c r="DC5" s="1759" t="s">
        <v>17</v>
      </c>
      <c r="DD5" s="1761" t="s">
        <v>168</v>
      </c>
      <c r="DE5" s="1758" t="s">
        <v>18</v>
      </c>
      <c r="DF5" s="1761" t="s">
        <v>18</v>
      </c>
      <c r="DG5" s="1761" t="s">
        <v>97</v>
      </c>
      <c r="DH5" s="1761" t="s">
        <v>18</v>
      </c>
      <c r="DI5" s="1761" t="s">
        <v>29</v>
      </c>
      <c r="DJ5" s="1761" t="s">
        <v>29</v>
      </c>
      <c r="DK5" s="1761" t="s">
        <v>29</v>
      </c>
      <c r="DL5" s="1762" t="s">
        <v>17</v>
      </c>
      <c r="DM5" s="1762" t="s">
        <v>17</v>
      </c>
      <c r="DN5" s="1763" t="s">
        <v>168</v>
      </c>
      <c r="DO5" s="1764" t="s">
        <v>1384</v>
      </c>
      <c r="DP5" s="1761" t="s">
        <v>29</v>
      </c>
      <c r="DQ5" s="1762" t="s">
        <v>17</v>
      </c>
      <c r="DR5" s="1763" t="s">
        <v>168</v>
      </c>
      <c r="DS5" s="1765" t="s">
        <v>29</v>
      </c>
      <c r="DT5" s="1761" t="s">
        <v>29</v>
      </c>
      <c r="DU5" s="1759" t="s">
        <v>789</v>
      </c>
      <c r="DV5" s="1759"/>
      <c r="DW5" s="1759"/>
      <c r="DX5" s="1759"/>
      <c r="DY5" s="1759" t="s">
        <v>29</v>
      </c>
      <c r="DZ5" s="1759" t="s">
        <v>17</v>
      </c>
      <c r="EA5" s="1763" t="s">
        <v>168</v>
      </c>
      <c r="EB5" s="1761" t="s">
        <v>62</v>
      </c>
      <c r="EC5" s="1761" t="s">
        <v>17</v>
      </c>
      <c r="ED5" s="1761" t="s">
        <v>73</v>
      </c>
      <c r="EE5" s="1759" t="s">
        <v>29</v>
      </c>
      <c r="EF5" s="1759" t="s">
        <v>17</v>
      </c>
      <c r="EG5" s="1763" t="s">
        <v>168</v>
      </c>
      <c r="EH5" s="1766" t="s">
        <v>1383</v>
      </c>
      <c r="EI5" s="1759" t="s">
        <v>1383</v>
      </c>
      <c r="EJ5" s="1763" t="s">
        <v>168</v>
      </c>
    </row>
    <row r="6" spans="1:140">
      <c r="A6" s="892">
        <f>Eingabedaten!A10</f>
        <v>1.1000000000000001</v>
      </c>
      <c r="B6" s="1701" t="str">
        <f>Eingabedaten!C10</f>
        <v>Wohnen MFH</v>
      </c>
      <c r="C6" s="1474"/>
      <c r="D6" s="918"/>
      <c r="E6" s="918"/>
      <c r="F6" s="912"/>
      <c r="G6" s="913"/>
      <c r="H6" s="913"/>
      <c r="I6" s="913"/>
      <c r="J6" s="913"/>
      <c r="K6" s="913"/>
      <c r="L6" s="1767"/>
      <c r="M6" s="1040">
        <v>4</v>
      </c>
      <c r="N6" s="913">
        <v>1780</v>
      </c>
      <c r="O6" s="915">
        <v>7.12</v>
      </c>
      <c r="P6" s="1768"/>
      <c r="Q6" s="914"/>
      <c r="R6" s="915">
        <v>47.3</v>
      </c>
      <c r="S6" s="914">
        <v>0.75524475524475521</v>
      </c>
      <c r="T6" s="914">
        <v>1.7495693367786394</v>
      </c>
      <c r="U6" s="914">
        <v>0</v>
      </c>
      <c r="V6" s="914">
        <v>1.7495693367786394</v>
      </c>
      <c r="W6" s="915">
        <v>1110</v>
      </c>
      <c r="X6" s="915">
        <v>0</v>
      </c>
      <c r="Y6" s="1041">
        <v>1.9420219638242897</v>
      </c>
      <c r="Z6" s="914">
        <v>1</v>
      </c>
      <c r="AA6" s="914">
        <v>0.16600000000000001</v>
      </c>
      <c r="AB6" s="915">
        <v>4120</v>
      </c>
      <c r="AC6" s="1041">
        <v>0.68392000000000008</v>
      </c>
      <c r="AD6" s="1040">
        <v>11.77729411764706</v>
      </c>
      <c r="AE6" s="915">
        <v>8.0495693367786387</v>
      </c>
      <c r="AF6" s="915">
        <v>58.351182543029324</v>
      </c>
      <c r="AG6" s="915" t="s">
        <v>18</v>
      </c>
      <c r="AH6" s="915" t="s">
        <v>18</v>
      </c>
      <c r="AI6" s="915" t="s">
        <v>18</v>
      </c>
      <c r="AJ6" s="915">
        <v>10</v>
      </c>
      <c r="AK6" s="915">
        <v>650</v>
      </c>
      <c r="AL6" s="1041">
        <v>6.5095000000000001</v>
      </c>
      <c r="AM6" s="915">
        <v>9.2929411764705883</v>
      </c>
      <c r="AN6" s="915">
        <v>258.26053930877328</v>
      </c>
      <c r="AO6" s="915">
        <v>0</v>
      </c>
      <c r="AP6" s="915">
        <v>13.474764705882354</v>
      </c>
      <c r="AQ6" s="915">
        <v>830</v>
      </c>
      <c r="AR6" s="1041">
        <v>11.162709299675951</v>
      </c>
      <c r="AS6" s="913"/>
      <c r="AT6" s="915"/>
      <c r="AU6" s="1041">
        <v>19.75866666666667</v>
      </c>
      <c r="AX6" s="1474"/>
      <c r="AY6" s="918"/>
      <c r="AZ6" s="918"/>
      <c r="BA6" s="912"/>
      <c r="BB6" s="913"/>
      <c r="BC6" s="913"/>
      <c r="BD6" s="913"/>
      <c r="BE6" s="913"/>
      <c r="BF6" s="913"/>
      <c r="BG6" s="1767"/>
      <c r="BH6" s="1040">
        <v>4</v>
      </c>
      <c r="BI6" s="913">
        <v>1780</v>
      </c>
      <c r="BJ6" s="915">
        <v>7.12</v>
      </c>
      <c r="BK6" s="1768"/>
      <c r="BL6" s="914"/>
      <c r="BM6" s="915">
        <v>47.3</v>
      </c>
      <c r="BN6" s="914">
        <v>0.75524475524475521</v>
      </c>
      <c r="BO6" s="914">
        <v>1.7495693367786394</v>
      </c>
      <c r="BP6" s="914">
        <v>0</v>
      </c>
      <c r="BQ6" s="914">
        <v>1.7495693367786394</v>
      </c>
      <c r="BR6" s="915">
        <v>1110</v>
      </c>
      <c r="BS6" s="915">
        <v>0</v>
      </c>
      <c r="BT6" s="1041">
        <v>1.9420219638242897</v>
      </c>
      <c r="BU6" s="914">
        <v>1</v>
      </c>
      <c r="BV6" s="914">
        <v>0.16600000000000001</v>
      </c>
      <c r="BW6" s="915">
        <v>4620</v>
      </c>
      <c r="BX6" s="1041">
        <v>0.76692000000000005</v>
      </c>
      <c r="BY6" s="1040">
        <v>11.77729411764706</v>
      </c>
      <c r="BZ6" s="915">
        <v>8.0495693367786387</v>
      </c>
      <c r="CA6" s="915">
        <v>58.351182543029324</v>
      </c>
      <c r="CB6" s="915" t="s">
        <v>18</v>
      </c>
      <c r="CC6" s="915" t="s">
        <v>18</v>
      </c>
      <c r="CD6" s="915" t="s">
        <v>18</v>
      </c>
      <c r="CE6" s="915">
        <v>10</v>
      </c>
      <c r="CF6" s="915">
        <v>650</v>
      </c>
      <c r="CG6" s="1041">
        <v>6.5095000000000001</v>
      </c>
      <c r="CH6" s="915">
        <v>9.2929411764705883</v>
      </c>
      <c r="CI6" s="915">
        <v>258.26053930877328</v>
      </c>
      <c r="CJ6" s="915">
        <v>0</v>
      </c>
      <c r="CK6" s="915">
        <v>13.474764705882354</v>
      </c>
      <c r="CL6" s="915">
        <v>840</v>
      </c>
      <c r="CM6" s="1041">
        <v>11.353114710777263</v>
      </c>
      <c r="CN6" s="913"/>
      <c r="CO6" s="915"/>
      <c r="CP6" s="1041">
        <v>19.75866666666667</v>
      </c>
      <c r="CR6" s="1474">
        <f>C6-AX6</f>
        <v>0</v>
      </c>
      <c r="CS6" s="918">
        <f t="shared" ref="CS6:EJ11" si="0">D6-AY6</f>
        <v>0</v>
      </c>
      <c r="CT6" s="918">
        <f t="shared" si="0"/>
        <v>0</v>
      </c>
      <c r="CU6" s="912">
        <f t="shared" si="0"/>
        <v>0</v>
      </c>
      <c r="CV6" s="913">
        <f t="shared" si="0"/>
        <v>0</v>
      </c>
      <c r="CW6" s="913">
        <f t="shared" si="0"/>
        <v>0</v>
      </c>
      <c r="CX6" s="913">
        <f t="shared" si="0"/>
        <v>0</v>
      </c>
      <c r="CY6" s="913">
        <f t="shared" si="0"/>
        <v>0</v>
      </c>
      <c r="CZ6" s="913">
        <f t="shared" si="0"/>
        <v>0</v>
      </c>
      <c r="DA6" s="1767">
        <f t="shared" si="0"/>
        <v>0</v>
      </c>
      <c r="DB6" s="1040">
        <f t="shared" si="0"/>
        <v>0</v>
      </c>
      <c r="DC6" s="913">
        <f t="shared" si="0"/>
        <v>0</v>
      </c>
      <c r="DD6" s="915">
        <f t="shared" si="0"/>
        <v>0</v>
      </c>
      <c r="DE6" s="1768">
        <f t="shared" si="0"/>
        <v>0</v>
      </c>
      <c r="DF6" s="914">
        <f t="shared" si="0"/>
        <v>0</v>
      </c>
      <c r="DG6" s="915">
        <f t="shared" si="0"/>
        <v>0</v>
      </c>
      <c r="DH6" s="914">
        <f t="shared" si="0"/>
        <v>0</v>
      </c>
      <c r="DI6" s="914">
        <f t="shared" si="0"/>
        <v>0</v>
      </c>
      <c r="DJ6" s="914">
        <f t="shared" si="0"/>
        <v>0</v>
      </c>
      <c r="DK6" s="914">
        <f t="shared" si="0"/>
        <v>0</v>
      </c>
      <c r="DL6" s="915">
        <f t="shared" si="0"/>
        <v>0</v>
      </c>
      <c r="DM6" s="915">
        <f t="shared" si="0"/>
        <v>0</v>
      </c>
      <c r="DN6" s="1041">
        <f t="shared" si="0"/>
        <v>0</v>
      </c>
      <c r="DO6" s="914">
        <f t="shared" si="0"/>
        <v>0</v>
      </c>
      <c r="DP6" s="914">
        <f t="shared" si="0"/>
        <v>0</v>
      </c>
      <c r="DQ6" s="915">
        <f t="shared" si="0"/>
        <v>-500</v>
      </c>
      <c r="DR6" s="1041">
        <f t="shared" si="0"/>
        <v>-8.2999999999999963E-2</v>
      </c>
      <c r="DS6" s="1040">
        <f t="shared" si="0"/>
        <v>0</v>
      </c>
      <c r="DT6" s="915">
        <f t="shared" si="0"/>
        <v>0</v>
      </c>
      <c r="DU6" s="915">
        <f t="shared" si="0"/>
        <v>0</v>
      </c>
      <c r="DV6" s="915" t="e">
        <f t="shared" si="0"/>
        <v>#VALUE!</v>
      </c>
      <c r="DW6" s="915" t="e">
        <f t="shared" si="0"/>
        <v>#VALUE!</v>
      </c>
      <c r="DX6" s="915" t="e">
        <f t="shared" si="0"/>
        <v>#VALUE!</v>
      </c>
      <c r="DY6" s="915">
        <f t="shared" si="0"/>
        <v>0</v>
      </c>
      <c r="DZ6" s="915">
        <f t="shared" si="0"/>
        <v>0</v>
      </c>
      <c r="EA6" s="1041">
        <f t="shared" si="0"/>
        <v>0</v>
      </c>
      <c r="EB6" s="915">
        <f t="shared" si="0"/>
        <v>0</v>
      </c>
      <c r="EC6" s="915">
        <f t="shared" si="0"/>
        <v>0</v>
      </c>
      <c r="ED6" s="915">
        <f t="shared" si="0"/>
        <v>0</v>
      </c>
      <c r="EE6" s="915">
        <f t="shared" si="0"/>
        <v>0</v>
      </c>
      <c r="EF6" s="915">
        <f t="shared" si="0"/>
        <v>-10</v>
      </c>
      <c r="EG6" s="1041">
        <f t="shared" si="0"/>
        <v>-0.19040541110131137</v>
      </c>
      <c r="EH6" s="913">
        <f t="shared" si="0"/>
        <v>0</v>
      </c>
      <c r="EI6" s="915">
        <f t="shared" si="0"/>
        <v>0</v>
      </c>
      <c r="EJ6" s="1041">
        <f t="shared" si="0"/>
        <v>0</v>
      </c>
    </row>
    <row r="7" spans="1:140">
      <c r="A7" s="892">
        <f>Eingabedaten!A11</f>
        <v>1.2</v>
      </c>
      <c r="B7" s="1701" t="str">
        <f>Eingabedaten!C11</f>
        <v>Wohnen EFH</v>
      </c>
      <c r="C7" s="1474"/>
      <c r="D7" s="918"/>
      <c r="E7" s="918"/>
      <c r="F7" s="912"/>
      <c r="G7" s="913"/>
      <c r="H7" s="913"/>
      <c r="I7" s="913"/>
      <c r="J7" s="913"/>
      <c r="K7" s="913"/>
      <c r="L7" s="1767"/>
      <c r="M7" s="1040">
        <v>4</v>
      </c>
      <c r="N7" s="913">
        <v>1780</v>
      </c>
      <c r="O7" s="915">
        <v>7.12</v>
      </c>
      <c r="P7" s="1768"/>
      <c r="Q7" s="914"/>
      <c r="R7" s="915">
        <v>47.3</v>
      </c>
      <c r="S7" s="914">
        <v>0.75524475524475521</v>
      </c>
      <c r="T7" s="914">
        <v>1.7495693367786394</v>
      </c>
      <c r="U7" s="914">
        <v>0</v>
      </c>
      <c r="V7" s="914">
        <v>1.7495693367786394</v>
      </c>
      <c r="W7" s="915">
        <v>1110</v>
      </c>
      <c r="X7" s="915">
        <v>0</v>
      </c>
      <c r="Y7" s="1041">
        <v>1.9420219638242897</v>
      </c>
      <c r="Z7" s="914">
        <v>0.6</v>
      </c>
      <c r="AA7" s="914">
        <v>9.9600000000000008E-2</v>
      </c>
      <c r="AB7" s="915">
        <v>4120</v>
      </c>
      <c r="AC7" s="1041">
        <v>0.41035200000000005</v>
      </c>
      <c r="AD7" s="1040">
        <v>12.011929411764708</v>
      </c>
      <c r="AE7" s="915">
        <v>7.1495693367786401</v>
      </c>
      <c r="AF7" s="915">
        <v>45.751182543029323</v>
      </c>
      <c r="AG7" s="915" t="s">
        <v>18</v>
      </c>
      <c r="AH7" s="915" t="s">
        <v>18</v>
      </c>
      <c r="AI7" s="915" t="s">
        <v>18</v>
      </c>
      <c r="AJ7" s="915">
        <v>9</v>
      </c>
      <c r="AK7" s="915">
        <v>600</v>
      </c>
      <c r="AL7" s="1041">
        <v>5.4065000000000003</v>
      </c>
      <c r="AM7" s="915">
        <v>10.075058823529412</v>
      </c>
      <c r="AN7" s="915">
        <v>238.21200868773207</v>
      </c>
      <c r="AO7" s="915">
        <v>0</v>
      </c>
      <c r="AP7" s="915">
        <v>14.608835294117648</v>
      </c>
      <c r="AQ7" s="915">
        <v>1180</v>
      </c>
      <c r="AR7" s="1041">
        <v>17.301766768485805</v>
      </c>
      <c r="AS7" s="913"/>
      <c r="AT7" s="915"/>
      <c r="AU7" s="1041">
        <v>13.548800000000002</v>
      </c>
      <c r="AX7" s="1474"/>
      <c r="AY7" s="918"/>
      <c r="AZ7" s="918"/>
      <c r="BA7" s="912"/>
      <c r="BB7" s="913"/>
      <c r="BC7" s="913"/>
      <c r="BD7" s="913"/>
      <c r="BE7" s="913"/>
      <c r="BF7" s="913"/>
      <c r="BG7" s="1767"/>
      <c r="BH7" s="1040">
        <v>4</v>
      </c>
      <c r="BI7" s="913">
        <v>1780</v>
      </c>
      <c r="BJ7" s="915">
        <v>7.12</v>
      </c>
      <c r="BK7" s="1768"/>
      <c r="BL7" s="914"/>
      <c r="BM7" s="915">
        <v>47.3</v>
      </c>
      <c r="BN7" s="914">
        <v>0.75524475524475521</v>
      </c>
      <c r="BO7" s="914">
        <v>1.7495693367786394</v>
      </c>
      <c r="BP7" s="914">
        <v>0</v>
      </c>
      <c r="BQ7" s="914">
        <v>1.7495693367786394</v>
      </c>
      <c r="BR7" s="915">
        <v>1110</v>
      </c>
      <c r="BS7" s="915">
        <v>0</v>
      </c>
      <c r="BT7" s="1041">
        <v>1.9420219638242897</v>
      </c>
      <c r="BU7" s="914">
        <v>0.6</v>
      </c>
      <c r="BV7" s="914">
        <v>9.9600000000000008E-2</v>
      </c>
      <c r="BW7" s="915">
        <v>4620</v>
      </c>
      <c r="BX7" s="1041">
        <v>0.46015200000000006</v>
      </c>
      <c r="BY7" s="1040">
        <v>12.011929411764708</v>
      </c>
      <c r="BZ7" s="915">
        <v>7.1495693367786401</v>
      </c>
      <c r="CA7" s="915">
        <v>45.751182543029323</v>
      </c>
      <c r="CB7" s="915" t="s">
        <v>18</v>
      </c>
      <c r="CC7" s="915" t="s">
        <v>18</v>
      </c>
      <c r="CD7" s="915" t="s">
        <v>18</v>
      </c>
      <c r="CE7" s="915">
        <v>9</v>
      </c>
      <c r="CF7" s="915">
        <v>600</v>
      </c>
      <c r="CG7" s="1041">
        <v>5.4065000000000003</v>
      </c>
      <c r="CH7" s="915">
        <v>10.075058823529412</v>
      </c>
      <c r="CI7" s="915">
        <v>238.21200868773207</v>
      </c>
      <c r="CJ7" s="915">
        <v>0</v>
      </c>
      <c r="CK7" s="915">
        <v>14.608835294117648</v>
      </c>
      <c r="CL7" s="915">
        <v>1190</v>
      </c>
      <c r="CM7" s="1041">
        <v>17.343836700394448</v>
      </c>
      <c r="CN7" s="913"/>
      <c r="CO7" s="915"/>
      <c r="CP7" s="1041">
        <v>13.548800000000002</v>
      </c>
      <c r="CR7" s="1474">
        <f t="shared" ref="CR7:CR50" si="1">C7-AX7</f>
        <v>0</v>
      </c>
      <c r="CS7" s="918">
        <f t="shared" si="0"/>
        <v>0</v>
      </c>
      <c r="CT7" s="918">
        <f t="shared" si="0"/>
        <v>0</v>
      </c>
      <c r="CU7" s="912">
        <f t="shared" si="0"/>
        <v>0</v>
      </c>
      <c r="CV7" s="913">
        <f t="shared" si="0"/>
        <v>0</v>
      </c>
      <c r="CW7" s="913">
        <f t="shared" si="0"/>
        <v>0</v>
      </c>
      <c r="CX7" s="913">
        <f t="shared" si="0"/>
        <v>0</v>
      </c>
      <c r="CY7" s="913">
        <f t="shared" si="0"/>
        <v>0</v>
      </c>
      <c r="CZ7" s="913">
        <f t="shared" si="0"/>
        <v>0</v>
      </c>
      <c r="DA7" s="1767">
        <f t="shared" si="0"/>
        <v>0</v>
      </c>
      <c r="DB7" s="1040">
        <f t="shared" si="0"/>
        <v>0</v>
      </c>
      <c r="DC7" s="913">
        <f t="shared" si="0"/>
        <v>0</v>
      </c>
      <c r="DD7" s="915">
        <f t="shared" si="0"/>
        <v>0</v>
      </c>
      <c r="DE7" s="1768">
        <f t="shared" si="0"/>
        <v>0</v>
      </c>
      <c r="DF7" s="914">
        <f t="shared" si="0"/>
        <v>0</v>
      </c>
      <c r="DG7" s="915">
        <f t="shared" si="0"/>
        <v>0</v>
      </c>
      <c r="DH7" s="914">
        <f t="shared" si="0"/>
        <v>0</v>
      </c>
      <c r="DI7" s="914">
        <f t="shared" si="0"/>
        <v>0</v>
      </c>
      <c r="DJ7" s="914">
        <f t="shared" si="0"/>
        <v>0</v>
      </c>
      <c r="DK7" s="914">
        <f t="shared" si="0"/>
        <v>0</v>
      </c>
      <c r="DL7" s="915">
        <f t="shared" si="0"/>
        <v>0</v>
      </c>
      <c r="DM7" s="915">
        <f t="shared" si="0"/>
        <v>0</v>
      </c>
      <c r="DN7" s="1041">
        <f t="shared" si="0"/>
        <v>0</v>
      </c>
      <c r="DO7" s="914">
        <f t="shared" si="0"/>
        <v>0</v>
      </c>
      <c r="DP7" s="914">
        <f t="shared" si="0"/>
        <v>0</v>
      </c>
      <c r="DQ7" s="915">
        <f t="shared" si="0"/>
        <v>-500</v>
      </c>
      <c r="DR7" s="1041">
        <f t="shared" si="0"/>
        <v>-4.9800000000000011E-2</v>
      </c>
      <c r="DS7" s="1040">
        <f t="shared" si="0"/>
        <v>0</v>
      </c>
      <c r="DT7" s="915">
        <f t="shared" si="0"/>
        <v>0</v>
      </c>
      <c r="DU7" s="915">
        <f t="shared" si="0"/>
        <v>0</v>
      </c>
      <c r="DV7" s="915" t="e">
        <f t="shared" si="0"/>
        <v>#VALUE!</v>
      </c>
      <c r="DW7" s="915" t="e">
        <f t="shared" si="0"/>
        <v>#VALUE!</v>
      </c>
      <c r="DX7" s="915" t="e">
        <f t="shared" si="0"/>
        <v>#VALUE!</v>
      </c>
      <c r="DY7" s="915">
        <f t="shared" si="0"/>
        <v>0</v>
      </c>
      <c r="DZ7" s="915">
        <f t="shared" si="0"/>
        <v>0</v>
      </c>
      <c r="EA7" s="1041">
        <f t="shared" si="0"/>
        <v>0</v>
      </c>
      <c r="EB7" s="915">
        <f t="shared" si="0"/>
        <v>0</v>
      </c>
      <c r="EC7" s="915">
        <f t="shared" si="0"/>
        <v>0</v>
      </c>
      <c r="ED7" s="915">
        <f t="shared" si="0"/>
        <v>0</v>
      </c>
      <c r="EE7" s="915">
        <f t="shared" si="0"/>
        <v>0</v>
      </c>
      <c r="EF7" s="915">
        <f t="shared" si="0"/>
        <v>-10</v>
      </c>
      <c r="EG7" s="1041">
        <f t="shared" si="0"/>
        <v>-4.2069931908642388E-2</v>
      </c>
      <c r="EH7" s="913">
        <f t="shared" si="0"/>
        <v>0</v>
      </c>
      <c r="EI7" s="915">
        <f t="shared" si="0"/>
        <v>0</v>
      </c>
      <c r="EJ7" s="1041">
        <f t="shared" si="0"/>
        <v>0</v>
      </c>
    </row>
    <row r="8" spans="1:140">
      <c r="A8" s="878">
        <f>Eingabedaten!A12</f>
        <v>2.1</v>
      </c>
      <c r="B8" s="1364" t="str">
        <f>Eingabedaten!C12</f>
        <v xml:space="preserve">Hotelzimmer </v>
      </c>
      <c r="C8" s="1390"/>
      <c r="D8" s="879"/>
      <c r="E8" s="879"/>
      <c r="F8" s="908"/>
      <c r="G8" s="909"/>
      <c r="H8" s="909"/>
      <c r="I8" s="909"/>
      <c r="J8" s="909"/>
      <c r="K8" s="909"/>
      <c r="L8" s="1772"/>
      <c r="M8" s="1038">
        <v>4</v>
      </c>
      <c r="N8" s="909">
        <v>1530</v>
      </c>
      <c r="O8" s="911">
        <v>6.12</v>
      </c>
      <c r="P8" s="1773"/>
      <c r="Q8" s="910"/>
      <c r="R8" s="911">
        <v>47.3</v>
      </c>
      <c r="S8" s="910">
        <v>0.75524475524475521</v>
      </c>
      <c r="T8" s="910">
        <v>1.7495693367786394</v>
      </c>
      <c r="U8" s="910">
        <v>0</v>
      </c>
      <c r="V8" s="910">
        <v>1.7495693367786394</v>
      </c>
      <c r="W8" s="911">
        <v>920</v>
      </c>
      <c r="X8" s="911">
        <v>0</v>
      </c>
      <c r="Y8" s="1039">
        <v>1.6096037898363482</v>
      </c>
      <c r="Z8" s="910">
        <v>2.4</v>
      </c>
      <c r="AA8" s="910">
        <v>0.81600000000000006</v>
      </c>
      <c r="AB8" s="911">
        <v>3100</v>
      </c>
      <c r="AC8" s="1039">
        <v>2.5296000000000003</v>
      </c>
      <c r="AD8" s="1038">
        <v>12.314894117647059</v>
      </c>
      <c r="AE8" s="911">
        <v>10.449569336778639</v>
      </c>
      <c r="AF8" s="911">
        <v>83.090913675320891</v>
      </c>
      <c r="AG8" s="911" t="s">
        <v>1261</v>
      </c>
      <c r="AH8" s="911" t="s">
        <v>1261</v>
      </c>
      <c r="AI8" s="911" t="s">
        <v>1260</v>
      </c>
      <c r="AJ8" s="911">
        <v>10</v>
      </c>
      <c r="AK8" s="911">
        <v>730</v>
      </c>
      <c r="AL8" s="1039">
        <v>7.2725</v>
      </c>
      <c r="AM8" s="911">
        <v>11.084941176470588</v>
      </c>
      <c r="AN8" s="911">
        <v>216.50994459892596</v>
      </c>
      <c r="AO8" s="911">
        <v>0</v>
      </c>
      <c r="AP8" s="911">
        <v>16.073164705882355</v>
      </c>
      <c r="AQ8" s="911">
        <v>600</v>
      </c>
      <c r="AR8" s="1039">
        <v>9.6467773460083066</v>
      </c>
      <c r="AS8" s="909"/>
      <c r="AT8" s="911"/>
      <c r="AU8" s="1039">
        <v>39.517333333333333</v>
      </c>
      <c r="AX8" s="1390"/>
      <c r="AY8" s="879"/>
      <c r="AZ8" s="879"/>
      <c r="BA8" s="908"/>
      <c r="BB8" s="909"/>
      <c r="BC8" s="909"/>
      <c r="BD8" s="909"/>
      <c r="BE8" s="909"/>
      <c r="BF8" s="909"/>
      <c r="BG8" s="1772"/>
      <c r="BH8" s="1038">
        <v>4</v>
      </c>
      <c r="BI8" s="909">
        <v>1530</v>
      </c>
      <c r="BJ8" s="911">
        <v>6.12</v>
      </c>
      <c r="BK8" s="1773"/>
      <c r="BL8" s="910"/>
      <c r="BM8" s="911">
        <v>47.3</v>
      </c>
      <c r="BN8" s="910">
        <v>0.75524475524475521</v>
      </c>
      <c r="BO8" s="910">
        <v>1.7495693367786394</v>
      </c>
      <c r="BP8" s="910">
        <v>0</v>
      </c>
      <c r="BQ8" s="910">
        <v>1.7495693367786394</v>
      </c>
      <c r="BR8" s="911">
        <v>920</v>
      </c>
      <c r="BS8" s="911">
        <v>0</v>
      </c>
      <c r="BT8" s="1039">
        <v>1.6096037898363482</v>
      </c>
      <c r="BU8" s="910">
        <v>2.4</v>
      </c>
      <c r="BV8" s="910">
        <v>0.81600000000000006</v>
      </c>
      <c r="BW8" s="911">
        <v>3440</v>
      </c>
      <c r="BX8" s="1039">
        <v>2.8070400000000002</v>
      </c>
      <c r="BY8" s="1038">
        <v>12.314894117647059</v>
      </c>
      <c r="BZ8" s="911">
        <v>10.449569336778639</v>
      </c>
      <c r="CA8" s="911">
        <v>83.090913675320891</v>
      </c>
      <c r="CB8" s="911" t="s">
        <v>860</v>
      </c>
      <c r="CC8" s="911" t="s">
        <v>860</v>
      </c>
      <c r="CD8" s="911" t="s">
        <v>784</v>
      </c>
      <c r="CE8" s="911">
        <v>10</v>
      </c>
      <c r="CF8" s="911">
        <v>730</v>
      </c>
      <c r="CG8" s="1039">
        <v>7.2725</v>
      </c>
      <c r="CH8" s="911">
        <v>11.084941176470588</v>
      </c>
      <c r="CI8" s="911">
        <v>216.50994459892596</v>
      </c>
      <c r="CJ8" s="911">
        <v>0</v>
      </c>
      <c r="CK8" s="911">
        <v>16.073164705882355</v>
      </c>
      <c r="CL8" s="911">
        <v>660</v>
      </c>
      <c r="CM8" s="1039">
        <v>10.56702851190556</v>
      </c>
      <c r="CN8" s="909"/>
      <c r="CO8" s="911"/>
      <c r="CP8" s="1039">
        <v>39.517333333333333</v>
      </c>
      <c r="CR8" s="1390">
        <f t="shared" si="1"/>
        <v>0</v>
      </c>
      <c r="CS8" s="879">
        <f t="shared" si="0"/>
        <v>0</v>
      </c>
      <c r="CT8" s="879">
        <f t="shared" si="0"/>
        <v>0</v>
      </c>
      <c r="CU8" s="908">
        <f t="shared" si="0"/>
        <v>0</v>
      </c>
      <c r="CV8" s="909">
        <f t="shared" si="0"/>
        <v>0</v>
      </c>
      <c r="CW8" s="909">
        <f t="shared" si="0"/>
        <v>0</v>
      </c>
      <c r="CX8" s="909">
        <f t="shared" si="0"/>
        <v>0</v>
      </c>
      <c r="CY8" s="909">
        <f t="shared" si="0"/>
        <v>0</v>
      </c>
      <c r="CZ8" s="909">
        <f t="shared" si="0"/>
        <v>0</v>
      </c>
      <c r="DA8" s="1772">
        <f t="shared" si="0"/>
        <v>0</v>
      </c>
      <c r="DB8" s="1038">
        <f t="shared" si="0"/>
        <v>0</v>
      </c>
      <c r="DC8" s="909">
        <f t="shared" si="0"/>
        <v>0</v>
      </c>
      <c r="DD8" s="911">
        <f t="shared" si="0"/>
        <v>0</v>
      </c>
      <c r="DE8" s="1773">
        <f t="shared" si="0"/>
        <v>0</v>
      </c>
      <c r="DF8" s="910">
        <f t="shared" si="0"/>
        <v>0</v>
      </c>
      <c r="DG8" s="911">
        <f t="shared" si="0"/>
        <v>0</v>
      </c>
      <c r="DH8" s="910">
        <f t="shared" si="0"/>
        <v>0</v>
      </c>
      <c r="DI8" s="910">
        <f t="shared" si="0"/>
        <v>0</v>
      </c>
      <c r="DJ8" s="910">
        <f t="shared" si="0"/>
        <v>0</v>
      </c>
      <c r="DK8" s="910">
        <f t="shared" si="0"/>
        <v>0</v>
      </c>
      <c r="DL8" s="911">
        <f t="shared" si="0"/>
        <v>0</v>
      </c>
      <c r="DM8" s="911">
        <f t="shared" si="0"/>
        <v>0</v>
      </c>
      <c r="DN8" s="1039">
        <f t="shared" si="0"/>
        <v>0</v>
      </c>
      <c r="DO8" s="910">
        <f t="shared" si="0"/>
        <v>0</v>
      </c>
      <c r="DP8" s="910">
        <f t="shared" si="0"/>
        <v>0</v>
      </c>
      <c r="DQ8" s="911">
        <f t="shared" si="0"/>
        <v>-340</v>
      </c>
      <c r="DR8" s="1039">
        <f t="shared" si="0"/>
        <v>-0.27743999999999991</v>
      </c>
      <c r="DS8" s="1038">
        <f t="shared" si="0"/>
        <v>0</v>
      </c>
      <c r="DT8" s="911">
        <f t="shared" si="0"/>
        <v>0</v>
      </c>
      <c r="DU8" s="911">
        <f t="shared" si="0"/>
        <v>0</v>
      </c>
      <c r="DV8" s="911" t="e">
        <f t="shared" si="0"/>
        <v>#VALUE!</v>
      </c>
      <c r="DW8" s="911" t="e">
        <f t="shared" si="0"/>
        <v>#VALUE!</v>
      </c>
      <c r="DX8" s="911" t="e">
        <f t="shared" si="0"/>
        <v>#VALUE!</v>
      </c>
      <c r="DY8" s="911">
        <f t="shared" si="0"/>
        <v>0</v>
      </c>
      <c r="DZ8" s="911">
        <f t="shared" si="0"/>
        <v>0</v>
      </c>
      <c r="EA8" s="1039">
        <f t="shared" si="0"/>
        <v>0</v>
      </c>
      <c r="EB8" s="911">
        <f t="shared" si="0"/>
        <v>0</v>
      </c>
      <c r="EC8" s="911">
        <f t="shared" si="0"/>
        <v>0</v>
      </c>
      <c r="ED8" s="911">
        <f t="shared" si="0"/>
        <v>0</v>
      </c>
      <c r="EE8" s="911">
        <f t="shared" si="0"/>
        <v>0</v>
      </c>
      <c r="EF8" s="911">
        <f t="shared" si="0"/>
        <v>-60</v>
      </c>
      <c r="EG8" s="1039">
        <f t="shared" si="0"/>
        <v>-0.92025116589725364</v>
      </c>
      <c r="EH8" s="909">
        <f t="shared" si="0"/>
        <v>0</v>
      </c>
      <c r="EI8" s="911">
        <f t="shared" si="0"/>
        <v>0</v>
      </c>
      <c r="EJ8" s="1039">
        <f t="shared" si="0"/>
        <v>0</v>
      </c>
    </row>
    <row r="9" spans="1:140">
      <c r="A9" s="880">
        <f>Eingabedaten!A13</f>
        <v>2.2000000000000002</v>
      </c>
      <c r="B9" s="1409" t="str">
        <f>Eingabedaten!C13</f>
        <v>Empfang, Lobby</v>
      </c>
      <c r="C9" s="1434"/>
      <c r="D9" s="881"/>
      <c r="E9" s="881"/>
      <c r="F9" s="1758"/>
      <c r="G9" s="1759"/>
      <c r="H9" s="1759"/>
      <c r="I9" s="1759"/>
      <c r="J9" s="1759"/>
      <c r="K9" s="1759"/>
      <c r="L9" s="1760"/>
      <c r="M9" s="1774">
        <v>3</v>
      </c>
      <c r="N9" s="1759">
        <v>2990</v>
      </c>
      <c r="O9" s="1762">
        <v>8.9700000000000006</v>
      </c>
      <c r="P9" s="1775"/>
      <c r="Q9" s="1761"/>
      <c r="R9" s="1762">
        <v>59.8</v>
      </c>
      <c r="S9" s="1761">
        <v>0.87567567567567584</v>
      </c>
      <c r="T9" s="1761">
        <v>7.1612164003468344</v>
      </c>
      <c r="U9" s="1761">
        <v>0</v>
      </c>
      <c r="V9" s="1761">
        <v>7.1612164003468344</v>
      </c>
      <c r="W9" s="1762">
        <v>3210</v>
      </c>
      <c r="X9" s="1762">
        <v>0</v>
      </c>
      <c r="Y9" s="1776">
        <v>22.98750464511334</v>
      </c>
      <c r="Z9" s="1761">
        <v>7.2</v>
      </c>
      <c r="AA9" s="1761">
        <v>2.4480000000000004</v>
      </c>
      <c r="AB9" s="1762">
        <v>2680</v>
      </c>
      <c r="AC9" s="1776">
        <v>6.5606400000000011</v>
      </c>
      <c r="AD9" s="1774">
        <v>14.939074509803921</v>
      </c>
      <c r="AE9" s="1762">
        <v>24.161216400346834</v>
      </c>
      <c r="AF9" s="1762">
        <v>257.41690592079476</v>
      </c>
      <c r="AG9" s="1762" t="s">
        <v>1259</v>
      </c>
      <c r="AH9" s="1762" t="s">
        <v>1259</v>
      </c>
      <c r="AI9" s="1762" t="s">
        <v>1259</v>
      </c>
      <c r="AJ9" s="1762">
        <v>27</v>
      </c>
      <c r="AK9" s="1762">
        <v>1040</v>
      </c>
      <c r="AL9" s="1776">
        <v>27.991944444444446</v>
      </c>
      <c r="AM9" s="1762">
        <v>118.82014117647059</v>
      </c>
      <c r="AN9" s="1762">
        <v>123.13063976477746</v>
      </c>
      <c r="AO9" s="1762">
        <v>-1</v>
      </c>
      <c r="AP9" s="1762">
        <v>24.754196078431374</v>
      </c>
      <c r="AQ9" s="1762">
        <v>10</v>
      </c>
      <c r="AR9" s="1776">
        <v>0.3235018737545145</v>
      </c>
      <c r="AS9" s="1759"/>
      <c r="AT9" s="1762"/>
      <c r="AU9" s="1776">
        <v>0</v>
      </c>
      <c r="AX9" s="1434"/>
      <c r="AY9" s="881"/>
      <c r="AZ9" s="881"/>
      <c r="BA9" s="1758"/>
      <c r="BB9" s="1759"/>
      <c r="BC9" s="1759"/>
      <c r="BD9" s="1759"/>
      <c r="BE9" s="1759"/>
      <c r="BF9" s="1759"/>
      <c r="BG9" s="1760"/>
      <c r="BH9" s="1774">
        <v>3</v>
      </c>
      <c r="BI9" s="1759">
        <v>2990</v>
      </c>
      <c r="BJ9" s="1762">
        <v>8.9700000000000006</v>
      </c>
      <c r="BK9" s="1775"/>
      <c r="BL9" s="1761"/>
      <c r="BM9" s="1762">
        <v>59.8</v>
      </c>
      <c r="BN9" s="1761">
        <v>0.87567567567567584</v>
      </c>
      <c r="BO9" s="1761">
        <v>7.1612164003468344</v>
      </c>
      <c r="BP9" s="1761">
        <v>0</v>
      </c>
      <c r="BQ9" s="1761">
        <v>7.1612164003468344</v>
      </c>
      <c r="BR9" s="1762">
        <v>3210</v>
      </c>
      <c r="BS9" s="1762">
        <v>0</v>
      </c>
      <c r="BT9" s="1776">
        <v>22.98750464511334</v>
      </c>
      <c r="BU9" s="1761">
        <v>7.2</v>
      </c>
      <c r="BV9" s="1761">
        <v>2.4480000000000004</v>
      </c>
      <c r="BW9" s="1762">
        <v>2680</v>
      </c>
      <c r="BX9" s="1776">
        <v>6.5606400000000011</v>
      </c>
      <c r="BY9" s="1774">
        <v>14.939074509803921</v>
      </c>
      <c r="BZ9" s="1762">
        <v>24.161216400346834</v>
      </c>
      <c r="CA9" s="1762">
        <v>257.41690592079476</v>
      </c>
      <c r="CB9" s="1762" t="s">
        <v>785</v>
      </c>
      <c r="CC9" s="1762" t="s">
        <v>785</v>
      </c>
      <c r="CD9" s="1762" t="s">
        <v>785</v>
      </c>
      <c r="CE9" s="1762">
        <v>27</v>
      </c>
      <c r="CF9" s="1762">
        <v>1040</v>
      </c>
      <c r="CG9" s="1776">
        <v>27.991944444444446</v>
      </c>
      <c r="CH9" s="1762">
        <v>118.82014117647059</v>
      </c>
      <c r="CI9" s="1762">
        <v>123.13063976477746</v>
      </c>
      <c r="CJ9" s="1762">
        <v>-1</v>
      </c>
      <c r="CK9" s="1762">
        <v>24.754196078431374</v>
      </c>
      <c r="CL9" s="1762">
        <v>150</v>
      </c>
      <c r="CM9" s="1776">
        <v>3.8270786101167893</v>
      </c>
      <c r="CN9" s="1759"/>
      <c r="CO9" s="1762"/>
      <c r="CP9" s="1776">
        <v>0</v>
      </c>
      <c r="CR9" s="1434">
        <f t="shared" si="1"/>
        <v>0</v>
      </c>
      <c r="CS9" s="881">
        <f t="shared" si="0"/>
        <v>0</v>
      </c>
      <c r="CT9" s="881">
        <f t="shared" si="0"/>
        <v>0</v>
      </c>
      <c r="CU9" s="1758">
        <f t="shared" si="0"/>
        <v>0</v>
      </c>
      <c r="CV9" s="1759">
        <f t="shared" si="0"/>
        <v>0</v>
      </c>
      <c r="CW9" s="1759">
        <f t="shared" si="0"/>
        <v>0</v>
      </c>
      <c r="CX9" s="1759">
        <f t="shared" si="0"/>
        <v>0</v>
      </c>
      <c r="CY9" s="1759">
        <f t="shared" si="0"/>
        <v>0</v>
      </c>
      <c r="CZ9" s="1759">
        <f t="shared" si="0"/>
        <v>0</v>
      </c>
      <c r="DA9" s="1760">
        <f t="shared" si="0"/>
        <v>0</v>
      </c>
      <c r="DB9" s="1774">
        <f t="shared" si="0"/>
        <v>0</v>
      </c>
      <c r="DC9" s="1759">
        <f t="shared" si="0"/>
        <v>0</v>
      </c>
      <c r="DD9" s="1762">
        <f t="shared" si="0"/>
        <v>0</v>
      </c>
      <c r="DE9" s="1775">
        <f t="shared" si="0"/>
        <v>0</v>
      </c>
      <c r="DF9" s="1761">
        <f t="shared" si="0"/>
        <v>0</v>
      </c>
      <c r="DG9" s="1762">
        <f t="shared" si="0"/>
        <v>0</v>
      </c>
      <c r="DH9" s="1761">
        <f t="shared" si="0"/>
        <v>0</v>
      </c>
      <c r="DI9" s="1761">
        <f t="shared" si="0"/>
        <v>0</v>
      </c>
      <c r="DJ9" s="1761">
        <f t="shared" si="0"/>
        <v>0</v>
      </c>
      <c r="DK9" s="1761">
        <f t="shared" si="0"/>
        <v>0</v>
      </c>
      <c r="DL9" s="1762">
        <f t="shared" si="0"/>
        <v>0</v>
      </c>
      <c r="DM9" s="1762">
        <f t="shared" si="0"/>
        <v>0</v>
      </c>
      <c r="DN9" s="1776">
        <f t="shared" si="0"/>
        <v>0</v>
      </c>
      <c r="DO9" s="1761">
        <f t="shared" si="0"/>
        <v>0</v>
      </c>
      <c r="DP9" s="1761">
        <f t="shared" si="0"/>
        <v>0</v>
      </c>
      <c r="DQ9" s="1762">
        <f t="shared" si="0"/>
        <v>0</v>
      </c>
      <c r="DR9" s="1776">
        <f t="shared" si="0"/>
        <v>0</v>
      </c>
      <c r="DS9" s="1774">
        <f t="shared" si="0"/>
        <v>0</v>
      </c>
      <c r="DT9" s="1762">
        <f t="shared" si="0"/>
        <v>0</v>
      </c>
      <c r="DU9" s="1762">
        <f t="shared" si="0"/>
        <v>0</v>
      </c>
      <c r="DV9" s="1762" t="e">
        <f t="shared" si="0"/>
        <v>#VALUE!</v>
      </c>
      <c r="DW9" s="1762" t="e">
        <f t="shared" si="0"/>
        <v>#VALUE!</v>
      </c>
      <c r="DX9" s="1762" t="e">
        <f t="shared" si="0"/>
        <v>#VALUE!</v>
      </c>
      <c r="DY9" s="1762">
        <f t="shared" si="0"/>
        <v>0</v>
      </c>
      <c r="DZ9" s="1762">
        <f t="shared" si="0"/>
        <v>0</v>
      </c>
      <c r="EA9" s="1776">
        <f t="shared" si="0"/>
        <v>0</v>
      </c>
      <c r="EB9" s="1762">
        <f t="shared" si="0"/>
        <v>0</v>
      </c>
      <c r="EC9" s="1762">
        <f t="shared" si="0"/>
        <v>0</v>
      </c>
      <c r="ED9" s="1762">
        <f t="shared" si="0"/>
        <v>0</v>
      </c>
      <c r="EE9" s="1762">
        <f t="shared" si="0"/>
        <v>0</v>
      </c>
      <c r="EF9" s="1762">
        <f t="shared" si="0"/>
        <v>-140</v>
      </c>
      <c r="EG9" s="1776">
        <f t="shared" si="0"/>
        <v>-3.503576736362275</v>
      </c>
      <c r="EH9" s="1759">
        <f t="shared" si="0"/>
        <v>0</v>
      </c>
      <c r="EI9" s="1762">
        <f t="shared" si="0"/>
        <v>0</v>
      </c>
      <c r="EJ9" s="1776">
        <f t="shared" si="0"/>
        <v>0</v>
      </c>
    </row>
    <row r="10" spans="1:140">
      <c r="A10" s="878">
        <f>Eingabedaten!A14</f>
        <v>3.1</v>
      </c>
      <c r="B10" s="1364" t="str">
        <f>Eingabedaten!C14</f>
        <v>Einzel-, Gruppenbüro</v>
      </c>
      <c r="C10" s="1390"/>
      <c r="D10" s="879"/>
      <c r="E10" s="879"/>
      <c r="F10" s="908"/>
      <c r="G10" s="909"/>
      <c r="H10" s="909"/>
      <c r="I10" s="909"/>
      <c r="J10" s="909"/>
      <c r="K10" s="909"/>
      <c r="L10" s="1772"/>
      <c r="M10" s="1038">
        <v>3</v>
      </c>
      <c r="N10" s="909">
        <v>1930</v>
      </c>
      <c r="O10" s="911">
        <v>5.79</v>
      </c>
      <c r="P10" s="1773"/>
      <c r="Q10" s="910"/>
      <c r="R10" s="911">
        <v>69.8</v>
      </c>
      <c r="S10" s="910">
        <v>0.77142857142857146</v>
      </c>
      <c r="T10" s="910">
        <v>11.60723761010294</v>
      </c>
      <c r="U10" s="910">
        <v>0</v>
      </c>
      <c r="V10" s="910">
        <v>11.60723761010294</v>
      </c>
      <c r="W10" s="911">
        <v>470</v>
      </c>
      <c r="X10" s="911">
        <v>0</v>
      </c>
      <c r="Y10" s="1039">
        <v>5.4554016767483819</v>
      </c>
      <c r="Z10" s="910">
        <v>2.5714285714285716</v>
      </c>
      <c r="AA10" s="910">
        <v>0.87428571428571444</v>
      </c>
      <c r="AB10" s="911">
        <v>1470</v>
      </c>
      <c r="AC10" s="1039">
        <v>1.2852000000000003</v>
      </c>
      <c r="AD10" s="1038">
        <v>19.104840336134455</v>
      </c>
      <c r="AE10" s="911">
        <v>19.607237610102942</v>
      </c>
      <c r="AF10" s="911">
        <v>68.374048962219732</v>
      </c>
      <c r="AG10" s="911" t="s">
        <v>1261</v>
      </c>
      <c r="AH10" s="911" t="s">
        <v>1261</v>
      </c>
      <c r="AI10" s="911" t="s">
        <v>1261</v>
      </c>
      <c r="AJ10" s="911">
        <v>20</v>
      </c>
      <c r="AK10" s="911">
        <v>540</v>
      </c>
      <c r="AL10" s="1039">
        <v>10.801388888888889</v>
      </c>
      <c r="AM10" s="911">
        <v>24.734924369747901</v>
      </c>
      <c r="AN10" s="911">
        <v>162.86283878542773</v>
      </c>
      <c r="AO10" s="911">
        <v>-1</v>
      </c>
      <c r="AP10" s="911">
        <v>20.612436974789919</v>
      </c>
      <c r="AQ10" s="911">
        <v>830</v>
      </c>
      <c r="AR10" s="1039">
        <v>17.163424271662439</v>
      </c>
      <c r="AS10" s="909"/>
      <c r="AT10" s="911"/>
      <c r="AU10" s="1039">
        <v>2.5950857142857147</v>
      </c>
      <c r="AX10" s="1390"/>
      <c r="AY10" s="879"/>
      <c r="AZ10" s="879"/>
      <c r="BA10" s="908"/>
      <c r="BB10" s="909"/>
      <c r="BC10" s="909"/>
      <c r="BD10" s="909"/>
      <c r="BE10" s="909"/>
      <c r="BF10" s="909"/>
      <c r="BG10" s="1772"/>
      <c r="BH10" s="1038">
        <v>3</v>
      </c>
      <c r="BI10" s="909">
        <v>1930</v>
      </c>
      <c r="BJ10" s="911">
        <v>5.79</v>
      </c>
      <c r="BK10" s="1773"/>
      <c r="BL10" s="910"/>
      <c r="BM10" s="911">
        <v>69.8</v>
      </c>
      <c r="BN10" s="910">
        <v>0.77142857142857146</v>
      </c>
      <c r="BO10" s="910">
        <v>11.60723761010294</v>
      </c>
      <c r="BP10" s="910">
        <v>0</v>
      </c>
      <c r="BQ10" s="910">
        <v>11.60723761010294</v>
      </c>
      <c r="BR10" s="911">
        <v>470</v>
      </c>
      <c r="BS10" s="911">
        <v>0</v>
      </c>
      <c r="BT10" s="1039">
        <v>5.4554016767483819</v>
      </c>
      <c r="BU10" s="910">
        <v>2.5714285714285716</v>
      </c>
      <c r="BV10" s="910">
        <v>0.87428571428571444</v>
      </c>
      <c r="BW10" s="911">
        <v>1630</v>
      </c>
      <c r="BX10" s="1039">
        <v>1.4250857142857147</v>
      </c>
      <c r="BY10" s="1038">
        <v>19.104840336134455</v>
      </c>
      <c r="BZ10" s="911">
        <v>19.607237610102942</v>
      </c>
      <c r="CA10" s="911">
        <v>68.374048962219732</v>
      </c>
      <c r="CB10" s="911" t="s">
        <v>860</v>
      </c>
      <c r="CC10" s="911" t="s">
        <v>860</v>
      </c>
      <c r="CD10" s="911" t="s">
        <v>860</v>
      </c>
      <c r="CE10" s="911">
        <v>20</v>
      </c>
      <c r="CF10" s="911">
        <v>540</v>
      </c>
      <c r="CG10" s="1039">
        <v>10.801388888888889</v>
      </c>
      <c r="CH10" s="911">
        <v>24.734924369747901</v>
      </c>
      <c r="CI10" s="911">
        <v>162.86283878542773</v>
      </c>
      <c r="CJ10" s="911">
        <v>-1</v>
      </c>
      <c r="CK10" s="911">
        <v>20.612436974789919</v>
      </c>
      <c r="CL10" s="911">
        <v>1010</v>
      </c>
      <c r="CM10" s="1039">
        <v>20.797944956367193</v>
      </c>
      <c r="CN10" s="909"/>
      <c r="CO10" s="911"/>
      <c r="CP10" s="1039">
        <v>2.5950857142857147</v>
      </c>
      <c r="CR10" s="1390">
        <f t="shared" si="1"/>
        <v>0</v>
      </c>
      <c r="CS10" s="879">
        <f t="shared" si="0"/>
        <v>0</v>
      </c>
      <c r="CT10" s="879">
        <f t="shared" si="0"/>
        <v>0</v>
      </c>
      <c r="CU10" s="908">
        <f t="shared" si="0"/>
        <v>0</v>
      </c>
      <c r="CV10" s="909">
        <f t="shared" si="0"/>
        <v>0</v>
      </c>
      <c r="CW10" s="909">
        <f t="shared" si="0"/>
        <v>0</v>
      </c>
      <c r="CX10" s="909">
        <f t="shared" si="0"/>
        <v>0</v>
      </c>
      <c r="CY10" s="909">
        <f t="shared" si="0"/>
        <v>0</v>
      </c>
      <c r="CZ10" s="909">
        <f t="shared" si="0"/>
        <v>0</v>
      </c>
      <c r="DA10" s="1772">
        <f t="shared" si="0"/>
        <v>0</v>
      </c>
      <c r="DB10" s="1038">
        <f t="shared" si="0"/>
        <v>0</v>
      </c>
      <c r="DC10" s="909">
        <f t="shared" si="0"/>
        <v>0</v>
      </c>
      <c r="DD10" s="911">
        <f t="shared" si="0"/>
        <v>0</v>
      </c>
      <c r="DE10" s="1773">
        <f t="shared" si="0"/>
        <v>0</v>
      </c>
      <c r="DF10" s="910">
        <f t="shared" si="0"/>
        <v>0</v>
      </c>
      <c r="DG10" s="911">
        <f t="shared" si="0"/>
        <v>0</v>
      </c>
      <c r="DH10" s="910">
        <f t="shared" si="0"/>
        <v>0</v>
      </c>
      <c r="DI10" s="910">
        <f t="shared" si="0"/>
        <v>0</v>
      </c>
      <c r="DJ10" s="910">
        <f t="shared" si="0"/>
        <v>0</v>
      </c>
      <c r="DK10" s="910">
        <f t="shared" si="0"/>
        <v>0</v>
      </c>
      <c r="DL10" s="911">
        <f t="shared" si="0"/>
        <v>0</v>
      </c>
      <c r="DM10" s="911">
        <f t="shared" si="0"/>
        <v>0</v>
      </c>
      <c r="DN10" s="1039">
        <f t="shared" si="0"/>
        <v>0</v>
      </c>
      <c r="DO10" s="910">
        <f t="shared" si="0"/>
        <v>0</v>
      </c>
      <c r="DP10" s="910">
        <f t="shared" si="0"/>
        <v>0</v>
      </c>
      <c r="DQ10" s="911">
        <f t="shared" si="0"/>
        <v>-160</v>
      </c>
      <c r="DR10" s="1039">
        <f t="shared" si="0"/>
        <v>-0.13988571428571439</v>
      </c>
      <c r="DS10" s="1038">
        <f t="shared" si="0"/>
        <v>0</v>
      </c>
      <c r="DT10" s="911">
        <f t="shared" si="0"/>
        <v>0</v>
      </c>
      <c r="DU10" s="911">
        <f t="shared" si="0"/>
        <v>0</v>
      </c>
      <c r="DV10" s="911" t="e">
        <f t="shared" si="0"/>
        <v>#VALUE!</v>
      </c>
      <c r="DW10" s="911" t="e">
        <f t="shared" si="0"/>
        <v>#VALUE!</v>
      </c>
      <c r="DX10" s="911" t="e">
        <f t="shared" si="0"/>
        <v>#VALUE!</v>
      </c>
      <c r="DY10" s="911">
        <f t="shared" si="0"/>
        <v>0</v>
      </c>
      <c r="DZ10" s="911">
        <f t="shared" si="0"/>
        <v>0</v>
      </c>
      <c r="EA10" s="1039">
        <f t="shared" si="0"/>
        <v>0</v>
      </c>
      <c r="EB10" s="911">
        <f t="shared" si="0"/>
        <v>0</v>
      </c>
      <c r="EC10" s="911">
        <f t="shared" si="0"/>
        <v>0</v>
      </c>
      <c r="ED10" s="911">
        <f t="shared" si="0"/>
        <v>0</v>
      </c>
      <c r="EE10" s="911">
        <f t="shared" si="0"/>
        <v>0</v>
      </c>
      <c r="EF10" s="911">
        <f t="shared" si="0"/>
        <v>-180</v>
      </c>
      <c r="EG10" s="1039">
        <f t="shared" si="0"/>
        <v>-3.6345206847047535</v>
      </c>
      <c r="EH10" s="909">
        <f t="shared" si="0"/>
        <v>0</v>
      </c>
      <c r="EI10" s="911">
        <f t="shared" si="0"/>
        <v>0</v>
      </c>
      <c r="EJ10" s="1039">
        <f t="shared" si="0"/>
        <v>0</v>
      </c>
    </row>
    <row r="11" spans="1:140">
      <c r="A11" s="882">
        <f>Eingabedaten!A15</f>
        <v>3.2</v>
      </c>
      <c r="B11" s="1013" t="str">
        <f>Eingabedaten!C15</f>
        <v>Grossraumbüro</v>
      </c>
      <c r="C11" s="1719"/>
      <c r="D11" s="873"/>
      <c r="E11" s="873"/>
      <c r="F11" s="912"/>
      <c r="G11" s="913"/>
      <c r="H11" s="913"/>
      <c r="I11" s="913"/>
      <c r="J11" s="913"/>
      <c r="K11" s="913"/>
      <c r="L11" s="1767"/>
      <c r="M11" s="1040">
        <v>4</v>
      </c>
      <c r="N11" s="913">
        <v>1930</v>
      </c>
      <c r="O11" s="915">
        <v>7.72</v>
      </c>
      <c r="P11" s="1768"/>
      <c r="Q11" s="914"/>
      <c r="R11" s="915">
        <v>69.8</v>
      </c>
      <c r="S11" s="914">
        <v>0.98181818181818192</v>
      </c>
      <c r="T11" s="914">
        <v>9.1199724079380236</v>
      </c>
      <c r="U11" s="914">
        <v>0</v>
      </c>
      <c r="V11" s="914">
        <v>9.1199724079380236</v>
      </c>
      <c r="W11" s="915">
        <v>1290</v>
      </c>
      <c r="X11" s="915">
        <v>0</v>
      </c>
      <c r="Y11" s="1041">
        <v>11.764764406240051</v>
      </c>
      <c r="Z11" s="914">
        <v>3.6</v>
      </c>
      <c r="AA11" s="914">
        <v>1.2240000000000002</v>
      </c>
      <c r="AB11" s="915">
        <v>1470</v>
      </c>
      <c r="AC11" s="1041">
        <v>1.7992800000000002</v>
      </c>
      <c r="AD11" s="1040">
        <v>10.779223529411766</v>
      </c>
      <c r="AE11" s="915">
        <v>20.119972407938022</v>
      </c>
      <c r="AF11" s="915">
        <v>142.82417504269065</v>
      </c>
      <c r="AG11" s="915" t="s">
        <v>1260</v>
      </c>
      <c r="AH11" s="915" t="s">
        <v>1259</v>
      </c>
      <c r="AI11" s="915" t="s">
        <v>1259</v>
      </c>
      <c r="AJ11" s="915">
        <v>18</v>
      </c>
      <c r="AK11" s="915">
        <v>680</v>
      </c>
      <c r="AL11" s="1041">
        <v>12.321805555555555</v>
      </c>
      <c r="AM11" s="915">
        <v>78.913129411764714</v>
      </c>
      <c r="AN11" s="915">
        <v>180.10691130798185</v>
      </c>
      <c r="AO11" s="915">
        <v>-1</v>
      </c>
      <c r="AP11" s="915">
        <v>16.440235294117649</v>
      </c>
      <c r="AQ11" s="915">
        <v>390</v>
      </c>
      <c r="AR11" s="1041">
        <v>6.4361878736838873</v>
      </c>
      <c r="AS11" s="913"/>
      <c r="AT11" s="915"/>
      <c r="AU11" s="1041">
        <v>3.6331200000000008</v>
      </c>
      <c r="AX11" s="1719"/>
      <c r="AY11" s="873"/>
      <c r="AZ11" s="873"/>
      <c r="BA11" s="912"/>
      <c r="BB11" s="913"/>
      <c r="BC11" s="913"/>
      <c r="BD11" s="913"/>
      <c r="BE11" s="913"/>
      <c r="BF11" s="913"/>
      <c r="BG11" s="1767"/>
      <c r="BH11" s="1040">
        <v>4</v>
      </c>
      <c r="BI11" s="913">
        <v>1930</v>
      </c>
      <c r="BJ11" s="915">
        <v>7.72</v>
      </c>
      <c r="BK11" s="1768"/>
      <c r="BL11" s="914"/>
      <c r="BM11" s="915">
        <v>69.8</v>
      </c>
      <c r="BN11" s="914">
        <v>0.98181818181818192</v>
      </c>
      <c r="BO11" s="914">
        <v>9.1199724079380236</v>
      </c>
      <c r="BP11" s="914">
        <v>0</v>
      </c>
      <c r="BQ11" s="914">
        <v>9.1199724079380236</v>
      </c>
      <c r="BR11" s="915">
        <v>1290</v>
      </c>
      <c r="BS11" s="915">
        <v>0</v>
      </c>
      <c r="BT11" s="1041">
        <v>11.764764406240051</v>
      </c>
      <c r="BU11" s="914">
        <v>3.6</v>
      </c>
      <c r="BV11" s="914">
        <v>1.2240000000000002</v>
      </c>
      <c r="BW11" s="915">
        <v>1630</v>
      </c>
      <c r="BX11" s="1041">
        <v>1.9951200000000004</v>
      </c>
      <c r="BY11" s="1040">
        <v>10.779223529411766</v>
      </c>
      <c r="BZ11" s="915">
        <v>20.119972407938022</v>
      </c>
      <c r="CA11" s="915">
        <v>142.82417504269065</v>
      </c>
      <c r="CB11" s="915" t="s">
        <v>784</v>
      </c>
      <c r="CC11" s="915" t="s">
        <v>785</v>
      </c>
      <c r="CD11" s="915" t="s">
        <v>785</v>
      </c>
      <c r="CE11" s="915">
        <v>18</v>
      </c>
      <c r="CF11" s="915">
        <v>680</v>
      </c>
      <c r="CG11" s="1041">
        <v>12.321805555555555</v>
      </c>
      <c r="CH11" s="915">
        <v>78.913129411764714</v>
      </c>
      <c r="CI11" s="915">
        <v>180.10691130798185</v>
      </c>
      <c r="CJ11" s="915">
        <v>-1</v>
      </c>
      <c r="CK11" s="915">
        <v>16.440235294117649</v>
      </c>
      <c r="CL11" s="915">
        <v>670</v>
      </c>
      <c r="CM11" s="1041">
        <v>11.038474099557604</v>
      </c>
      <c r="CN11" s="913"/>
      <c r="CO11" s="915"/>
      <c r="CP11" s="1041">
        <v>3.6331200000000008</v>
      </c>
      <c r="CR11" s="1719">
        <f t="shared" si="1"/>
        <v>0</v>
      </c>
      <c r="CS11" s="873">
        <f t="shared" si="0"/>
        <v>0</v>
      </c>
      <c r="CT11" s="873">
        <f t="shared" si="0"/>
        <v>0</v>
      </c>
      <c r="CU11" s="912">
        <f t="shared" si="0"/>
        <v>0</v>
      </c>
      <c r="CV11" s="913">
        <f t="shared" si="0"/>
        <v>0</v>
      </c>
      <c r="CW11" s="913">
        <f t="shared" si="0"/>
        <v>0</v>
      </c>
      <c r="CX11" s="913">
        <f t="shared" si="0"/>
        <v>0</v>
      </c>
      <c r="CY11" s="913">
        <f t="shared" si="0"/>
        <v>0</v>
      </c>
      <c r="CZ11" s="913">
        <f t="shared" si="0"/>
        <v>0</v>
      </c>
      <c r="DA11" s="1767">
        <f t="shared" si="0"/>
        <v>0</v>
      </c>
      <c r="DB11" s="1040">
        <f t="shared" si="0"/>
        <v>0</v>
      </c>
      <c r="DC11" s="913">
        <f t="shared" si="0"/>
        <v>0</v>
      </c>
      <c r="DD11" s="915">
        <f t="shared" si="0"/>
        <v>0</v>
      </c>
      <c r="DE11" s="1768">
        <f t="shared" si="0"/>
        <v>0</v>
      </c>
      <c r="DF11" s="914">
        <f t="shared" si="0"/>
        <v>0</v>
      </c>
      <c r="DG11" s="915">
        <f t="shared" si="0"/>
        <v>0</v>
      </c>
      <c r="DH11" s="914">
        <f t="shared" si="0"/>
        <v>0</v>
      </c>
      <c r="DI11" s="914">
        <f t="shared" si="0"/>
        <v>0</v>
      </c>
      <c r="DJ11" s="914">
        <f t="shared" si="0"/>
        <v>0</v>
      </c>
      <c r="DK11" s="914">
        <f t="shared" si="0"/>
        <v>0</v>
      </c>
      <c r="DL11" s="915">
        <f t="shared" si="0"/>
        <v>0</v>
      </c>
      <c r="DM11" s="915">
        <f t="shared" si="0"/>
        <v>0</v>
      </c>
      <c r="DN11" s="1041">
        <f t="shared" si="0"/>
        <v>0</v>
      </c>
      <c r="DO11" s="914">
        <f t="shared" si="0"/>
        <v>0</v>
      </c>
      <c r="DP11" s="914">
        <f t="shared" si="0"/>
        <v>0</v>
      </c>
      <c r="DQ11" s="915">
        <f t="shared" si="0"/>
        <v>-160</v>
      </c>
      <c r="DR11" s="1041">
        <f t="shared" si="0"/>
        <v>-0.19584000000000024</v>
      </c>
      <c r="DS11" s="1040">
        <f t="shared" si="0"/>
        <v>0</v>
      </c>
      <c r="DT11" s="915">
        <f t="shared" si="0"/>
        <v>0</v>
      </c>
      <c r="DU11" s="915">
        <f t="shared" si="0"/>
        <v>0</v>
      </c>
      <c r="DV11" s="915" t="e">
        <f t="shared" si="0"/>
        <v>#VALUE!</v>
      </c>
      <c r="DW11" s="915" t="e">
        <f t="shared" si="0"/>
        <v>#VALUE!</v>
      </c>
      <c r="DX11" s="915" t="e">
        <f t="shared" si="0"/>
        <v>#VALUE!</v>
      </c>
      <c r="DY11" s="915">
        <f t="shared" si="0"/>
        <v>0</v>
      </c>
      <c r="DZ11" s="915">
        <f t="shared" si="0"/>
        <v>0</v>
      </c>
      <c r="EA11" s="1041">
        <f t="shared" si="0"/>
        <v>0</v>
      </c>
      <c r="EB11" s="915">
        <f t="shared" ref="EB11:EB50" si="2">AM11-CH11</f>
        <v>0</v>
      </c>
      <c r="EC11" s="915">
        <f t="shared" ref="EC11:EC50" si="3">AN11-CI11</f>
        <v>0</v>
      </c>
      <c r="ED11" s="915">
        <f t="shared" ref="ED11:ED50" si="4">AO11-CJ11</f>
        <v>0</v>
      </c>
      <c r="EE11" s="915">
        <f t="shared" ref="EE11:EE50" si="5">AP11-CK11</f>
        <v>0</v>
      </c>
      <c r="EF11" s="915">
        <f t="shared" ref="EF11:EF50" si="6">AQ11-CL11</f>
        <v>-280</v>
      </c>
      <c r="EG11" s="1041">
        <f t="shared" ref="EG11:EG50" si="7">AR11-CM11</f>
        <v>-4.6022862258737165</v>
      </c>
      <c r="EH11" s="913">
        <f t="shared" ref="EH11:EH50" si="8">AS11-CN11</f>
        <v>0</v>
      </c>
      <c r="EI11" s="915">
        <f t="shared" ref="EI11:EI50" si="9">AT11-CO11</f>
        <v>0</v>
      </c>
      <c r="EJ11" s="1041">
        <f t="shared" ref="EJ11:EJ50" si="10">AU11-CP11</f>
        <v>0</v>
      </c>
    </row>
    <row r="12" spans="1:140">
      <c r="A12" s="882">
        <f>Eingabedaten!A16</f>
        <v>3.3</v>
      </c>
      <c r="B12" s="1013" t="str">
        <f>Eingabedaten!C16</f>
        <v>Sitzungszimmer</v>
      </c>
      <c r="C12" s="1719"/>
      <c r="D12" s="873"/>
      <c r="E12" s="873"/>
      <c r="F12" s="912"/>
      <c r="G12" s="913"/>
      <c r="H12" s="913"/>
      <c r="I12" s="913"/>
      <c r="J12" s="913"/>
      <c r="K12" s="913"/>
      <c r="L12" s="1767"/>
      <c r="M12" s="1040">
        <v>1</v>
      </c>
      <c r="N12" s="913">
        <v>1410</v>
      </c>
      <c r="O12" s="915">
        <v>1.41</v>
      </c>
      <c r="P12" s="1768"/>
      <c r="Q12" s="914"/>
      <c r="R12" s="915">
        <v>69.8</v>
      </c>
      <c r="S12" s="914">
        <v>0.77142857142857146</v>
      </c>
      <c r="T12" s="914">
        <v>11.60723761010294</v>
      </c>
      <c r="U12" s="914">
        <v>0</v>
      </c>
      <c r="V12" s="914">
        <v>11.60723761010294</v>
      </c>
      <c r="W12" s="915">
        <v>250</v>
      </c>
      <c r="X12" s="915">
        <v>0</v>
      </c>
      <c r="Y12" s="1041">
        <v>2.901809402525735</v>
      </c>
      <c r="Z12" s="914">
        <v>12</v>
      </c>
      <c r="AA12" s="914">
        <v>4.08</v>
      </c>
      <c r="AB12" s="915">
        <v>930</v>
      </c>
      <c r="AC12" s="1041">
        <v>3.7944</v>
      </c>
      <c r="AD12" s="1040">
        <v>22.725411764705882</v>
      </c>
      <c r="AE12" s="915">
        <v>35.907237610102939</v>
      </c>
      <c r="AF12" s="915">
        <v>103.59941474598138</v>
      </c>
      <c r="AG12" s="915" t="s">
        <v>1261</v>
      </c>
      <c r="AH12" s="915" t="s">
        <v>1260</v>
      </c>
      <c r="AI12" s="915" t="s">
        <v>1260</v>
      </c>
      <c r="AJ12" s="915">
        <v>33</v>
      </c>
      <c r="AK12" s="915">
        <v>390</v>
      </c>
      <c r="AL12" s="1041">
        <v>12.897777777777778</v>
      </c>
      <c r="AM12" s="915">
        <v>46.458352941176464</v>
      </c>
      <c r="AN12" s="915">
        <v>86.709918560836286</v>
      </c>
      <c r="AO12" s="915">
        <v>-2</v>
      </c>
      <c r="AP12" s="915">
        <v>40.005803921568628</v>
      </c>
      <c r="AQ12" s="915">
        <v>330</v>
      </c>
      <c r="AR12" s="1041">
        <v>13.203277837721714</v>
      </c>
      <c r="AS12" s="913"/>
      <c r="AT12" s="915"/>
      <c r="AU12" s="1041">
        <v>0</v>
      </c>
      <c r="AX12" s="1719"/>
      <c r="AY12" s="873"/>
      <c r="AZ12" s="873"/>
      <c r="BA12" s="912"/>
      <c r="BB12" s="913"/>
      <c r="BC12" s="913"/>
      <c r="BD12" s="913"/>
      <c r="BE12" s="913"/>
      <c r="BF12" s="913"/>
      <c r="BG12" s="1767"/>
      <c r="BH12" s="1040">
        <v>1</v>
      </c>
      <c r="BI12" s="913">
        <v>1410</v>
      </c>
      <c r="BJ12" s="915">
        <v>1.41</v>
      </c>
      <c r="BK12" s="1768"/>
      <c r="BL12" s="914"/>
      <c r="BM12" s="915">
        <v>69.8</v>
      </c>
      <c r="BN12" s="914">
        <v>0.77142857142857146</v>
      </c>
      <c r="BO12" s="914">
        <v>11.60723761010294</v>
      </c>
      <c r="BP12" s="914">
        <v>0</v>
      </c>
      <c r="BQ12" s="914">
        <v>11.60723761010294</v>
      </c>
      <c r="BR12" s="915">
        <v>250</v>
      </c>
      <c r="BS12" s="915">
        <v>0</v>
      </c>
      <c r="BT12" s="1041">
        <v>2.901809402525735</v>
      </c>
      <c r="BU12" s="914">
        <v>12</v>
      </c>
      <c r="BV12" s="914">
        <v>4.08</v>
      </c>
      <c r="BW12" s="915">
        <v>930</v>
      </c>
      <c r="BX12" s="1041">
        <v>3.7944</v>
      </c>
      <c r="BY12" s="1040">
        <v>22.725411764705882</v>
      </c>
      <c r="BZ12" s="915">
        <v>35.907237610102939</v>
      </c>
      <c r="CA12" s="915">
        <v>103.59941474598138</v>
      </c>
      <c r="CB12" s="915" t="s">
        <v>860</v>
      </c>
      <c r="CC12" s="915" t="s">
        <v>784</v>
      </c>
      <c r="CD12" s="915" t="s">
        <v>784</v>
      </c>
      <c r="CE12" s="915">
        <v>33</v>
      </c>
      <c r="CF12" s="915">
        <v>390</v>
      </c>
      <c r="CG12" s="1041">
        <v>12.897777777777778</v>
      </c>
      <c r="CH12" s="915">
        <v>46.458352941176464</v>
      </c>
      <c r="CI12" s="915">
        <v>86.709918560836286</v>
      </c>
      <c r="CJ12" s="915">
        <v>-2</v>
      </c>
      <c r="CK12" s="915">
        <v>40.005803921568628</v>
      </c>
      <c r="CL12" s="915">
        <v>570</v>
      </c>
      <c r="CM12" s="1041">
        <v>22.972935875277912</v>
      </c>
      <c r="CN12" s="913"/>
      <c r="CO12" s="915"/>
      <c r="CP12" s="1041">
        <v>0</v>
      </c>
      <c r="CR12" s="1719">
        <f t="shared" si="1"/>
        <v>0</v>
      </c>
      <c r="CS12" s="873">
        <f t="shared" ref="CS12:CS50" si="11">D12-AY12</f>
        <v>0</v>
      </c>
      <c r="CT12" s="873">
        <f t="shared" ref="CT12:CT50" si="12">E12-AZ12</f>
        <v>0</v>
      </c>
      <c r="CU12" s="912">
        <f t="shared" ref="CU12:CU50" si="13">F12-BA12</f>
        <v>0</v>
      </c>
      <c r="CV12" s="913">
        <f t="shared" ref="CV12:CV50" si="14">G12-BB12</f>
        <v>0</v>
      </c>
      <c r="CW12" s="913">
        <f t="shared" ref="CW12:CW50" si="15">H12-BC12</f>
        <v>0</v>
      </c>
      <c r="CX12" s="913">
        <f t="shared" ref="CX12:CX50" si="16">I12-BD12</f>
        <v>0</v>
      </c>
      <c r="CY12" s="913">
        <f t="shared" ref="CY12:CY50" si="17">J12-BE12</f>
        <v>0</v>
      </c>
      <c r="CZ12" s="913">
        <f t="shared" ref="CZ12:CZ50" si="18">K12-BF12</f>
        <v>0</v>
      </c>
      <c r="DA12" s="1767">
        <f t="shared" ref="DA12:DA50" si="19">L12-BG12</f>
        <v>0</v>
      </c>
      <c r="DB12" s="1040">
        <f t="shared" ref="DB12:DB50" si="20">M12-BH12</f>
        <v>0</v>
      </c>
      <c r="DC12" s="913">
        <f t="shared" ref="DC12:DC50" si="21">N12-BI12</f>
        <v>0</v>
      </c>
      <c r="DD12" s="915">
        <f t="shared" ref="DD12:DD50" si="22">O12-BJ12</f>
        <v>0</v>
      </c>
      <c r="DE12" s="1768">
        <f t="shared" ref="DE12:DE50" si="23">P12-BK12</f>
        <v>0</v>
      </c>
      <c r="DF12" s="914">
        <f t="shared" ref="DF12:DF50" si="24">Q12-BL12</f>
        <v>0</v>
      </c>
      <c r="DG12" s="915">
        <f t="shared" ref="DG12:DG50" si="25">R12-BM12</f>
        <v>0</v>
      </c>
      <c r="DH12" s="914">
        <f t="shared" ref="DH12:DH50" si="26">S12-BN12</f>
        <v>0</v>
      </c>
      <c r="DI12" s="914">
        <f t="shared" ref="DI12:DI50" si="27">T12-BO12</f>
        <v>0</v>
      </c>
      <c r="DJ12" s="914">
        <f t="shared" ref="DJ12:DJ50" si="28">U12-BP12</f>
        <v>0</v>
      </c>
      <c r="DK12" s="914">
        <f t="shared" ref="DK12:DK50" si="29">V12-BQ12</f>
        <v>0</v>
      </c>
      <c r="DL12" s="915">
        <f t="shared" ref="DL12:DL50" si="30">W12-BR12</f>
        <v>0</v>
      </c>
      <c r="DM12" s="915">
        <f t="shared" ref="DM12:DM50" si="31">X12-BS12</f>
        <v>0</v>
      </c>
      <c r="DN12" s="1041">
        <f t="shared" ref="DN12:DN50" si="32">Y12-BT12</f>
        <v>0</v>
      </c>
      <c r="DO12" s="914">
        <f t="shared" ref="DO12:DO50" si="33">Z12-BU12</f>
        <v>0</v>
      </c>
      <c r="DP12" s="914">
        <f t="shared" ref="DP12:DP50" si="34">AA12-BV12</f>
        <v>0</v>
      </c>
      <c r="DQ12" s="915">
        <f t="shared" ref="DQ12:DQ50" si="35">AB12-BW12</f>
        <v>0</v>
      </c>
      <c r="DR12" s="1041">
        <f t="shared" ref="DR12:DR50" si="36">AC12-BX12</f>
        <v>0</v>
      </c>
      <c r="DS12" s="1040">
        <f t="shared" ref="DS12:DS50" si="37">AD12-BY12</f>
        <v>0</v>
      </c>
      <c r="DT12" s="915">
        <f t="shared" ref="DT12:DT50" si="38">AE12-BZ12</f>
        <v>0</v>
      </c>
      <c r="DU12" s="915">
        <f t="shared" ref="DU12:DU50" si="39">AF12-CA12</f>
        <v>0</v>
      </c>
      <c r="DV12" s="915" t="e">
        <f t="shared" ref="DV12:DV50" si="40">AG12-CB12</f>
        <v>#VALUE!</v>
      </c>
      <c r="DW12" s="915" t="e">
        <f t="shared" ref="DW12:DW50" si="41">AH12-CC12</f>
        <v>#VALUE!</v>
      </c>
      <c r="DX12" s="915" t="e">
        <f t="shared" ref="DX12:DX50" si="42">AI12-CD12</f>
        <v>#VALUE!</v>
      </c>
      <c r="DY12" s="915">
        <f t="shared" ref="DY12:DY50" si="43">AJ12-CE12</f>
        <v>0</v>
      </c>
      <c r="DZ12" s="915">
        <f t="shared" ref="DZ12:DZ50" si="44">AK12-CF12</f>
        <v>0</v>
      </c>
      <c r="EA12" s="1041">
        <f t="shared" ref="EA12:EA50" si="45">AL12-CG12</f>
        <v>0</v>
      </c>
      <c r="EB12" s="915">
        <f t="shared" si="2"/>
        <v>0</v>
      </c>
      <c r="EC12" s="915">
        <f t="shared" si="3"/>
        <v>0</v>
      </c>
      <c r="ED12" s="915">
        <f t="shared" si="4"/>
        <v>0</v>
      </c>
      <c r="EE12" s="915">
        <f t="shared" si="5"/>
        <v>0</v>
      </c>
      <c r="EF12" s="915">
        <f t="shared" si="6"/>
        <v>-240</v>
      </c>
      <c r="EG12" s="1041">
        <f t="shared" si="7"/>
        <v>-9.7696580375561979</v>
      </c>
      <c r="EH12" s="913">
        <f t="shared" si="8"/>
        <v>0</v>
      </c>
      <c r="EI12" s="915">
        <f t="shared" si="9"/>
        <v>0</v>
      </c>
      <c r="EJ12" s="1041">
        <f t="shared" si="10"/>
        <v>0</v>
      </c>
    </row>
    <row r="13" spans="1:140">
      <c r="A13" s="882">
        <f>Eingabedaten!A17</f>
        <v>3.4</v>
      </c>
      <c r="B13" s="1013" t="str">
        <f>Eingabedaten!C17</f>
        <v>Schalterhalle, Empfang</v>
      </c>
      <c r="C13" s="1719"/>
      <c r="D13" s="873"/>
      <c r="E13" s="873"/>
      <c r="F13" s="912"/>
      <c r="G13" s="913"/>
      <c r="H13" s="913"/>
      <c r="I13" s="913"/>
      <c r="J13" s="913"/>
      <c r="K13" s="913"/>
      <c r="L13" s="1767"/>
      <c r="M13" s="1040">
        <v>1.5</v>
      </c>
      <c r="N13" s="913">
        <v>1930</v>
      </c>
      <c r="O13" s="915">
        <v>2.895</v>
      </c>
      <c r="P13" s="1768"/>
      <c r="Q13" s="914"/>
      <c r="R13" s="915">
        <v>59.8</v>
      </c>
      <c r="S13" s="914">
        <v>0.81407035175879394</v>
      </c>
      <c r="T13" s="914">
        <v>7.7031462901028132</v>
      </c>
      <c r="U13" s="914">
        <v>0</v>
      </c>
      <c r="V13" s="914">
        <v>7.7031462901028132</v>
      </c>
      <c r="W13" s="915">
        <v>740</v>
      </c>
      <c r="X13" s="915">
        <v>0</v>
      </c>
      <c r="Y13" s="1041">
        <v>5.7003282546760818</v>
      </c>
      <c r="Z13" s="914">
        <v>2.5</v>
      </c>
      <c r="AA13" s="914">
        <v>0.85000000000000009</v>
      </c>
      <c r="AB13" s="915">
        <v>1470</v>
      </c>
      <c r="AC13" s="1041">
        <v>1.2495000000000003</v>
      </c>
      <c r="AD13" s="1040">
        <v>13.134274509803921</v>
      </c>
      <c r="AE13" s="915">
        <v>15.003146290102812</v>
      </c>
      <c r="AF13" s="915">
        <v>69.256972067864965</v>
      </c>
      <c r="AG13" s="915" t="s">
        <v>1261</v>
      </c>
      <c r="AH13" s="915" t="s">
        <v>1261</v>
      </c>
      <c r="AI13" s="915" t="s">
        <v>1261</v>
      </c>
      <c r="AJ13" s="915">
        <v>16</v>
      </c>
      <c r="AK13" s="915">
        <v>650</v>
      </c>
      <c r="AL13" s="1041">
        <v>10.395833333333334</v>
      </c>
      <c r="AM13" s="915">
        <v>75.504941176470595</v>
      </c>
      <c r="AN13" s="915">
        <v>193.7674511368169</v>
      </c>
      <c r="AO13" s="915">
        <v>-1</v>
      </c>
      <c r="AP13" s="915">
        <v>15.205856209150328</v>
      </c>
      <c r="AQ13" s="915">
        <v>580</v>
      </c>
      <c r="AR13" s="1041">
        <v>8.8019817988264943</v>
      </c>
      <c r="AS13" s="913"/>
      <c r="AT13" s="915"/>
      <c r="AU13" s="1041">
        <v>0</v>
      </c>
      <c r="AX13" s="1719"/>
      <c r="AY13" s="873"/>
      <c r="AZ13" s="873"/>
      <c r="BA13" s="912"/>
      <c r="BB13" s="913"/>
      <c r="BC13" s="913"/>
      <c r="BD13" s="913"/>
      <c r="BE13" s="913"/>
      <c r="BF13" s="913"/>
      <c r="BG13" s="1767"/>
      <c r="BH13" s="1040">
        <v>1.5</v>
      </c>
      <c r="BI13" s="913">
        <v>1930</v>
      </c>
      <c r="BJ13" s="915">
        <v>2.895</v>
      </c>
      <c r="BK13" s="1768"/>
      <c r="BL13" s="914"/>
      <c r="BM13" s="915">
        <v>59.8</v>
      </c>
      <c r="BN13" s="914">
        <v>0.81407035175879394</v>
      </c>
      <c r="BO13" s="914">
        <v>7.7031462901028132</v>
      </c>
      <c r="BP13" s="914">
        <v>0</v>
      </c>
      <c r="BQ13" s="914">
        <v>7.7031462901028132</v>
      </c>
      <c r="BR13" s="915">
        <v>740</v>
      </c>
      <c r="BS13" s="915">
        <v>0</v>
      </c>
      <c r="BT13" s="1041">
        <v>5.7003282546760818</v>
      </c>
      <c r="BU13" s="914">
        <v>2.5</v>
      </c>
      <c r="BV13" s="914">
        <v>0.85000000000000009</v>
      </c>
      <c r="BW13" s="915">
        <v>1630</v>
      </c>
      <c r="BX13" s="1041">
        <v>1.3855000000000002</v>
      </c>
      <c r="BY13" s="1040">
        <v>13.134274509803921</v>
      </c>
      <c r="BZ13" s="915">
        <v>15.003146290102812</v>
      </c>
      <c r="CA13" s="915">
        <v>69.256972067864965</v>
      </c>
      <c r="CB13" s="915" t="s">
        <v>860</v>
      </c>
      <c r="CC13" s="915" t="s">
        <v>860</v>
      </c>
      <c r="CD13" s="915" t="s">
        <v>860</v>
      </c>
      <c r="CE13" s="915">
        <v>16</v>
      </c>
      <c r="CF13" s="915">
        <v>650</v>
      </c>
      <c r="CG13" s="1041">
        <v>10.395833333333334</v>
      </c>
      <c r="CH13" s="915">
        <v>75.504941176470595</v>
      </c>
      <c r="CI13" s="915">
        <v>193.7674511368169</v>
      </c>
      <c r="CJ13" s="915">
        <v>-1</v>
      </c>
      <c r="CK13" s="915">
        <v>15.205856209150328</v>
      </c>
      <c r="CL13" s="915">
        <v>780</v>
      </c>
      <c r="CM13" s="1041">
        <v>11.853382473997458</v>
      </c>
      <c r="CN13" s="913"/>
      <c r="CO13" s="915"/>
      <c r="CP13" s="1041">
        <v>0</v>
      </c>
      <c r="CR13" s="1719">
        <f t="shared" si="1"/>
        <v>0</v>
      </c>
      <c r="CS13" s="873">
        <f t="shared" si="11"/>
        <v>0</v>
      </c>
      <c r="CT13" s="873">
        <f t="shared" si="12"/>
        <v>0</v>
      </c>
      <c r="CU13" s="912">
        <f t="shared" si="13"/>
        <v>0</v>
      </c>
      <c r="CV13" s="913">
        <f t="shared" si="14"/>
        <v>0</v>
      </c>
      <c r="CW13" s="913">
        <f t="shared" si="15"/>
        <v>0</v>
      </c>
      <c r="CX13" s="913">
        <f t="shared" si="16"/>
        <v>0</v>
      </c>
      <c r="CY13" s="913">
        <f t="shared" si="17"/>
        <v>0</v>
      </c>
      <c r="CZ13" s="913">
        <f t="shared" si="18"/>
        <v>0</v>
      </c>
      <c r="DA13" s="1767">
        <f t="shared" si="19"/>
        <v>0</v>
      </c>
      <c r="DB13" s="1040">
        <f t="shared" si="20"/>
        <v>0</v>
      </c>
      <c r="DC13" s="913">
        <f t="shared" si="21"/>
        <v>0</v>
      </c>
      <c r="DD13" s="915">
        <f t="shared" si="22"/>
        <v>0</v>
      </c>
      <c r="DE13" s="1768">
        <f t="shared" si="23"/>
        <v>0</v>
      </c>
      <c r="DF13" s="914">
        <f t="shared" si="24"/>
        <v>0</v>
      </c>
      <c r="DG13" s="915">
        <f t="shared" si="25"/>
        <v>0</v>
      </c>
      <c r="DH13" s="914">
        <f t="shared" si="26"/>
        <v>0</v>
      </c>
      <c r="DI13" s="914">
        <f t="shared" si="27"/>
        <v>0</v>
      </c>
      <c r="DJ13" s="914">
        <f t="shared" si="28"/>
        <v>0</v>
      </c>
      <c r="DK13" s="914">
        <f t="shared" si="29"/>
        <v>0</v>
      </c>
      <c r="DL13" s="915">
        <f t="shared" si="30"/>
        <v>0</v>
      </c>
      <c r="DM13" s="915">
        <f t="shared" si="31"/>
        <v>0</v>
      </c>
      <c r="DN13" s="1041">
        <f t="shared" si="32"/>
        <v>0</v>
      </c>
      <c r="DO13" s="914">
        <f t="shared" si="33"/>
        <v>0</v>
      </c>
      <c r="DP13" s="914">
        <f t="shared" si="34"/>
        <v>0</v>
      </c>
      <c r="DQ13" s="915">
        <f t="shared" si="35"/>
        <v>-160</v>
      </c>
      <c r="DR13" s="1041">
        <f t="shared" si="36"/>
        <v>-0.1359999999999999</v>
      </c>
      <c r="DS13" s="1040">
        <f t="shared" si="37"/>
        <v>0</v>
      </c>
      <c r="DT13" s="915">
        <f t="shared" si="38"/>
        <v>0</v>
      </c>
      <c r="DU13" s="915">
        <f t="shared" si="39"/>
        <v>0</v>
      </c>
      <c r="DV13" s="915" t="e">
        <f t="shared" si="40"/>
        <v>#VALUE!</v>
      </c>
      <c r="DW13" s="915" t="e">
        <f t="shared" si="41"/>
        <v>#VALUE!</v>
      </c>
      <c r="DX13" s="915" t="e">
        <f t="shared" si="42"/>
        <v>#VALUE!</v>
      </c>
      <c r="DY13" s="915">
        <f t="shared" si="43"/>
        <v>0</v>
      </c>
      <c r="DZ13" s="915">
        <f t="shared" si="44"/>
        <v>0</v>
      </c>
      <c r="EA13" s="1041">
        <f t="shared" si="45"/>
        <v>0</v>
      </c>
      <c r="EB13" s="915">
        <f t="shared" si="2"/>
        <v>0</v>
      </c>
      <c r="EC13" s="915">
        <f t="shared" si="3"/>
        <v>0</v>
      </c>
      <c r="ED13" s="915">
        <f t="shared" si="4"/>
        <v>0</v>
      </c>
      <c r="EE13" s="915">
        <f t="shared" si="5"/>
        <v>0</v>
      </c>
      <c r="EF13" s="915">
        <f t="shared" si="6"/>
        <v>-200</v>
      </c>
      <c r="EG13" s="1041">
        <f t="shared" si="7"/>
        <v>-3.0514006751709637</v>
      </c>
      <c r="EH13" s="913">
        <f t="shared" si="8"/>
        <v>0</v>
      </c>
      <c r="EI13" s="915">
        <f t="shared" si="9"/>
        <v>0</v>
      </c>
      <c r="EJ13" s="1041">
        <f t="shared" si="10"/>
        <v>0</v>
      </c>
    </row>
    <row r="14" spans="1:140">
      <c r="A14" s="883">
        <f>Eingabedaten!A18</f>
        <v>4.0999999999999996</v>
      </c>
      <c r="B14" s="888" t="str">
        <f>Eingabedaten!C18</f>
        <v>Schulzimmer</v>
      </c>
      <c r="C14" s="1777"/>
      <c r="D14" s="884"/>
      <c r="E14" s="884"/>
      <c r="F14" s="908"/>
      <c r="G14" s="909"/>
      <c r="H14" s="909"/>
      <c r="I14" s="1778"/>
      <c r="J14" s="909"/>
      <c r="K14" s="909"/>
      <c r="L14" s="1772"/>
      <c r="M14" s="1038">
        <v>2</v>
      </c>
      <c r="N14" s="909">
        <v>1770</v>
      </c>
      <c r="O14" s="911">
        <v>3.54</v>
      </c>
      <c r="P14" s="1773"/>
      <c r="Q14" s="910"/>
      <c r="R14" s="911">
        <v>69.8</v>
      </c>
      <c r="S14" s="910">
        <v>0.87297921478060048</v>
      </c>
      <c r="T14" s="910">
        <v>10.257007928927699</v>
      </c>
      <c r="U14" s="910">
        <v>0</v>
      </c>
      <c r="V14" s="910">
        <v>10.257007928927699</v>
      </c>
      <c r="W14" s="911">
        <v>560</v>
      </c>
      <c r="X14" s="911">
        <v>0</v>
      </c>
      <c r="Y14" s="1039">
        <v>5.7439244401995113</v>
      </c>
      <c r="Z14" s="910">
        <v>8.3333333333333339</v>
      </c>
      <c r="AA14" s="910">
        <v>1.8583333333333338</v>
      </c>
      <c r="AB14" s="911">
        <v>1340</v>
      </c>
      <c r="AC14" s="1039">
        <v>2.4901666666666675</v>
      </c>
      <c r="AD14" s="1038">
        <v>19.003294117647059</v>
      </c>
      <c r="AE14" s="911">
        <v>35.557007928927703</v>
      </c>
      <c r="AF14" s="911">
        <v>213.82846157505216</v>
      </c>
      <c r="AG14" s="911" t="s">
        <v>1259</v>
      </c>
      <c r="AH14" s="911" t="s">
        <v>1259</v>
      </c>
      <c r="AI14" s="911" t="s">
        <v>1259</v>
      </c>
      <c r="AJ14" s="911">
        <v>31</v>
      </c>
      <c r="AK14" s="911">
        <v>540</v>
      </c>
      <c r="AL14" s="1039">
        <v>16.87442857142857</v>
      </c>
      <c r="AM14" s="911">
        <v>71.881568627450974</v>
      </c>
      <c r="AN14" s="911">
        <v>103.61487850385711</v>
      </c>
      <c r="AO14" s="911">
        <v>-1</v>
      </c>
      <c r="AP14" s="911">
        <v>30.806386554621842</v>
      </c>
      <c r="AQ14" s="911">
        <v>490</v>
      </c>
      <c r="AR14" s="1039">
        <v>15.17511437737198</v>
      </c>
      <c r="AS14" s="909"/>
      <c r="AT14" s="911"/>
      <c r="AU14" s="1039">
        <v>5.290005205479452</v>
      </c>
      <c r="AX14" s="1777"/>
      <c r="AY14" s="884"/>
      <c r="AZ14" s="884"/>
      <c r="BA14" s="908"/>
      <c r="BB14" s="909"/>
      <c r="BC14" s="909"/>
      <c r="BD14" s="1778"/>
      <c r="BE14" s="909"/>
      <c r="BF14" s="909"/>
      <c r="BG14" s="1772"/>
      <c r="BH14" s="1038">
        <v>2</v>
      </c>
      <c r="BI14" s="909">
        <v>1770</v>
      </c>
      <c r="BJ14" s="911">
        <v>3.54</v>
      </c>
      <c r="BK14" s="1773"/>
      <c r="BL14" s="910"/>
      <c r="BM14" s="911">
        <v>69.8</v>
      </c>
      <c r="BN14" s="910">
        <v>0.87297921478060048</v>
      </c>
      <c r="BO14" s="910">
        <v>10.257007928927699</v>
      </c>
      <c r="BP14" s="910">
        <v>0</v>
      </c>
      <c r="BQ14" s="910">
        <v>10.257007928927699</v>
      </c>
      <c r="BR14" s="911">
        <v>560</v>
      </c>
      <c r="BS14" s="911">
        <v>0</v>
      </c>
      <c r="BT14" s="1039">
        <v>5.7439244401995113</v>
      </c>
      <c r="BU14" s="910">
        <v>8.3333333333333339</v>
      </c>
      <c r="BV14" s="910">
        <v>2.8333333333333339</v>
      </c>
      <c r="BW14" s="911">
        <v>1340</v>
      </c>
      <c r="BX14" s="1039">
        <v>3.7966666666666673</v>
      </c>
      <c r="BY14" s="1038">
        <v>19.003294117647059</v>
      </c>
      <c r="BZ14" s="911">
        <v>35.557007928927703</v>
      </c>
      <c r="CA14" s="911">
        <v>213.82846157505216</v>
      </c>
      <c r="CB14" s="911" t="s">
        <v>785</v>
      </c>
      <c r="CC14" s="911" t="s">
        <v>785</v>
      </c>
      <c r="CD14" s="911" t="s">
        <v>785</v>
      </c>
      <c r="CE14" s="911">
        <v>31</v>
      </c>
      <c r="CF14" s="911">
        <v>540</v>
      </c>
      <c r="CG14" s="1039">
        <v>16.87442857142857</v>
      </c>
      <c r="CH14" s="911">
        <v>71.881568627450974</v>
      </c>
      <c r="CI14" s="911">
        <v>103.61487850385711</v>
      </c>
      <c r="CJ14" s="911">
        <v>-1</v>
      </c>
      <c r="CK14" s="911">
        <v>30.806386554621842</v>
      </c>
      <c r="CL14" s="911">
        <v>750</v>
      </c>
      <c r="CM14" s="1039">
        <v>23.006789220406858</v>
      </c>
      <c r="CN14" s="909"/>
      <c r="CO14" s="911"/>
      <c r="CP14" s="1039">
        <v>5.290005205479452</v>
      </c>
      <c r="CR14" s="1777">
        <f t="shared" si="1"/>
        <v>0</v>
      </c>
      <c r="CS14" s="884">
        <f t="shared" si="11"/>
        <v>0</v>
      </c>
      <c r="CT14" s="884">
        <f t="shared" si="12"/>
        <v>0</v>
      </c>
      <c r="CU14" s="908">
        <f t="shared" si="13"/>
        <v>0</v>
      </c>
      <c r="CV14" s="909">
        <f t="shared" si="14"/>
        <v>0</v>
      </c>
      <c r="CW14" s="909">
        <f t="shared" si="15"/>
        <v>0</v>
      </c>
      <c r="CX14" s="1778">
        <f t="shared" si="16"/>
        <v>0</v>
      </c>
      <c r="CY14" s="909">
        <f t="shared" si="17"/>
        <v>0</v>
      </c>
      <c r="CZ14" s="909">
        <f t="shared" si="18"/>
        <v>0</v>
      </c>
      <c r="DA14" s="1772">
        <f t="shared" si="19"/>
        <v>0</v>
      </c>
      <c r="DB14" s="1038">
        <f t="shared" si="20"/>
        <v>0</v>
      </c>
      <c r="DC14" s="909">
        <f t="shared" si="21"/>
        <v>0</v>
      </c>
      <c r="DD14" s="911">
        <f t="shared" si="22"/>
        <v>0</v>
      </c>
      <c r="DE14" s="1773">
        <f t="shared" si="23"/>
        <v>0</v>
      </c>
      <c r="DF14" s="910">
        <f t="shared" si="24"/>
        <v>0</v>
      </c>
      <c r="DG14" s="911">
        <f t="shared" si="25"/>
        <v>0</v>
      </c>
      <c r="DH14" s="910">
        <f t="shared" si="26"/>
        <v>0</v>
      </c>
      <c r="DI14" s="910">
        <f t="shared" si="27"/>
        <v>0</v>
      </c>
      <c r="DJ14" s="910">
        <f t="shared" si="28"/>
        <v>0</v>
      </c>
      <c r="DK14" s="910">
        <f t="shared" si="29"/>
        <v>0</v>
      </c>
      <c r="DL14" s="911">
        <f t="shared" si="30"/>
        <v>0</v>
      </c>
      <c r="DM14" s="911">
        <f t="shared" si="31"/>
        <v>0</v>
      </c>
      <c r="DN14" s="1039">
        <f t="shared" si="32"/>
        <v>0</v>
      </c>
      <c r="DO14" s="910">
        <f t="shared" si="33"/>
        <v>0</v>
      </c>
      <c r="DP14" s="910">
        <f t="shared" si="34"/>
        <v>-0.97500000000000009</v>
      </c>
      <c r="DQ14" s="911">
        <f t="shared" si="35"/>
        <v>0</v>
      </c>
      <c r="DR14" s="1039">
        <f t="shared" si="36"/>
        <v>-1.3064999999999998</v>
      </c>
      <c r="DS14" s="1038">
        <f t="shared" si="37"/>
        <v>0</v>
      </c>
      <c r="DT14" s="911">
        <f t="shared" si="38"/>
        <v>0</v>
      </c>
      <c r="DU14" s="911">
        <f t="shared" si="39"/>
        <v>0</v>
      </c>
      <c r="DV14" s="911" t="e">
        <f t="shared" si="40"/>
        <v>#VALUE!</v>
      </c>
      <c r="DW14" s="911" t="e">
        <f t="shared" si="41"/>
        <v>#VALUE!</v>
      </c>
      <c r="DX14" s="911" t="e">
        <f t="shared" si="42"/>
        <v>#VALUE!</v>
      </c>
      <c r="DY14" s="911">
        <f t="shared" si="43"/>
        <v>0</v>
      </c>
      <c r="DZ14" s="911">
        <f t="shared" si="44"/>
        <v>0</v>
      </c>
      <c r="EA14" s="1039">
        <f t="shared" si="45"/>
        <v>0</v>
      </c>
      <c r="EB14" s="911">
        <f t="shared" si="2"/>
        <v>0</v>
      </c>
      <c r="EC14" s="911">
        <f t="shared" si="3"/>
        <v>0</v>
      </c>
      <c r="ED14" s="911">
        <f t="shared" si="4"/>
        <v>0</v>
      </c>
      <c r="EE14" s="911">
        <f t="shared" si="5"/>
        <v>0</v>
      </c>
      <c r="EF14" s="911">
        <f t="shared" si="6"/>
        <v>-260</v>
      </c>
      <c r="EG14" s="1039">
        <f t="shared" si="7"/>
        <v>-7.8316748430348788</v>
      </c>
      <c r="EH14" s="909">
        <f t="shared" si="8"/>
        <v>0</v>
      </c>
      <c r="EI14" s="911">
        <f t="shared" si="9"/>
        <v>0</v>
      </c>
      <c r="EJ14" s="1039">
        <f t="shared" si="10"/>
        <v>0</v>
      </c>
    </row>
    <row r="15" spans="1:140">
      <c r="A15" s="882">
        <f>Eingabedaten!A19</f>
        <v>4.2</v>
      </c>
      <c r="B15" s="1013" t="str">
        <f>Eingabedaten!C19</f>
        <v>Lehrerzimmer</v>
      </c>
      <c r="C15" s="1719"/>
      <c r="D15" s="873"/>
      <c r="E15" s="873"/>
      <c r="F15" s="912"/>
      <c r="G15" s="913"/>
      <c r="H15" s="913"/>
      <c r="I15" s="1779"/>
      <c r="J15" s="913"/>
      <c r="K15" s="913"/>
      <c r="L15" s="1767"/>
      <c r="M15" s="1040">
        <v>2</v>
      </c>
      <c r="N15" s="913">
        <v>1510</v>
      </c>
      <c r="O15" s="915">
        <v>3.02</v>
      </c>
      <c r="P15" s="1768"/>
      <c r="Q15" s="914"/>
      <c r="R15" s="915">
        <v>59.8</v>
      </c>
      <c r="S15" s="914">
        <v>0.77142857142857146</v>
      </c>
      <c r="T15" s="914">
        <v>8.1289483463396515</v>
      </c>
      <c r="U15" s="914">
        <v>0</v>
      </c>
      <c r="V15" s="914">
        <v>8.1289483463396515</v>
      </c>
      <c r="W15" s="915">
        <v>370</v>
      </c>
      <c r="X15" s="915">
        <v>0</v>
      </c>
      <c r="Y15" s="1041">
        <v>3.0077108881456711</v>
      </c>
      <c r="Z15" s="914">
        <v>12</v>
      </c>
      <c r="AA15" s="914">
        <v>2.6760000000000002</v>
      </c>
      <c r="AB15" s="915">
        <v>920</v>
      </c>
      <c r="AC15" s="1041">
        <v>2.4619200000000001</v>
      </c>
      <c r="AD15" s="1040">
        <v>23.113647058823531</v>
      </c>
      <c r="AE15" s="915">
        <v>33.428948346339652</v>
      </c>
      <c r="AF15" s="915">
        <v>157.36252956450105</v>
      </c>
      <c r="AG15" s="915" t="s">
        <v>1260</v>
      </c>
      <c r="AH15" s="915" t="s">
        <v>1259</v>
      </c>
      <c r="AI15" s="915" t="s">
        <v>1259</v>
      </c>
      <c r="AJ15" s="915">
        <v>27</v>
      </c>
      <c r="AK15" s="915">
        <v>490</v>
      </c>
      <c r="AL15" s="1041">
        <v>13.325555555555555</v>
      </c>
      <c r="AM15" s="915">
        <v>48.787764705882353</v>
      </c>
      <c r="AN15" s="915">
        <v>85.890387175183761</v>
      </c>
      <c r="AO15" s="915">
        <v>-2</v>
      </c>
      <c r="AP15" s="915">
        <v>42.011686274509799</v>
      </c>
      <c r="AQ15" s="915">
        <v>520</v>
      </c>
      <c r="AR15" s="1041">
        <v>21.868737350000352</v>
      </c>
      <c r="AS15" s="913"/>
      <c r="AT15" s="915"/>
      <c r="AU15" s="1041">
        <v>0</v>
      </c>
      <c r="AX15" s="1719"/>
      <c r="AY15" s="873"/>
      <c r="AZ15" s="873"/>
      <c r="BA15" s="912"/>
      <c r="BB15" s="913"/>
      <c r="BC15" s="913"/>
      <c r="BD15" s="1779"/>
      <c r="BE15" s="913"/>
      <c r="BF15" s="913"/>
      <c r="BG15" s="1767"/>
      <c r="BH15" s="1040">
        <v>2</v>
      </c>
      <c r="BI15" s="913">
        <v>1510</v>
      </c>
      <c r="BJ15" s="915">
        <v>3.02</v>
      </c>
      <c r="BK15" s="1768"/>
      <c r="BL15" s="914"/>
      <c r="BM15" s="915">
        <v>59.8</v>
      </c>
      <c r="BN15" s="914">
        <v>0.77142857142857146</v>
      </c>
      <c r="BO15" s="914">
        <v>8.1289483463396515</v>
      </c>
      <c r="BP15" s="914">
        <v>0</v>
      </c>
      <c r="BQ15" s="914">
        <v>8.1289483463396515</v>
      </c>
      <c r="BR15" s="915">
        <v>370</v>
      </c>
      <c r="BS15" s="915">
        <v>0</v>
      </c>
      <c r="BT15" s="1041">
        <v>3.0077108881456711</v>
      </c>
      <c r="BU15" s="914">
        <v>12</v>
      </c>
      <c r="BV15" s="914">
        <v>4.08</v>
      </c>
      <c r="BW15" s="915">
        <v>920</v>
      </c>
      <c r="BX15" s="1041">
        <v>3.7536</v>
      </c>
      <c r="BY15" s="1040">
        <v>23.113647058823531</v>
      </c>
      <c r="BZ15" s="915">
        <v>33.428948346339652</v>
      </c>
      <c r="CA15" s="915">
        <v>157.36252956450105</v>
      </c>
      <c r="CB15" s="915" t="s">
        <v>784</v>
      </c>
      <c r="CC15" s="915" t="s">
        <v>785</v>
      </c>
      <c r="CD15" s="915" t="s">
        <v>785</v>
      </c>
      <c r="CE15" s="915">
        <v>27</v>
      </c>
      <c r="CF15" s="915">
        <v>490</v>
      </c>
      <c r="CG15" s="1041">
        <v>13.325555555555555</v>
      </c>
      <c r="CH15" s="915">
        <v>48.787764705882353</v>
      </c>
      <c r="CI15" s="915">
        <v>85.890387175183761</v>
      </c>
      <c r="CJ15" s="915">
        <v>-2</v>
      </c>
      <c r="CK15" s="915">
        <v>42.011686274509799</v>
      </c>
      <c r="CL15" s="915">
        <v>740</v>
      </c>
      <c r="CM15" s="1041">
        <v>31.227650650083479</v>
      </c>
      <c r="CN15" s="913"/>
      <c r="CO15" s="915"/>
      <c r="CP15" s="1041">
        <v>0</v>
      </c>
      <c r="CR15" s="1719">
        <f t="shared" si="1"/>
        <v>0</v>
      </c>
      <c r="CS15" s="873">
        <f t="shared" si="11"/>
        <v>0</v>
      </c>
      <c r="CT15" s="873">
        <f t="shared" si="12"/>
        <v>0</v>
      </c>
      <c r="CU15" s="912">
        <f t="shared" si="13"/>
        <v>0</v>
      </c>
      <c r="CV15" s="913">
        <f t="shared" si="14"/>
        <v>0</v>
      </c>
      <c r="CW15" s="913">
        <f t="shared" si="15"/>
        <v>0</v>
      </c>
      <c r="CX15" s="1779">
        <f t="shared" si="16"/>
        <v>0</v>
      </c>
      <c r="CY15" s="913">
        <f t="shared" si="17"/>
        <v>0</v>
      </c>
      <c r="CZ15" s="913">
        <f t="shared" si="18"/>
        <v>0</v>
      </c>
      <c r="DA15" s="1767">
        <f t="shared" si="19"/>
        <v>0</v>
      </c>
      <c r="DB15" s="1040">
        <f t="shared" si="20"/>
        <v>0</v>
      </c>
      <c r="DC15" s="913">
        <f t="shared" si="21"/>
        <v>0</v>
      </c>
      <c r="DD15" s="915">
        <f t="shared" si="22"/>
        <v>0</v>
      </c>
      <c r="DE15" s="1768">
        <f t="shared" si="23"/>
        <v>0</v>
      </c>
      <c r="DF15" s="914">
        <f t="shared" si="24"/>
        <v>0</v>
      </c>
      <c r="DG15" s="915">
        <f t="shared" si="25"/>
        <v>0</v>
      </c>
      <c r="DH15" s="914">
        <f t="shared" si="26"/>
        <v>0</v>
      </c>
      <c r="DI15" s="914">
        <f t="shared" si="27"/>
        <v>0</v>
      </c>
      <c r="DJ15" s="914">
        <f t="shared" si="28"/>
        <v>0</v>
      </c>
      <c r="DK15" s="914">
        <f t="shared" si="29"/>
        <v>0</v>
      </c>
      <c r="DL15" s="915">
        <f t="shared" si="30"/>
        <v>0</v>
      </c>
      <c r="DM15" s="915">
        <f t="shared" si="31"/>
        <v>0</v>
      </c>
      <c r="DN15" s="1041">
        <f t="shared" si="32"/>
        <v>0</v>
      </c>
      <c r="DO15" s="914">
        <f t="shared" si="33"/>
        <v>0</v>
      </c>
      <c r="DP15" s="914">
        <f t="shared" si="34"/>
        <v>-1.4039999999999999</v>
      </c>
      <c r="DQ15" s="915">
        <f t="shared" si="35"/>
        <v>0</v>
      </c>
      <c r="DR15" s="1041">
        <f t="shared" si="36"/>
        <v>-1.2916799999999999</v>
      </c>
      <c r="DS15" s="1040">
        <f t="shared" si="37"/>
        <v>0</v>
      </c>
      <c r="DT15" s="915">
        <f t="shared" si="38"/>
        <v>0</v>
      </c>
      <c r="DU15" s="915">
        <f t="shared" si="39"/>
        <v>0</v>
      </c>
      <c r="DV15" s="915" t="e">
        <f t="shared" si="40"/>
        <v>#VALUE!</v>
      </c>
      <c r="DW15" s="915" t="e">
        <f t="shared" si="41"/>
        <v>#VALUE!</v>
      </c>
      <c r="DX15" s="915" t="e">
        <f t="shared" si="42"/>
        <v>#VALUE!</v>
      </c>
      <c r="DY15" s="915">
        <f t="shared" si="43"/>
        <v>0</v>
      </c>
      <c r="DZ15" s="915">
        <f t="shared" si="44"/>
        <v>0</v>
      </c>
      <c r="EA15" s="1041">
        <f t="shared" si="45"/>
        <v>0</v>
      </c>
      <c r="EB15" s="915">
        <f t="shared" si="2"/>
        <v>0</v>
      </c>
      <c r="EC15" s="915">
        <f t="shared" si="3"/>
        <v>0</v>
      </c>
      <c r="ED15" s="915">
        <f t="shared" si="4"/>
        <v>0</v>
      </c>
      <c r="EE15" s="915">
        <f t="shared" si="5"/>
        <v>0</v>
      </c>
      <c r="EF15" s="915">
        <f t="shared" si="6"/>
        <v>-220</v>
      </c>
      <c r="EG15" s="1041">
        <f t="shared" si="7"/>
        <v>-9.3589133000831275</v>
      </c>
      <c r="EH15" s="913">
        <f t="shared" si="8"/>
        <v>0</v>
      </c>
      <c r="EI15" s="915">
        <f t="shared" si="9"/>
        <v>0</v>
      </c>
      <c r="EJ15" s="1041">
        <f t="shared" si="10"/>
        <v>0</v>
      </c>
    </row>
    <row r="16" spans="1:140">
      <c r="A16" s="882">
        <f>Eingabedaten!A20</f>
        <v>4.3</v>
      </c>
      <c r="B16" s="1013" t="str">
        <f>Eingabedaten!C20</f>
        <v>Bibliothek</v>
      </c>
      <c r="C16" s="1719"/>
      <c r="D16" s="873"/>
      <c r="E16" s="873"/>
      <c r="F16" s="912"/>
      <c r="G16" s="913"/>
      <c r="H16" s="913"/>
      <c r="I16" s="1779"/>
      <c r="J16" s="913"/>
      <c r="K16" s="913"/>
      <c r="L16" s="1767"/>
      <c r="M16" s="1040">
        <v>1</v>
      </c>
      <c r="N16" s="913">
        <v>1510</v>
      </c>
      <c r="O16" s="915">
        <v>1.51</v>
      </c>
      <c r="P16" s="1768"/>
      <c r="Q16" s="914"/>
      <c r="R16" s="915">
        <v>54.800000000000004</v>
      </c>
      <c r="S16" s="914">
        <v>0.98181818181818192</v>
      </c>
      <c r="T16" s="914">
        <v>4.6465260881319272</v>
      </c>
      <c r="U16" s="914">
        <v>0</v>
      </c>
      <c r="V16" s="914">
        <v>4.6465260881319272</v>
      </c>
      <c r="W16" s="915">
        <v>640</v>
      </c>
      <c r="X16" s="915">
        <v>0</v>
      </c>
      <c r="Y16" s="1041">
        <v>2.9737766964044332</v>
      </c>
      <c r="Z16" s="914">
        <v>7.2</v>
      </c>
      <c r="AA16" s="914">
        <v>1.6056000000000004</v>
      </c>
      <c r="AB16" s="915">
        <v>920</v>
      </c>
      <c r="AC16" s="1041">
        <v>1.4771520000000002</v>
      </c>
      <c r="AD16" s="1040">
        <v>12.161623529411766</v>
      </c>
      <c r="AE16" s="915">
        <v>19.646526088131928</v>
      </c>
      <c r="AF16" s="915">
        <v>103.03676146058896</v>
      </c>
      <c r="AG16" s="915" t="s">
        <v>1261</v>
      </c>
      <c r="AH16" s="915" t="s">
        <v>1260</v>
      </c>
      <c r="AI16" s="915" t="s">
        <v>1260</v>
      </c>
      <c r="AJ16" s="915">
        <v>16</v>
      </c>
      <c r="AK16" s="915">
        <v>490</v>
      </c>
      <c r="AL16" s="1041">
        <v>7.9001388888888888</v>
      </c>
      <c r="AM16" s="915">
        <v>112.0907294117647</v>
      </c>
      <c r="AN16" s="915">
        <v>126.79728354509459</v>
      </c>
      <c r="AO16" s="915">
        <v>-1</v>
      </c>
      <c r="AP16" s="915">
        <v>23.352235294117648</v>
      </c>
      <c r="AQ16" s="915">
        <v>420</v>
      </c>
      <c r="AR16" s="1041">
        <v>9.8362004229917019</v>
      </c>
      <c r="AS16" s="913"/>
      <c r="AT16" s="915"/>
      <c r="AU16" s="1041">
        <v>0</v>
      </c>
      <c r="AX16" s="1719"/>
      <c r="AY16" s="873"/>
      <c r="AZ16" s="873"/>
      <c r="BA16" s="912"/>
      <c r="BB16" s="913"/>
      <c r="BC16" s="913"/>
      <c r="BD16" s="1779"/>
      <c r="BE16" s="913"/>
      <c r="BF16" s="913"/>
      <c r="BG16" s="1767"/>
      <c r="BH16" s="1040">
        <v>1</v>
      </c>
      <c r="BI16" s="913">
        <v>1510</v>
      </c>
      <c r="BJ16" s="915">
        <v>1.51</v>
      </c>
      <c r="BK16" s="1768"/>
      <c r="BL16" s="914"/>
      <c r="BM16" s="915">
        <v>54.800000000000004</v>
      </c>
      <c r="BN16" s="914">
        <v>0.98181818181818192</v>
      </c>
      <c r="BO16" s="914">
        <v>4.6465260881319272</v>
      </c>
      <c r="BP16" s="914">
        <v>0</v>
      </c>
      <c r="BQ16" s="914">
        <v>4.6465260881319272</v>
      </c>
      <c r="BR16" s="915">
        <v>640</v>
      </c>
      <c r="BS16" s="915">
        <v>0</v>
      </c>
      <c r="BT16" s="1041">
        <v>2.9737766964044332</v>
      </c>
      <c r="BU16" s="914">
        <v>7.2</v>
      </c>
      <c r="BV16" s="914">
        <v>2.4480000000000004</v>
      </c>
      <c r="BW16" s="915">
        <v>920</v>
      </c>
      <c r="BX16" s="1041">
        <v>2.2521600000000004</v>
      </c>
      <c r="BY16" s="1040">
        <v>12.161623529411766</v>
      </c>
      <c r="BZ16" s="915">
        <v>19.646526088131928</v>
      </c>
      <c r="CA16" s="915">
        <v>103.03676146058896</v>
      </c>
      <c r="CB16" s="915" t="s">
        <v>860</v>
      </c>
      <c r="CC16" s="915" t="s">
        <v>784</v>
      </c>
      <c r="CD16" s="915" t="s">
        <v>784</v>
      </c>
      <c r="CE16" s="915">
        <v>16</v>
      </c>
      <c r="CF16" s="915">
        <v>490</v>
      </c>
      <c r="CG16" s="1041">
        <v>7.9001388888888888</v>
      </c>
      <c r="CH16" s="915">
        <v>112.0907294117647</v>
      </c>
      <c r="CI16" s="915">
        <v>126.79728354509459</v>
      </c>
      <c r="CJ16" s="915">
        <v>-1</v>
      </c>
      <c r="CK16" s="915">
        <v>23.352235294117648</v>
      </c>
      <c r="CL16" s="915">
        <v>670</v>
      </c>
      <c r="CM16" s="1041">
        <v>15.546727187538359</v>
      </c>
      <c r="CN16" s="913"/>
      <c r="CO16" s="915"/>
      <c r="CP16" s="1041">
        <v>0</v>
      </c>
      <c r="CR16" s="1719">
        <f t="shared" si="1"/>
        <v>0</v>
      </c>
      <c r="CS16" s="873">
        <f t="shared" si="11"/>
        <v>0</v>
      </c>
      <c r="CT16" s="873">
        <f t="shared" si="12"/>
        <v>0</v>
      </c>
      <c r="CU16" s="912">
        <f t="shared" si="13"/>
        <v>0</v>
      </c>
      <c r="CV16" s="913">
        <f t="shared" si="14"/>
        <v>0</v>
      </c>
      <c r="CW16" s="913">
        <f t="shared" si="15"/>
        <v>0</v>
      </c>
      <c r="CX16" s="1779">
        <f t="shared" si="16"/>
        <v>0</v>
      </c>
      <c r="CY16" s="913">
        <f t="shared" si="17"/>
        <v>0</v>
      </c>
      <c r="CZ16" s="913">
        <f t="shared" si="18"/>
        <v>0</v>
      </c>
      <c r="DA16" s="1767">
        <f t="shared" si="19"/>
        <v>0</v>
      </c>
      <c r="DB16" s="1040">
        <f t="shared" si="20"/>
        <v>0</v>
      </c>
      <c r="DC16" s="913">
        <f t="shared" si="21"/>
        <v>0</v>
      </c>
      <c r="DD16" s="915">
        <f t="shared" si="22"/>
        <v>0</v>
      </c>
      <c r="DE16" s="1768">
        <f t="shared" si="23"/>
        <v>0</v>
      </c>
      <c r="DF16" s="914">
        <f t="shared" si="24"/>
        <v>0</v>
      </c>
      <c r="DG16" s="915">
        <f t="shared" si="25"/>
        <v>0</v>
      </c>
      <c r="DH16" s="914">
        <f t="shared" si="26"/>
        <v>0</v>
      </c>
      <c r="DI16" s="914">
        <f t="shared" si="27"/>
        <v>0</v>
      </c>
      <c r="DJ16" s="914">
        <f t="shared" si="28"/>
        <v>0</v>
      </c>
      <c r="DK16" s="914">
        <f t="shared" si="29"/>
        <v>0</v>
      </c>
      <c r="DL16" s="915">
        <f t="shared" si="30"/>
        <v>0</v>
      </c>
      <c r="DM16" s="915">
        <f t="shared" si="31"/>
        <v>0</v>
      </c>
      <c r="DN16" s="1041">
        <f t="shared" si="32"/>
        <v>0</v>
      </c>
      <c r="DO16" s="914">
        <f t="shared" si="33"/>
        <v>0</v>
      </c>
      <c r="DP16" s="914">
        <f t="shared" si="34"/>
        <v>-0.84240000000000004</v>
      </c>
      <c r="DQ16" s="915">
        <f t="shared" si="35"/>
        <v>0</v>
      </c>
      <c r="DR16" s="1041">
        <f t="shared" si="36"/>
        <v>-0.77500800000000014</v>
      </c>
      <c r="DS16" s="1040">
        <f t="shared" si="37"/>
        <v>0</v>
      </c>
      <c r="DT16" s="915">
        <f t="shared" si="38"/>
        <v>0</v>
      </c>
      <c r="DU16" s="915">
        <f t="shared" si="39"/>
        <v>0</v>
      </c>
      <c r="DV16" s="915" t="e">
        <f t="shared" si="40"/>
        <v>#VALUE!</v>
      </c>
      <c r="DW16" s="915" t="e">
        <f t="shared" si="41"/>
        <v>#VALUE!</v>
      </c>
      <c r="DX16" s="915" t="e">
        <f t="shared" si="42"/>
        <v>#VALUE!</v>
      </c>
      <c r="DY16" s="915">
        <f t="shared" si="43"/>
        <v>0</v>
      </c>
      <c r="DZ16" s="915">
        <f t="shared" si="44"/>
        <v>0</v>
      </c>
      <c r="EA16" s="1041">
        <f t="shared" si="45"/>
        <v>0</v>
      </c>
      <c r="EB16" s="915">
        <f t="shared" si="2"/>
        <v>0</v>
      </c>
      <c r="EC16" s="915">
        <f t="shared" si="3"/>
        <v>0</v>
      </c>
      <c r="ED16" s="915">
        <f t="shared" si="4"/>
        <v>0</v>
      </c>
      <c r="EE16" s="915">
        <f t="shared" si="5"/>
        <v>0</v>
      </c>
      <c r="EF16" s="915">
        <f t="shared" si="6"/>
        <v>-250</v>
      </c>
      <c r="EG16" s="1041">
        <f t="shared" si="7"/>
        <v>-5.7105267645466569</v>
      </c>
      <c r="EH16" s="913">
        <f t="shared" si="8"/>
        <v>0</v>
      </c>
      <c r="EI16" s="915">
        <f t="shared" si="9"/>
        <v>0</v>
      </c>
      <c r="EJ16" s="1041">
        <f t="shared" si="10"/>
        <v>0</v>
      </c>
    </row>
    <row r="17" spans="1:140">
      <c r="A17" s="882">
        <f>Eingabedaten!A21</f>
        <v>4.4000000000000004</v>
      </c>
      <c r="B17" s="1013" t="str">
        <f>Eingabedaten!C21</f>
        <v>Hörsaal</v>
      </c>
      <c r="C17" s="1719"/>
      <c r="D17" s="873"/>
      <c r="E17" s="873"/>
      <c r="F17" s="912"/>
      <c r="G17" s="913"/>
      <c r="H17" s="913"/>
      <c r="I17" s="1779"/>
      <c r="J17" s="913"/>
      <c r="K17" s="913"/>
      <c r="L17" s="1767"/>
      <c r="M17" s="1040">
        <v>2</v>
      </c>
      <c r="N17" s="913">
        <v>1770</v>
      </c>
      <c r="O17" s="915">
        <v>3.54</v>
      </c>
      <c r="P17" s="1768"/>
      <c r="Q17" s="914"/>
      <c r="R17" s="915">
        <v>69.8</v>
      </c>
      <c r="S17" s="914">
        <v>0.98181818181818192</v>
      </c>
      <c r="T17" s="914">
        <v>9.1199724079380236</v>
      </c>
      <c r="U17" s="914">
        <v>0</v>
      </c>
      <c r="V17" s="914">
        <v>9.1199724079380236</v>
      </c>
      <c r="W17" s="915">
        <v>1130</v>
      </c>
      <c r="X17" s="915">
        <v>0</v>
      </c>
      <c r="Y17" s="1041">
        <v>10.305568820969967</v>
      </c>
      <c r="Z17" s="914">
        <v>15</v>
      </c>
      <c r="AA17" s="914">
        <v>5.1000000000000005</v>
      </c>
      <c r="AB17" s="915">
        <v>1340</v>
      </c>
      <c r="AC17" s="1041">
        <v>6.8340000000000005</v>
      </c>
      <c r="AD17" s="1040">
        <v>15.156823529411763</v>
      </c>
      <c r="AE17" s="915">
        <v>46.119972407938022</v>
      </c>
      <c r="AF17" s="915">
        <v>342.62417504269064</v>
      </c>
      <c r="AG17" s="915" t="s">
        <v>1259</v>
      </c>
      <c r="AH17" s="915" t="s">
        <v>1259</v>
      </c>
      <c r="AI17" s="915" t="s">
        <v>1259</v>
      </c>
      <c r="AJ17" s="915">
        <v>39</v>
      </c>
      <c r="AK17" s="915">
        <v>760</v>
      </c>
      <c r="AL17" s="1041">
        <v>29.806458333333332</v>
      </c>
      <c r="AM17" s="915">
        <v>183.97552941176468</v>
      </c>
      <c r="AN17" s="915">
        <v>77.253752417201284</v>
      </c>
      <c r="AO17" s="915">
        <v>-2</v>
      </c>
      <c r="AP17" s="915">
        <v>39.605843137254894</v>
      </c>
      <c r="AQ17" s="915">
        <v>170</v>
      </c>
      <c r="AR17" s="1041">
        <v>6.6634126733512886</v>
      </c>
      <c r="AS17" s="913"/>
      <c r="AT17" s="915"/>
      <c r="AU17" s="1041">
        <v>7.9350078082191775</v>
      </c>
      <c r="AX17" s="1719"/>
      <c r="AY17" s="873"/>
      <c r="AZ17" s="873"/>
      <c r="BA17" s="912"/>
      <c r="BB17" s="913"/>
      <c r="BC17" s="913"/>
      <c r="BD17" s="1779"/>
      <c r="BE17" s="913"/>
      <c r="BF17" s="913"/>
      <c r="BG17" s="1767"/>
      <c r="BH17" s="1040">
        <v>2</v>
      </c>
      <c r="BI17" s="913">
        <v>1770</v>
      </c>
      <c r="BJ17" s="915">
        <v>3.54</v>
      </c>
      <c r="BK17" s="1768"/>
      <c r="BL17" s="914"/>
      <c r="BM17" s="915">
        <v>69.8</v>
      </c>
      <c r="BN17" s="914">
        <v>0.98181818181818192</v>
      </c>
      <c r="BO17" s="914">
        <v>9.1199724079380236</v>
      </c>
      <c r="BP17" s="914">
        <v>0</v>
      </c>
      <c r="BQ17" s="914">
        <v>9.1199724079380236</v>
      </c>
      <c r="BR17" s="915">
        <v>1130</v>
      </c>
      <c r="BS17" s="915">
        <v>0</v>
      </c>
      <c r="BT17" s="1041">
        <v>10.305568820969967</v>
      </c>
      <c r="BU17" s="914">
        <v>15</v>
      </c>
      <c r="BV17" s="914">
        <v>5.1000000000000005</v>
      </c>
      <c r="BW17" s="915">
        <v>1340</v>
      </c>
      <c r="BX17" s="1041">
        <v>6.8340000000000005</v>
      </c>
      <c r="BY17" s="1040">
        <v>15.156823529411763</v>
      </c>
      <c r="BZ17" s="915">
        <v>46.119972407938022</v>
      </c>
      <c r="CA17" s="915">
        <v>342.62417504269064</v>
      </c>
      <c r="CB17" s="915" t="s">
        <v>785</v>
      </c>
      <c r="CC17" s="915" t="s">
        <v>785</v>
      </c>
      <c r="CD17" s="915" t="s">
        <v>785</v>
      </c>
      <c r="CE17" s="915">
        <v>39</v>
      </c>
      <c r="CF17" s="915">
        <v>760</v>
      </c>
      <c r="CG17" s="1041">
        <v>29.806458333333332</v>
      </c>
      <c r="CH17" s="915">
        <v>183.97552941176468</v>
      </c>
      <c r="CI17" s="915">
        <v>77.253752417201284</v>
      </c>
      <c r="CJ17" s="915">
        <v>-2</v>
      </c>
      <c r="CK17" s="915">
        <v>39.605843137254894</v>
      </c>
      <c r="CL17" s="915">
        <v>400</v>
      </c>
      <c r="CM17" s="1041">
        <v>15.766270796839491</v>
      </c>
      <c r="CN17" s="913"/>
      <c r="CO17" s="915"/>
      <c r="CP17" s="1041">
        <v>7.9350078082191775</v>
      </c>
      <c r="CR17" s="1719">
        <f t="shared" si="1"/>
        <v>0</v>
      </c>
      <c r="CS17" s="873">
        <f t="shared" si="11"/>
        <v>0</v>
      </c>
      <c r="CT17" s="873">
        <f t="shared" si="12"/>
        <v>0</v>
      </c>
      <c r="CU17" s="912">
        <f t="shared" si="13"/>
        <v>0</v>
      </c>
      <c r="CV17" s="913">
        <f t="shared" si="14"/>
        <v>0</v>
      </c>
      <c r="CW17" s="913">
        <f t="shared" si="15"/>
        <v>0</v>
      </c>
      <c r="CX17" s="1779">
        <f t="shared" si="16"/>
        <v>0</v>
      </c>
      <c r="CY17" s="913">
        <f t="shared" si="17"/>
        <v>0</v>
      </c>
      <c r="CZ17" s="913">
        <f t="shared" si="18"/>
        <v>0</v>
      </c>
      <c r="DA17" s="1767">
        <f t="shared" si="19"/>
        <v>0</v>
      </c>
      <c r="DB17" s="1040">
        <f t="shared" si="20"/>
        <v>0</v>
      </c>
      <c r="DC17" s="913">
        <f t="shared" si="21"/>
        <v>0</v>
      </c>
      <c r="DD17" s="915">
        <f t="shared" si="22"/>
        <v>0</v>
      </c>
      <c r="DE17" s="1768">
        <f t="shared" si="23"/>
        <v>0</v>
      </c>
      <c r="DF17" s="914">
        <f t="shared" si="24"/>
        <v>0</v>
      </c>
      <c r="DG17" s="915">
        <f t="shared" si="25"/>
        <v>0</v>
      </c>
      <c r="DH17" s="914">
        <f t="shared" si="26"/>
        <v>0</v>
      </c>
      <c r="DI17" s="914">
        <f t="shared" si="27"/>
        <v>0</v>
      </c>
      <c r="DJ17" s="914">
        <f t="shared" si="28"/>
        <v>0</v>
      </c>
      <c r="DK17" s="914">
        <f t="shared" si="29"/>
        <v>0</v>
      </c>
      <c r="DL17" s="915">
        <f t="shared" si="30"/>
        <v>0</v>
      </c>
      <c r="DM17" s="915">
        <f t="shared" si="31"/>
        <v>0</v>
      </c>
      <c r="DN17" s="1041">
        <f t="shared" si="32"/>
        <v>0</v>
      </c>
      <c r="DO17" s="914">
        <f t="shared" si="33"/>
        <v>0</v>
      </c>
      <c r="DP17" s="914">
        <f t="shared" si="34"/>
        <v>0</v>
      </c>
      <c r="DQ17" s="915">
        <f t="shared" si="35"/>
        <v>0</v>
      </c>
      <c r="DR17" s="1041">
        <f t="shared" si="36"/>
        <v>0</v>
      </c>
      <c r="DS17" s="1040">
        <f t="shared" si="37"/>
        <v>0</v>
      </c>
      <c r="DT17" s="915">
        <f t="shared" si="38"/>
        <v>0</v>
      </c>
      <c r="DU17" s="915">
        <f t="shared" si="39"/>
        <v>0</v>
      </c>
      <c r="DV17" s="915" t="e">
        <f t="shared" si="40"/>
        <v>#VALUE!</v>
      </c>
      <c r="DW17" s="915" t="e">
        <f t="shared" si="41"/>
        <v>#VALUE!</v>
      </c>
      <c r="DX17" s="915" t="e">
        <f t="shared" si="42"/>
        <v>#VALUE!</v>
      </c>
      <c r="DY17" s="915">
        <f t="shared" si="43"/>
        <v>0</v>
      </c>
      <c r="DZ17" s="915">
        <f t="shared" si="44"/>
        <v>0</v>
      </c>
      <c r="EA17" s="1041">
        <f t="shared" si="45"/>
        <v>0</v>
      </c>
      <c r="EB17" s="915">
        <f t="shared" si="2"/>
        <v>0</v>
      </c>
      <c r="EC17" s="915">
        <f t="shared" si="3"/>
        <v>0</v>
      </c>
      <c r="ED17" s="915">
        <f t="shared" si="4"/>
        <v>0</v>
      </c>
      <c r="EE17" s="915">
        <f t="shared" si="5"/>
        <v>0</v>
      </c>
      <c r="EF17" s="915">
        <f t="shared" si="6"/>
        <v>-230</v>
      </c>
      <c r="EG17" s="1041">
        <f t="shared" si="7"/>
        <v>-9.1028581234882022</v>
      </c>
      <c r="EH17" s="913">
        <f t="shared" si="8"/>
        <v>0</v>
      </c>
      <c r="EI17" s="915">
        <f t="shared" si="9"/>
        <v>0</v>
      </c>
      <c r="EJ17" s="1041">
        <f t="shared" si="10"/>
        <v>0</v>
      </c>
    </row>
    <row r="18" spans="1:140">
      <c r="A18" s="885">
        <f>Eingabedaten!A22</f>
        <v>4.5</v>
      </c>
      <c r="B18" s="1536" t="str">
        <f>Eingabedaten!C22</f>
        <v>Schulfachraum (Spezialraum)</v>
      </c>
      <c r="C18" s="1780"/>
      <c r="D18" s="886"/>
      <c r="E18" s="886"/>
      <c r="F18" s="1758"/>
      <c r="G18" s="1759"/>
      <c r="H18" s="1759"/>
      <c r="I18" s="1781"/>
      <c r="J18" s="1759"/>
      <c r="K18" s="1759"/>
      <c r="L18" s="1760"/>
      <c r="M18" s="1774">
        <v>1.5</v>
      </c>
      <c r="N18" s="1759">
        <v>1770</v>
      </c>
      <c r="O18" s="1762">
        <v>2.6549999999999998</v>
      </c>
      <c r="P18" s="1775"/>
      <c r="Q18" s="1761"/>
      <c r="R18" s="1762">
        <v>69.8</v>
      </c>
      <c r="S18" s="1761">
        <v>0.87297921478060048</v>
      </c>
      <c r="T18" s="1761">
        <v>10.257007928927699</v>
      </c>
      <c r="U18" s="1761">
        <v>0</v>
      </c>
      <c r="V18" s="1761">
        <v>10.257007928927699</v>
      </c>
      <c r="W18" s="1762">
        <v>560</v>
      </c>
      <c r="X18" s="1762">
        <v>0</v>
      </c>
      <c r="Y18" s="1776">
        <v>5.7439244401995113</v>
      </c>
      <c r="Z18" s="1761">
        <v>6</v>
      </c>
      <c r="AA18" s="1761">
        <v>1.3380000000000001</v>
      </c>
      <c r="AB18" s="1762">
        <v>1340</v>
      </c>
      <c r="AC18" s="1776">
        <v>1.7929200000000001</v>
      </c>
      <c r="AD18" s="1774">
        <v>18.107294117647058</v>
      </c>
      <c r="AE18" s="1762">
        <v>25.757007928927699</v>
      </c>
      <c r="AF18" s="1762">
        <v>138.79846157505216</v>
      </c>
      <c r="AG18" s="1762" t="s">
        <v>1261</v>
      </c>
      <c r="AH18" s="1762" t="s">
        <v>1260</v>
      </c>
      <c r="AI18" s="1762" t="s">
        <v>1259</v>
      </c>
      <c r="AJ18" s="1762">
        <v>26</v>
      </c>
      <c r="AK18" s="1762">
        <v>430</v>
      </c>
      <c r="AL18" s="1776">
        <v>11.201142857142857</v>
      </c>
      <c r="AM18" s="1762">
        <v>61.428235294117641</v>
      </c>
      <c r="AN18" s="1762">
        <v>121.24717508714139</v>
      </c>
      <c r="AO18" s="1762">
        <v>-1</v>
      </c>
      <c r="AP18" s="1762">
        <v>26.326386554621848</v>
      </c>
      <c r="AQ18" s="1762">
        <v>660</v>
      </c>
      <c r="AR18" s="1776">
        <v>17.417187974480619</v>
      </c>
      <c r="AS18" s="1759"/>
      <c r="AT18" s="1762"/>
      <c r="AU18" s="1776">
        <v>3.1740031232876711</v>
      </c>
      <c r="AX18" s="1780"/>
      <c r="AY18" s="886"/>
      <c r="AZ18" s="886"/>
      <c r="BA18" s="1758"/>
      <c r="BB18" s="1759"/>
      <c r="BC18" s="1759"/>
      <c r="BD18" s="1781"/>
      <c r="BE18" s="1759"/>
      <c r="BF18" s="1759"/>
      <c r="BG18" s="1760"/>
      <c r="BH18" s="1774">
        <v>1.5</v>
      </c>
      <c r="BI18" s="1759">
        <v>1770</v>
      </c>
      <c r="BJ18" s="1762">
        <v>2.6549999999999998</v>
      </c>
      <c r="BK18" s="1775"/>
      <c r="BL18" s="1761"/>
      <c r="BM18" s="1762">
        <v>69.8</v>
      </c>
      <c r="BN18" s="1761">
        <v>0.87297921478060048</v>
      </c>
      <c r="BO18" s="1761">
        <v>10.257007928927699</v>
      </c>
      <c r="BP18" s="1761">
        <v>0</v>
      </c>
      <c r="BQ18" s="1761">
        <v>10.257007928927699</v>
      </c>
      <c r="BR18" s="1762">
        <v>560</v>
      </c>
      <c r="BS18" s="1762">
        <v>0</v>
      </c>
      <c r="BT18" s="1776">
        <v>5.7439244401995113</v>
      </c>
      <c r="BU18" s="1761">
        <v>6</v>
      </c>
      <c r="BV18" s="1761">
        <v>2.04</v>
      </c>
      <c r="BW18" s="1762">
        <v>1340</v>
      </c>
      <c r="BX18" s="1776">
        <v>2.7336</v>
      </c>
      <c r="BY18" s="1774">
        <v>18.107294117647058</v>
      </c>
      <c r="BZ18" s="1762">
        <v>25.757007928927699</v>
      </c>
      <c r="CA18" s="1762">
        <v>138.79846157505216</v>
      </c>
      <c r="CB18" s="1762" t="s">
        <v>860</v>
      </c>
      <c r="CC18" s="1762" t="s">
        <v>784</v>
      </c>
      <c r="CD18" s="1762" t="s">
        <v>785</v>
      </c>
      <c r="CE18" s="1762">
        <v>26</v>
      </c>
      <c r="CF18" s="1762">
        <v>430</v>
      </c>
      <c r="CG18" s="1776">
        <v>11.201142857142857</v>
      </c>
      <c r="CH18" s="1762">
        <v>61.428235294117641</v>
      </c>
      <c r="CI18" s="1762">
        <v>121.24717508714139</v>
      </c>
      <c r="CJ18" s="1762">
        <v>-1</v>
      </c>
      <c r="CK18" s="1762">
        <v>26.326386554621848</v>
      </c>
      <c r="CL18" s="1762">
        <v>890</v>
      </c>
      <c r="CM18" s="1776">
        <v>23.533477394343489</v>
      </c>
      <c r="CN18" s="1759"/>
      <c r="CO18" s="1762"/>
      <c r="CP18" s="1776">
        <v>3.1740031232876711</v>
      </c>
      <c r="CR18" s="1780">
        <f t="shared" si="1"/>
        <v>0</v>
      </c>
      <c r="CS18" s="886">
        <f t="shared" si="11"/>
        <v>0</v>
      </c>
      <c r="CT18" s="886">
        <f t="shared" si="12"/>
        <v>0</v>
      </c>
      <c r="CU18" s="1758">
        <f t="shared" si="13"/>
        <v>0</v>
      </c>
      <c r="CV18" s="1759">
        <f t="shared" si="14"/>
        <v>0</v>
      </c>
      <c r="CW18" s="1759">
        <f t="shared" si="15"/>
        <v>0</v>
      </c>
      <c r="CX18" s="1781">
        <f t="shared" si="16"/>
        <v>0</v>
      </c>
      <c r="CY18" s="1759">
        <f t="shared" si="17"/>
        <v>0</v>
      </c>
      <c r="CZ18" s="1759">
        <f t="shared" si="18"/>
        <v>0</v>
      </c>
      <c r="DA18" s="1760">
        <f t="shared" si="19"/>
        <v>0</v>
      </c>
      <c r="DB18" s="1774">
        <f t="shared" si="20"/>
        <v>0</v>
      </c>
      <c r="DC18" s="1759">
        <f t="shared" si="21"/>
        <v>0</v>
      </c>
      <c r="DD18" s="1762">
        <f t="shared" si="22"/>
        <v>0</v>
      </c>
      <c r="DE18" s="1775">
        <f t="shared" si="23"/>
        <v>0</v>
      </c>
      <c r="DF18" s="1761">
        <f t="shared" si="24"/>
        <v>0</v>
      </c>
      <c r="DG18" s="1762">
        <f t="shared" si="25"/>
        <v>0</v>
      </c>
      <c r="DH18" s="1761">
        <f t="shared" si="26"/>
        <v>0</v>
      </c>
      <c r="DI18" s="1761">
        <f t="shared" si="27"/>
        <v>0</v>
      </c>
      <c r="DJ18" s="1761">
        <f t="shared" si="28"/>
        <v>0</v>
      </c>
      <c r="DK18" s="1761">
        <f t="shared" si="29"/>
        <v>0</v>
      </c>
      <c r="DL18" s="1762">
        <f t="shared" si="30"/>
        <v>0</v>
      </c>
      <c r="DM18" s="1762">
        <f t="shared" si="31"/>
        <v>0</v>
      </c>
      <c r="DN18" s="1776">
        <f t="shared" si="32"/>
        <v>0</v>
      </c>
      <c r="DO18" s="1761">
        <f t="shared" si="33"/>
        <v>0</v>
      </c>
      <c r="DP18" s="1761">
        <f t="shared" si="34"/>
        <v>-0.70199999999999996</v>
      </c>
      <c r="DQ18" s="1762">
        <f t="shared" si="35"/>
        <v>0</v>
      </c>
      <c r="DR18" s="1776">
        <f t="shared" si="36"/>
        <v>-0.94067999999999996</v>
      </c>
      <c r="DS18" s="1774">
        <f t="shared" si="37"/>
        <v>0</v>
      </c>
      <c r="DT18" s="1762">
        <f t="shared" si="38"/>
        <v>0</v>
      </c>
      <c r="DU18" s="1762">
        <f t="shared" si="39"/>
        <v>0</v>
      </c>
      <c r="DV18" s="1762" t="e">
        <f t="shared" si="40"/>
        <v>#VALUE!</v>
      </c>
      <c r="DW18" s="1762" t="e">
        <f t="shared" si="41"/>
        <v>#VALUE!</v>
      </c>
      <c r="DX18" s="1762" t="e">
        <f t="shared" si="42"/>
        <v>#VALUE!</v>
      </c>
      <c r="DY18" s="1762">
        <f t="shared" si="43"/>
        <v>0</v>
      </c>
      <c r="DZ18" s="1762">
        <f t="shared" si="44"/>
        <v>0</v>
      </c>
      <c r="EA18" s="1776">
        <f t="shared" si="45"/>
        <v>0</v>
      </c>
      <c r="EB18" s="1762">
        <f t="shared" si="2"/>
        <v>0</v>
      </c>
      <c r="EC18" s="1762">
        <f t="shared" si="3"/>
        <v>0</v>
      </c>
      <c r="ED18" s="1762">
        <f t="shared" si="4"/>
        <v>0</v>
      </c>
      <c r="EE18" s="1762">
        <f t="shared" si="5"/>
        <v>0</v>
      </c>
      <c r="EF18" s="1762">
        <f t="shared" si="6"/>
        <v>-230</v>
      </c>
      <c r="EG18" s="1776">
        <f t="shared" si="7"/>
        <v>-6.1162894198628699</v>
      </c>
      <c r="EH18" s="1759">
        <f t="shared" si="8"/>
        <v>0</v>
      </c>
      <c r="EI18" s="1762">
        <f t="shared" si="9"/>
        <v>0</v>
      </c>
      <c r="EJ18" s="1776">
        <f t="shared" si="10"/>
        <v>0</v>
      </c>
    </row>
    <row r="19" spans="1:140">
      <c r="A19" s="887">
        <f>Eingabedaten!A23</f>
        <v>5.0999999999999996</v>
      </c>
      <c r="B19" s="1782" t="str">
        <f>Eingabedaten!C23</f>
        <v>Lebensmittelverkauf</v>
      </c>
      <c r="C19" s="1719"/>
      <c r="D19" s="873"/>
      <c r="E19" s="873"/>
      <c r="F19" s="912"/>
      <c r="G19" s="913"/>
      <c r="H19" s="913"/>
      <c r="I19" s="913"/>
      <c r="J19" s="913"/>
      <c r="K19" s="913"/>
      <c r="L19" s="1772"/>
      <c r="M19" s="1040">
        <v>80</v>
      </c>
      <c r="N19" s="913">
        <v>4010</v>
      </c>
      <c r="O19" s="1039">
        <v>320.8</v>
      </c>
      <c r="P19" s="1779"/>
      <c r="Q19" s="914"/>
      <c r="R19" s="915">
        <v>59.8</v>
      </c>
      <c r="S19" s="914">
        <v>0.967741935483871</v>
      </c>
      <c r="T19" s="914">
        <v>6.4799331103678934</v>
      </c>
      <c r="U19" s="914">
        <v>6</v>
      </c>
      <c r="V19" s="914">
        <v>12.479933110367893</v>
      </c>
      <c r="W19" s="915">
        <v>2340</v>
      </c>
      <c r="X19" s="915">
        <v>3260</v>
      </c>
      <c r="Y19" s="1039">
        <v>34.72304347826087</v>
      </c>
      <c r="Z19" s="914">
        <v>3.75</v>
      </c>
      <c r="AA19" s="914">
        <v>1.2750000000000001</v>
      </c>
      <c r="AB19" s="915">
        <v>1400</v>
      </c>
      <c r="AC19" s="1039">
        <v>1.7850000000000001</v>
      </c>
      <c r="AD19" s="1040">
        <v>9.1703529411764713</v>
      </c>
      <c r="AE19" s="915">
        <v>13.279933110367894</v>
      </c>
      <c r="AF19" s="915">
        <v>63.4560303975301</v>
      </c>
      <c r="AG19" s="915" t="s">
        <v>1261</v>
      </c>
      <c r="AH19" s="915" t="s">
        <v>1261</v>
      </c>
      <c r="AI19" s="915" t="s">
        <v>1261</v>
      </c>
      <c r="AJ19" s="915">
        <v>17</v>
      </c>
      <c r="AK19" s="915">
        <v>650</v>
      </c>
      <c r="AL19" s="1039">
        <v>11.107849999999999</v>
      </c>
      <c r="AM19" s="915">
        <v>211.82745098039214</v>
      </c>
      <c r="AN19" s="915">
        <v>182.97911729857822</v>
      </c>
      <c r="AO19" s="915">
        <v>-1</v>
      </c>
      <c r="AP19" s="915">
        <v>15.357490196078432</v>
      </c>
      <c r="AQ19" s="915">
        <v>0</v>
      </c>
      <c r="AR19" s="1039">
        <v>7.770085448151054E-3</v>
      </c>
      <c r="AS19" s="913"/>
      <c r="AT19" s="915"/>
      <c r="AU19" s="1039">
        <v>2.7231000000000005</v>
      </c>
      <c r="AX19" s="1719"/>
      <c r="AY19" s="873"/>
      <c r="AZ19" s="873"/>
      <c r="BA19" s="912"/>
      <c r="BB19" s="913"/>
      <c r="BC19" s="913"/>
      <c r="BD19" s="913"/>
      <c r="BE19" s="913"/>
      <c r="BF19" s="913"/>
      <c r="BG19" s="1772"/>
      <c r="BH19" s="1040">
        <v>40</v>
      </c>
      <c r="BI19" s="913">
        <v>3630</v>
      </c>
      <c r="BJ19" s="1039">
        <v>145.19999999999999</v>
      </c>
      <c r="BK19" s="1779"/>
      <c r="BL19" s="914"/>
      <c r="BM19" s="915">
        <v>59.8</v>
      </c>
      <c r="BN19" s="914">
        <v>0.967741935483871</v>
      </c>
      <c r="BO19" s="914">
        <v>6.4799331103678934</v>
      </c>
      <c r="BP19" s="914">
        <v>6</v>
      </c>
      <c r="BQ19" s="914">
        <v>12.479933110367893</v>
      </c>
      <c r="BR19" s="915">
        <v>2340</v>
      </c>
      <c r="BS19" s="915">
        <v>3260</v>
      </c>
      <c r="BT19" s="1039">
        <v>34.72304347826087</v>
      </c>
      <c r="BU19" s="914">
        <v>3.75</v>
      </c>
      <c r="BV19" s="914">
        <v>1.2750000000000001</v>
      </c>
      <c r="BW19" s="915">
        <v>1490</v>
      </c>
      <c r="BX19" s="1039">
        <v>1.8997500000000003</v>
      </c>
      <c r="BY19" s="1040">
        <v>9.1703529411764713</v>
      </c>
      <c r="BZ19" s="915">
        <v>13.279933110367894</v>
      </c>
      <c r="CA19" s="915">
        <v>72.256030397530097</v>
      </c>
      <c r="CB19" s="915" t="s">
        <v>860</v>
      </c>
      <c r="CC19" s="915" t="s">
        <v>860</v>
      </c>
      <c r="CD19" s="915" t="s">
        <v>860</v>
      </c>
      <c r="CE19" s="915">
        <v>17</v>
      </c>
      <c r="CF19" s="915">
        <v>650</v>
      </c>
      <c r="CG19" s="1039">
        <v>11.107849999999999</v>
      </c>
      <c r="CH19" s="915">
        <v>211.82745098039214</v>
      </c>
      <c r="CI19" s="915">
        <v>182.97911729857822</v>
      </c>
      <c r="CJ19" s="915">
        <v>-1</v>
      </c>
      <c r="CK19" s="915">
        <v>15.357490196078432</v>
      </c>
      <c r="CL19" s="915">
        <v>100</v>
      </c>
      <c r="CM19" s="1039">
        <v>1.5904825294277902</v>
      </c>
      <c r="CN19" s="913"/>
      <c r="CO19" s="915"/>
      <c r="CP19" s="1039">
        <v>2.7231000000000005</v>
      </c>
      <c r="CR19" s="1719">
        <f t="shared" si="1"/>
        <v>0</v>
      </c>
      <c r="CS19" s="873">
        <f t="shared" si="11"/>
        <v>0</v>
      </c>
      <c r="CT19" s="873">
        <f t="shared" si="12"/>
        <v>0</v>
      </c>
      <c r="CU19" s="912">
        <f t="shared" si="13"/>
        <v>0</v>
      </c>
      <c r="CV19" s="913">
        <f t="shared" si="14"/>
        <v>0</v>
      </c>
      <c r="CW19" s="913">
        <f t="shared" si="15"/>
        <v>0</v>
      </c>
      <c r="CX19" s="913">
        <f t="shared" si="16"/>
        <v>0</v>
      </c>
      <c r="CY19" s="913">
        <f t="shared" si="17"/>
        <v>0</v>
      </c>
      <c r="CZ19" s="913">
        <f t="shared" si="18"/>
        <v>0</v>
      </c>
      <c r="DA19" s="1772">
        <f t="shared" si="19"/>
        <v>0</v>
      </c>
      <c r="DB19" s="1040">
        <f t="shared" si="20"/>
        <v>40</v>
      </c>
      <c r="DC19" s="913">
        <f t="shared" si="21"/>
        <v>380</v>
      </c>
      <c r="DD19" s="1039">
        <f t="shared" si="22"/>
        <v>175.60000000000002</v>
      </c>
      <c r="DE19" s="1779">
        <f t="shared" si="23"/>
        <v>0</v>
      </c>
      <c r="DF19" s="914">
        <f t="shared" si="24"/>
        <v>0</v>
      </c>
      <c r="DG19" s="915">
        <f t="shared" si="25"/>
        <v>0</v>
      </c>
      <c r="DH19" s="914">
        <f t="shared" si="26"/>
        <v>0</v>
      </c>
      <c r="DI19" s="914">
        <f t="shared" si="27"/>
        <v>0</v>
      </c>
      <c r="DJ19" s="914">
        <f t="shared" si="28"/>
        <v>0</v>
      </c>
      <c r="DK19" s="914">
        <f t="shared" si="29"/>
        <v>0</v>
      </c>
      <c r="DL19" s="915">
        <f t="shared" si="30"/>
        <v>0</v>
      </c>
      <c r="DM19" s="915">
        <f t="shared" si="31"/>
        <v>0</v>
      </c>
      <c r="DN19" s="1039">
        <f t="shared" si="32"/>
        <v>0</v>
      </c>
      <c r="DO19" s="914">
        <f t="shared" si="33"/>
        <v>0</v>
      </c>
      <c r="DP19" s="914">
        <f t="shared" si="34"/>
        <v>0</v>
      </c>
      <c r="DQ19" s="915">
        <f t="shared" si="35"/>
        <v>-90</v>
      </c>
      <c r="DR19" s="1039">
        <f t="shared" si="36"/>
        <v>-0.11475000000000013</v>
      </c>
      <c r="DS19" s="1040">
        <f t="shared" si="37"/>
        <v>0</v>
      </c>
      <c r="DT19" s="915">
        <f t="shared" si="38"/>
        <v>0</v>
      </c>
      <c r="DU19" s="915">
        <f t="shared" si="39"/>
        <v>-8.7999999999999972</v>
      </c>
      <c r="DV19" s="915" t="e">
        <f t="shared" si="40"/>
        <v>#VALUE!</v>
      </c>
      <c r="DW19" s="915" t="e">
        <f t="shared" si="41"/>
        <v>#VALUE!</v>
      </c>
      <c r="DX19" s="915" t="e">
        <f t="shared" si="42"/>
        <v>#VALUE!</v>
      </c>
      <c r="DY19" s="915">
        <f t="shared" si="43"/>
        <v>0</v>
      </c>
      <c r="DZ19" s="915">
        <f t="shared" si="44"/>
        <v>0</v>
      </c>
      <c r="EA19" s="1039">
        <f t="shared" si="45"/>
        <v>0</v>
      </c>
      <c r="EB19" s="915">
        <f t="shared" si="2"/>
        <v>0</v>
      </c>
      <c r="EC19" s="915">
        <f t="shared" si="3"/>
        <v>0</v>
      </c>
      <c r="ED19" s="915">
        <f t="shared" si="4"/>
        <v>0</v>
      </c>
      <c r="EE19" s="915">
        <f t="shared" si="5"/>
        <v>0</v>
      </c>
      <c r="EF19" s="915">
        <f t="shared" si="6"/>
        <v>-100</v>
      </c>
      <c r="EG19" s="1039">
        <f t="shared" si="7"/>
        <v>-1.5827124439796392</v>
      </c>
      <c r="EH19" s="913">
        <f t="shared" si="8"/>
        <v>0</v>
      </c>
      <c r="EI19" s="915">
        <f t="shared" si="9"/>
        <v>0</v>
      </c>
      <c r="EJ19" s="1039">
        <f t="shared" si="10"/>
        <v>0</v>
      </c>
    </row>
    <row r="20" spans="1:140">
      <c r="A20" s="882">
        <f>Eingabedaten!A24</f>
        <v>5.2</v>
      </c>
      <c r="B20" s="1013" t="str">
        <f>Eingabedaten!C24</f>
        <v>Fachgeschäft</v>
      </c>
      <c r="C20" s="1719"/>
      <c r="D20" s="873"/>
      <c r="E20" s="873"/>
      <c r="F20" s="912"/>
      <c r="G20" s="913"/>
      <c r="H20" s="913"/>
      <c r="I20" s="913"/>
      <c r="J20" s="913"/>
      <c r="K20" s="913"/>
      <c r="L20" s="1767"/>
      <c r="M20" s="1040">
        <v>1</v>
      </c>
      <c r="N20" s="913">
        <v>3630</v>
      </c>
      <c r="O20" s="915">
        <v>3.63</v>
      </c>
      <c r="P20" s="1768"/>
      <c r="Q20" s="914"/>
      <c r="R20" s="915">
        <v>59.8</v>
      </c>
      <c r="S20" s="914">
        <v>0.967741935483871</v>
      </c>
      <c r="T20" s="914">
        <v>6.4799331103678934</v>
      </c>
      <c r="U20" s="914">
        <v>12</v>
      </c>
      <c r="V20" s="914">
        <v>18.479933110367895</v>
      </c>
      <c r="W20" s="915">
        <v>2340</v>
      </c>
      <c r="X20" s="915">
        <v>3260</v>
      </c>
      <c r="Y20" s="1041">
        <v>54.283043478260865</v>
      </c>
      <c r="Z20" s="914">
        <v>3.75</v>
      </c>
      <c r="AA20" s="914">
        <v>1.2750000000000001</v>
      </c>
      <c r="AB20" s="915">
        <v>1400</v>
      </c>
      <c r="AC20" s="1041">
        <v>1.7850000000000001</v>
      </c>
      <c r="AD20" s="1040">
        <v>9.1703529411764713</v>
      </c>
      <c r="AE20" s="915">
        <v>28.279933110367892</v>
      </c>
      <c r="AF20" s="915">
        <v>277.15603039753006</v>
      </c>
      <c r="AG20" s="915" t="s">
        <v>1259</v>
      </c>
      <c r="AH20" s="915" t="s">
        <v>1259</v>
      </c>
      <c r="AI20" s="915" t="s">
        <v>1259</v>
      </c>
      <c r="AJ20" s="915">
        <v>26</v>
      </c>
      <c r="AK20" s="915">
        <v>2000</v>
      </c>
      <c r="AL20" s="1041">
        <v>51.8795</v>
      </c>
      <c r="AM20" s="915">
        <v>211.82745098039214</v>
      </c>
      <c r="AN20" s="915">
        <v>182.97911729857822</v>
      </c>
      <c r="AO20" s="915">
        <v>-1</v>
      </c>
      <c r="AP20" s="915">
        <v>15.357490196078432</v>
      </c>
      <c r="AQ20" s="915">
        <v>100</v>
      </c>
      <c r="AR20" s="1041">
        <v>1.4625559753307331</v>
      </c>
      <c r="AS20" s="913"/>
      <c r="AT20" s="915"/>
      <c r="AU20" s="1041">
        <v>2.7231000000000005</v>
      </c>
      <c r="AX20" s="1719"/>
      <c r="AY20" s="873"/>
      <c r="AZ20" s="873"/>
      <c r="BA20" s="912"/>
      <c r="BB20" s="913"/>
      <c r="BC20" s="913"/>
      <c r="BD20" s="913"/>
      <c r="BE20" s="913"/>
      <c r="BF20" s="913"/>
      <c r="BG20" s="1767"/>
      <c r="BH20" s="1040">
        <v>1</v>
      </c>
      <c r="BI20" s="913">
        <v>3630</v>
      </c>
      <c r="BJ20" s="915">
        <v>3.63</v>
      </c>
      <c r="BK20" s="1768"/>
      <c r="BL20" s="914"/>
      <c r="BM20" s="915">
        <v>59.8</v>
      </c>
      <c r="BN20" s="914">
        <v>0.967741935483871</v>
      </c>
      <c r="BO20" s="914">
        <v>6.4799331103678934</v>
      </c>
      <c r="BP20" s="914">
        <v>12</v>
      </c>
      <c r="BQ20" s="914">
        <v>18.479933110367895</v>
      </c>
      <c r="BR20" s="915">
        <v>2340</v>
      </c>
      <c r="BS20" s="915">
        <v>3260</v>
      </c>
      <c r="BT20" s="1041">
        <v>54.283043478260865</v>
      </c>
      <c r="BU20" s="914">
        <v>3.75</v>
      </c>
      <c r="BV20" s="914">
        <v>1.2750000000000001</v>
      </c>
      <c r="BW20" s="915">
        <v>1490</v>
      </c>
      <c r="BX20" s="1041">
        <v>1.8997500000000003</v>
      </c>
      <c r="BY20" s="1040">
        <v>9.1703529411764713</v>
      </c>
      <c r="BZ20" s="915">
        <v>28.279933110367892</v>
      </c>
      <c r="CA20" s="915">
        <v>277.15603039753006</v>
      </c>
      <c r="CB20" s="915" t="s">
        <v>785</v>
      </c>
      <c r="CC20" s="915" t="s">
        <v>785</v>
      </c>
      <c r="CD20" s="915" t="s">
        <v>785</v>
      </c>
      <c r="CE20" s="915">
        <v>26</v>
      </c>
      <c r="CF20" s="915">
        <v>2000</v>
      </c>
      <c r="CG20" s="1041">
        <v>51.8795</v>
      </c>
      <c r="CH20" s="915">
        <v>211.82745098039214</v>
      </c>
      <c r="CI20" s="915">
        <v>182.97911729857822</v>
      </c>
      <c r="CJ20" s="915">
        <v>-1</v>
      </c>
      <c r="CK20" s="915">
        <v>15.357490196078432</v>
      </c>
      <c r="CL20" s="915">
        <v>360</v>
      </c>
      <c r="CM20" s="1041">
        <v>5.4972541685779506</v>
      </c>
      <c r="CN20" s="913"/>
      <c r="CO20" s="915"/>
      <c r="CP20" s="1041">
        <v>2.7231000000000005</v>
      </c>
      <c r="CR20" s="1719">
        <f t="shared" si="1"/>
        <v>0</v>
      </c>
      <c r="CS20" s="873">
        <f t="shared" si="11"/>
        <v>0</v>
      </c>
      <c r="CT20" s="873">
        <f t="shared" si="12"/>
        <v>0</v>
      </c>
      <c r="CU20" s="912">
        <f t="shared" si="13"/>
        <v>0</v>
      </c>
      <c r="CV20" s="913">
        <f t="shared" si="14"/>
        <v>0</v>
      </c>
      <c r="CW20" s="913">
        <f t="shared" si="15"/>
        <v>0</v>
      </c>
      <c r="CX20" s="913">
        <f t="shared" si="16"/>
        <v>0</v>
      </c>
      <c r="CY20" s="913">
        <f t="shared" si="17"/>
        <v>0</v>
      </c>
      <c r="CZ20" s="913">
        <f t="shared" si="18"/>
        <v>0</v>
      </c>
      <c r="DA20" s="1767">
        <f t="shared" si="19"/>
        <v>0</v>
      </c>
      <c r="DB20" s="1040">
        <f t="shared" si="20"/>
        <v>0</v>
      </c>
      <c r="DC20" s="913">
        <f t="shared" si="21"/>
        <v>0</v>
      </c>
      <c r="DD20" s="915">
        <f t="shared" si="22"/>
        <v>0</v>
      </c>
      <c r="DE20" s="1768">
        <f t="shared" si="23"/>
        <v>0</v>
      </c>
      <c r="DF20" s="914">
        <f t="shared" si="24"/>
        <v>0</v>
      </c>
      <c r="DG20" s="915">
        <f t="shared" si="25"/>
        <v>0</v>
      </c>
      <c r="DH20" s="914">
        <f t="shared" si="26"/>
        <v>0</v>
      </c>
      <c r="DI20" s="914">
        <f t="shared" si="27"/>
        <v>0</v>
      </c>
      <c r="DJ20" s="914">
        <f t="shared" si="28"/>
        <v>0</v>
      </c>
      <c r="DK20" s="914">
        <f t="shared" si="29"/>
        <v>0</v>
      </c>
      <c r="DL20" s="915">
        <f t="shared" si="30"/>
        <v>0</v>
      </c>
      <c r="DM20" s="915">
        <f t="shared" si="31"/>
        <v>0</v>
      </c>
      <c r="DN20" s="1041">
        <f t="shared" si="32"/>
        <v>0</v>
      </c>
      <c r="DO20" s="914">
        <f t="shared" si="33"/>
        <v>0</v>
      </c>
      <c r="DP20" s="914">
        <f t="shared" si="34"/>
        <v>0</v>
      </c>
      <c r="DQ20" s="915">
        <f t="shared" si="35"/>
        <v>-90</v>
      </c>
      <c r="DR20" s="1041">
        <f t="shared" si="36"/>
        <v>-0.11475000000000013</v>
      </c>
      <c r="DS20" s="1040">
        <f t="shared" si="37"/>
        <v>0</v>
      </c>
      <c r="DT20" s="915">
        <f t="shared" si="38"/>
        <v>0</v>
      </c>
      <c r="DU20" s="915">
        <f t="shared" si="39"/>
        <v>0</v>
      </c>
      <c r="DV20" s="915" t="e">
        <f t="shared" si="40"/>
        <v>#VALUE!</v>
      </c>
      <c r="DW20" s="915" t="e">
        <f t="shared" si="41"/>
        <v>#VALUE!</v>
      </c>
      <c r="DX20" s="915" t="e">
        <f t="shared" si="42"/>
        <v>#VALUE!</v>
      </c>
      <c r="DY20" s="915">
        <f t="shared" si="43"/>
        <v>0</v>
      </c>
      <c r="DZ20" s="915">
        <f t="shared" si="44"/>
        <v>0</v>
      </c>
      <c r="EA20" s="1041">
        <f t="shared" si="45"/>
        <v>0</v>
      </c>
      <c r="EB20" s="915">
        <f t="shared" si="2"/>
        <v>0</v>
      </c>
      <c r="EC20" s="915">
        <f t="shared" si="3"/>
        <v>0</v>
      </c>
      <c r="ED20" s="915">
        <f t="shared" si="4"/>
        <v>0</v>
      </c>
      <c r="EE20" s="915">
        <f t="shared" si="5"/>
        <v>0</v>
      </c>
      <c r="EF20" s="915">
        <f t="shared" si="6"/>
        <v>-260</v>
      </c>
      <c r="EG20" s="1041">
        <f t="shared" si="7"/>
        <v>-4.0346981932472179</v>
      </c>
      <c r="EH20" s="913">
        <f t="shared" si="8"/>
        <v>0</v>
      </c>
      <c r="EI20" s="915">
        <f t="shared" si="9"/>
        <v>0</v>
      </c>
      <c r="EJ20" s="1041">
        <f t="shared" si="10"/>
        <v>0</v>
      </c>
    </row>
    <row r="21" spans="1:140">
      <c r="A21" s="889">
        <f>Eingabedaten!A25</f>
        <v>5.3</v>
      </c>
      <c r="B21" s="1013" t="str">
        <f>Eingabedaten!C25</f>
        <v>Verkauf Möbel, Bau, Garten</v>
      </c>
      <c r="C21" s="1719"/>
      <c r="D21" s="873"/>
      <c r="E21" s="873"/>
      <c r="F21" s="912"/>
      <c r="G21" s="913"/>
      <c r="H21" s="913"/>
      <c r="I21" s="913"/>
      <c r="J21" s="913"/>
      <c r="K21" s="913"/>
      <c r="L21" s="1767"/>
      <c r="M21" s="1040">
        <v>1</v>
      </c>
      <c r="N21" s="913">
        <v>3410</v>
      </c>
      <c r="O21" s="915">
        <v>3.41</v>
      </c>
      <c r="P21" s="1768"/>
      <c r="Q21" s="914"/>
      <c r="R21" s="915">
        <v>59.8</v>
      </c>
      <c r="S21" s="914">
        <v>0.967741935483871</v>
      </c>
      <c r="T21" s="914">
        <v>6.4799331103678934</v>
      </c>
      <c r="U21" s="914">
        <v>6</v>
      </c>
      <c r="V21" s="914">
        <v>12.479933110367893</v>
      </c>
      <c r="W21" s="915">
        <v>2090</v>
      </c>
      <c r="X21" s="915">
        <v>3000</v>
      </c>
      <c r="Y21" s="1041">
        <v>31.543060200668897</v>
      </c>
      <c r="Z21" s="914">
        <v>2</v>
      </c>
      <c r="AA21" s="914">
        <v>0.68</v>
      </c>
      <c r="AB21" s="915">
        <v>1340</v>
      </c>
      <c r="AC21" s="1041">
        <v>0.91120000000000001</v>
      </c>
      <c r="AD21" s="1040">
        <v>8.4983529411764724</v>
      </c>
      <c r="AE21" s="915">
        <v>18.179933110367894</v>
      </c>
      <c r="AF21" s="915">
        <v>163.31603039753008</v>
      </c>
      <c r="AG21" s="915" t="s">
        <v>1260</v>
      </c>
      <c r="AH21" s="915" t="s">
        <v>1259</v>
      </c>
      <c r="AI21" s="915" t="s">
        <v>1259</v>
      </c>
      <c r="AJ21" s="915">
        <v>17</v>
      </c>
      <c r="AK21" s="915">
        <v>1430</v>
      </c>
      <c r="AL21" s="1041">
        <v>24.26295</v>
      </c>
      <c r="AM21" s="915">
        <v>167.02745098039216</v>
      </c>
      <c r="AN21" s="915">
        <v>232.05766341096918</v>
      </c>
      <c r="AO21" s="915">
        <v>0</v>
      </c>
      <c r="AP21" s="915">
        <v>11.691921568627452</v>
      </c>
      <c r="AQ21" s="915">
        <v>270</v>
      </c>
      <c r="AR21" s="1041">
        <v>3.1759501242118184</v>
      </c>
      <c r="AS21" s="913"/>
      <c r="AT21" s="915"/>
      <c r="AU21" s="1041">
        <v>1.4523200000000003</v>
      </c>
      <c r="AX21" s="1719"/>
      <c r="AY21" s="873"/>
      <c r="AZ21" s="873"/>
      <c r="BA21" s="912"/>
      <c r="BB21" s="913"/>
      <c r="BC21" s="913"/>
      <c r="BD21" s="913"/>
      <c r="BE21" s="913"/>
      <c r="BF21" s="913"/>
      <c r="BG21" s="1767"/>
      <c r="BH21" s="1040">
        <v>1</v>
      </c>
      <c r="BI21" s="913">
        <v>3410</v>
      </c>
      <c r="BJ21" s="915">
        <v>3.41</v>
      </c>
      <c r="BK21" s="1768"/>
      <c r="BL21" s="914"/>
      <c r="BM21" s="915">
        <v>59.8</v>
      </c>
      <c r="BN21" s="914">
        <v>0.967741935483871</v>
      </c>
      <c r="BO21" s="914">
        <v>6.4799331103678934</v>
      </c>
      <c r="BP21" s="914">
        <v>6</v>
      </c>
      <c r="BQ21" s="914">
        <v>12.479933110367893</v>
      </c>
      <c r="BR21" s="915">
        <v>2090</v>
      </c>
      <c r="BS21" s="915">
        <v>3000</v>
      </c>
      <c r="BT21" s="1041">
        <v>31.543060200668897</v>
      </c>
      <c r="BU21" s="914">
        <v>2</v>
      </c>
      <c r="BV21" s="914">
        <v>0.68</v>
      </c>
      <c r="BW21" s="915">
        <v>1400</v>
      </c>
      <c r="BX21" s="1041">
        <v>0.95200000000000007</v>
      </c>
      <c r="BY21" s="1040">
        <v>8.4983529411764724</v>
      </c>
      <c r="BZ21" s="915">
        <v>18.179933110367894</v>
      </c>
      <c r="CA21" s="915">
        <v>163.31603039753008</v>
      </c>
      <c r="CB21" s="915" t="s">
        <v>784</v>
      </c>
      <c r="CC21" s="915" t="s">
        <v>785</v>
      </c>
      <c r="CD21" s="915" t="s">
        <v>785</v>
      </c>
      <c r="CE21" s="915">
        <v>17</v>
      </c>
      <c r="CF21" s="915">
        <v>1430</v>
      </c>
      <c r="CG21" s="1041">
        <v>24.26295</v>
      </c>
      <c r="CH21" s="915">
        <v>167.02745098039216</v>
      </c>
      <c r="CI21" s="915">
        <v>232.05766341096918</v>
      </c>
      <c r="CJ21" s="915">
        <v>0</v>
      </c>
      <c r="CK21" s="915">
        <v>11.691921568627452</v>
      </c>
      <c r="CL21" s="915">
        <v>510</v>
      </c>
      <c r="CM21" s="1041">
        <v>5.9085148456809309</v>
      </c>
      <c r="CN21" s="913"/>
      <c r="CO21" s="915"/>
      <c r="CP21" s="1041">
        <v>1.4523200000000003</v>
      </c>
      <c r="CR21" s="1719">
        <f t="shared" si="1"/>
        <v>0</v>
      </c>
      <c r="CS21" s="873">
        <f t="shared" si="11"/>
        <v>0</v>
      </c>
      <c r="CT21" s="873">
        <f t="shared" si="12"/>
        <v>0</v>
      </c>
      <c r="CU21" s="912">
        <f t="shared" si="13"/>
        <v>0</v>
      </c>
      <c r="CV21" s="913">
        <f t="shared" si="14"/>
        <v>0</v>
      </c>
      <c r="CW21" s="913">
        <f t="shared" si="15"/>
        <v>0</v>
      </c>
      <c r="CX21" s="913">
        <f t="shared" si="16"/>
        <v>0</v>
      </c>
      <c r="CY21" s="913">
        <f t="shared" si="17"/>
        <v>0</v>
      </c>
      <c r="CZ21" s="913">
        <f t="shared" si="18"/>
        <v>0</v>
      </c>
      <c r="DA21" s="1767">
        <f t="shared" si="19"/>
        <v>0</v>
      </c>
      <c r="DB21" s="1040">
        <f t="shared" si="20"/>
        <v>0</v>
      </c>
      <c r="DC21" s="913">
        <f t="shared" si="21"/>
        <v>0</v>
      </c>
      <c r="DD21" s="915">
        <f t="shared" si="22"/>
        <v>0</v>
      </c>
      <c r="DE21" s="1768">
        <f t="shared" si="23"/>
        <v>0</v>
      </c>
      <c r="DF21" s="914">
        <f t="shared" si="24"/>
        <v>0</v>
      </c>
      <c r="DG21" s="915">
        <f t="shared" si="25"/>
        <v>0</v>
      </c>
      <c r="DH21" s="914">
        <f t="shared" si="26"/>
        <v>0</v>
      </c>
      <c r="DI21" s="914">
        <f t="shared" si="27"/>
        <v>0</v>
      </c>
      <c r="DJ21" s="914">
        <f t="shared" si="28"/>
        <v>0</v>
      </c>
      <c r="DK21" s="914">
        <f t="shared" si="29"/>
        <v>0</v>
      </c>
      <c r="DL21" s="915">
        <f t="shared" si="30"/>
        <v>0</v>
      </c>
      <c r="DM21" s="915">
        <f t="shared" si="31"/>
        <v>0</v>
      </c>
      <c r="DN21" s="1041">
        <f t="shared" si="32"/>
        <v>0</v>
      </c>
      <c r="DO21" s="914">
        <f t="shared" si="33"/>
        <v>0</v>
      </c>
      <c r="DP21" s="914">
        <f t="shared" si="34"/>
        <v>0</v>
      </c>
      <c r="DQ21" s="915">
        <f t="shared" si="35"/>
        <v>-60</v>
      </c>
      <c r="DR21" s="1041">
        <f t="shared" si="36"/>
        <v>-4.0800000000000058E-2</v>
      </c>
      <c r="DS21" s="1040">
        <f t="shared" si="37"/>
        <v>0</v>
      </c>
      <c r="DT21" s="915">
        <f t="shared" si="38"/>
        <v>0</v>
      </c>
      <c r="DU21" s="915">
        <f t="shared" si="39"/>
        <v>0</v>
      </c>
      <c r="DV21" s="915" t="e">
        <f t="shared" si="40"/>
        <v>#VALUE!</v>
      </c>
      <c r="DW21" s="915" t="e">
        <f t="shared" si="41"/>
        <v>#VALUE!</v>
      </c>
      <c r="DX21" s="915" t="e">
        <f t="shared" si="42"/>
        <v>#VALUE!</v>
      </c>
      <c r="DY21" s="915">
        <f t="shared" si="43"/>
        <v>0</v>
      </c>
      <c r="DZ21" s="915">
        <f t="shared" si="44"/>
        <v>0</v>
      </c>
      <c r="EA21" s="1041">
        <f t="shared" si="45"/>
        <v>0</v>
      </c>
      <c r="EB21" s="915">
        <f t="shared" si="2"/>
        <v>0</v>
      </c>
      <c r="EC21" s="915">
        <f t="shared" si="3"/>
        <v>0</v>
      </c>
      <c r="ED21" s="915">
        <f t="shared" si="4"/>
        <v>0</v>
      </c>
      <c r="EE21" s="915">
        <f t="shared" si="5"/>
        <v>0</v>
      </c>
      <c r="EF21" s="915">
        <f t="shared" si="6"/>
        <v>-240</v>
      </c>
      <c r="EG21" s="1041">
        <f t="shared" si="7"/>
        <v>-2.7325647214691124</v>
      </c>
      <c r="EH21" s="913">
        <f t="shared" si="8"/>
        <v>0</v>
      </c>
      <c r="EI21" s="915">
        <f t="shared" si="9"/>
        <v>0</v>
      </c>
      <c r="EJ21" s="1041">
        <f t="shared" si="10"/>
        <v>0</v>
      </c>
    </row>
    <row r="22" spans="1:140">
      <c r="A22" s="890">
        <f>Eingabedaten!A26</f>
        <v>6.1</v>
      </c>
      <c r="B22" s="888" t="str">
        <f>Eingabedaten!C26</f>
        <v>Restaurant</v>
      </c>
      <c r="C22" s="1777"/>
      <c r="D22" s="884"/>
      <c r="E22" s="884"/>
      <c r="F22" s="908"/>
      <c r="G22" s="909"/>
      <c r="H22" s="909"/>
      <c r="I22" s="909"/>
      <c r="J22" s="909"/>
      <c r="K22" s="909"/>
      <c r="L22" s="1772"/>
      <c r="M22" s="1038">
        <v>1</v>
      </c>
      <c r="N22" s="909">
        <v>2250</v>
      </c>
      <c r="O22" s="911">
        <v>2.25</v>
      </c>
      <c r="P22" s="1773"/>
      <c r="Q22" s="910"/>
      <c r="R22" s="911">
        <v>54.800000000000004</v>
      </c>
      <c r="S22" s="910">
        <v>0.98181818181818192</v>
      </c>
      <c r="T22" s="910">
        <v>4.6465260881319272</v>
      </c>
      <c r="U22" s="910">
        <v>0</v>
      </c>
      <c r="V22" s="910">
        <v>4.6465260881319272</v>
      </c>
      <c r="W22" s="911">
        <v>1680</v>
      </c>
      <c r="X22" s="911">
        <v>0</v>
      </c>
      <c r="Y22" s="1039">
        <v>7.8061638280616368</v>
      </c>
      <c r="Z22" s="910">
        <v>18</v>
      </c>
      <c r="AA22" s="910">
        <v>6.12</v>
      </c>
      <c r="AB22" s="911">
        <v>1550</v>
      </c>
      <c r="AC22" s="1039">
        <v>9.4860000000000007</v>
      </c>
      <c r="AD22" s="1038">
        <v>16.502941176470586</v>
      </c>
      <c r="AE22" s="911">
        <v>40.646526088131928</v>
      </c>
      <c r="AF22" s="911">
        <v>212.6915059193077</v>
      </c>
      <c r="AG22" s="911" t="s">
        <v>1259</v>
      </c>
      <c r="AH22" s="911" t="s">
        <v>1259</v>
      </c>
      <c r="AI22" s="911" t="s">
        <v>1259</v>
      </c>
      <c r="AJ22" s="911">
        <v>30</v>
      </c>
      <c r="AK22" s="911">
        <v>740</v>
      </c>
      <c r="AL22" s="1039">
        <v>22.154166666666665</v>
      </c>
      <c r="AM22" s="911">
        <v>216.28235294117644</v>
      </c>
      <c r="AN22" s="911">
        <v>67.245430809399494</v>
      </c>
      <c r="AO22" s="911">
        <v>-2</v>
      </c>
      <c r="AP22" s="911">
        <v>46.560784313725485</v>
      </c>
      <c r="AQ22" s="911">
        <v>360</v>
      </c>
      <c r="AR22" s="1039">
        <v>16.56212854324372</v>
      </c>
      <c r="AS22" s="909"/>
      <c r="AT22" s="911"/>
      <c r="AU22" s="1039">
        <v>108.92400000000002</v>
      </c>
      <c r="AX22" s="1777"/>
      <c r="AY22" s="884"/>
      <c r="AZ22" s="884"/>
      <c r="BA22" s="908"/>
      <c r="BB22" s="909"/>
      <c r="BC22" s="909"/>
      <c r="BD22" s="909"/>
      <c r="BE22" s="909"/>
      <c r="BF22" s="909"/>
      <c r="BG22" s="1772"/>
      <c r="BH22" s="1038">
        <v>1</v>
      </c>
      <c r="BI22" s="909">
        <v>2250</v>
      </c>
      <c r="BJ22" s="911">
        <v>2.25</v>
      </c>
      <c r="BK22" s="1773"/>
      <c r="BL22" s="910"/>
      <c r="BM22" s="911">
        <v>54.800000000000004</v>
      </c>
      <c r="BN22" s="910">
        <v>0.98181818181818192</v>
      </c>
      <c r="BO22" s="910">
        <v>4.6465260881319272</v>
      </c>
      <c r="BP22" s="910">
        <v>0</v>
      </c>
      <c r="BQ22" s="910">
        <v>4.6465260881319272</v>
      </c>
      <c r="BR22" s="911">
        <v>1680</v>
      </c>
      <c r="BS22" s="911">
        <v>0</v>
      </c>
      <c r="BT22" s="1039">
        <v>7.8061638280616368</v>
      </c>
      <c r="BU22" s="910">
        <v>18</v>
      </c>
      <c r="BV22" s="910">
        <v>6.12</v>
      </c>
      <c r="BW22" s="911">
        <v>1550</v>
      </c>
      <c r="BX22" s="1039">
        <v>9.4860000000000007</v>
      </c>
      <c r="BY22" s="1038">
        <v>16.502941176470586</v>
      </c>
      <c r="BZ22" s="911">
        <v>40.646526088131928</v>
      </c>
      <c r="CA22" s="911">
        <v>212.6915059193077</v>
      </c>
      <c r="CB22" s="911" t="s">
        <v>785</v>
      </c>
      <c r="CC22" s="911" t="s">
        <v>785</v>
      </c>
      <c r="CD22" s="911" t="s">
        <v>785</v>
      </c>
      <c r="CE22" s="911">
        <v>30</v>
      </c>
      <c r="CF22" s="911">
        <v>740</v>
      </c>
      <c r="CG22" s="1039">
        <v>22.154166666666665</v>
      </c>
      <c r="CH22" s="911">
        <v>216.28235294117644</v>
      </c>
      <c r="CI22" s="911">
        <v>67.245430809399494</v>
      </c>
      <c r="CJ22" s="911">
        <v>-2</v>
      </c>
      <c r="CK22" s="911">
        <v>46.560784313725485</v>
      </c>
      <c r="CL22" s="911">
        <v>560</v>
      </c>
      <c r="CM22" s="1039">
        <v>25.88085909922804</v>
      </c>
      <c r="CN22" s="909"/>
      <c r="CO22" s="911"/>
      <c r="CP22" s="1039">
        <v>108.92400000000002</v>
      </c>
      <c r="CR22" s="1777">
        <f t="shared" si="1"/>
        <v>0</v>
      </c>
      <c r="CS22" s="884">
        <f t="shared" si="11"/>
        <v>0</v>
      </c>
      <c r="CT22" s="884">
        <f t="shared" si="12"/>
        <v>0</v>
      </c>
      <c r="CU22" s="908">
        <f t="shared" si="13"/>
        <v>0</v>
      </c>
      <c r="CV22" s="909">
        <f t="shared" si="14"/>
        <v>0</v>
      </c>
      <c r="CW22" s="909">
        <f t="shared" si="15"/>
        <v>0</v>
      </c>
      <c r="CX22" s="909">
        <f t="shared" si="16"/>
        <v>0</v>
      </c>
      <c r="CY22" s="909">
        <f t="shared" si="17"/>
        <v>0</v>
      </c>
      <c r="CZ22" s="909">
        <f t="shared" si="18"/>
        <v>0</v>
      </c>
      <c r="DA22" s="1772">
        <f t="shared" si="19"/>
        <v>0</v>
      </c>
      <c r="DB22" s="1038">
        <f t="shared" si="20"/>
        <v>0</v>
      </c>
      <c r="DC22" s="909">
        <f t="shared" si="21"/>
        <v>0</v>
      </c>
      <c r="DD22" s="911">
        <f t="shared" si="22"/>
        <v>0</v>
      </c>
      <c r="DE22" s="1773">
        <f t="shared" si="23"/>
        <v>0</v>
      </c>
      <c r="DF22" s="910">
        <f t="shared" si="24"/>
        <v>0</v>
      </c>
      <c r="DG22" s="911">
        <f t="shared" si="25"/>
        <v>0</v>
      </c>
      <c r="DH22" s="910">
        <f t="shared" si="26"/>
        <v>0</v>
      </c>
      <c r="DI22" s="910">
        <f t="shared" si="27"/>
        <v>0</v>
      </c>
      <c r="DJ22" s="910">
        <f t="shared" si="28"/>
        <v>0</v>
      </c>
      <c r="DK22" s="910">
        <f t="shared" si="29"/>
        <v>0</v>
      </c>
      <c r="DL22" s="911">
        <f t="shared" si="30"/>
        <v>0</v>
      </c>
      <c r="DM22" s="911">
        <f t="shared" si="31"/>
        <v>0</v>
      </c>
      <c r="DN22" s="1039">
        <f t="shared" si="32"/>
        <v>0</v>
      </c>
      <c r="DO22" s="910">
        <f t="shared" si="33"/>
        <v>0</v>
      </c>
      <c r="DP22" s="910">
        <f t="shared" si="34"/>
        <v>0</v>
      </c>
      <c r="DQ22" s="911">
        <f t="shared" si="35"/>
        <v>0</v>
      </c>
      <c r="DR22" s="1039">
        <f t="shared" si="36"/>
        <v>0</v>
      </c>
      <c r="DS22" s="1038">
        <f t="shared" si="37"/>
        <v>0</v>
      </c>
      <c r="DT22" s="911">
        <f t="shared" si="38"/>
        <v>0</v>
      </c>
      <c r="DU22" s="911">
        <f t="shared" si="39"/>
        <v>0</v>
      </c>
      <c r="DV22" s="911" t="e">
        <f t="shared" si="40"/>
        <v>#VALUE!</v>
      </c>
      <c r="DW22" s="911" t="e">
        <f t="shared" si="41"/>
        <v>#VALUE!</v>
      </c>
      <c r="DX22" s="911" t="e">
        <f t="shared" si="42"/>
        <v>#VALUE!</v>
      </c>
      <c r="DY22" s="911">
        <f t="shared" si="43"/>
        <v>0</v>
      </c>
      <c r="DZ22" s="911">
        <f t="shared" si="44"/>
        <v>0</v>
      </c>
      <c r="EA22" s="1039">
        <f t="shared" si="45"/>
        <v>0</v>
      </c>
      <c r="EB22" s="911">
        <f t="shared" si="2"/>
        <v>0</v>
      </c>
      <c r="EC22" s="911">
        <f t="shared" si="3"/>
        <v>0</v>
      </c>
      <c r="ED22" s="911">
        <f t="shared" si="4"/>
        <v>0</v>
      </c>
      <c r="EE22" s="911">
        <f t="shared" si="5"/>
        <v>0</v>
      </c>
      <c r="EF22" s="911">
        <f t="shared" si="6"/>
        <v>-200</v>
      </c>
      <c r="EG22" s="1039">
        <f t="shared" si="7"/>
        <v>-9.3187305559843203</v>
      </c>
      <c r="EH22" s="909">
        <f t="shared" si="8"/>
        <v>0</v>
      </c>
      <c r="EI22" s="911">
        <f t="shared" si="9"/>
        <v>0</v>
      </c>
      <c r="EJ22" s="1039">
        <f t="shared" si="10"/>
        <v>0</v>
      </c>
    </row>
    <row r="23" spans="1:140">
      <c r="A23" s="889">
        <f>Eingabedaten!A27</f>
        <v>6.2</v>
      </c>
      <c r="B23" s="1013" t="str">
        <f>Eingabedaten!C27</f>
        <v>Selbstbedienungsrestaurant</v>
      </c>
      <c r="C23" s="1719"/>
      <c r="D23" s="873"/>
      <c r="E23" s="873"/>
      <c r="F23" s="912"/>
      <c r="G23" s="913"/>
      <c r="H23" s="913"/>
      <c r="I23" s="913"/>
      <c r="J23" s="913"/>
      <c r="K23" s="913"/>
      <c r="L23" s="1767"/>
      <c r="M23" s="1040">
        <v>1</v>
      </c>
      <c r="N23" s="913">
        <v>1750</v>
      </c>
      <c r="O23" s="915">
        <v>1.75</v>
      </c>
      <c r="P23" s="1768"/>
      <c r="Q23" s="914"/>
      <c r="R23" s="915">
        <v>54.800000000000004</v>
      </c>
      <c r="S23" s="914">
        <v>1.1020408163265307</v>
      </c>
      <c r="T23" s="914">
        <v>4.1396323330629894</v>
      </c>
      <c r="U23" s="914">
        <v>0</v>
      </c>
      <c r="V23" s="914">
        <v>4.1396323330629894</v>
      </c>
      <c r="W23" s="915">
        <v>1010</v>
      </c>
      <c r="X23" s="915">
        <v>0</v>
      </c>
      <c r="Y23" s="1041">
        <v>4.181028656393619</v>
      </c>
      <c r="Z23" s="914">
        <v>18</v>
      </c>
      <c r="AA23" s="914">
        <v>6.12</v>
      </c>
      <c r="AB23" s="915">
        <v>760</v>
      </c>
      <c r="AC23" s="1041">
        <v>4.6512000000000002</v>
      </c>
      <c r="AD23" s="1040">
        <v>12.781764705882352</v>
      </c>
      <c r="AE23" s="915">
        <v>40.139632333062991</v>
      </c>
      <c r="AF23" s="915">
        <v>130.96706806091854</v>
      </c>
      <c r="AG23" s="915" t="s">
        <v>1261</v>
      </c>
      <c r="AH23" s="915" t="s">
        <v>1260</v>
      </c>
      <c r="AI23" s="915" t="s">
        <v>1259</v>
      </c>
      <c r="AJ23" s="915">
        <v>26</v>
      </c>
      <c r="AK23" s="915">
        <v>470</v>
      </c>
      <c r="AL23" s="1041">
        <v>12.233025</v>
      </c>
      <c r="AM23" s="915">
        <v>552.47058823529403</v>
      </c>
      <c r="AN23" s="915">
        <v>67.333901192504271</v>
      </c>
      <c r="AO23" s="915">
        <v>-2</v>
      </c>
      <c r="AP23" s="915">
        <v>42.816470588235291</v>
      </c>
      <c r="AQ23" s="915">
        <v>120</v>
      </c>
      <c r="AR23" s="1041">
        <v>5.264543887441719</v>
      </c>
      <c r="AS23" s="915"/>
      <c r="AT23" s="915"/>
      <c r="AU23" s="1041">
        <v>108.92400000000002</v>
      </c>
      <c r="AX23" s="1719"/>
      <c r="AY23" s="873"/>
      <c r="AZ23" s="873"/>
      <c r="BA23" s="912"/>
      <c r="BB23" s="913"/>
      <c r="BC23" s="913"/>
      <c r="BD23" s="913"/>
      <c r="BE23" s="913"/>
      <c r="BF23" s="913"/>
      <c r="BG23" s="1767"/>
      <c r="BH23" s="1040">
        <v>1</v>
      </c>
      <c r="BI23" s="913">
        <v>1750</v>
      </c>
      <c r="BJ23" s="915">
        <v>1.75</v>
      </c>
      <c r="BK23" s="1768"/>
      <c r="BL23" s="914"/>
      <c r="BM23" s="915">
        <v>54.800000000000004</v>
      </c>
      <c r="BN23" s="914">
        <v>1.1020408163265307</v>
      </c>
      <c r="BO23" s="914">
        <v>4.1396323330629894</v>
      </c>
      <c r="BP23" s="914">
        <v>0</v>
      </c>
      <c r="BQ23" s="914">
        <v>4.1396323330629894</v>
      </c>
      <c r="BR23" s="915">
        <v>1010</v>
      </c>
      <c r="BS23" s="915">
        <v>0</v>
      </c>
      <c r="BT23" s="1041">
        <v>4.181028656393619</v>
      </c>
      <c r="BU23" s="914">
        <v>18</v>
      </c>
      <c r="BV23" s="914">
        <v>6.12</v>
      </c>
      <c r="BW23" s="915">
        <v>760</v>
      </c>
      <c r="BX23" s="1041">
        <v>4.6512000000000002</v>
      </c>
      <c r="BY23" s="1040">
        <v>12.781764705882352</v>
      </c>
      <c r="BZ23" s="915">
        <v>40.139632333062991</v>
      </c>
      <c r="CA23" s="915">
        <v>130.96706806091854</v>
      </c>
      <c r="CB23" s="915" t="s">
        <v>860</v>
      </c>
      <c r="CC23" s="915" t="s">
        <v>784</v>
      </c>
      <c r="CD23" s="915" t="s">
        <v>785</v>
      </c>
      <c r="CE23" s="915">
        <v>26</v>
      </c>
      <c r="CF23" s="915">
        <v>470</v>
      </c>
      <c r="CG23" s="1041">
        <v>12.233025</v>
      </c>
      <c r="CH23" s="915">
        <v>552.47058823529403</v>
      </c>
      <c r="CI23" s="915">
        <v>67.333901192504271</v>
      </c>
      <c r="CJ23" s="915">
        <v>-2</v>
      </c>
      <c r="CK23" s="915">
        <v>42.816470588235291</v>
      </c>
      <c r="CL23" s="915">
        <v>310</v>
      </c>
      <c r="CM23" s="1041">
        <v>13.208752713532373</v>
      </c>
      <c r="CN23" s="915"/>
      <c r="CO23" s="915"/>
      <c r="CP23" s="1041">
        <v>108.92400000000002</v>
      </c>
      <c r="CR23" s="1719">
        <f t="shared" si="1"/>
        <v>0</v>
      </c>
      <c r="CS23" s="873">
        <f t="shared" si="11"/>
        <v>0</v>
      </c>
      <c r="CT23" s="873">
        <f t="shared" si="12"/>
        <v>0</v>
      </c>
      <c r="CU23" s="912">
        <f t="shared" si="13"/>
        <v>0</v>
      </c>
      <c r="CV23" s="913">
        <f t="shared" si="14"/>
        <v>0</v>
      </c>
      <c r="CW23" s="913">
        <f t="shared" si="15"/>
        <v>0</v>
      </c>
      <c r="CX23" s="913">
        <f t="shared" si="16"/>
        <v>0</v>
      </c>
      <c r="CY23" s="913">
        <f t="shared" si="17"/>
        <v>0</v>
      </c>
      <c r="CZ23" s="913">
        <f t="shared" si="18"/>
        <v>0</v>
      </c>
      <c r="DA23" s="1767">
        <f t="shared" si="19"/>
        <v>0</v>
      </c>
      <c r="DB23" s="1040">
        <f t="shared" si="20"/>
        <v>0</v>
      </c>
      <c r="DC23" s="913">
        <f t="shared" si="21"/>
        <v>0</v>
      </c>
      <c r="DD23" s="915">
        <f t="shared" si="22"/>
        <v>0</v>
      </c>
      <c r="DE23" s="1768">
        <f t="shared" si="23"/>
        <v>0</v>
      </c>
      <c r="DF23" s="914">
        <f t="shared" si="24"/>
        <v>0</v>
      </c>
      <c r="DG23" s="915">
        <f t="shared" si="25"/>
        <v>0</v>
      </c>
      <c r="DH23" s="914">
        <f t="shared" si="26"/>
        <v>0</v>
      </c>
      <c r="DI23" s="914">
        <f t="shared" si="27"/>
        <v>0</v>
      </c>
      <c r="DJ23" s="914">
        <f t="shared" si="28"/>
        <v>0</v>
      </c>
      <c r="DK23" s="914">
        <f t="shared" si="29"/>
        <v>0</v>
      </c>
      <c r="DL23" s="915">
        <f t="shared" si="30"/>
        <v>0</v>
      </c>
      <c r="DM23" s="915">
        <f t="shared" si="31"/>
        <v>0</v>
      </c>
      <c r="DN23" s="1041">
        <f t="shared" si="32"/>
        <v>0</v>
      </c>
      <c r="DO23" s="914">
        <f t="shared" si="33"/>
        <v>0</v>
      </c>
      <c r="DP23" s="914">
        <f t="shared" si="34"/>
        <v>0</v>
      </c>
      <c r="DQ23" s="915">
        <f t="shared" si="35"/>
        <v>0</v>
      </c>
      <c r="DR23" s="1041">
        <f t="shared" si="36"/>
        <v>0</v>
      </c>
      <c r="DS23" s="1040">
        <f t="shared" si="37"/>
        <v>0</v>
      </c>
      <c r="DT23" s="915">
        <f t="shared" si="38"/>
        <v>0</v>
      </c>
      <c r="DU23" s="915">
        <f t="shared" si="39"/>
        <v>0</v>
      </c>
      <c r="DV23" s="915" t="e">
        <f t="shared" si="40"/>
        <v>#VALUE!</v>
      </c>
      <c r="DW23" s="915" t="e">
        <f t="shared" si="41"/>
        <v>#VALUE!</v>
      </c>
      <c r="DX23" s="915" t="e">
        <f t="shared" si="42"/>
        <v>#VALUE!</v>
      </c>
      <c r="DY23" s="915">
        <f t="shared" si="43"/>
        <v>0</v>
      </c>
      <c r="DZ23" s="915">
        <f t="shared" si="44"/>
        <v>0</v>
      </c>
      <c r="EA23" s="1041">
        <f t="shared" si="45"/>
        <v>0</v>
      </c>
      <c r="EB23" s="915">
        <f t="shared" si="2"/>
        <v>0</v>
      </c>
      <c r="EC23" s="915">
        <f t="shared" si="3"/>
        <v>0</v>
      </c>
      <c r="ED23" s="915">
        <f t="shared" si="4"/>
        <v>0</v>
      </c>
      <c r="EE23" s="915">
        <f t="shared" si="5"/>
        <v>0</v>
      </c>
      <c r="EF23" s="915">
        <f t="shared" si="6"/>
        <v>-190</v>
      </c>
      <c r="EG23" s="1041">
        <f t="shared" si="7"/>
        <v>-7.9442088260906543</v>
      </c>
      <c r="EH23" s="915">
        <f t="shared" si="8"/>
        <v>0</v>
      </c>
      <c r="EI23" s="915">
        <f t="shared" si="9"/>
        <v>0</v>
      </c>
      <c r="EJ23" s="1041">
        <f t="shared" si="10"/>
        <v>0</v>
      </c>
    </row>
    <row r="24" spans="1:140">
      <c r="A24" s="889">
        <f>Eingabedaten!A28</f>
        <v>6.3</v>
      </c>
      <c r="B24" s="1013" t="str">
        <f>Eingabedaten!C28</f>
        <v>Küche zu Restaurant</v>
      </c>
      <c r="C24" s="1719"/>
      <c r="D24" s="873"/>
      <c r="E24" s="873"/>
      <c r="F24" s="912"/>
      <c r="G24" s="913"/>
      <c r="H24" s="913"/>
      <c r="I24" s="913"/>
      <c r="J24" s="913"/>
      <c r="K24" s="913"/>
      <c r="L24" s="1767"/>
      <c r="M24" s="1040">
        <v>150</v>
      </c>
      <c r="N24" s="913">
        <v>2530</v>
      </c>
      <c r="O24" s="915">
        <v>379.5</v>
      </c>
      <c r="P24" s="1768"/>
      <c r="Q24" s="914"/>
      <c r="R24" s="915">
        <v>69.8</v>
      </c>
      <c r="S24" s="914">
        <v>0.77142857142857146</v>
      </c>
      <c r="T24" s="914">
        <v>11.60723761010294</v>
      </c>
      <c r="U24" s="914">
        <v>0</v>
      </c>
      <c r="V24" s="914">
        <v>11.60723761010294</v>
      </c>
      <c r="W24" s="915">
        <v>1760</v>
      </c>
      <c r="X24" s="915">
        <v>0</v>
      </c>
      <c r="Y24" s="1041">
        <v>20.428738193781175</v>
      </c>
      <c r="Z24" s="914">
        <v>20</v>
      </c>
      <c r="AA24" s="914">
        <v>6.8000000000000007</v>
      </c>
      <c r="AB24" s="915">
        <v>2160</v>
      </c>
      <c r="AC24" s="1041">
        <v>14.688000000000002</v>
      </c>
      <c r="AD24" s="1040">
        <v>22.451215686274512</v>
      </c>
      <c r="AE24" s="915">
        <v>179.60723761010294</v>
      </c>
      <c r="AF24" s="915">
        <v>1651.8082983709046</v>
      </c>
      <c r="AG24" s="915" t="s">
        <v>1259</v>
      </c>
      <c r="AH24" s="915" t="s">
        <v>1259</v>
      </c>
      <c r="AI24" s="915" t="s">
        <v>1259</v>
      </c>
      <c r="AJ24" s="915">
        <v>132</v>
      </c>
      <c r="AK24" s="915">
        <v>2320</v>
      </c>
      <c r="AL24" s="1041">
        <v>306.05305555555555</v>
      </c>
      <c r="AM24" s="915">
        <v>67.219764705882341</v>
      </c>
      <c r="AN24" s="915">
        <v>62.338807913638867</v>
      </c>
      <c r="AO24" s="915">
        <v>-2</v>
      </c>
      <c r="AP24" s="915">
        <v>56.016470588235286</v>
      </c>
      <c r="AQ24" s="915">
        <v>50</v>
      </c>
      <c r="AR24" s="1041">
        <v>3.0788565783345883</v>
      </c>
      <c r="AS24" s="913"/>
      <c r="AT24" s="915"/>
      <c r="AU24" s="1041">
        <v>0</v>
      </c>
      <c r="AX24" s="1719"/>
      <c r="AY24" s="873"/>
      <c r="AZ24" s="873"/>
      <c r="BA24" s="912"/>
      <c r="BB24" s="913"/>
      <c r="BC24" s="913"/>
      <c r="BD24" s="913"/>
      <c r="BE24" s="913"/>
      <c r="BF24" s="913"/>
      <c r="BG24" s="1767"/>
      <c r="BH24" s="1040">
        <v>150</v>
      </c>
      <c r="BI24" s="913">
        <v>2530</v>
      </c>
      <c r="BJ24" s="915">
        <v>379.5</v>
      </c>
      <c r="BK24" s="1768"/>
      <c r="BL24" s="914"/>
      <c r="BM24" s="915">
        <v>69.8</v>
      </c>
      <c r="BN24" s="914">
        <v>0.77142857142857146</v>
      </c>
      <c r="BO24" s="914">
        <v>11.60723761010294</v>
      </c>
      <c r="BP24" s="914">
        <v>0</v>
      </c>
      <c r="BQ24" s="914">
        <v>11.60723761010294</v>
      </c>
      <c r="BR24" s="915">
        <v>1760</v>
      </c>
      <c r="BS24" s="915">
        <v>0</v>
      </c>
      <c r="BT24" s="1041">
        <v>20.428738193781175</v>
      </c>
      <c r="BU24" s="914">
        <v>20</v>
      </c>
      <c r="BV24" s="914">
        <v>6.8000000000000007</v>
      </c>
      <c r="BW24" s="915">
        <v>2160</v>
      </c>
      <c r="BX24" s="1041">
        <v>14.688000000000002</v>
      </c>
      <c r="BY24" s="1040">
        <v>22.451215686274512</v>
      </c>
      <c r="BZ24" s="915">
        <v>179.60723761010294</v>
      </c>
      <c r="CA24" s="915">
        <v>1651.8082983709046</v>
      </c>
      <c r="CB24" s="915" t="s">
        <v>785</v>
      </c>
      <c r="CC24" s="915" t="s">
        <v>785</v>
      </c>
      <c r="CD24" s="915" t="s">
        <v>785</v>
      </c>
      <c r="CE24" s="915">
        <v>132</v>
      </c>
      <c r="CF24" s="915">
        <v>2320</v>
      </c>
      <c r="CG24" s="1041">
        <v>306.05305555555555</v>
      </c>
      <c r="CH24" s="915">
        <v>67.219764705882341</v>
      </c>
      <c r="CI24" s="915">
        <v>62.338807913638867</v>
      </c>
      <c r="CJ24" s="915">
        <v>-2</v>
      </c>
      <c r="CK24" s="915">
        <v>56.016470588235286</v>
      </c>
      <c r="CL24" s="915">
        <v>220</v>
      </c>
      <c r="CM24" s="1041">
        <v>12.311943052667544</v>
      </c>
      <c r="CN24" s="913"/>
      <c r="CO24" s="915"/>
      <c r="CP24" s="1041">
        <v>0</v>
      </c>
      <c r="CR24" s="1719">
        <f t="shared" si="1"/>
        <v>0</v>
      </c>
      <c r="CS24" s="873">
        <f t="shared" si="11"/>
        <v>0</v>
      </c>
      <c r="CT24" s="873">
        <f t="shared" si="12"/>
        <v>0</v>
      </c>
      <c r="CU24" s="912">
        <f t="shared" si="13"/>
        <v>0</v>
      </c>
      <c r="CV24" s="913">
        <f t="shared" si="14"/>
        <v>0</v>
      </c>
      <c r="CW24" s="913">
        <f t="shared" si="15"/>
        <v>0</v>
      </c>
      <c r="CX24" s="913">
        <f t="shared" si="16"/>
        <v>0</v>
      </c>
      <c r="CY24" s="913">
        <f t="shared" si="17"/>
        <v>0</v>
      </c>
      <c r="CZ24" s="913">
        <f t="shared" si="18"/>
        <v>0</v>
      </c>
      <c r="DA24" s="1767">
        <f t="shared" si="19"/>
        <v>0</v>
      </c>
      <c r="DB24" s="1040">
        <f t="shared" si="20"/>
        <v>0</v>
      </c>
      <c r="DC24" s="913">
        <f t="shared" si="21"/>
        <v>0</v>
      </c>
      <c r="DD24" s="915">
        <f t="shared" si="22"/>
        <v>0</v>
      </c>
      <c r="DE24" s="1768">
        <f t="shared" si="23"/>
        <v>0</v>
      </c>
      <c r="DF24" s="914">
        <f t="shared" si="24"/>
        <v>0</v>
      </c>
      <c r="DG24" s="915">
        <f t="shared" si="25"/>
        <v>0</v>
      </c>
      <c r="DH24" s="914">
        <f t="shared" si="26"/>
        <v>0</v>
      </c>
      <c r="DI24" s="914">
        <f t="shared" si="27"/>
        <v>0</v>
      </c>
      <c r="DJ24" s="914">
        <f t="shared" si="28"/>
        <v>0</v>
      </c>
      <c r="DK24" s="914">
        <f t="shared" si="29"/>
        <v>0</v>
      </c>
      <c r="DL24" s="915">
        <f t="shared" si="30"/>
        <v>0</v>
      </c>
      <c r="DM24" s="915">
        <f t="shared" si="31"/>
        <v>0</v>
      </c>
      <c r="DN24" s="1041">
        <f t="shared" si="32"/>
        <v>0</v>
      </c>
      <c r="DO24" s="914">
        <f t="shared" si="33"/>
        <v>0</v>
      </c>
      <c r="DP24" s="914">
        <f t="shared" si="34"/>
        <v>0</v>
      </c>
      <c r="DQ24" s="915">
        <f t="shared" si="35"/>
        <v>0</v>
      </c>
      <c r="DR24" s="1041">
        <f t="shared" si="36"/>
        <v>0</v>
      </c>
      <c r="DS24" s="1040">
        <f t="shared" si="37"/>
        <v>0</v>
      </c>
      <c r="DT24" s="915">
        <f t="shared" si="38"/>
        <v>0</v>
      </c>
      <c r="DU24" s="915">
        <f t="shared" si="39"/>
        <v>0</v>
      </c>
      <c r="DV24" s="915" t="e">
        <f t="shared" si="40"/>
        <v>#VALUE!</v>
      </c>
      <c r="DW24" s="915" t="e">
        <f t="shared" si="41"/>
        <v>#VALUE!</v>
      </c>
      <c r="DX24" s="915" t="e">
        <f t="shared" si="42"/>
        <v>#VALUE!</v>
      </c>
      <c r="DY24" s="915">
        <f t="shared" si="43"/>
        <v>0</v>
      </c>
      <c r="DZ24" s="915">
        <f t="shared" si="44"/>
        <v>0</v>
      </c>
      <c r="EA24" s="1041">
        <f t="shared" si="45"/>
        <v>0</v>
      </c>
      <c r="EB24" s="915">
        <f t="shared" si="2"/>
        <v>0</v>
      </c>
      <c r="EC24" s="915">
        <f t="shared" si="3"/>
        <v>0</v>
      </c>
      <c r="ED24" s="915">
        <f t="shared" si="4"/>
        <v>0</v>
      </c>
      <c r="EE24" s="915">
        <f t="shared" si="5"/>
        <v>0</v>
      </c>
      <c r="EF24" s="915">
        <f t="shared" si="6"/>
        <v>-170</v>
      </c>
      <c r="EG24" s="1041">
        <f t="shared" si="7"/>
        <v>-9.233086474332957</v>
      </c>
      <c r="EH24" s="913">
        <f t="shared" si="8"/>
        <v>0</v>
      </c>
      <c r="EI24" s="915">
        <f t="shared" si="9"/>
        <v>0</v>
      </c>
      <c r="EJ24" s="1041">
        <f t="shared" si="10"/>
        <v>0</v>
      </c>
    </row>
    <row r="25" spans="1:140">
      <c r="A25" s="891">
        <f>Eingabedaten!A29</f>
        <v>6.4</v>
      </c>
      <c r="B25" s="1536" t="str">
        <f>Eingabedaten!C29</f>
        <v>Küche zu Selbstbedienungsrest.</v>
      </c>
      <c r="C25" s="1780"/>
      <c r="D25" s="886"/>
      <c r="E25" s="886"/>
      <c r="F25" s="1758"/>
      <c r="G25" s="1759"/>
      <c r="H25" s="1759"/>
      <c r="I25" s="1759"/>
      <c r="J25" s="1759"/>
      <c r="K25" s="1759"/>
      <c r="L25" s="1760"/>
      <c r="M25" s="1774">
        <v>150</v>
      </c>
      <c r="N25" s="1759">
        <v>1730</v>
      </c>
      <c r="O25" s="1762">
        <v>259.5</v>
      </c>
      <c r="P25" s="1775"/>
      <c r="Q25" s="1761"/>
      <c r="R25" s="1762">
        <v>69.8</v>
      </c>
      <c r="S25" s="1761">
        <v>0.98181818181818192</v>
      </c>
      <c r="T25" s="1761">
        <v>9.1199724079380236</v>
      </c>
      <c r="U25" s="1761">
        <v>0</v>
      </c>
      <c r="V25" s="1761">
        <v>9.1199724079380236</v>
      </c>
      <c r="W25" s="1762">
        <v>1580</v>
      </c>
      <c r="X25" s="1762">
        <v>0</v>
      </c>
      <c r="Y25" s="1776">
        <v>14.409556404542078</v>
      </c>
      <c r="Z25" s="1761">
        <v>20</v>
      </c>
      <c r="AA25" s="1761">
        <v>6.8000000000000007</v>
      </c>
      <c r="AB25" s="1762">
        <v>1240</v>
      </c>
      <c r="AC25" s="1776">
        <v>8.4320000000000004</v>
      </c>
      <c r="AD25" s="1774">
        <v>13.881607843137255</v>
      </c>
      <c r="AE25" s="1762">
        <v>177.11997240793804</v>
      </c>
      <c r="AF25" s="1762">
        <v>1127.6409543720763</v>
      </c>
      <c r="AG25" s="1762" t="s">
        <v>1259</v>
      </c>
      <c r="AH25" s="1762" t="s">
        <v>1259</v>
      </c>
      <c r="AI25" s="1762" t="s">
        <v>1259</v>
      </c>
      <c r="AJ25" s="1762">
        <v>116</v>
      </c>
      <c r="AK25" s="1762">
        <v>1920</v>
      </c>
      <c r="AL25" s="1776">
        <v>223.11812499999999</v>
      </c>
      <c r="AM25" s="1762">
        <v>230.05552941176467</v>
      </c>
      <c r="AN25" s="1762">
        <v>61.779866957951853</v>
      </c>
      <c r="AO25" s="1762">
        <v>-2</v>
      </c>
      <c r="AP25" s="1762">
        <v>47.928235294117634</v>
      </c>
      <c r="AQ25" s="1762">
        <v>10</v>
      </c>
      <c r="AR25" s="1776">
        <v>0.4248470666418982</v>
      </c>
      <c r="AS25" s="1759"/>
      <c r="AT25" s="1762"/>
      <c r="AU25" s="1776">
        <v>0</v>
      </c>
      <c r="AX25" s="1780"/>
      <c r="AY25" s="886"/>
      <c r="AZ25" s="886"/>
      <c r="BA25" s="1758"/>
      <c r="BB25" s="1759"/>
      <c r="BC25" s="1759"/>
      <c r="BD25" s="1759"/>
      <c r="BE25" s="1759"/>
      <c r="BF25" s="1759"/>
      <c r="BG25" s="1760"/>
      <c r="BH25" s="1774">
        <v>150</v>
      </c>
      <c r="BI25" s="1759">
        <v>1730</v>
      </c>
      <c r="BJ25" s="1762">
        <v>259.5</v>
      </c>
      <c r="BK25" s="1775"/>
      <c r="BL25" s="1761"/>
      <c r="BM25" s="1762">
        <v>69.8</v>
      </c>
      <c r="BN25" s="1761">
        <v>0.98181818181818192</v>
      </c>
      <c r="BO25" s="1761">
        <v>9.1199724079380236</v>
      </c>
      <c r="BP25" s="1761">
        <v>0</v>
      </c>
      <c r="BQ25" s="1761">
        <v>9.1199724079380236</v>
      </c>
      <c r="BR25" s="1762">
        <v>1580</v>
      </c>
      <c r="BS25" s="1762">
        <v>0</v>
      </c>
      <c r="BT25" s="1776">
        <v>14.409556404542078</v>
      </c>
      <c r="BU25" s="1761">
        <v>20</v>
      </c>
      <c r="BV25" s="1761">
        <v>6.8000000000000007</v>
      </c>
      <c r="BW25" s="1762">
        <v>1240</v>
      </c>
      <c r="BX25" s="1776">
        <v>8.4320000000000004</v>
      </c>
      <c r="BY25" s="1774">
        <v>13.881607843137255</v>
      </c>
      <c r="BZ25" s="1762">
        <v>177.11997240793804</v>
      </c>
      <c r="CA25" s="1762">
        <v>1127.6409543720763</v>
      </c>
      <c r="CB25" s="1762" t="s">
        <v>785</v>
      </c>
      <c r="CC25" s="1762" t="s">
        <v>785</v>
      </c>
      <c r="CD25" s="1762" t="s">
        <v>785</v>
      </c>
      <c r="CE25" s="1762">
        <v>116</v>
      </c>
      <c r="CF25" s="1762">
        <v>1920</v>
      </c>
      <c r="CG25" s="1776">
        <v>223.11812499999999</v>
      </c>
      <c r="CH25" s="1762">
        <v>230.05552941176467</v>
      </c>
      <c r="CI25" s="1762">
        <v>61.779866957951853</v>
      </c>
      <c r="CJ25" s="1762">
        <v>-2</v>
      </c>
      <c r="CK25" s="1762">
        <v>47.928235294117634</v>
      </c>
      <c r="CL25" s="1762">
        <v>120</v>
      </c>
      <c r="CM25" s="1776">
        <v>5.7671908365921816</v>
      </c>
      <c r="CN25" s="1759"/>
      <c r="CO25" s="1762"/>
      <c r="CP25" s="1776">
        <v>0</v>
      </c>
      <c r="CR25" s="1780">
        <f t="shared" si="1"/>
        <v>0</v>
      </c>
      <c r="CS25" s="886">
        <f t="shared" si="11"/>
        <v>0</v>
      </c>
      <c r="CT25" s="886">
        <f t="shared" si="12"/>
        <v>0</v>
      </c>
      <c r="CU25" s="1758">
        <f t="shared" si="13"/>
        <v>0</v>
      </c>
      <c r="CV25" s="1759">
        <f t="shared" si="14"/>
        <v>0</v>
      </c>
      <c r="CW25" s="1759">
        <f t="shared" si="15"/>
        <v>0</v>
      </c>
      <c r="CX25" s="1759">
        <f t="shared" si="16"/>
        <v>0</v>
      </c>
      <c r="CY25" s="1759">
        <f t="shared" si="17"/>
        <v>0</v>
      </c>
      <c r="CZ25" s="1759">
        <f t="shared" si="18"/>
        <v>0</v>
      </c>
      <c r="DA25" s="1760">
        <f t="shared" si="19"/>
        <v>0</v>
      </c>
      <c r="DB25" s="1774">
        <f t="shared" si="20"/>
        <v>0</v>
      </c>
      <c r="DC25" s="1759">
        <f t="shared" si="21"/>
        <v>0</v>
      </c>
      <c r="DD25" s="1762">
        <f t="shared" si="22"/>
        <v>0</v>
      </c>
      <c r="DE25" s="1775">
        <f t="shared" si="23"/>
        <v>0</v>
      </c>
      <c r="DF25" s="1761">
        <f t="shared" si="24"/>
        <v>0</v>
      </c>
      <c r="DG25" s="1762">
        <f t="shared" si="25"/>
        <v>0</v>
      </c>
      <c r="DH25" s="1761">
        <f t="shared" si="26"/>
        <v>0</v>
      </c>
      <c r="DI25" s="1761">
        <f t="shared" si="27"/>
        <v>0</v>
      </c>
      <c r="DJ25" s="1761">
        <f t="shared" si="28"/>
        <v>0</v>
      </c>
      <c r="DK25" s="1761">
        <f t="shared" si="29"/>
        <v>0</v>
      </c>
      <c r="DL25" s="1762">
        <f t="shared" si="30"/>
        <v>0</v>
      </c>
      <c r="DM25" s="1762">
        <f t="shared" si="31"/>
        <v>0</v>
      </c>
      <c r="DN25" s="1776">
        <f t="shared" si="32"/>
        <v>0</v>
      </c>
      <c r="DO25" s="1761">
        <f t="shared" si="33"/>
        <v>0</v>
      </c>
      <c r="DP25" s="1761">
        <f t="shared" si="34"/>
        <v>0</v>
      </c>
      <c r="DQ25" s="1762">
        <f t="shared" si="35"/>
        <v>0</v>
      </c>
      <c r="DR25" s="1776">
        <f t="shared" si="36"/>
        <v>0</v>
      </c>
      <c r="DS25" s="1774">
        <f t="shared" si="37"/>
        <v>0</v>
      </c>
      <c r="DT25" s="1762">
        <f t="shared" si="38"/>
        <v>0</v>
      </c>
      <c r="DU25" s="1762">
        <f t="shared" si="39"/>
        <v>0</v>
      </c>
      <c r="DV25" s="1762" t="e">
        <f t="shared" si="40"/>
        <v>#VALUE!</v>
      </c>
      <c r="DW25" s="1762" t="e">
        <f t="shared" si="41"/>
        <v>#VALUE!</v>
      </c>
      <c r="DX25" s="1762" t="e">
        <f t="shared" si="42"/>
        <v>#VALUE!</v>
      </c>
      <c r="DY25" s="1762">
        <f t="shared" si="43"/>
        <v>0</v>
      </c>
      <c r="DZ25" s="1762">
        <f t="shared" si="44"/>
        <v>0</v>
      </c>
      <c r="EA25" s="1776">
        <f t="shared" si="45"/>
        <v>0</v>
      </c>
      <c r="EB25" s="1762">
        <f t="shared" si="2"/>
        <v>0</v>
      </c>
      <c r="EC25" s="1762">
        <f t="shared" si="3"/>
        <v>0</v>
      </c>
      <c r="ED25" s="1762">
        <f t="shared" si="4"/>
        <v>0</v>
      </c>
      <c r="EE25" s="1762">
        <f t="shared" si="5"/>
        <v>0</v>
      </c>
      <c r="EF25" s="1762">
        <f t="shared" si="6"/>
        <v>-110</v>
      </c>
      <c r="EG25" s="1776">
        <f t="shared" si="7"/>
        <v>-5.3423437699502836</v>
      </c>
      <c r="EH25" s="1759">
        <f t="shared" si="8"/>
        <v>0</v>
      </c>
      <c r="EI25" s="1762">
        <f t="shared" si="9"/>
        <v>0</v>
      </c>
      <c r="EJ25" s="1776">
        <f t="shared" si="10"/>
        <v>0</v>
      </c>
    </row>
    <row r="26" spans="1:140">
      <c r="A26" s="889">
        <f>Eingabedaten!A30</f>
        <v>7.1</v>
      </c>
      <c r="B26" s="1013" t="str">
        <f>Eingabedaten!C30</f>
        <v>Vorstellungsraum</v>
      </c>
      <c r="C26" s="1719"/>
      <c r="D26" s="873"/>
      <c r="E26" s="873"/>
      <c r="F26" s="912"/>
      <c r="G26" s="913"/>
      <c r="H26" s="913"/>
      <c r="I26" s="913"/>
      <c r="J26" s="913"/>
      <c r="K26" s="913"/>
      <c r="L26" s="1767"/>
      <c r="M26" s="1040">
        <v>1</v>
      </c>
      <c r="N26" s="913">
        <v>2300</v>
      </c>
      <c r="O26" s="915">
        <v>2.2999999999999998</v>
      </c>
      <c r="P26" s="1768"/>
      <c r="Q26" s="914"/>
      <c r="R26" s="915">
        <v>59.8</v>
      </c>
      <c r="S26" s="914">
        <v>0.83076923076923082</v>
      </c>
      <c r="T26" s="914">
        <v>7.5483091787439616</v>
      </c>
      <c r="U26" s="914">
        <v>0</v>
      </c>
      <c r="V26" s="914">
        <v>7.5483091787439616</v>
      </c>
      <c r="W26" s="915">
        <v>3000</v>
      </c>
      <c r="X26" s="915">
        <v>0</v>
      </c>
      <c r="Y26" s="1041">
        <v>22.644927536231886</v>
      </c>
      <c r="Z26" s="914">
        <v>12</v>
      </c>
      <c r="AA26" s="914">
        <v>4.08</v>
      </c>
      <c r="AB26" s="915">
        <v>1820</v>
      </c>
      <c r="AC26" s="1041">
        <v>7.4256000000000002</v>
      </c>
      <c r="AD26" s="1040">
        <v>5.711294117647058</v>
      </c>
      <c r="AE26" s="915">
        <v>31.848309178743961</v>
      </c>
      <c r="AF26" s="915">
        <v>276.45971014492756</v>
      </c>
      <c r="AG26" s="915" t="s">
        <v>1259</v>
      </c>
      <c r="AH26" s="915" t="s">
        <v>1259</v>
      </c>
      <c r="AI26" s="915" t="s">
        <v>1259</v>
      </c>
      <c r="AJ26" s="915">
        <v>25</v>
      </c>
      <c r="AK26" s="915">
        <v>1040</v>
      </c>
      <c r="AL26" s="1041">
        <v>25.948425</v>
      </c>
      <c r="AM26" s="915">
        <v>380.75294117647053</v>
      </c>
      <c r="AN26" s="915">
        <v>117.03126931158079</v>
      </c>
      <c r="AO26" s="915">
        <v>-1</v>
      </c>
      <c r="AP26" s="915">
        <v>28.556470588235289</v>
      </c>
      <c r="AQ26" s="915">
        <v>220</v>
      </c>
      <c r="AR26" s="1041">
        <v>6.3018921103166035</v>
      </c>
      <c r="AS26" s="913"/>
      <c r="AT26" s="915"/>
      <c r="AU26" s="1041">
        <v>7.2616000000000014</v>
      </c>
      <c r="AX26" s="1719"/>
      <c r="AY26" s="873"/>
      <c r="AZ26" s="873"/>
      <c r="BA26" s="912"/>
      <c r="BB26" s="913"/>
      <c r="BC26" s="913"/>
      <c r="BD26" s="913"/>
      <c r="BE26" s="913"/>
      <c r="BF26" s="913"/>
      <c r="BG26" s="1767"/>
      <c r="BH26" s="1040">
        <v>1</v>
      </c>
      <c r="BI26" s="913">
        <v>2300</v>
      </c>
      <c r="BJ26" s="915">
        <v>2.2999999999999998</v>
      </c>
      <c r="BK26" s="1768"/>
      <c r="BL26" s="914"/>
      <c r="BM26" s="915">
        <v>59.8</v>
      </c>
      <c r="BN26" s="914">
        <v>0.83076923076923082</v>
      </c>
      <c r="BO26" s="914">
        <v>7.5483091787439616</v>
      </c>
      <c r="BP26" s="914">
        <v>0</v>
      </c>
      <c r="BQ26" s="914">
        <v>7.5483091787439616</v>
      </c>
      <c r="BR26" s="915">
        <v>3000</v>
      </c>
      <c r="BS26" s="915">
        <v>0</v>
      </c>
      <c r="BT26" s="1041">
        <v>22.644927536231886</v>
      </c>
      <c r="BU26" s="914">
        <v>12</v>
      </c>
      <c r="BV26" s="914">
        <v>4.08</v>
      </c>
      <c r="BW26" s="915">
        <v>1820</v>
      </c>
      <c r="BX26" s="1041">
        <v>7.4256000000000002</v>
      </c>
      <c r="BY26" s="1040">
        <v>5.711294117647058</v>
      </c>
      <c r="BZ26" s="915">
        <v>31.848309178743961</v>
      </c>
      <c r="CA26" s="915">
        <v>276.45971014492756</v>
      </c>
      <c r="CB26" s="915" t="s">
        <v>785</v>
      </c>
      <c r="CC26" s="915" t="s">
        <v>785</v>
      </c>
      <c r="CD26" s="915" t="s">
        <v>785</v>
      </c>
      <c r="CE26" s="915">
        <v>25</v>
      </c>
      <c r="CF26" s="915">
        <v>1040</v>
      </c>
      <c r="CG26" s="1041">
        <v>25.948425</v>
      </c>
      <c r="CH26" s="915">
        <v>380.75294117647053</v>
      </c>
      <c r="CI26" s="915">
        <v>117.03126931158079</v>
      </c>
      <c r="CJ26" s="915">
        <v>-1</v>
      </c>
      <c r="CK26" s="915">
        <v>28.556470588235289</v>
      </c>
      <c r="CL26" s="915">
        <v>480</v>
      </c>
      <c r="CM26" s="1041">
        <v>13.789205208481373</v>
      </c>
      <c r="CN26" s="913"/>
      <c r="CO26" s="915"/>
      <c r="CP26" s="1041">
        <v>7.2616000000000014</v>
      </c>
      <c r="CR26" s="1719">
        <f t="shared" si="1"/>
        <v>0</v>
      </c>
      <c r="CS26" s="873">
        <f t="shared" si="11"/>
        <v>0</v>
      </c>
      <c r="CT26" s="873">
        <f t="shared" si="12"/>
        <v>0</v>
      </c>
      <c r="CU26" s="912">
        <f t="shared" si="13"/>
        <v>0</v>
      </c>
      <c r="CV26" s="913">
        <f t="shared" si="14"/>
        <v>0</v>
      </c>
      <c r="CW26" s="913">
        <f t="shared" si="15"/>
        <v>0</v>
      </c>
      <c r="CX26" s="913">
        <f t="shared" si="16"/>
        <v>0</v>
      </c>
      <c r="CY26" s="913">
        <f t="shared" si="17"/>
        <v>0</v>
      </c>
      <c r="CZ26" s="913">
        <f t="shared" si="18"/>
        <v>0</v>
      </c>
      <c r="DA26" s="1767">
        <f t="shared" si="19"/>
        <v>0</v>
      </c>
      <c r="DB26" s="1040">
        <f t="shared" si="20"/>
        <v>0</v>
      </c>
      <c r="DC26" s="913">
        <f t="shared" si="21"/>
        <v>0</v>
      </c>
      <c r="DD26" s="915">
        <f t="shared" si="22"/>
        <v>0</v>
      </c>
      <c r="DE26" s="1768">
        <f t="shared" si="23"/>
        <v>0</v>
      </c>
      <c r="DF26" s="914">
        <f t="shared" si="24"/>
        <v>0</v>
      </c>
      <c r="DG26" s="915">
        <f t="shared" si="25"/>
        <v>0</v>
      </c>
      <c r="DH26" s="914">
        <f t="shared" si="26"/>
        <v>0</v>
      </c>
      <c r="DI26" s="914">
        <f t="shared" si="27"/>
        <v>0</v>
      </c>
      <c r="DJ26" s="914">
        <f t="shared" si="28"/>
        <v>0</v>
      </c>
      <c r="DK26" s="914">
        <f t="shared" si="29"/>
        <v>0</v>
      </c>
      <c r="DL26" s="915">
        <f t="shared" si="30"/>
        <v>0</v>
      </c>
      <c r="DM26" s="915">
        <f t="shared" si="31"/>
        <v>0</v>
      </c>
      <c r="DN26" s="1041">
        <f t="shared" si="32"/>
        <v>0</v>
      </c>
      <c r="DO26" s="914">
        <f t="shared" si="33"/>
        <v>0</v>
      </c>
      <c r="DP26" s="914">
        <f t="shared" si="34"/>
        <v>0</v>
      </c>
      <c r="DQ26" s="915">
        <f t="shared" si="35"/>
        <v>0</v>
      </c>
      <c r="DR26" s="1041">
        <f t="shared" si="36"/>
        <v>0</v>
      </c>
      <c r="DS26" s="1040">
        <f t="shared" si="37"/>
        <v>0</v>
      </c>
      <c r="DT26" s="915">
        <f t="shared" si="38"/>
        <v>0</v>
      </c>
      <c r="DU26" s="915">
        <f t="shared" si="39"/>
        <v>0</v>
      </c>
      <c r="DV26" s="915" t="e">
        <f t="shared" si="40"/>
        <v>#VALUE!</v>
      </c>
      <c r="DW26" s="915" t="e">
        <f t="shared" si="41"/>
        <v>#VALUE!</v>
      </c>
      <c r="DX26" s="915" t="e">
        <f t="shared" si="42"/>
        <v>#VALUE!</v>
      </c>
      <c r="DY26" s="915">
        <f t="shared" si="43"/>
        <v>0</v>
      </c>
      <c r="DZ26" s="915">
        <f t="shared" si="44"/>
        <v>0</v>
      </c>
      <c r="EA26" s="1041">
        <f t="shared" si="45"/>
        <v>0</v>
      </c>
      <c r="EB26" s="915">
        <f t="shared" si="2"/>
        <v>0</v>
      </c>
      <c r="EC26" s="915">
        <f t="shared" si="3"/>
        <v>0</v>
      </c>
      <c r="ED26" s="915">
        <f t="shared" si="4"/>
        <v>0</v>
      </c>
      <c r="EE26" s="915">
        <f t="shared" si="5"/>
        <v>0</v>
      </c>
      <c r="EF26" s="915">
        <f t="shared" si="6"/>
        <v>-260</v>
      </c>
      <c r="EG26" s="1041">
        <f t="shared" si="7"/>
        <v>-7.48731309816477</v>
      </c>
      <c r="EH26" s="913">
        <f t="shared" si="8"/>
        <v>0</v>
      </c>
      <c r="EI26" s="915">
        <f t="shared" si="9"/>
        <v>0</v>
      </c>
      <c r="EJ26" s="1041">
        <f t="shared" si="10"/>
        <v>0</v>
      </c>
    </row>
    <row r="27" spans="1:140">
      <c r="A27" s="889">
        <f>Eingabedaten!A31</f>
        <v>7.2</v>
      </c>
      <c r="B27" s="1013" t="str">
        <f>Eingabedaten!C31</f>
        <v>Mehrzweckhalle</v>
      </c>
      <c r="C27" s="1719"/>
      <c r="D27" s="873"/>
      <c r="E27" s="873"/>
      <c r="F27" s="912"/>
      <c r="G27" s="913"/>
      <c r="H27" s="913"/>
      <c r="I27" s="913"/>
      <c r="J27" s="913"/>
      <c r="K27" s="913"/>
      <c r="L27" s="1767"/>
      <c r="M27" s="1040">
        <v>2</v>
      </c>
      <c r="N27" s="913">
        <v>2900</v>
      </c>
      <c r="O27" s="915">
        <v>5.8</v>
      </c>
      <c r="P27" s="1768"/>
      <c r="Q27" s="914"/>
      <c r="R27" s="915">
        <v>59.8</v>
      </c>
      <c r="S27" s="914">
        <v>0.83076923076923082</v>
      </c>
      <c r="T27" s="914">
        <v>7.5483091787439616</v>
      </c>
      <c r="U27" s="914">
        <v>0</v>
      </c>
      <c r="V27" s="914">
        <v>7.5483091787439616</v>
      </c>
      <c r="W27" s="915">
        <v>2060</v>
      </c>
      <c r="X27" s="915">
        <v>0</v>
      </c>
      <c r="Y27" s="1041">
        <v>15.549516908212562</v>
      </c>
      <c r="Z27" s="914">
        <v>12</v>
      </c>
      <c r="AA27" s="914">
        <v>4.08</v>
      </c>
      <c r="AB27" s="915">
        <v>2580</v>
      </c>
      <c r="AC27" s="1041">
        <v>10.526399999999999</v>
      </c>
      <c r="AD27" s="1040">
        <v>17.648352941176473</v>
      </c>
      <c r="AE27" s="915">
        <v>32.848309178743961</v>
      </c>
      <c r="AF27" s="915">
        <v>298.2425729679324</v>
      </c>
      <c r="AG27" s="915" t="s">
        <v>1259</v>
      </c>
      <c r="AH27" s="915" t="s">
        <v>1259</v>
      </c>
      <c r="AI27" s="915" t="s">
        <v>1259</v>
      </c>
      <c r="AJ27" s="915">
        <v>35</v>
      </c>
      <c r="AK27" s="915">
        <v>930</v>
      </c>
      <c r="AL27" s="1041">
        <v>32.448050000000002</v>
      </c>
      <c r="AM27" s="915">
        <v>477.38039215686268</v>
      </c>
      <c r="AN27" s="915">
        <v>88.650478099431552</v>
      </c>
      <c r="AO27" s="915">
        <v>-2</v>
      </c>
      <c r="AP27" s="915">
        <v>36.996980392156857</v>
      </c>
      <c r="AQ27" s="915">
        <v>520</v>
      </c>
      <c r="AR27" s="1041">
        <v>19.161796289190935</v>
      </c>
      <c r="AS27" s="913"/>
      <c r="AT27" s="915"/>
      <c r="AU27" s="1041">
        <v>7.2616000000000014</v>
      </c>
      <c r="AX27" s="1719"/>
      <c r="AY27" s="873"/>
      <c r="AZ27" s="873"/>
      <c r="BA27" s="912"/>
      <c r="BB27" s="913"/>
      <c r="BC27" s="913"/>
      <c r="BD27" s="913"/>
      <c r="BE27" s="913"/>
      <c r="BF27" s="913"/>
      <c r="BG27" s="1767"/>
      <c r="BH27" s="1040">
        <v>2</v>
      </c>
      <c r="BI27" s="913">
        <v>2900</v>
      </c>
      <c r="BJ27" s="915">
        <v>5.8</v>
      </c>
      <c r="BK27" s="1768"/>
      <c r="BL27" s="914"/>
      <c r="BM27" s="915">
        <v>59.8</v>
      </c>
      <c r="BN27" s="914">
        <v>0.83076923076923082</v>
      </c>
      <c r="BO27" s="914">
        <v>7.5483091787439616</v>
      </c>
      <c r="BP27" s="914">
        <v>0</v>
      </c>
      <c r="BQ27" s="914">
        <v>7.5483091787439616</v>
      </c>
      <c r="BR27" s="915">
        <v>2060</v>
      </c>
      <c r="BS27" s="915">
        <v>0</v>
      </c>
      <c r="BT27" s="1041">
        <v>15.549516908212562</v>
      </c>
      <c r="BU27" s="914">
        <v>12</v>
      </c>
      <c r="BV27" s="914">
        <v>4.08</v>
      </c>
      <c r="BW27" s="915">
        <v>2580</v>
      </c>
      <c r="BX27" s="1041">
        <v>10.526399999999999</v>
      </c>
      <c r="BY27" s="1040">
        <v>17.648352941176473</v>
      </c>
      <c r="BZ27" s="915">
        <v>32.848309178743961</v>
      </c>
      <c r="CA27" s="915">
        <v>298.2425729679324</v>
      </c>
      <c r="CB27" s="915" t="s">
        <v>785</v>
      </c>
      <c r="CC27" s="915" t="s">
        <v>785</v>
      </c>
      <c r="CD27" s="915" t="s">
        <v>785</v>
      </c>
      <c r="CE27" s="915">
        <v>35</v>
      </c>
      <c r="CF27" s="915">
        <v>930</v>
      </c>
      <c r="CG27" s="1041">
        <v>32.448050000000002</v>
      </c>
      <c r="CH27" s="915">
        <v>477.38039215686268</v>
      </c>
      <c r="CI27" s="915">
        <v>88.650478099431552</v>
      </c>
      <c r="CJ27" s="915">
        <v>-2</v>
      </c>
      <c r="CK27" s="915">
        <v>36.996980392156857</v>
      </c>
      <c r="CL27" s="915">
        <v>750</v>
      </c>
      <c r="CM27" s="1041">
        <v>27.727834161186642</v>
      </c>
      <c r="CN27" s="913"/>
      <c r="CO27" s="915"/>
      <c r="CP27" s="1041">
        <v>7.2616000000000014</v>
      </c>
      <c r="CR27" s="1719">
        <f t="shared" si="1"/>
        <v>0</v>
      </c>
      <c r="CS27" s="873">
        <f t="shared" si="11"/>
        <v>0</v>
      </c>
      <c r="CT27" s="873">
        <f t="shared" si="12"/>
        <v>0</v>
      </c>
      <c r="CU27" s="912">
        <f t="shared" si="13"/>
        <v>0</v>
      </c>
      <c r="CV27" s="913">
        <f t="shared" si="14"/>
        <v>0</v>
      </c>
      <c r="CW27" s="913">
        <f t="shared" si="15"/>
        <v>0</v>
      </c>
      <c r="CX27" s="913">
        <f t="shared" si="16"/>
        <v>0</v>
      </c>
      <c r="CY27" s="913">
        <f t="shared" si="17"/>
        <v>0</v>
      </c>
      <c r="CZ27" s="913">
        <f t="shared" si="18"/>
        <v>0</v>
      </c>
      <c r="DA27" s="1767">
        <f t="shared" si="19"/>
        <v>0</v>
      </c>
      <c r="DB27" s="1040">
        <f t="shared" si="20"/>
        <v>0</v>
      </c>
      <c r="DC27" s="913">
        <f t="shared" si="21"/>
        <v>0</v>
      </c>
      <c r="DD27" s="915">
        <f t="shared" si="22"/>
        <v>0</v>
      </c>
      <c r="DE27" s="1768">
        <f t="shared" si="23"/>
        <v>0</v>
      </c>
      <c r="DF27" s="914">
        <f t="shared" si="24"/>
        <v>0</v>
      </c>
      <c r="DG27" s="915">
        <f t="shared" si="25"/>
        <v>0</v>
      </c>
      <c r="DH27" s="914">
        <f t="shared" si="26"/>
        <v>0</v>
      </c>
      <c r="DI27" s="914">
        <f t="shared" si="27"/>
        <v>0</v>
      </c>
      <c r="DJ27" s="914">
        <f t="shared" si="28"/>
        <v>0</v>
      </c>
      <c r="DK27" s="914">
        <f t="shared" si="29"/>
        <v>0</v>
      </c>
      <c r="DL27" s="915">
        <f t="shared" si="30"/>
        <v>0</v>
      </c>
      <c r="DM27" s="915">
        <f t="shared" si="31"/>
        <v>0</v>
      </c>
      <c r="DN27" s="1041">
        <f t="shared" si="32"/>
        <v>0</v>
      </c>
      <c r="DO27" s="914">
        <f t="shared" si="33"/>
        <v>0</v>
      </c>
      <c r="DP27" s="914">
        <f t="shared" si="34"/>
        <v>0</v>
      </c>
      <c r="DQ27" s="915">
        <f t="shared" si="35"/>
        <v>0</v>
      </c>
      <c r="DR27" s="1041">
        <f t="shared" si="36"/>
        <v>0</v>
      </c>
      <c r="DS27" s="1040">
        <f t="shared" si="37"/>
        <v>0</v>
      </c>
      <c r="DT27" s="915">
        <f t="shared" si="38"/>
        <v>0</v>
      </c>
      <c r="DU27" s="915">
        <f t="shared" si="39"/>
        <v>0</v>
      </c>
      <c r="DV27" s="915" t="e">
        <f t="shared" si="40"/>
        <v>#VALUE!</v>
      </c>
      <c r="DW27" s="915" t="e">
        <f t="shared" si="41"/>
        <v>#VALUE!</v>
      </c>
      <c r="DX27" s="915" t="e">
        <f t="shared" si="42"/>
        <v>#VALUE!</v>
      </c>
      <c r="DY27" s="915">
        <f t="shared" si="43"/>
        <v>0</v>
      </c>
      <c r="DZ27" s="915">
        <f t="shared" si="44"/>
        <v>0</v>
      </c>
      <c r="EA27" s="1041">
        <f t="shared" si="45"/>
        <v>0</v>
      </c>
      <c r="EB27" s="915">
        <f t="shared" si="2"/>
        <v>0</v>
      </c>
      <c r="EC27" s="915">
        <f t="shared" si="3"/>
        <v>0</v>
      </c>
      <c r="ED27" s="915">
        <f t="shared" si="4"/>
        <v>0</v>
      </c>
      <c r="EE27" s="915">
        <f t="shared" si="5"/>
        <v>0</v>
      </c>
      <c r="EF27" s="915">
        <f t="shared" si="6"/>
        <v>-230</v>
      </c>
      <c r="EG27" s="1041">
        <f t="shared" si="7"/>
        <v>-8.5660378719957073</v>
      </c>
      <c r="EH27" s="913">
        <f t="shared" si="8"/>
        <v>0</v>
      </c>
      <c r="EI27" s="915">
        <f t="shared" si="9"/>
        <v>0</v>
      </c>
      <c r="EJ27" s="1041">
        <f t="shared" si="10"/>
        <v>0</v>
      </c>
    </row>
    <row r="28" spans="1:140">
      <c r="A28" s="889">
        <f>Eingabedaten!A32</f>
        <v>7.3</v>
      </c>
      <c r="B28" s="1013" t="str">
        <f>Eingabedaten!C32</f>
        <v>Ausstellungshalle</v>
      </c>
      <c r="C28" s="1719"/>
      <c r="D28" s="873"/>
      <c r="E28" s="873"/>
      <c r="F28" s="912"/>
      <c r="G28" s="913"/>
      <c r="H28" s="913"/>
      <c r="I28" s="913"/>
      <c r="J28" s="913"/>
      <c r="K28" s="913"/>
      <c r="L28" s="1767"/>
      <c r="M28" s="1040">
        <v>3</v>
      </c>
      <c r="N28" s="913">
        <v>2900</v>
      </c>
      <c r="O28" s="915">
        <v>8.6999999999999993</v>
      </c>
      <c r="P28" s="1768"/>
      <c r="Q28" s="914"/>
      <c r="R28" s="915">
        <v>59.8</v>
      </c>
      <c r="S28" s="914">
        <v>0.83076923076923082</v>
      </c>
      <c r="T28" s="914">
        <v>7.5483091787439616</v>
      </c>
      <c r="U28" s="914">
        <v>0</v>
      </c>
      <c r="V28" s="914">
        <v>7.5483091787439616</v>
      </c>
      <c r="W28" s="915">
        <v>2060</v>
      </c>
      <c r="X28" s="915">
        <v>0</v>
      </c>
      <c r="Y28" s="1041">
        <v>15.549516908212562</v>
      </c>
      <c r="Z28" s="914">
        <v>12</v>
      </c>
      <c r="AA28" s="914">
        <v>4.08</v>
      </c>
      <c r="AB28" s="915">
        <v>2580</v>
      </c>
      <c r="AC28" s="1041">
        <v>10.526399999999999</v>
      </c>
      <c r="AD28" s="1040">
        <v>17.648352941176473</v>
      </c>
      <c r="AE28" s="915">
        <v>33.848309178743961</v>
      </c>
      <c r="AF28" s="915">
        <v>309.44257296793245</v>
      </c>
      <c r="AG28" s="915" t="s">
        <v>1259</v>
      </c>
      <c r="AH28" s="915" t="s">
        <v>1259</v>
      </c>
      <c r="AI28" s="915" t="s">
        <v>1259</v>
      </c>
      <c r="AJ28" s="915">
        <v>36</v>
      </c>
      <c r="AK28" s="915">
        <v>950</v>
      </c>
      <c r="AL28" s="1041">
        <v>34.124850000000002</v>
      </c>
      <c r="AM28" s="915">
        <v>477.38039215686268</v>
      </c>
      <c r="AN28" s="915">
        <v>88.650478099431552</v>
      </c>
      <c r="AO28" s="915">
        <v>-2</v>
      </c>
      <c r="AP28" s="915">
        <v>36.996980392156857</v>
      </c>
      <c r="AQ28" s="915">
        <v>500</v>
      </c>
      <c r="AR28" s="1041">
        <v>18.438835353951639</v>
      </c>
      <c r="AS28" s="913"/>
      <c r="AT28" s="915"/>
      <c r="AU28" s="1041">
        <v>7.2616000000000014</v>
      </c>
      <c r="AX28" s="1719"/>
      <c r="AY28" s="873"/>
      <c r="AZ28" s="873"/>
      <c r="BA28" s="912"/>
      <c r="BB28" s="913"/>
      <c r="BC28" s="913"/>
      <c r="BD28" s="913"/>
      <c r="BE28" s="913"/>
      <c r="BF28" s="913"/>
      <c r="BG28" s="1767"/>
      <c r="BH28" s="1040">
        <v>3</v>
      </c>
      <c r="BI28" s="913">
        <v>2900</v>
      </c>
      <c r="BJ28" s="915">
        <v>8.6999999999999993</v>
      </c>
      <c r="BK28" s="1768"/>
      <c r="BL28" s="914"/>
      <c r="BM28" s="915">
        <v>59.8</v>
      </c>
      <c r="BN28" s="914">
        <v>0.83076923076923082</v>
      </c>
      <c r="BO28" s="914">
        <v>7.5483091787439616</v>
      </c>
      <c r="BP28" s="914">
        <v>0</v>
      </c>
      <c r="BQ28" s="914">
        <v>7.5483091787439616</v>
      </c>
      <c r="BR28" s="915">
        <v>2060</v>
      </c>
      <c r="BS28" s="915">
        <v>0</v>
      </c>
      <c r="BT28" s="1041">
        <v>15.549516908212562</v>
      </c>
      <c r="BU28" s="914">
        <v>12</v>
      </c>
      <c r="BV28" s="914">
        <v>4.08</v>
      </c>
      <c r="BW28" s="915">
        <v>2580</v>
      </c>
      <c r="BX28" s="1041">
        <v>10.526399999999999</v>
      </c>
      <c r="BY28" s="1040">
        <v>17.648352941176473</v>
      </c>
      <c r="BZ28" s="915">
        <v>33.848309178743961</v>
      </c>
      <c r="CA28" s="915">
        <v>309.44257296793245</v>
      </c>
      <c r="CB28" s="915" t="s">
        <v>785</v>
      </c>
      <c r="CC28" s="915" t="s">
        <v>785</v>
      </c>
      <c r="CD28" s="915" t="s">
        <v>785</v>
      </c>
      <c r="CE28" s="915">
        <v>36</v>
      </c>
      <c r="CF28" s="915">
        <v>950</v>
      </c>
      <c r="CG28" s="1041">
        <v>34.124850000000002</v>
      </c>
      <c r="CH28" s="915">
        <v>477.38039215686268</v>
      </c>
      <c r="CI28" s="915">
        <v>88.650478099431552</v>
      </c>
      <c r="CJ28" s="915">
        <v>-2</v>
      </c>
      <c r="CK28" s="915">
        <v>36.996980392156857</v>
      </c>
      <c r="CL28" s="915">
        <v>730</v>
      </c>
      <c r="CM28" s="1041">
        <v>27.149354337873618</v>
      </c>
      <c r="CN28" s="913"/>
      <c r="CO28" s="915"/>
      <c r="CP28" s="1041">
        <v>7.2616000000000014</v>
      </c>
      <c r="CR28" s="1719">
        <f t="shared" si="1"/>
        <v>0</v>
      </c>
      <c r="CS28" s="873">
        <f t="shared" si="11"/>
        <v>0</v>
      </c>
      <c r="CT28" s="873">
        <f t="shared" si="12"/>
        <v>0</v>
      </c>
      <c r="CU28" s="912">
        <f t="shared" si="13"/>
        <v>0</v>
      </c>
      <c r="CV28" s="913">
        <f t="shared" si="14"/>
        <v>0</v>
      </c>
      <c r="CW28" s="913">
        <f t="shared" si="15"/>
        <v>0</v>
      </c>
      <c r="CX28" s="913">
        <f t="shared" si="16"/>
        <v>0</v>
      </c>
      <c r="CY28" s="913">
        <f t="shared" si="17"/>
        <v>0</v>
      </c>
      <c r="CZ28" s="913">
        <f t="shared" si="18"/>
        <v>0</v>
      </c>
      <c r="DA28" s="1767">
        <f t="shared" si="19"/>
        <v>0</v>
      </c>
      <c r="DB28" s="1040">
        <f t="shared" si="20"/>
        <v>0</v>
      </c>
      <c r="DC28" s="913">
        <f t="shared" si="21"/>
        <v>0</v>
      </c>
      <c r="DD28" s="915">
        <f t="shared" si="22"/>
        <v>0</v>
      </c>
      <c r="DE28" s="1768">
        <f t="shared" si="23"/>
        <v>0</v>
      </c>
      <c r="DF28" s="914">
        <f t="shared" si="24"/>
        <v>0</v>
      </c>
      <c r="DG28" s="915">
        <f t="shared" si="25"/>
        <v>0</v>
      </c>
      <c r="DH28" s="914">
        <f t="shared" si="26"/>
        <v>0</v>
      </c>
      <c r="DI28" s="914">
        <f t="shared" si="27"/>
        <v>0</v>
      </c>
      <c r="DJ28" s="914">
        <f t="shared" si="28"/>
        <v>0</v>
      </c>
      <c r="DK28" s="914">
        <f t="shared" si="29"/>
        <v>0</v>
      </c>
      <c r="DL28" s="915">
        <f t="shared" si="30"/>
        <v>0</v>
      </c>
      <c r="DM28" s="915">
        <f t="shared" si="31"/>
        <v>0</v>
      </c>
      <c r="DN28" s="1041">
        <f t="shared" si="32"/>
        <v>0</v>
      </c>
      <c r="DO28" s="914">
        <f t="shared" si="33"/>
        <v>0</v>
      </c>
      <c r="DP28" s="914">
        <f t="shared" si="34"/>
        <v>0</v>
      </c>
      <c r="DQ28" s="915">
        <f t="shared" si="35"/>
        <v>0</v>
      </c>
      <c r="DR28" s="1041">
        <f t="shared" si="36"/>
        <v>0</v>
      </c>
      <c r="DS28" s="1040">
        <f t="shared" si="37"/>
        <v>0</v>
      </c>
      <c r="DT28" s="915">
        <f t="shared" si="38"/>
        <v>0</v>
      </c>
      <c r="DU28" s="915">
        <f t="shared" si="39"/>
        <v>0</v>
      </c>
      <c r="DV28" s="915" t="e">
        <f t="shared" si="40"/>
        <v>#VALUE!</v>
      </c>
      <c r="DW28" s="915" t="e">
        <f t="shared" si="41"/>
        <v>#VALUE!</v>
      </c>
      <c r="DX28" s="915" t="e">
        <f t="shared" si="42"/>
        <v>#VALUE!</v>
      </c>
      <c r="DY28" s="915">
        <f t="shared" si="43"/>
        <v>0</v>
      </c>
      <c r="DZ28" s="915">
        <f t="shared" si="44"/>
        <v>0</v>
      </c>
      <c r="EA28" s="1041">
        <f t="shared" si="45"/>
        <v>0</v>
      </c>
      <c r="EB28" s="915">
        <f t="shared" si="2"/>
        <v>0</v>
      </c>
      <c r="EC28" s="915">
        <f t="shared" si="3"/>
        <v>0</v>
      </c>
      <c r="ED28" s="915">
        <f t="shared" si="4"/>
        <v>0</v>
      </c>
      <c r="EE28" s="915">
        <f t="shared" si="5"/>
        <v>0</v>
      </c>
      <c r="EF28" s="915">
        <f t="shared" si="6"/>
        <v>-230</v>
      </c>
      <c r="EG28" s="1041">
        <f t="shared" si="7"/>
        <v>-8.710518983921979</v>
      </c>
      <c r="EH28" s="913">
        <f t="shared" si="8"/>
        <v>0</v>
      </c>
      <c r="EI28" s="915">
        <f t="shared" si="9"/>
        <v>0</v>
      </c>
      <c r="EJ28" s="1041">
        <f t="shared" si="10"/>
        <v>0</v>
      </c>
    </row>
    <row r="29" spans="1:140">
      <c r="A29" s="883">
        <f>Eingabedaten!A33</f>
        <v>8.1</v>
      </c>
      <c r="B29" s="888" t="str">
        <f>Eingabedaten!C33</f>
        <v xml:space="preserve">Bettenzimmer </v>
      </c>
      <c r="C29" s="1777"/>
      <c r="D29" s="884"/>
      <c r="E29" s="884"/>
      <c r="F29" s="908"/>
      <c r="G29" s="909"/>
      <c r="H29" s="909"/>
      <c r="I29" s="909"/>
      <c r="J29" s="909"/>
      <c r="K29" s="909"/>
      <c r="L29" s="1772"/>
      <c r="M29" s="1038">
        <v>2</v>
      </c>
      <c r="N29" s="909">
        <v>1750</v>
      </c>
      <c r="O29" s="911">
        <v>3.5</v>
      </c>
      <c r="P29" s="1773"/>
      <c r="Q29" s="910"/>
      <c r="R29" s="911">
        <v>49.8</v>
      </c>
      <c r="S29" s="910">
        <v>0.85263157894736841</v>
      </c>
      <c r="T29" s="910">
        <v>2.9438742624820269</v>
      </c>
      <c r="U29" s="910">
        <v>0</v>
      </c>
      <c r="V29" s="910">
        <v>2.9438742624820269</v>
      </c>
      <c r="W29" s="911">
        <v>2410</v>
      </c>
      <c r="X29" s="911">
        <v>0</v>
      </c>
      <c r="Y29" s="1039">
        <v>7.0947369725816847</v>
      </c>
      <c r="Z29" s="910">
        <v>2.4</v>
      </c>
      <c r="AA29" s="910">
        <v>0.81600000000000006</v>
      </c>
      <c r="AB29" s="911">
        <v>7010</v>
      </c>
      <c r="AC29" s="1039">
        <v>5.7201600000000008</v>
      </c>
      <c r="AD29" s="1038">
        <v>16.067443137254905</v>
      </c>
      <c r="AE29" s="911">
        <v>9.6438742624820275</v>
      </c>
      <c r="AF29" s="911">
        <v>140.9573964898108</v>
      </c>
      <c r="AG29" s="911" t="s">
        <v>1260</v>
      </c>
      <c r="AH29" s="911" t="s">
        <v>1259</v>
      </c>
      <c r="AI29" s="911" t="s">
        <v>1259</v>
      </c>
      <c r="AJ29" s="911">
        <v>19</v>
      </c>
      <c r="AK29" s="911">
        <v>910</v>
      </c>
      <c r="AL29" s="1039">
        <v>17.298333333333332</v>
      </c>
      <c r="AM29" s="911">
        <v>21.492894117647062</v>
      </c>
      <c r="AN29" s="911">
        <v>178.71953302213151</v>
      </c>
      <c r="AO29" s="911">
        <v>-1</v>
      </c>
      <c r="AP29" s="911">
        <v>18.507769934640525</v>
      </c>
      <c r="AQ29" s="911">
        <v>490</v>
      </c>
      <c r="AR29" s="1039">
        <v>9.1344882652444639</v>
      </c>
      <c r="AS29" s="909"/>
      <c r="AT29" s="911"/>
      <c r="AU29" s="1039">
        <v>67.744000000000014</v>
      </c>
      <c r="AX29" s="1777"/>
      <c r="AY29" s="884"/>
      <c r="AZ29" s="884"/>
      <c r="BA29" s="908"/>
      <c r="BB29" s="909"/>
      <c r="BC29" s="909"/>
      <c r="BD29" s="909"/>
      <c r="BE29" s="909"/>
      <c r="BF29" s="909"/>
      <c r="BG29" s="1772"/>
      <c r="BH29" s="1038">
        <v>2</v>
      </c>
      <c r="BI29" s="909">
        <v>1750</v>
      </c>
      <c r="BJ29" s="911">
        <v>3.5</v>
      </c>
      <c r="BK29" s="1773"/>
      <c r="BL29" s="910"/>
      <c r="BM29" s="911">
        <v>49.8</v>
      </c>
      <c r="BN29" s="910">
        <v>0.85263157894736841</v>
      </c>
      <c r="BO29" s="910">
        <v>2.9438742624820269</v>
      </c>
      <c r="BP29" s="910">
        <v>0</v>
      </c>
      <c r="BQ29" s="910">
        <v>2.9438742624820269</v>
      </c>
      <c r="BR29" s="911">
        <v>2410</v>
      </c>
      <c r="BS29" s="911">
        <v>0</v>
      </c>
      <c r="BT29" s="1039">
        <v>7.0947369725816847</v>
      </c>
      <c r="BU29" s="910">
        <v>2.4</v>
      </c>
      <c r="BV29" s="910">
        <v>0.81600000000000006</v>
      </c>
      <c r="BW29" s="911">
        <v>7010</v>
      </c>
      <c r="BX29" s="1039">
        <v>5.7201600000000008</v>
      </c>
      <c r="BY29" s="1038">
        <v>16.067443137254905</v>
      </c>
      <c r="BZ29" s="911">
        <v>9.6438742624820275</v>
      </c>
      <c r="CA29" s="911">
        <v>140.9573964898108</v>
      </c>
      <c r="CB29" s="911" t="s">
        <v>784</v>
      </c>
      <c r="CC29" s="911" t="s">
        <v>785</v>
      </c>
      <c r="CD29" s="911" t="s">
        <v>785</v>
      </c>
      <c r="CE29" s="911">
        <v>19</v>
      </c>
      <c r="CF29" s="911">
        <v>910</v>
      </c>
      <c r="CG29" s="1039">
        <v>17.298333333333332</v>
      </c>
      <c r="CH29" s="911">
        <v>21.492894117647062</v>
      </c>
      <c r="CI29" s="911">
        <v>178.71953302213151</v>
      </c>
      <c r="CJ29" s="911">
        <v>-1</v>
      </c>
      <c r="CK29" s="911">
        <v>18.507769934640525</v>
      </c>
      <c r="CL29" s="911">
        <v>550</v>
      </c>
      <c r="CM29" s="1039">
        <v>10.200915226709107</v>
      </c>
      <c r="CN29" s="909"/>
      <c r="CO29" s="911"/>
      <c r="CP29" s="1039">
        <v>67.744000000000014</v>
      </c>
      <c r="CR29" s="1777">
        <f t="shared" si="1"/>
        <v>0</v>
      </c>
      <c r="CS29" s="884">
        <f t="shared" si="11"/>
        <v>0</v>
      </c>
      <c r="CT29" s="884">
        <f t="shared" si="12"/>
        <v>0</v>
      </c>
      <c r="CU29" s="908">
        <f t="shared" si="13"/>
        <v>0</v>
      </c>
      <c r="CV29" s="909">
        <f t="shared" si="14"/>
        <v>0</v>
      </c>
      <c r="CW29" s="909">
        <f t="shared" si="15"/>
        <v>0</v>
      </c>
      <c r="CX29" s="909">
        <f t="shared" si="16"/>
        <v>0</v>
      </c>
      <c r="CY29" s="909">
        <f t="shared" si="17"/>
        <v>0</v>
      </c>
      <c r="CZ29" s="909">
        <f t="shared" si="18"/>
        <v>0</v>
      </c>
      <c r="DA29" s="1772">
        <f t="shared" si="19"/>
        <v>0</v>
      </c>
      <c r="DB29" s="1038">
        <f t="shared" si="20"/>
        <v>0</v>
      </c>
      <c r="DC29" s="909">
        <f t="shared" si="21"/>
        <v>0</v>
      </c>
      <c r="DD29" s="911">
        <f t="shared" si="22"/>
        <v>0</v>
      </c>
      <c r="DE29" s="1773">
        <f t="shared" si="23"/>
        <v>0</v>
      </c>
      <c r="DF29" s="910">
        <f t="shared" si="24"/>
        <v>0</v>
      </c>
      <c r="DG29" s="911">
        <f t="shared" si="25"/>
        <v>0</v>
      </c>
      <c r="DH29" s="910">
        <f t="shared" si="26"/>
        <v>0</v>
      </c>
      <c r="DI29" s="910">
        <f t="shared" si="27"/>
        <v>0</v>
      </c>
      <c r="DJ29" s="910">
        <f t="shared" si="28"/>
        <v>0</v>
      </c>
      <c r="DK29" s="910">
        <f t="shared" si="29"/>
        <v>0</v>
      </c>
      <c r="DL29" s="911">
        <f t="shared" si="30"/>
        <v>0</v>
      </c>
      <c r="DM29" s="911">
        <f t="shared" si="31"/>
        <v>0</v>
      </c>
      <c r="DN29" s="1039">
        <f t="shared" si="32"/>
        <v>0</v>
      </c>
      <c r="DO29" s="910">
        <f t="shared" si="33"/>
        <v>0</v>
      </c>
      <c r="DP29" s="910">
        <f t="shared" si="34"/>
        <v>0</v>
      </c>
      <c r="DQ29" s="911">
        <f t="shared" si="35"/>
        <v>0</v>
      </c>
      <c r="DR29" s="1039">
        <f t="shared" si="36"/>
        <v>0</v>
      </c>
      <c r="DS29" s="1038">
        <f t="shared" si="37"/>
        <v>0</v>
      </c>
      <c r="DT29" s="911">
        <f t="shared" si="38"/>
        <v>0</v>
      </c>
      <c r="DU29" s="911">
        <f t="shared" si="39"/>
        <v>0</v>
      </c>
      <c r="DV29" s="911" t="e">
        <f t="shared" si="40"/>
        <v>#VALUE!</v>
      </c>
      <c r="DW29" s="911" t="e">
        <f t="shared" si="41"/>
        <v>#VALUE!</v>
      </c>
      <c r="DX29" s="911" t="e">
        <f t="shared" si="42"/>
        <v>#VALUE!</v>
      </c>
      <c r="DY29" s="911">
        <f t="shared" si="43"/>
        <v>0</v>
      </c>
      <c r="DZ29" s="911">
        <f t="shared" si="44"/>
        <v>0</v>
      </c>
      <c r="EA29" s="1039">
        <f t="shared" si="45"/>
        <v>0</v>
      </c>
      <c r="EB29" s="911">
        <f t="shared" si="2"/>
        <v>0</v>
      </c>
      <c r="EC29" s="911">
        <f t="shared" si="3"/>
        <v>0</v>
      </c>
      <c r="ED29" s="911">
        <f t="shared" si="4"/>
        <v>0</v>
      </c>
      <c r="EE29" s="911">
        <f t="shared" si="5"/>
        <v>0</v>
      </c>
      <c r="EF29" s="911">
        <f t="shared" si="6"/>
        <v>-60</v>
      </c>
      <c r="EG29" s="1039">
        <f t="shared" si="7"/>
        <v>-1.0664269614646429</v>
      </c>
      <c r="EH29" s="909">
        <f t="shared" si="8"/>
        <v>0</v>
      </c>
      <c r="EI29" s="911">
        <f t="shared" si="9"/>
        <v>0</v>
      </c>
      <c r="EJ29" s="1039">
        <f t="shared" si="10"/>
        <v>0</v>
      </c>
    </row>
    <row r="30" spans="1:140">
      <c r="A30" s="889">
        <f>Eingabedaten!A34</f>
        <v>8.1999999999999993</v>
      </c>
      <c r="B30" s="1013" t="str">
        <f>Eingabedaten!C34</f>
        <v xml:space="preserve">Stationszimmer </v>
      </c>
      <c r="C30" s="1719"/>
      <c r="D30" s="873"/>
      <c r="E30" s="873"/>
      <c r="F30" s="912"/>
      <c r="G30" s="913"/>
      <c r="H30" s="913"/>
      <c r="I30" s="913"/>
      <c r="J30" s="913"/>
      <c r="K30" s="913"/>
      <c r="L30" s="1767"/>
      <c r="M30" s="1040">
        <v>3</v>
      </c>
      <c r="N30" s="913">
        <v>3150</v>
      </c>
      <c r="O30" s="915">
        <v>9.4499999999999993</v>
      </c>
      <c r="P30" s="1768"/>
      <c r="Q30" s="914"/>
      <c r="R30" s="915">
        <v>69.8</v>
      </c>
      <c r="S30" s="914">
        <v>0.77142857142857146</v>
      </c>
      <c r="T30" s="914">
        <v>11.60723761010294</v>
      </c>
      <c r="U30" s="914">
        <v>0</v>
      </c>
      <c r="V30" s="914">
        <v>11.60723761010294</v>
      </c>
      <c r="W30" s="915">
        <v>4610</v>
      </c>
      <c r="X30" s="915">
        <v>0</v>
      </c>
      <c r="Y30" s="1041">
        <v>53.509365382574551</v>
      </c>
      <c r="Z30" s="914">
        <v>12</v>
      </c>
      <c r="AA30" s="914">
        <v>4.08</v>
      </c>
      <c r="AB30" s="915">
        <v>2920</v>
      </c>
      <c r="AC30" s="1041">
        <v>11.913600000000001</v>
      </c>
      <c r="AD30" s="1040">
        <v>22.337176470588236</v>
      </c>
      <c r="AE30" s="915">
        <v>37.907237610102939</v>
      </c>
      <c r="AF30" s="915">
        <v>421.06217491390692</v>
      </c>
      <c r="AG30" s="915" t="s">
        <v>1259</v>
      </c>
      <c r="AH30" s="915" t="s">
        <v>1259</v>
      </c>
      <c r="AI30" s="915" t="s">
        <v>1259</v>
      </c>
      <c r="AJ30" s="915">
        <v>39</v>
      </c>
      <c r="AK30" s="915">
        <v>1380</v>
      </c>
      <c r="AL30" s="1041">
        <v>53.893055555555556</v>
      </c>
      <c r="AM30" s="915">
        <v>44.128941176470583</v>
      </c>
      <c r="AN30" s="915">
        <v>87.615970311600236</v>
      </c>
      <c r="AO30" s="915">
        <v>-2</v>
      </c>
      <c r="AP30" s="915">
        <v>37.99992156862745</v>
      </c>
      <c r="AQ30" s="915">
        <v>0</v>
      </c>
      <c r="AR30" s="1041">
        <v>9.7241614458634357E-2</v>
      </c>
      <c r="AS30" s="913"/>
      <c r="AT30" s="915"/>
      <c r="AU30" s="1041">
        <v>0</v>
      </c>
      <c r="AX30" s="1719"/>
      <c r="AY30" s="873"/>
      <c r="AZ30" s="873"/>
      <c r="BA30" s="912"/>
      <c r="BB30" s="913"/>
      <c r="BC30" s="913"/>
      <c r="BD30" s="913"/>
      <c r="BE30" s="913"/>
      <c r="BF30" s="913"/>
      <c r="BG30" s="1767"/>
      <c r="BH30" s="1040">
        <v>3</v>
      </c>
      <c r="BI30" s="913">
        <v>3150</v>
      </c>
      <c r="BJ30" s="915">
        <v>9.4499999999999993</v>
      </c>
      <c r="BK30" s="1768"/>
      <c r="BL30" s="914"/>
      <c r="BM30" s="915">
        <v>69.8</v>
      </c>
      <c r="BN30" s="914">
        <v>0.77142857142857146</v>
      </c>
      <c r="BO30" s="914">
        <v>11.60723761010294</v>
      </c>
      <c r="BP30" s="914">
        <v>0</v>
      </c>
      <c r="BQ30" s="914">
        <v>11.60723761010294</v>
      </c>
      <c r="BR30" s="915">
        <v>4610</v>
      </c>
      <c r="BS30" s="915">
        <v>0</v>
      </c>
      <c r="BT30" s="1041">
        <v>53.509365382574551</v>
      </c>
      <c r="BU30" s="914">
        <v>12</v>
      </c>
      <c r="BV30" s="914">
        <v>4.08</v>
      </c>
      <c r="BW30" s="915">
        <v>2920</v>
      </c>
      <c r="BX30" s="1041">
        <v>11.913600000000001</v>
      </c>
      <c r="BY30" s="1040">
        <v>22.337176470588236</v>
      </c>
      <c r="BZ30" s="915">
        <v>37.907237610102939</v>
      </c>
      <c r="CA30" s="915">
        <v>421.06217491390692</v>
      </c>
      <c r="CB30" s="915" t="s">
        <v>785</v>
      </c>
      <c r="CC30" s="915" t="s">
        <v>785</v>
      </c>
      <c r="CD30" s="915" t="s">
        <v>785</v>
      </c>
      <c r="CE30" s="915">
        <v>39</v>
      </c>
      <c r="CF30" s="915">
        <v>1380</v>
      </c>
      <c r="CG30" s="1041">
        <v>53.893055555555556</v>
      </c>
      <c r="CH30" s="915">
        <v>44.128941176470583</v>
      </c>
      <c r="CI30" s="915">
        <v>87.615970311600236</v>
      </c>
      <c r="CJ30" s="915">
        <v>-2</v>
      </c>
      <c r="CK30" s="915">
        <v>37.99992156862745</v>
      </c>
      <c r="CL30" s="915">
        <v>120</v>
      </c>
      <c r="CM30" s="1041">
        <v>4.3838748393103248</v>
      </c>
      <c r="CN30" s="913"/>
      <c r="CO30" s="915"/>
      <c r="CP30" s="1041">
        <v>0</v>
      </c>
      <c r="CR30" s="1719">
        <f t="shared" si="1"/>
        <v>0</v>
      </c>
      <c r="CS30" s="873">
        <f t="shared" si="11"/>
        <v>0</v>
      </c>
      <c r="CT30" s="873">
        <f t="shared" si="12"/>
        <v>0</v>
      </c>
      <c r="CU30" s="912">
        <f t="shared" si="13"/>
        <v>0</v>
      </c>
      <c r="CV30" s="913">
        <f t="shared" si="14"/>
        <v>0</v>
      </c>
      <c r="CW30" s="913">
        <f t="shared" si="15"/>
        <v>0</v>
      </c>
      <c r="CX30" s="913">
        <f t="shared" si="16"/>
        <v>0</v>
      </c>
      <c r="CY30" s="913">
        <f t="shared" si="17"/>
        <v>0</v>
      </c>
      <c r="CZ30" s="913">
        <f t="shared" si="18"/>
        <v>0</v>
      </c>
      <c r="DA30" s="1767">
        <f t="shared" si="19"/>
        <v>0</v>
      </c>
      <c r="DB30" s="1040">
        <f t="shared" si="20"/>
        <v>0</v>
      </c>
      <c r="DC30" s="913">
        <f t="shared" si="21"/>
        <v>0</v>
      </c>
      <c r="DD30" s="915">
        <f t="shared" si="22"/>
        <v>0</v>
      </c>
      <c r="DE30" s="1768">
        <f t="shared" si="23"/>
        <v>0</v>
      </c>
      <c r="DF30" s="914">
        <f t="shared" si="24"/>
        <v>0</v>
      </c>
      <c r="DG30" s="915">
        <f t="shared" si="25"/>
        <v>0</v>
      </c>
      <c r="DH30" s="914">
        <f t="shared" si="26"/>
        <v>0</v>
      </c>
      <c r="DI30" s="914">
        <f t="shared" si="27"/>
        <v>0</v>
      </c>
      <c r="DJ30" s="914">
        <f t="shared" si="28"/>
        <v>0</v>
      </c>
      <c r="DK30" s="914">
        <f t="shared" si="29"/>
        <v>0</v>
      </c>
      <c r="DL30" s="915">
        <f t="shared" si="30"/>
        <v>0</v>
      </c>
      <c r="DM30" s="915">
        <f t="shared" si="31"/>
        <v>0</v>
      </c>
      <c r="DN30" s="1041">
        <f t="shared" si="32"/>
        <v>0</v>
      </c>
      <c r="DO30" s="914">
        <f t="shared" si="33"/>
        <v>0</v>
      </c>
      <c r="DP30" s="914">
        <f t="shared" si="34"/>
        <v>0</v>
      </c>
      <c r="DQ30" s="915">
        <f t="shared" si="35"/>
        <v>0</v>
      </c>
      <c r="DR30" s="1041">
        <f t="shared" si="36"/>
        <v>0</v>
      </c>
      <c r="DS30" s="1040">
        <f t="shared" si="37"/>
        <v>0</v>
      </c>
      <c r="DT30" s="915">
        <f t="shared" si="38"/>
        <v>0</v>
      </c>
      <c r="DU30" s="915">
        <f t="shared" si="39"/>
        <v>0</v>
      </c>
      <c r="DV30" s="915" t="e">
        <f t="shared" si="40"/>
        <v>#VALUE!</v>
      </c>
      <c r="DW30" s="915" t="e">
        <f t="shared" si="41"/>
        <v>#VALUE!</v>
      </c>
      <c r="DX30" s="915" t="e">
        <f t="shared" si="42"/>
        <v>#VALUE!</v>
      </c>
      <c r="DY30" s="915">
        <f t="shared" si="43"/>
        <v>0</v>
      </c>
      <c r="DZ30" s="915">
        <f t="shared" si="44"/>
        <v>0</v>
      </c>
      <c r="EA30" s="1041">
        <f t="shared" si="45"/>
        <v>0</v>
      </c>
      <c r="EB30" s="915">
        <f t="shared" si="2"/>
        <v>0</v>
      </c>
      <c r="EC30" s="915">
        <f t="shared" si="3"/>
        <v>0</v>
      </c>
      <c r="ED30" s="915">
        <f t="shared" si="4"/>
        <v>0</v>
      </c>
      <c r="EE30" s="915">
        <f t="shared" si="5"/>
        <v>0</v>
      </c>
      <c r="EF30" s="915">
        <f t="shared" si="6"/>
        <v>-120</v>
      </c>
      <c r="EG30" s="1041">
        <f t="shared" si="7"/>
        <v>-4.2866332248516903</v>
      </c>
      <c r="EH30" s="913">
        <f t="shared" si="8"/>
        <v>0</v>
      </c>
      <c r="EI30" s="915">
        <f t="shared" si="9"/>
        <v>0</v>
      </c>
      <c r="EJ30" s="1041">
        <f t="shared" si="10"/>
        <v>0</v>
      </c>
    </row>
    <row r="31" spans="1:140">
      <c r="A31" s="891">
        <f>Eingabedaten!A35</f>
        <v>8.3000000000000007</v>
      </c>
      <c r="B31" s="1536" t="str">
        <f>Eingabedaten!C35</f>
        <v>Behandlungsraum</v>
      </c>
      <c r="C31" s="1780"/>
      <c r="D31" s="886"/>
      <c r="E31" s="886"/>
      <c r="F31" s="1758"/>
      <c r="G31" s="1759"/>
      <c r="H31" s="1759"/>
      <c r="I31" s="1759"/>
      <c r="J31" s="1759"/>
      <c r="K31" s="1759"/>
      <c r="L31" s="1760"/>
      <c r="M31" s="1774">
        <v>10</v>
      </c>
      <c r="N31" s="1759">
        <v>2180</v>
      </c>
      <c r="O31" s="1762">
        <v>21.8</v>
      </c>
      <c r="P31" s="1775"/>
      <c r="Q31" s="1761"/>
      <c r="R31" s="1762">
        <v>69.8</v>
      </c>
      <c r="S31" s="1761">
        <v>0.77142857142857146</v>
      </c>
      <c r="T31" s="1761">
        <v>11.60723761010294</v>
      </c>
      <c r="U31" s="1761">
        <v>0</v>
      </c>
      <c r="V31" s="1761">
        <v>11.60723761010294</v>
      </c>
      <c r="W31" s="1762">
        <v>700</v>
      </c>
      <c r="X31" s="1762">
        <v>0</v>
      </c>
      <c r="Y31" s="1776">
        <v>8.1250663270720587</v>
      </c>
      <c r="Z31" s="1761">
        <v>7.2</v>
      </c>
      <c r="AA31" s="1761">
        <v>2.4480000000000004</v>
      </c>
      <c r="AB31" s="1762">
        <v>1780</v>
      </c>
      <c r="AC31" s="1776">
        <v>4.3574400000000004</v>
      </c>
      <c r="AD31" s="1774">
        <v>20.882211764705886</v>
      </c>
      <c r="AE31" s="1762">
        <v>35.607237610102942</v>
      </c>
      <c r="AF31" s="1762">
        <v>193.14256120277463</v>
      </c>
      <c r="AG31" s="1762" t="s">
        <v>1260</v>
      </c>
      <c r="AH31" s="1762" t="s">
        <v>1259</v>
      </c>
      <c r="AI31" s="1762" t="s">
        <v>1259</v>
      </c>
      <c r="AJ31" s="1762">
        <v>32</v>
      </c>
      <c r="AK31" s="1762">
        <v>750</v>
      </c>
      <c r="AL31" s="1776">
        <v>24.073055555555555</v>
      </c>
      <c r="AM31" s="1762">
        <v>35.399152941176467</v>
      </c>
      <c r="AN31" s="1762">
        <v>113.79933318444311</v>
      </c>
      <c r="AO31" s="1762">
        <v>-1</v>
      </c>
      <c r="AP31" s="1762">
        <v>30.482603921568625</v>
      </c>
      <c r="AQ31" s="1762">
        <v>30</v>
      </c>
      <c r="AR31" s="1776">
        <v>0.83252606031909127</v>
      </c>
      <c r="AS31" s="1759"/>
      <c r="AT31" s="1762"/>
      <c r="AU31" s="1776">
        <v>0</v>
      </c>
      <c r="AX31" s="1780"/>
      <c r="AY31" s="886"/>
      <c r="AZ31" s="886"/>
      <c r="BA31" s="1758"/>
      <c r="BB31" s="1759"/>
      <c r="BC31" s="1759"/>
      <c r="BD31" s="1759"/>
      <c r="BE31" s="1759"/>
      <c r="BF31" s="1759"/>
      <c r="BG31" s="1760"/>
      <c r="BH31" s="1774">
        <v>10</v>
      </c>
      <c r="BI31" s="1759">
        <v>2180</v>
      </c>
      <c r="BJ31" s="1762">
        <v>21.8</v>
      </c>
      <c r="BK31" s="1775"/>
      <c r="BL31" s="1761"/>
      <c r="BM31" s="1762">
        <v>69.8</v>
      </c>
      <c r="BN31" s="1761">
        <v>0.77142857142857146</v>
      </c>
      <c r="BO31" s="1761">
        <v>11.60723761010294</v>
      </c>
      <c r="BP31" s="1761">
        <v>0</v>
      </c>
      <c r="BQ31" s="1761">
        <v>11.60723761010294</v>
      </c>
      <c r="BR31" s="1762">
        <v>700</v>
      </c>
      <c r="BS31" s="1762">
        <v>0</v>
      </c>
      <c r="BT31" s="1776">
        <v>8.1250663270720587</v>
      </c>
      <c r="BU31" s="1761">
        <v>7.2</v>
      </c>
      <c r="BV31" s="1761">
        <v>2.4480000000000004</v>
      </c>
      <c r="BW31" s="1762">
        <v>1780</v>
      </c>
      <c r="BX31" s="1776">
        <v>4.3574400000000004</v>
      </c>
      <c r="BY31" s="1774">
        <v>20.882211764705886</v>
      </c>
      <c r="BZ31" s="1762">
        <v>35.607237610102942</v>
      </c>
      <c r="CA31" s="1762">
        <v>193.14256120277463</v>
      </c>
      <c r="CB31" s="1762" t="s">
        <v>784</v>
      </c>
      <c r="CC31" s="1762" t="s">
        <v>785</v>
      </c>
      <c r="CD31" s="1762" t="s">
        <v>785</v>
      </c>
      <c r="CE31" s="1762">
        <v>32</v>
      </c>
      <c r="CF31" s="1762">
        <v>750</v>
      </c>
      <c r="CG31" s="1776">
        <v>24.073055555555555</v>
      </c>
      <c r="CH31" s="1762">
        <v>35.399152941176467</v>
      </c>
      <c r="CI31" s="1762">
        <v>113.79933318444311</v>
      </c>
      <c r="CJ31" s="1762">
        <v>-1</v>
      </c>
      <c r="CK31" s="1762">
        <v>30.482603921568625</v>
      </c>
      <c r="CL31" s="1762">
        <v>180</v>
      </c>
      <c r="CM31" s="1776">
        <v>5.6362773229807752</v>
      </c>
      <c r="CN31" s="1759"/>
      <c r="CO31" s="1762"/>
      <c r="CP31" s="1776">
        <v>0</v>
      </c>
      <c r="CR31" s="1780">
        <f t="shared" si="1"/>
        <v>0</v>
      </c>
      <c r="CS31" s="886">
        <f t="shared" si="11"/>
        <v>0</v>
      </c>
      <c r="CT31" s="886">
        <f t="shared" si="12"/>
        <v>0</v>
      </c>
      <c r="CU31" s="1758">
        <f t="shared" si="13"/>
        <v>0</v>
      </c>
      <c r="CV31" s="1759">
        <f t="shared" si="14"/>
        <v>0</v>
      </c>
      <c r="CW31" s="1759">
        <f t="shared" si="15"/>
        <v>0</v>
      </c>
      <c r="CX31" s="1759">
        <f t="shared" si="16"/>
        <v>0</v>
      </c>
      <c r="CY31" s="1759">
        <f t="shared" si="17"/>
        <v>0</v>
      </c>
      <c r="CZ31" s="1759">
        <f t="shared" si="18"/>
        <v>0</v>
      </c>
      <c r="DA31" s="1760">
        <f t="shared" si="19"/>
        <v>0</v>
      </c>
      <c r="DB31" s="1774">
        <f t="shared" si="20"/>
        <v>0</v>
      </c>
      <c r="DC31" s="1759">
        <f t="shared" si="21"/>
        <v>0</v>
      </c>
      <c r="DD31" s="1762">
        <f t="shared" si="22"/>
        <v>0</v>
      </c>
      <c r="DE31" s="1775">
        <f t="shared" si="23"/>
        <v>0</v>
      </c>
      <c r="DF31" s="1761">
        <f t="shared" si="24"/>
        <v>0</v>
      </c>
      <c r="DG31" s="1762">
        <f t="shared" si="25"/>
        <v>0</v>
      </c>
      <c r="DH31" s="1761">
        <f t="shared" si="26"/>
        <v>0</v>
      </c>
      <c r="DI31" s="1761">
        <f t="shared" si="27"/>
        <v>0</v>
      </c>
      <c r="DJ31" s="1761">
        <f t="shared" si="28"/>
        <v>0</v>
      </c>
      <c r="DK31" s="1761">
        <f t="shared" si="29"/>
        <v>0</v>
      </c>
      <c r="DL31" s="1762">
        <f t="shared" si="30"/>
        <v>0</v>
      </c>
      <c r="DM31" s="1762">
        <f t="shared" si="31"/>
        <v>0</v>
      </c>
      <c r="DN31" s="1776">
        <f t="shared" si="32"/>
        <v>0</v>
      </c>
      <c r="DO31" s="1761">
        <f t="shared" si="33"/>
        <v>0</v>
      </c>
      <c r="DP31" s="1761">
        <f t="shared" si="34"/>
        <v>0</v>
      </c>
      <c r="DQ31" s="1762">
        <f t="shared" si="35"/>
        <v>0</v>
      </c>
      <c r="DR31" s="1776">
        <f t="shared" si="36"/>
        <v>0</v>
      </c>
      <c r="DS31" s="1774">
        <f t="shared" si="37"/>
        <v>0</v>
      </c>
      <c r="DT31" s="1762">
        <f t="shared" si="38"/>
        <v>0</v>
      </c>
      <c r="DU31" s="1762">
        <f t="shared" si="39"/>
        <v>0</v>
      </c>
      <c r="DV31" s="1762" t="e">
        <f t="shared" si="40"/>
        <v>#VALUE!</v>
      </c>
      <c r="DW31" s="1762" t="e">
        <f t="shared" si="41"/>
        <v>#VALUE!</v>
      </c>
      <c r="DX31" s="1762" t="e">
        <f t="shared" si="42"/>
        <v>#VALUE!</v>
      </c>
      <c r="DY31" s="1762">
        <f t="shared" si="43"/>
        <v>0</v>
      </c>
      <c r="DZ31" s="1762">
        <f t="shared" si="44"/>
        <v>0</v>
      </c>
      <c r="EA31" s="1776">
        <f t="shared" si="45"/>
        <v>0</v>
      </c>
      <c r="EB31" s="1762">
        <f t="shared" si="2"/>
        <v>0</v>
      </c>
      <c r="EC31" s="1762">
        <f t="shared" si="3"/>
        <v>0</v>
      </c>
      <c r="ED31" s="1762">
        <f t="shared" si="4"/>
        <v>0</v>
      </c>
      <c r="EE31" s="1762">
        <f t="shared" si="5"/>
        <v>0</v>
      </c>
      <c r="EF31" s="1762">
        <f t="shared" si="6"/>
        <v>-150</v>
      </c>
      <c r="EG31" s="1776">
        <f t="shared" si="7"/>
        <v>-4.8037512626616836</v>
      </c>
      <c r="EH31" s="1759">
        <f t="shared" si="8"/>
        <v>0</v>
      </c>
      <c r="EI31" s="1762">
        <f t="shared" si="9"/>
        <v>0</v>
      </c>
      <c r="EJ31" s="1776">
        <f t="shared" si="10"/>
        <v>0</v>
      </c>
    </row>
    <row r="32" spans="1:140">
      <c r="A32" s="890">
        <f>Eingabedaten!A36</f>
        <v>9.1</v>
      </c>
      <c r="B32" s="888" t="str">
        <f>Eingabedaten!C36</f>
        <v>Produktion (grobe Arbeit)</v>
      </c>
      <c r="C32" s="1777"/>
      <c r="D32" s="884"/>
      <c r="E32" s="884"/>
      <c r="F32" s="908"/>
      <c r="G32" s="909"/>
      <c r="H32" s="909"/>
      <c r="I32" s="909"/>
      <c r="J32" s="909"/>
      <c r="K32" s="909"/>
      <c r="L32" s="1772"/>
      <c r="M32" s="1038">
        <v>5</v>
      </c>
      <c r="N32" s="909">
        <v>3360</v>
      </c>
      <c r="O32" s="911">
        <v>16.8</v>
      </c>
      <c r="P32" s="1773"/>
      <c r="Q32" s="910"/>
      <c r="R32" s="911">
        <v>59.8</v>
      </c>
      <c r="S32" s="910">
        <v>0.83076923076923082</v>
      </c>
      <c r="T32" s="910">
        <v>7.5483091787439616</v>
      </c>
      <c r="U32" s="910">
        <v>0</v>
      </c>
      <c r="V32" s="910">
        <v>7.5483091787439616</v>
      </c>
      <c r="W32" s="911">
        <v>2710</v>
      </c>
      <c r="X32" s="911">
        <v>0</v>
      </c>
      <c r="Y32" s="1039">
        <v>20.455917874396135</v>
      </c>
      <c r="Z32" s="910">
        <v>10</v>
      </c>
      <c r="AA32" s="910">
        <v>3.4000000000000004</v>
      </c>
      <c r="AB32" s="911">
        <v>2740</v>
      </c>
      <c r="AC32" s="1039">
        <v>9.3160000000000025</v>
      </c>
      <c r="AD32" s="1038">
        <v>12.618549019607846</v>
      </c>
      <c r="AE32" s="911">
        <v>18.548309178743963</v>
      </c>
      <c r="AF32" s="911">
        <v>231.32723711830732</v>
      </c>
      <c r="AG32" s="911" t="s">
        <v>1259</v>
      </c>
      <c r="AH32" s="911" t="s">
        <v>1259</v>
      </c>
      <c r="AI32" s="911" t="s">
        <v>1259</v>
      </c>
      <c r="AJ32" s="911">
        <v>4</v>
      </c>
      <c r="AK32" s="911">
        <v>1080</v>
      </c>
      <c r="AL32" s="1039">
        <v>4.3327749999999998</v>
      </c>
      <c r="AM32" s="911">
        <v>426.18039215686269</v>
      </c>
      <c r="AN32" s="911">
        <v>99.300673561779988</v>
      </c>
      <c r="AO32" s="911">
        <v>-2</v>
      </c>
      <c r="AP32" s="911">
        <v>29.832627450980389</v>
      </c>
      <c r="AQ32" s="911">
        <v>370</v>
      </c>
      <c r="AR32" s="1039">
        <v>11.173996659539201</v>
      </c>
      <c r="AS32" s="909"/>
      <c r="AT32" s="911"/>
      <c r="AU32" s="1039">
        <v>2.4220800000000007</v>
      </c>
      <c r="AX32" s="1777"/>
      <c r="AY32" s="884"/>
      <c r="AZ32" s="884"/>
      <c r="BA32" s="908"/>
      <c r="BB32" s="909"/>
      <c r="BC32" s="909"/>
      <c r="BD32" s="909"/>
      <c r="BE32" s="909"/>
      <c r="BF32" s="909"/>
      <c r="BG32" s="1772"/>
      <c r="BH32" s="1038">
        <v>5</v>
      </c>
      <c r="BI32" s="909">
        <v>3360</v>
      </c>
      <c r="BJ32" s="911">
        <v>16.8</v>
      </c>
      <c r="BK32" s="1773"/>
      <c r="BL32" s="910"/>
      <c r="BM32" s="911">
        <v>59.8</v>
      </c>
      <c r="BN32" s="910">
        <v>0.83076923076923082</v>
      </c>
      <c r="BO32" s="910">
        <v>7.5483091787439616</v>
      </c>
      <c r="BP32" s="910">
        <v>0</v>
      </c>
      <c r="BQ32" s="910">
        <v>7.5483091787439616</v>
      </c>
      <c r="BR32" s="911">
        <v>2710</v>
      </c>
      <c r="BS32" s="911">
        <v>0</v>
      </c>
      <c r="BT32" s="1039">
        <v>20.455917874396135</v>
      </c>
      <c r="BU32" s="910">
        <v>10</v>
      </c>
      <c r="BV32" s="910">
        <v>3.4000000000000004</v>
      </c>
      <c r="BW32" s="911">
        <v>2740</v>
      </c>
      <c r="BX32" s="1039">
        <v>9.3160000000000025</v>
      </c>
      <c r="BY32" s="1038">
        <v>12.618549019607846</v>
      </c>
      <c r="BZ32" s="911">
        <v>18.548309178743963</v>
      </c>
      <c r="CA32" s="911">
        <v>231.32723711830732</v>
      </c>
      <c r="CB32" s="911" t="s">
        <v>785</v>
      </c>
      <c r="CC32" s="911" t="s">
        <v>785</v>
      </c>
      <c r="CD32" s="911" t="s">
        <v>785</v>
      </c>
      <c r="CE32" s="911">
        <v>4</v>
      </c>
      <c r="CF32" s="911">
        <v>1080</v>
      </c>
      <c r="CG32" s="1039">
        <v>4.3327749999999998</v>
      </c>
      <c r="CH32" s="911">
        <v>426.18039215686269</v>
      </c>
      <c r="CI32" s="911">
        <v>99.300673561779988</v>
      </c>
      <c r="CJ32" s="911">
        <v>-2</v>
      </c>
      <c r="CK32" s="911">
        <v>29.832627450980389</v>
      </c>
      <c r="CL32" s="911">
        <v>590</v>
      </c>
      <c r="CM32" s="1039">
        <v>17.683631730444759</v>
      </c>
      <c r="CN32" s="909"/>
      <c r="CO32" s="911"/>
      <c r="CP32" s="1039">
        <v>2.4220800000000007</v>
      </c>
      <c r="CR32" s="1777">
        <f t="shared" si="1"/>
        <v>0</v>
      </c>
      <c r="CS32" s="884">
        <f t="shared" si="11"/>
        <v>0</v>
      </c>
      <c r="CT32" s="884">
        <f t="shared" si="12"/>
        <v>0</v>
      </c>
      <c r="CU32" s="908">
        <f t="shared" si="13"/>
        <v>0</v>
      </c>
      <c r="CV32" s="909">
        <f t="shared" si="14"/>
        <v>0</v>
      </c>
      <c r="CW32" s="909">
        <f t="shared" si="15"/>
        <v>0</v>
      </c>
      <c r="CX32" s="909">
        <f t="shared" si="16"/>
        <v>0</v>
      </c>
      <c r="CY32" s="909">
        <f t="shared" si="17"/>
        <v>0</v>
      </c>
      <c r="CZ32" s="909">
        <f t="shared" si="18"/>
        <v>0</v>
      </c>
      <c r="DA32" s="1772">
        <f t="shared" si="19"/>
        <v>0</v>
      </c>
      <c r="DB32" s="1038">
        <f t="shared" si="20"/>
        <v>0</v>
      </c>
      <c r="DC32" s="909">
        <f t="shared" si="21"/>
        <v>0</v>
      </c>
      <c r="DD32" s="911">
        <f t="shared" si="22"/>
        <v>0</v>
      </c>
      <c r="DE32" s="1773">
        <f t="shared" si="23"/>
        <v>0</v>
      </c>
      <c r="DF32" s="910">
        <f t="shared" si="24"/>
        <v>0</v>
      </c>
      <c r="DG32" s="911">
        <f t="shared" si="25"/>
        <v>0</v>
      </c>
      <c r="DH32" s="910">
        <f t="shared" si="26"/>
        <v>0</v>
      </c>
      <c r="DI32" s="910">
        <f t="shared" si="27"/>
        <v>0</v>
      </c>
      <c r="DJ32" s="910">
        <f t="shared" si="28"/>
        <v>0</v>
      </c>
      <c r="DK32" s="910">
        <f t="shared" si="29"/>
        <v>0</v>
      </c>
      <c r="DL32" s="911">
        <f t="shared" si="30"/>
        <v>0</v>
      </c>
      <c r="DM32" s="911">
        <f t="shared" si="31"/>
        <v>0</v>
      </c>
      <c r="DN32" s="1039">
        <f t="shared" si="32"/>
        <v>0</v>
      </c>
      <c r="DO32" s="910">
        <f t="shared" si="33"/>
        <v>0</v>
      </c>
      <c r="DP32" s="910">
        <f t="shared" si="34"/>
        <v>0</v>
      </c>
      <c r="DQ32" s="911">
        <f t="shared" si="35"/>
        <v>0</v>
      </c>
      <c r="DR32" s="1039">
        <f t="shared" si="36"/>
        <v>0</v>
      </c>
      <c r="DS32" s="1038">
        <f t="shared" si="37"/>
        <v>0</v>
      </c>
      <c r="DT32" s="911">
        <f t="shared" si="38"/>
        <v>0</v>
      </c>
      <c r="DU32" s="911">
        <f t="shared" si="39"/>
        <v>0</v>
      </c>
      <c r="DV32" s="911" t="e">
        <f t="shared" si="40"/>
        <v>#VALUE!</v>
      </c>
      <c r="DW32" s="911" t="e">
        <f t="shared" si="41"/>
        <v>#VALUE!</v>
      </c>
      <c r="DX32" s="911" t="e">
        <f t="shared" si="42"/>
        <v>#VALUE!</v>
      </c>
      <c r="DY32" s="911">
        <f t="shared" si="43"/>
        <v>0</v>
      </c>
      <c r="DZ32" s="911">
        <f t="shared" si="44"/>
        <v>0</v>
      </c>
      <c r="EA32" s="1039">
        <f t="shared" si="45"/>
        <v>0</v>
      </c>
      <c r="EB32" s="911">
        <f t="shared" si="2"/>
        <v>0</v>
      </c>
      <c r="EC32" s="911">
        <f t="shared" si="3"/>
        <v>0</v>
      </c>
      <c r="ED32" s="911">
        <f t="shared" si="4"/>
        <v>0</v>
      </c>
      <c r="EE32" s="911">
        <f t="shared" si="5"/>
        <v>0</v>
      </c>
      <c r="EF32" s="911">
        <f t="shared" si="6"/>
        <v>-220</v>
      </c>
      <c r="EG32" s="1039">
        <f t="shared" si="7"/>
        <v>-6.5096350709055582</v>
      </c>
      <c r="EH32" s="909">
        <f t="shared" si="8"/>
        <v>0</v>
      </c>
      <c r="EI32" s="911">
        <f t="shared" si="9"/>
        <v>0</v>
      </c>
      <c r="EJ32" s="1039">
        <f t="shared" si="10"/>
        <v>0</v>
      </c>
    </row>
    <row r="33" spans="1:140">
      <c r="A33" s="889">
        <f>Eingabedaten!A37</f>
        <v>9.1999999999999993</v>
      </c>
      <c r="B33" s="1013" t="str">
        <f>Eingabedaten!C37</f>
        <v>Produktion (feine Arbeit)</v>
      </c>
      <c r="C33" s="1719"/>
      <c r="D33" s="873"/>
      <c r="E33" s="873"/>
      <c r="F33" s="912"/>
      <c r="G33" s="913"/>
      <c r="H33" s="913"/>
      <c r="I33" s="913"/>
      <c r="J33" s="913"/>
      <c r="K33" s="913"/>
      <c r="L33" s="1767"/>
      <c r="M33" s="1040">
        <v>5</v>
      </c>
      <c r="N33" s="913">
        <v>2440</v>
      </c>
      <c r="O33" s="915">
        <v>12.2</v>
      </c>
      <c r="P33" s="1768"/>
      <c r="Q33" s="914"/>
      <c r="R33" s="915">
        <v>69.8</v>
      </c>
      <c r="S33" s="914">
        <v>0.83076923076923082</v>
      </c>
      <c r="T33" s="914">
        <v>10.778149209381301</v>
      </c>
      <c r="U33" s="914">
        <v>0</v>
      </c>
      <c r="V33" s="914">
        <v>10.778149209381301</v>
      </c>
      <c r="W33" s="915">
        <v>910</v>
      </c>
      <c r="X33" s="915">
        <v>0</v>
      </c>
      <c r="Y33" s="1041">
        <v>9.8081157805369834</v>
      </c>
      <c r="Z33" s="914">
        <v>10</v>
      </c>
      <c r="AA33" s="914">
        <v>3.4000000000000004</v>
      </c>
      <c r="AB33" s="915">
        <v>1470</v>
      </c>
      <c r="AC33" s="1041">
        <v>4.9980000000000011</v>
      </c>
      <c r="AD33" s="1040">
        <v>16.880352941176472</v>
      </c>
      <c r="AE33" s="915">
        <v>20.4781492093813</v>
      </c>
      <c r="AF33" s="915">
        <v>123.59906670082333</v>
      </c>
      <c r="AG33" s="915" t="s">
        <v>1261</v>
      </c>
      <c r="AH33" s="915" t="s">
        <v>1260</v>
      </c>
      <c r="AI33" s="915" t="s">
        <v>1259</v>
      </c>
      <c r="AJ33" s="915">
        <v>22</v>
      </c>
      <c r="AK33" s="915">
        <v>400</v>
      </c>
      <c r="AL33" s="1041">
        <v>8.7759499999999999</v>
      </c>
      <c r="AM33" s="915">
        <v>426.18039215686269</v>
      </c>
      <c r="AN33" s="915">
        <v>99.300673561779988</v>
      </c>
      <c r="AO33" s="915">
        <v>-2</v>
      </c>
      <c r="AP33" s="915">
        <v>31.963529411764704</v>
      </c>
      <c r="AQ33" s="915">
        <v>450</v>
      </c>
      <c r="AR33" s="1041">
        <v>14.432907702774003</v>
      </c>
      <c r="AS33" s="913"/>
      <c r="AT33" s="915"/>
      <c r="AU33" s="1041">
        <v>2.4220800000000007</v>
      </c>
      <c r="AX33" s="1719"/>
      <c r="AY33" s="873"/>
      <c r="AZ33" s="873"/>
      <c r="BA33" s="912"/>
      <c r="BB33" s="913"/>
      <c r="BC33" s="913"/>
      <c r="BD33" s="913"/>
      <c r="BE33" s="913"/>
      <c r="BF33" s="913"/>
      <c r="BG33" s="1767"/>
      <c r="BH33" s="1040">
        <v>5</v>
      </c>
      <c r="BI33" s="913">
        <v>2440</v>
      </c>
      <c r="BJ33" s="915">
        <v>12.2</v>
      </c>
      <c r="BK33" s="1768"/>
      <c r="BL33" s="914"/>
      <c r="BM33" s="915">
        <v>69.8</v>
      </c>
      <c r="BN33" s="914">
        <v>0.83076923076923082</v>
      </c>
      <c r="BO33" s="914">
        <v>10.778149209381301</v>
      </c>
      <c r="BP33" s="914">
        <v>0</v>
      </c>
      <c r="BQ33" s="914">
        <v>10.778149209381301</v>
      </c>
      <c r="BR33" s="915">
        <v>910</v>
      </c>
      <c r="BS33" s="915">
        <v>0</v>
      </c>
      <c r="BT33" s="1041">
        <v>9.8081157805369834</v>
      </c>
      <c r="BU33" s="914">
        <v>10</v>
      </c>
      <c r="BV33" s="914">
        <v>3.4000000000000004</v>
      </c>
      <c r="BW33" s="915">
        <v>1470</v>
      </c>
      <c r="BX33" s="1041">
        <v>4.9980000000000011</v>
      </c>
      <c r="BY33" s="1040">
        <v>16.880352941176472</v>
      </c>
      <c r="BZ33" s="915">
        <v>20.4781492093813</v>
      </c>
      <c r="CA33" s="915">
        <v>123.59906670082333</v>
      </c>
      <c r="CB33" s="915" t="s">
        <v>860</v>
      </c>
      <c r="CC33" s="915" t="s">
        <v>784</v>
      </c>
      <c r="CD33" s="915" t="s">
        <v>785</v>
      </c>
      <c r="CE33" s="915">
        <v>22</v>
      </c>
      <c r="CF33" s="915">
        <v>400</v>
      </c>
      <c r="CG33" s="1041">
        <v>8.7759499999999999</v>
      </c>
      <c r="CH33" s="915">
        <v>426.18039215686269</v>
      </c>
      <c r="CI33" s="915">
        <v>99.300673561779988</v>
      </c>
      <c r="CJ33" s="915">
        <v>-2</v>
      </c>
      <c r="CK33" s="915">
        <v>31.963529411764704</v>
      </c>
      <c r="CL33" s="915">
        <v>670</v>
      </c>
      <c r="CM33" s="1041">
        <v>21.432513998099861</v>
      </c>
      <c r="CN33" s="913"/>
      <c r="CO33" s="915"/>
      <c r="CP33" s="1041">
        <v>2.4220800000000007</v>
      </c>
      <c r="CR33" s="1719">
        <f t="shared" si="1"/>
        <v>0</v>
      </c>
      <c r="CS33" s="873">
        <f t="shared" si="11"/>
        <v>0</v>
      </c>
      <c r="CT33" s="873">
        <f t="shared" si="12"/>
        <v>0</v>
      </c>
      <c r="CU33" s="912">
        <f t="shared" si="13"/>
        <v>0</v>
      </c>
      <c r="CV33" s="913">
        <f t="shared" si="14"/>
        <v>0</v>
      </c>
      <c r="CW33" s="913">
        <f t="shared" si="15"/>
        <v>0</v>
      </c>
      <c r="CX33" s="913">
        <f t="shared" si="16"/>
        <v>0</v>
      </c>
      <c r="CY33" s="913">
        <f t="shared" si="17"/>
        <v>0</v>
      </c>
      <c r="CZ33" s="913">
        <f t="shared" si="18"/>
        <v>0</v>
      </c>
      <c r="DA33" s="1767">
        <f t="shared" si="19"/>
        <v>0</v>
      </c>
      <c r="DB33" s="1040">
        <f t="shared" si="20"/>
        <v>0</v>
      </c>
      <c r="DC33" s="913">
        <f t="shared" si="21"/>
        <v>0</v>
      </c>
      <c r="DD33" s="915">
        <f t="shared" si="22"/>
        <v>0</v>
      </c>
      <c r="DE33" s="1768">
        <f t="shared" si="23"/>
        <v>0</v>
      </c>
      <c r="DF33" s="914">
        <f t="shared" si="24"/>
        <v>0</v>
      </c>
      <c r="DG33" s="915">
        <f t="shared" si="25"/>
        <v>0</v>
      </c>
      <c r="DH33" s="914">
        <f t="shared" si="26"/>
        <v>0</v>
      </c>
      <c r="DI33" s="914">
        <f t="shared" si="27"/>
        <v>0</v>
      </c>
      <c r="DJ33" s="914">
        <f t="shared" si="28"/>
        <v>0</v>
      </c>
      <c r="DK33" s="914">
        <f t="shared" si="29"/>
        <v>0</v>
      </c>
      <c r="DL33" s="915">
        <f t="shared" si="30"/>
        <v>0</v>
      </c>
      <c r="DM33" s="915">
        <f t="shared" si="31"/>
        <v>0</v>
      </c>
      <c r="DN33" s="1041">
        <f t="shared" si="32"/>
        <v>0</v>
      </c>
      <c r="DO33" s="914">
        <f t="shared" si="33"/>
        <v>0</v>
      </c>
      <c r="DP33" s="914">
        <f t="shared" si="34"/>
        <v>0</v>
      </c>
      <c r="DQ33" s="915">
        <f t="shared" si="35"/>
        <v>0</v>
      </c>
      <c r="DR33" s="1041">
        <f t="shared" si="36"/>
        <v>0</v>
      </c>
      <c r="DS33" s="1040">
        <f t="shared" si="37"/>
        <v>0</v>
      </c>
      <c r="DT33" s="915">
        <f t="shared" si="38"/>
        <v>0</v>
      </c>
      <c r="DU33" s="915">
        <f t="shared" si="39"/>
        <v>0</v>
      </c>
      <c r="DV33" s="915" t="e">
        <f t="shared" si="40"/>
        <v>#VALUE!</v>
      </c>
      <c r="DW33" s="915" t="e">
        <f t="shared" si="41"/>
        <v>#VALUE!</v>
      </c>
      <c r="DX33" s="915" t="e">
        <f t="shared" si="42"/>
        <v>#VALUE!</v>
      </c>
      <c r="DY33" s="915">
        <f t="shared" si="43"/>
        <v>0</v>
      </c>
      <c r="DZ33" s="915">
        <f t="shared" si="44"/>
        <v>0</v>
      </c>
      <c r="EA33" s="1041">
        <f t="shared" si="45"/>
        <v>0</v>
      </c>
      <c r="EB33" s="915">
        <f t="shared" si="2"/>
        <v>0</v>
      </c>
      <c r="EC33" s="915">
        <f t="shared" si="3"/>
        <v>0</v>
      </c>
      <c r="ED33" s="915">
        <f t="shared" si="4"/>
        <v>0</v>
      </c>
      <c r="EE33" s="915">
        <f t="shared" si="5"/>
        <v>0</v>
      </c>
      <c r="EF33" s="915">
        <f t="shared" si="6"/>
        <v>-220</v>
      </c>
      <c r="EG33" s="1041">
        <f t="shared" si="7"/>
        <v>-6.999606295325858</v>
      </c>
      <c r="EH33" s="913">
        <f t="shared" si="8"/>
        <v>0</v>
      </c>
      <c r="EI33" s="915">
        <f t="shared" si="9"/>
        <v>0</v>
      </c>
      <c r="EJ33" s="1041">
        <f t="shared" si="10"/>
        <v>0</v>
      </c>
    </row>
    <row r="34" spans="1:140">
      <c r="A34" s="891">
        <f>Eingabedaten!A38</f>
        <v>9.3000000000000007</v>
      </c>
      <c r="B34" s="1536" t="str">
        <f>Eingabedaten!C38</f>
        <v>Laborraum</v>
      </c>
      <c r="C34" s="1780"/>
      <c r="D34" s="886"/>
      <c r="E34" s="886"/>
      <c r="F34" s="1758"/>
      <c r="G34" s="1759"/>
      <c r="H34" s="1759"/>
      <c r="I34" s="1759"/>
      <c r="J34" s="1759"/>
      <c r="K34" s="1759"/>
      <c r="L34" s="1760"/>
      <c r="M34" s="1774">
        <v>15</v>
      </c>
      <c r="N34" s="1759">
        <v>2440</v>
      </c>
      <c r="O34" s="1762">
        <v>36.6</v>
      </c>
      <c r="P34" s="1775"/>
      <c r="Q34" s="1761"/>
      <c r="R34" s="1762">
        <v>69.8</v>
      </c>
      <c r="S34" s="1761">
        <v>0.75449101796407192</v>
      </c>
      <c r="T34" s="1761">
        <v>11.867808250329739</v>
      </c>
      <c r="U34" s="1761">
        <v>0</v>
      </c>
      <c r="V34" s="1761">
        <v>11.867808250329739</v>
      </c>
      <c r="W34" s="1762">
        <v>380</v>
      </c>
      <c r="X34" s="1762">
        <v>0</v>
      </c>
      <c r="Y34" s="1776">
        <v>4.5097671351253013</v>
      </c>
      <c r="Z34" s="1761">
        <v>20</v>
      </c>
      <c r="AA34" s="1761">
        <v>6.8000000000000007</v>
      </c>
      <c r="AB34" s="1762">
        <v>1470</v>
      </c>
      <c r="AC34" s="1776">
        <v>9.9960000000000022</v>
      </c>
      <c r="AD34" s="1774">
        <v>28.655058823529416</v>
      </c>
      <c r="AE34" s="1762">
        <v>31.56780825032974</v>
      </c>
      <c r="AF34" s="1762">
        <v>181.32912150112</v>
      </c>
      <c r="AG34" s="1762" t="s">
        <v>1260</v>
      </c>
      <c r="AH34" s="1762" t="s">
        <v>1259</v>
      </c>
      <c r="AI34" s="1762" t="s">
        <v>1259</v>
      </c>
      <c r="AJ34" s="1762">
        <v>37</v>
      </c>
      <c r="AK34" s="1762">
        <v>470</v>
      </c>
      <c r="AL34" s="1776">
        <v>17.501714285714286</v>
      </c>
      <c r="AM34" s="1762">
        <v>134.54431372549018</v>
      </c>
      <c r="AN34" s="1762">
        <v>59.727533460803066</v>
      </c>
      <c r="AO34" s="1762">
        <v>-2</v>
      </c>
      <c r="AP34" s="1762">
        <v>59.583910364145645</v>
      </c>
      <c r="AQ34" s="1762">
        <v>490</v>
      </c>
      <c r="AR34" s="1776">
        <v>29.191104508517427</v>
      </c>
      <c r="AS34" s="1759"/>
      <c r="AT34" s="1762"/>
      <c r="AU34" s="1776">
        <v>2.4220800000000007</v>
      </c>
      <c r="AX34" s="1780"/>
      <c r="AY34" s="886"/>
      <c r="AZ34" s="886"/>
      <c r="BA34" s="1758"/>
      <c r="BB34" s="1759"/>
      <c r="BC34" s="1759"/>
      <c r="BD34" s="1759"/>
      <c r="BE34" s="1759"/>
      <c r="BF34" s="1759"/>
      <c r="BG34" s="1760"/>
      <c r="BH34" s="1774">
        <v>15</v>
      </c>
      <c r="BI34" s="1759">
        <v>2440</v>
      </c>
      <c r="BJ34" s="1762">
        <v>36.6</v>
      </c>
      <c r="BK34" s="1775"/>
      <c r="BL34" s="1761"/>
      <c r="BM34" s="1762">
        <v>69.8</v>
      </c>
      <c r="BN34" s="1761">
        <v>0.75449101796407192</v>
      </c>
      <c r="BO34" s="1761">
        <v>11.867808250329739</v>
      </c>
      <c r="BP34" s="1761">
        <v>0</v>
      </c>
      <c r="BQ34" s="1761">
        <v>11.867808250329739</v>
      </c>
      <c r="BR34" s="1762">
        <v>380</v>
      </c>
      <c r="BS34" s="1762">
        <v>0</v>
      </c>
      <c r="BT34" s="1776">
        <v>4.5097671351253013</v>
      </c>
      <c r="BU34" s="1761">
        <v>20</v>
      </c>
      <c r="BV34" s="1761">
        <v>6.8000000000000007</v>
      </c>
      <c r="BW34" s="1762">
        <v>1470</v>
      </c>
      <c r="BX34" s="1776">
        <v>9.9960000000000022</v>
      </c>
      <c r="BY34" s="1774">
        <v>28.655058823529416</v>
      </c>
      <c r="BZ34" s="1762">
        <v>31.56780825032974</v>
      </c>
      <c r="CA34" s="1762">
        <v>181.32912150112</v>
      </c>
      <c r="CB34" s="1762" t="s">
        <v>784</v>
      </c>
      <c r="CC34" s="1762" t="s">
        <v>785</v>
      </c>
      <c r="CD34" s="1762" t="s">
        <v>785</v>
      </c>
      <c r="CE34" s="1762">
        <v>37</v>
      </c>
      <c r="CF34" s="1762">
        <v>470</v>
      </c>
      <c r="CG34" s="1776">
        <v>17.501714285714286</v>
      </c>
      <c r="CH34" s="1762">
        <v>134.54431372549018</v>
      </c>
      <c r="CI34" s="1762">
        <v>59.727533460803066</v>
      </c>
      <c r="CJ34" s="1762">
        <v>-2</v>
      </c>
      <c r="CK34" s="1762">
        <v>59.583910364145645</v>
      </c>
      <c r="CL34" s="1762">
        <v>680</v>
      </c>
      <c r="CM34" s="1776">
        <v>40.70089598539267</v>
      </c>
      <c r="CN34" s="1759"/>
      <c r="CO34" s="1762"/>
      <c r="CP34" s="1776">
        <v>2.4220800000000007</v>
      </c>
      <c r="CR34" s="1780">
        <f t="shared" si="1"/>
        <v>0</v>
      </c>
      <c r="CS34" s="886">
        <f t="shared" si="11"/>
        <v>0</v>
      </c>
      <c r="CT34" s="886">
        <f t="shared" si="12"/>
        <v>0</v>
      </c>
      <c r="CU34" s="1758">
        <f t="shared" si="13"/>
        <v>0</v>
      </c>
      <c r="CV34" s="1759">
        <f t="shared" si="14"/>
        <v>0</v>
      </c>
      <c r="CW34" s="1759">
        <f t="shared" si="15"/>
        <v>0</v>
      </c>
      <c r="CX34" s="1759">
        <f t="shared" si="16"/>
        <v>0</v>
      </c>
      <c r="CY34" s="1759">
        <f t="shared" si="17"/>
        <v>0</v>
      </c>
      <c r="CZ34" s="1759">
        <f t="shared" si="18"/>
        <v>0</v>
      </c>
      <c r="DA34" s="1760">
        <f t="shared" si="19"/>
        <v>0</v>
      </c>
      <c r="DB34" s="1774">
        <f t="shared" si="20"/>
        <v>0</v>
      </c>
      <c r="DC34" s="1759">
        <f t="shared" si="21"/>
        <v>0</v>
      </c>
      <c r="DD34" s="1762">
        <f t="shared" si="22"/>
        <v>0</v>
      </c>
      <c r="DE34" s="1775">
        <f t="shared" si="23"/>
        <v>0</v>
      </c>
      <c r="DF34" s="1761">
        <f t="shared" si="24"/>
        <v>0</v>
      </c>
      <c r="DG34" s="1762">
        <f t="shared" si="25"/>
        <v>0</v>
      </c>
      <c r="DH34" s="1761">
        <f t="shared" si="26"/>
        <v>0</v>
      </c>
      <c r="DI34" s="1761">
        <f t="shared" si="27"/>
        <v>0</v>
      </c>
      <c r="DJ34" s="1761">
        <f t="shared" si="28"/>
        <v>0</v>
      </c>
      <c r="DK34" s="1761">
        <f t="shared" si="29"/>
        <v>0</v>
      </c>
      <c r="DL34" s="1762">
        <f t="shared" si="30"/>
        <v>0</v>
      </c>
      <c r="DM34" s="1762">
        <f t="shared" si="31"/>
        <v>0</v>
      </c>
      <c r="DN34" s="1776">
        <f t="shared" si="32"/>
        <v>0</v>
      </c>
      <c r="DO34" s="1761">
        <f t="shared" si="33"/>
        <v>0</v>
      </c>
      <c r="DP34" s="1761">
        <f t="shared" si="34"/>
        <v>0</v>
      </c>
      <c r="DQ34" s="1762">
        <f t="shared" si="35"/>
        <v>0</v>
      </c>
      <c r="DR34" s="1776">
        <f t="shared" si="36"/>
        <v>0</v>
      </c>
      <c r="DS34" s="1774">
        <f t="shared" si="37"/>
        <v>0</v>
      </c>
      <c r="DT34" s="1762">
        <f t="shared" si="38"/>
        <v>0</v>
      </c>
      <c r="DU34" s="1762">
        <f t="shared" si="39"/>
        <v>0</v>
      </c>
      <c r="DV34" s="1762" t="e">
        <f t="shared" si="40"/>
        <v>#VALUE!</v>
      </c>
      <c r="DW34" s="1762" t="e">
        <f t="shared" si="41"/>
        <v>#VALUE!</v>
      </c>
      <c r="DX34" s="1762" t="e">
        <f t="shared" si="42"/>
        <v>#VALUE!</v>
      </c>
      <c r="DY34" s="1762">
        <f t="shared" si="43"/>
        <v>0</v>
      </c>
      <c r="DZ34" s="1762">
        <f t="shared" si="44"/>
        <v>0</v>
      </c>
      <c r="EA34" s="1776">
        <f t="shared" si="45"/>
        <v>0</v>
      </c>
      <c r="EB34" s="1762">
        <f t="shared" si="2"/>
        <v>0</v>
      </c>
      <c r="EC34" s="1762">
        <f t="shared" si="3"/>
        <v>0</v>
      </c>
      <c r="ED34" s="1762">
        <f t="shared" si="4"/>
        <v>0</v>
      </c>
      <c r="EE34" s="1762">
        <f t="shared" si="5"/>
        <v>0</v>
      </c>
      <c r="EF34" s="1762">
        <f t="shared" si="6"/>
        <v>-190</v>
      </c>
      <c r="EG34" s="1776">
        <f t="shared" si="7"/>
        <v>-11.509791476875243</v>
      </c>
      <c r="EH34" s="1759">
        <f t="shared" si="8"/>
        <v>0</v>
      </c>
      <c r="EI34" s="1762">
        <f t="shared" si="9"/>
        <v>0</v>
      </c>
      <c r="EJ34" s="1776">
        <f t="shared" si="10"/>
        <v>0</v>
      </c>
    </row>
    <row r="35" spans="1:140">
      <c r="A35" s="889">
        <f>Eingabedaten!A39</f>
        <v>10.1</v>
      </c>
      <c r="B35" s="1013" t="str">
        <f>Eingabedaten!C39</f>
        <v>Lagerhalle</v>
      </c>
      <c r="C35" s="1719"/>
      <c r="D35" s="873"/>
      <c r="E35" s="873"/>
      <c r="F35" s="912"/>
      <c r="G35" s="913"/>
      <c r="H35" s="913"/>
      <c r="I35" s="913"/>
      <c r="J35" s="913"/>
      <c r="K35" s="913"/>
      <c r="L35" s="1767"/>
      <c r="M35" s="1040">
        <v>0</v>
      </c>
      <c r="N35" s="913">
        <v>3160</v>
      </c>
      <c r="O35" s="915">
        <v>0</v>
      </c>
      <c r="P35" s="1768"/>
      <c r="Q35" s="914"/>
      <c r="R35" s="915">
        <v>49.8</v>
      </c>
      <c r="S35" s="914">
        <v>0.79646017699115046</v>
      </c>
      <c r="T35" s="914">
        <v>3.1514948683623381</v>
      </c>
      <c r="U35" s="914">
        <v>0</v>
      </c>
      <c r="V35" s="914">
        <v>3.1514948683623381</v>
      </c>
      <c r="W35" s="915">
        <v>2660</v>
      </c>
      <c r="X35" s="915">
        <v>0</v>
      </c>
      <c r="Y35" s="1041">
        <v>8.382976349843819</v>
      </c>
      <c r="Z35" s="914">
        <v>1.5</v>
      </c>
      <c r="AA35" s="914">
        <v>0.33450000000000002</v>
      </c>
      <c r="AB35" s="915">
        <v>2740</v>
      </c>
      <c r="AC35" s="1041">
        <v>0.91653000000000007</v>
      </c>
      <c r="AD35" s="1040">
        <v>10.487647058823532</v>
      </c>
      <c r="AE35" s="915">
        <v>5.4514948683623379</v>
      </c>
      <c r="AF35" s="915">
        <v>62.831622342904019</v>
      </c>
      <c r="AG35" s="915" t="s">
        <v>18</v>
      </c>
      <c r="AH35" s="915" t="s">
        <v>18</v>
      </c>
      <c r="AI35" s="915" t="s">
        <v>18</v>
      </c>
      <c r="AJ35" s="915">
        <v>0</v>
      </c>
      <c r="AK35" s="915">
        <v>0</v>
      </c>
      <c r="AL35" s="1041">
        <v>0</v>
      </c>
      <c r="AM35" s="915">
        <v>208.58039215686276</v>
      </c>
      <c r="AN35" s="915">
        <v>202.89538993757989</v>
      </c>
      <c r="AO35" s="915">
        <v>0</v>
      </c>
      <c r="AP35" s="915">
        <v>13.557725490196079</v>
      </c>
      <c r="AQ35" s="915">
        <v>860</v>
      </c>
      <c r="AR35" s="1041">
        <v>11.621558328525365</v>
      </c>
      <c r="AS35" s="913"/>
      <c r="AT35" s="915"/>
      <c r="AU35" s="1041">
        <v>0.9082800000000002</v>
      </c>
      <c r="AX35" s="1719"/>
      <c r="AY35" s="873"/>
      <c r="AZ35" s="873"/>
      <c r="BA35" s="912"/>
      <c r="BB35" s="913"/>
      <c r="BC35" s="913"/>
      <c r="BD35" s="913"/>
      <c r="BE35" s="913"/>
      <c r="BF35" s="913"/>
      <c r="BG35" s="1767"/>
      <c r="BH35" s="1040">
        <v>0</v>
      </c>
      <c r="BI35" s="913">
        <v>3160</v>
      </c>
      <c r="BJ35" s="915">
        <v>0</v>
      </c>
      <c r="BK35" s="1768"/>
      <c r="BL35" s="914"/>
      <c r="BM35" s="915">
        <v>49.8</v>
      </c>
      <c r="BN35" s="914">
        <v>0.79646017699115046</v>
      </c>
      <c r="BO35" s="914">
        <v>3.1514948683623381</v>
      </c>
      <c r="BP35" s="914">
        <v>0</v>
      </c>
      <c r="BQ35" s="914">
        <v>3.1514948683623381</v>
      </c>
      <c r="BR35" s="915">
        <v>2660</v>
      </c>
      <c r="BS35" s="915">
        <v>0</v>
      </c>
      <c r="BT35" s="1041">
        <v>8.382976349843819</v>
      </c>
      <c r="BU35" s="914">
        <v>1.5</v>
      </c>
      <c r="BV35" s="914">
        <v>0.33450000000000002</v>
      </c>
      <c r="BW35" s="915">
        <v>3240</v>
      </c>
      <c r="BX35" s="1041">
        <v>1.08378</v>
      </c>
      <c r="BY35" s="1040">
        <v>10.487647058823532</v>
      </c>
      <c r="BZ35" s="915">
        <v>5.4514948683623379</v>
      </c>
      <c r="CA35" s="915">
        <v>62.831622342904019</v>
      </c>
      <c r="CB35" s="915" t="s">
        <v>18</v>
      </c>
      <c r="CC35" s="915" t="s">
        <v>18</v>
      </c>
      <c r="CD35" s="915" t="s">
        <v>18</v>
      </c>
      <c r="CE35" s="915">
        <v>0</v>
      </c>
      <c r="CF35" s="915">
        <v>0</v>
      </c>
      <c r="CG35" s="1041">
        <v>0</v>
      </c>
      <c r="CH35" s="915">
        <v>208.58039215686276</v>
      </c>
      <c r="CI35" s="915">
        <v>202.89538993757989</v>
      </c>
      <c r="CJ35" s="915">
        <v>0</v>
      </c>
      <c r="CK35" s="915">
        <v>13.557725490196079</v>
      </c>
      <c r="CL35" s="915">
        <v>970</v>
      </c>
      <c r="CM35" s="1041">
        <v>13.173830376373965</v>
      </c>
      <c r="CN35" s="913"/>
      <c r="CO35" s="915"/>
      <c r="CP35" s="1041">
        <v>0.9082800000000002</v>
      </c>
      <c r="CR35" s="1719">
        <f t="shared" si="1"/>
        <v>0</v>
      </c>
      <c r="CS35" s="873">
        <f t="shared" si="11"/>
        <v>0</v>
      </c>
      <c r="CT35" s="873">
        <f t="shared" si="12"/>
        <v>0</v>
      </c>
      <c r="CU35" s="912">
        <f t="shared" si="13"/>
        <v>0</v>
      </c>
      <c r="CV35" s="913">
        <f t="shared" si="14"/>
        <v>0</v>
      </c>
      <c r="CW35" s="913">
        <f t="shared" si="15"/>
        <v>0</v>
      </c>
      <c r="CX35" s="913">
        <f t="shared" si="16"/>
        <v>0</v>
      </c>
      <c r="CY35" s="913">
        <f t="shared" si="17"/>
        <v>0</v>
      </c>
      <c r="CZ35" s="913">
        <f t="shared" si="18"/>
        <v>0</v>
      </c>
      <c r="DA35" s="1767">
        <f t="shared" si="19"/>
        <v>0</v>
      </c>
      <c r="DB35" s="1040">
        <f t="shared" si="20"/>
        <v>0</v>
      </c>
      <c r="DC35" s="913">
        <f t="shared" si="21"/>
        <v>0</v>
      </c>
      <c r="DD35" s="915">
        <f t="shared" si="22"/>
        <v>0</v>
      </c>
      <c r="DE35" s="1768">
        <f t="shared" si="23"/>
        <v>0</v>
      </c>
      <c r="DF35" s="914">
        <f t="shared" si="24"/>
        <v>0</v>
      </c>
      <c r="DG35" s="915">
        <f t="shared" si="25"/>
        <v>0</v>
      </c>
      <c r="DH35" s="914">
        <f t="shared" si="26"/>
        <v>0</v>
      </c>
      <c r="DI35" s="914">
        <f t="shared" si="27"/>
        <v>0</v>
      </c>
      <c r="DJ35" s="914">
        <f t="shared" si="28"/>
        <v>0</v>
      </c>
      <c r="DK35" s="914">
        <f t="shared" si="29"/>
        <v>0</v>
      </c>
      <c r="DL35" s="915">
        <f t="shared" si="30"/>
        <v>0</v>
      </c>
      <c r="DM35" s="915">
        <f t="shared" si="31"/>
        <v>0</v>
      </c>
      <c r="DN35" s="1041">
        <f t="shared" si="32"/>
        <v>0</v>
      </c>
      <c r="DO35" s="914">
        <f t="shared" si="33"/>
        <v>0</v>
      </c>
      <c r="DP35" s="914">
        <f t="shared" si="34"/>
        <v>0</v>
      </c>
      <c r="DQ35" s="915">
        <f t="shared" si="35"/>
        <v>-500</v>
      </c>
      <c r="DR35" s="1041">
        <f t="shared" si="36"/>
        <v>-0.1672499999999999</v>
      </c>
      <c r="DS35" s="1040">
        <f t="shared" si="37"/>
        <v>0</v>
      </c>
      <c r="DT35" s="915">
        <f t="shared" si="38"/>
        <v>0</v>
      </c>
      <c r="DU35" s="915">
        <f t="shared" si="39"/>
        <v>0</v>
      </c>
      <c r="DV35" s="915" t="e">
        <f t="shared" si="40"/>
        <v>#VALUE!</v>
      </c>
      <c r="DW35" s="915" t="e">
        <f t="shared" si="41"/>
        <v>#VALUE!</v>
      </c>
      <c r="DX35" s="915" t="e">
        <f t="shared" si="42"/>
        <v>#VALUE!</v>
      </c>
      <c r="DY35" s="915">
        <f t="shared" si="43"/>
        <v>0</v>
      </c>
      <c r="DZ35" s="915">
        <f t="shared" si="44"/>
        <v>0</v>
      </c>
      <c r="EA35" s="1041">
        <f t="shared" si="45"/>
        <v>0</v>
      </c>
      <c r="EB35" s="915">
        <f t="shared" si="2"/>
        <v>0</v>
      </c>
      <c r="EC35" s="915">
        <f t="shared" si="3"/>
        <v>0</v>
      </c>
      <c r="ED35" s="915">
        <f t="shared" si="4"/>
        <v>0</v>
      </c>
      <c r="EE35" s="915">
        <f t="shared" si="5"/>
        <v>0</v>
      </c>
      <c r="EF35" s="915">
        <f t="shared" si="6"/>
        <v>-110</v>
      </c>
      <c r="EG35" s="1041">
        <f t="shared" si="7"/>
        <v>-1.5522720478486001</v>
      </c>
      <c r="EH35" s="913">
        <f t="shared" si="8"/>
        <v>0</v>
      </c>
      <c r="EI35" s="915">
        <f t="shared" si="9"/>
        <v>0</v>
      </c>
      <c r="EJ35" s="1041">
        <f t="shared" si="10"/>
        <v>0</v>
      </c>
    </row>
    <row r="36" spans="1:140">
      <c r="A36" s="890">
        <f>Eingabedaten!A40</f>
        <v>11.1</v>
      </c>
      <c r="B36" s="888" t="str">
        <f>Eingabedaten!C40</f>
        <v>Turnhalle</v>
      </c>
      <c r="C36" s="1777"/>
      <c r="D36" s="884"/>
      <c r="E36" s="884"/>
      <c r="F36" s="908"/>
      <c r="G36" s="909"/>
      <c r="H36" s="909"/>
      <c r="I36" s="1778"/>
      <c r="J36" s="909"/>
      <c r="K36" s="909"/>
      <c r="L36" s="1772"/>
      <c r="M36" s="1038">
        <v>0</v>
      </c>
      <c r="N36" s="909">
        <v>4270</v>
      </c>
      <c r="O36" s="911">
        <v>0</v>
      </c>
      <c r="P36" s="1773"/>
      <c r="Q36" s="910"/>
      <c r="R36" s="911">
        <v>59.8</v>
      </c>
      <c r="S36" s="910">
        <v>0.85488126649076535</v>
      </c>
      <c r="T36" s="910">
        <v>7.3354081506255406</v>
      </c>
      <c r="U36" s="910">
        <v>0</v>
      </c>
      <c r="V36" s="910">
        <v>7.3354081506255406</v>
      </c>
      <c r="W36" s="911">
        <v>1160</v>
      </c>
      <c r="X36" s="911">
        <v>0</v>
      </c>
      <c r="Y36" s="1039">
        <v>8.5090734547256268</v>
      </c>
      <c r="Z36" s="910">
        <v>4.5</v>
      </c>
      <c r="AA36" s="910">
        <v>1.0035000000000001</v>
      </c>
      <c r="AB36" s="911">
        <v>2050</v>
      </c>
      <c r="AC36" s="1039">
        <v>2.057175</v>
      </c>
      <c r="AD36" s="1038">
        <v>10.48764705882353</v>
      </c>
      <c r="AE36" s="911">
        <v>13.33540815062554</v>
      </c>
      <c r="AF36" s="911">
        <v>95.011138365978539</v>
      </c>
      <c r="AG36" s="911" t="s">
        <v>18</v>
      </c>
      <c r="AH36" s="911" t="s">
        <v>18</v>
      </c>
      <c r="AI36" s="911" t="s">
        <v>18</v>
      </c>
      <c r="AJ36" s="911">
        <v>0</v>
      </c>
      <c r="AK36" s="911">
        <v>0</v>
      </c>
      <c r="AL36" s="1039">
        <v>0</v>
      </c>
      <c r="AM36" s="911">
        <v>419.01176470588234</v>
      </c>
      <c r="AN36" s="911">
        <v>144.91239892183287</v>
      </c>
      <c r="AO36" s="911">
        <v>-1</v>
      </c>
      <c r="AP36" s="911">
        <v>18.855529411764703</v>
      </c>
      <c r="AQ36" s="911">
        <v>560</v>
      </c>
      <c r="AR36" s="1039">
        <v>10.475613322808412</v>
      </c>
      <c r="AS36" s="909"/>
      <c r="AT36" s="911"/>
      <c r="AU36" s="1039">
        <v>52.900052054794521</v>
      </c>
      <c r="AX36" s="1777"/>
      <c r="AY36" s="884"/>
      <c r="AZ36" s="884"/>
      <c r="BA36" s="908"/>
      <c r="BB36" s="909"/>
      <c r="BC36" s="909"/>
      <c r="BD36" s="1778"/>
      <c r="BE36" s="909"/>
      <c r="BF36" s="909"/>
      <c r="BG36" s="1772"/>
      <c r="BH36" s="1038">
        <v>0</v>
      </c>
      <c r="BI36" s="909">
        <v>4270</v>
      </c>
      <c r="BJ36" s="911">
        <v>0</v>
      </c>
      <c r="BK36" s="1773"/>
      <c r="BL36" s="910"/>
      <c r="BM36" s="911">
        <v>59.8</v>
      </c>
      <c r="BN36" s="910">
        <v>0.85488126649076535</v>
      </c>
      <c r="BO36" s="910">
        <v>7.3354081506255406</v>
      </c>
      <c r="BP36" s="910">
        <v>0</v>
      </c>
      <c r="BQ36" s="910">
        <v>7.3354081506255406</v>
      </c>
      <c r="BR36" s="911">
        <v>1160</v>
      </c>
      <c r="BS36" s="911">
        <v>0</v>
      </c>
      <c r="BT36" s="1039">
        <v>8.5090734547256268</v>
      </c>
      <c r="BU36" s="910">
        <v>4.5</v>
      </c>
      <c r="BV36" s="910">
        <v>1.0035000000000001</v>
      </c>
      <c r="BW36" s="911">
        <v>2470</v>
      </c>
      <c r="BX36" s="1039">
        <v>2.4786449999999998</v>
      </c>
      <c r="BY36" s="1038">
        <v>10.48764705882353</v>
      </c>
      <c r="BZ36" s="911">
        <v>13.33540815062554</v>
      </c>
      <c r="CA36" s="911">
        <v>95.011138365978539</v>
      </c>
      <c r="CB36" s="911" t="s">
        <v>18</v>
      </c>
      <c r="CC36" s="911" t="s">
        <v>18</v>
      </c>
      <c r="CD36" s="911" t="s">
        <v>18</v>
      </c>
      <c r="CE36" s="911">
        <v>0</v>
      </c>
      <c r="CF36" s="911">
        <v>0</v>
      </c>
      <c r="CG36" s="1039">
        <v>0</v>
      </c>
      <c r="CH36" s="911">
        <v>419.01176470588234</v>
      </c>
      <c r="CI36" s="911">
        <v>144.91239892183287</v>
      </c>
      <c r="CJ36" s="911">
        <v>-1</v>
      </c>
      <c r="CK36" s="911">
        <v>18.855529411764703</v>
      </c>
      <c r="CL36" s="911">
        <v>780</v>
      </c>
      <c r="CM36" s="1039">
        <v>14.67737068312597</v>
      </c>
      <c r="CN36" s="909"/>
      <c r="CO36" s="911"/>
      <c r="CP36" s="1039">
        <v>52.900052054794521</v>
      </c>
      <c r="CR36" s="1777">
        <f t="shared" si="1"/>
        <v>0</v>
      </c>
      <c r="CS36" s="884">
        <f t="shared" si="11"/>
        <v>0</v>
      </c>
      <c r="CT36" s="884">
        <f t="shared" si="12"/>
        <v>0</v>
      </c>
      <c r="CU36" s="908">
        <f t="shared" si="13"/>
        <v>0</v>
      </c>
      <c r="CV36" s="909">
        <f t="shared" si="14"/>
        <v>0</v>
      </c>
      <c r="CW36" s="909">
        <f t="shared" si="15"/>
        <v>0</v>
      </c>
      <c r="CX36" s="1778">
        <f t="shared" si="16"/>
        <v>0</v>
      </c>
      <c r="CY36" s="909">
        <f t="shared" si="17"/>
        <v>0</v>
      </c>
      <c r="CZ36" s="909">
        <f t="shared" si="18"/>
        <v>0</v>
      </c>
      <c r="DA36" s="1772">
        <f t="shared" si="19"/>
        <v>0</v>
      </c>
      <c r="DB36" s="1038">
        <f t="shared" si="20"/>
        <v>0</v>
      </c>
      <c r="DC36" s="909">
        <f t="shared" si="21"/>
        <v>0</v>
      </c>
      <c r="DD36" s="911">
        <f t="shared" si="22"/>
        <v>0</v>
      </c>
      <c r="DE36" s="1773">
        <f t="shared" si="23"/>
        <v>0</v>
      </c>
      <c r="DF36" s="910">
        <f t="shared" si="24"/>
        <v>0</v>
      </c>
      <c r="DG36" s="911">
        <f t="shared" si="25"/>
        <v>0</v>
      </c>
      <c r="DH36" s="910">
        <f t="shared" si="26"/>
        <v>0</v>
      </c>
      <c r="DI36" s="910">
        <f t="shared" si="27"/>
        <v>0</v>
      </c>
      <c r="DJ36" s="910">
        <f t="shared" si="28"/>
        <v>0</v>
      </c>
      <c r="DK36" s="910">
        <f t="shared" si="29"/>
        <v>0</v>
      </c>
      <c r="DL36" s="911">
        <f t="shared" si="30"/>
        <v>0</v>
      </c>
      <c r="DM36" s="911">
        <f t="shared" si="31"/>
        <v>0</v>
      </c>
      <c r="DN36" s="1039">
        <f t="shared" si="32"/>
        <v>0</v>
      </c>
      <c r="DO36" s="910">
        <f t="shared" si="33"/>
        <v>0</v>
      </c>
      <c r="DP36" s="910">
        <f t="shared" si="34"/>
        <v>0</v>
      </c>
      <c r="DQ36" s="911">
        <f t="shared" si="35"/>
        <v>-420</v>
      </c>
      <c r="DR36" s="1039">
        <f t="shared" si="36"/>
        <v>-0.42146999999999979</v>
      </c>
      <c r="DS36" s="1038">
        <f t="shared" si="37"/>
        <v>0</v>
      </c>
      <c r="DT36" s="911">
        <f t="shared" si="38"/>
        <v>0</v>
      </c>
      <c r="DU36" s="911">
        <f t="shared" si="39"/>
        <v>0</v>
      </c>
      <c r="DV36" s="911" t="e">
        <f t="shared" si="40"/>
        <v>#VALUE!</v>
      </c>
      <c r="DW36" s="911" t="e">
        <f t="shared" si="41"/>
        <v>#VALUE!</v>
      </c>
      <c r="DX36" s="911" t="e">
        <f t="shared" si="42"/>
        <v>#VALUE!</v>
      </c>
      <c r="DY36" s="911">
        <f t="shared" si="43"/>
        <v>0</v>
      </c>
      <c r="DZ36" s="911">
        <f t="shared" si="44"/>
        <v>0</v>
      </c>
      <c r="EA36" s="1039">
        <f t="shared" si="45"/>
        <v>0</v>
      </c>
      <c r="EB36" s="911">
        <f t="shared" si="2"/>
        <v>0</v>
      </c>
      <c r="EC36" s="911">
        <f t="shared" si="3"/>
        <v>0</v>
      </c>
      <c r="ED36" s="911">
        <f t="shared" si="4"/>
        <v>0</v>
      </c>
      <c r="EE36" s="911">
        <f t="shared" si="5"/>
        <v>0</v>
      </c>
      <c r="EF36" s="911">
        <f t="shared" si="6"/>
        <v>-220</v>
      </c>
      <c r="EG36" s="1039">
        <f t="shared" si="7"/>
        <v>-4.2017573603175578</v>
      </c>
      <c r="EH36" s="909">
        <f t="shared" si="8"/>
        <v>0</v>
      </c>
      <c r="EI36" s="911">
        <f t="shared" si="9"/>
        <v>0</v>
      </c>
      <c r="EJ36" s="1039">
        <f t="shared" si="10"/>
        <v>0</v>
      </c>
    </row>
    <row r="37" spans="1:140">
      <c r="A37" s="889">
        <f>Eingabedaten!A41</f>
        <v>11.2</v>
      </c>
      <c r="B37" s="1013" t="str">
        <f>Eingabedaten!C41</f>
        <v>Fitnessraum</v>
      </c>
      <c r="C37" s="1719"/>
      <c r="D37" s="873"/>
      <c r="E37" s="873"/>
      <c r="F37" s="912"/>
      <c r="G37" s="913"/>
      <c r="H37" s="913"/>
      <c r="I37" s="913"/>
      <c r="J37" s="913"/>
      <c r="K37" s="913"/>
      <c r="L37" s="1767"/>
      <c r="M37" s="1040">
        <v>1</v>
      </c>
      <c r="N37" s="913">
        <v>5710</v>
      </c>
      <c r="O37" s="915">
        <v>5.71</v>
      </c>
      <c r="P37" s="1768"/>
      <c r="Q37" s="914"/>
      <c r="R37" s="915">
        <v>59.8</v>
      </c>
      <c r="S37" s="914">
        <v>0.9050279329608939</v>
      </c>
      <c r="T37" s="914">
        <v>6.9289607333085597</v>
      </c>
      <c r="U37" s="914">
        <v>0</v>
      </c>
      <c r="V37" s="914">
        <v>6.9289607333085597</v>
      </c>
      <c r="W37" s="915">
        <v>2060</v>
      </c>
      <c r="X37" s="915">
        <v>0</v>
      </c>
      <c r="Y37" s="1041">
        <v>14.273659110615633</v>
      </c>
      <c r="Z37" s="914">
        <v>9</v>
      </c>
      <c r="AA37" s="914">
        <v>3.06</v>
      </c>
      <c r="AB37" s="915">
        <v>2800</v>
      </c>
      <c r="AC37" s="1041">
        <v>8.5679999999999996</v>
      </c>
      <c r="AD37" s="1040">
        <v>12.852823529411765</v>
      </c>
      <c r="AE37" s="915">
        <v>19.928960733308561</v>
      </c>
      <c r="AF37" s="915">
        <v>205.26255002109636</v>
      </c>
      <c r="AG37" s="915" t="s">
        <v>1259</v>
      </c>
      <c r="AH37" s="915" t="s">
        <v>1259</v>
      </c>
      <c r="AI37" s="915" t="s">
        <v>1259</v>
      </c>
      <c r="AJ37" s="915">
        <v>15</v>
      </c>
      <c r="AK37" s="915">
        <v>870</v>
      </c>
      <c r="AL37" s="1041">
        <v>12.987430555555555</v>
      </c>
      <c r="AM37" s="915">
        <v>128.67952941176469</v>
      </c>
      <c r="AN37" s="915">
        <v>110.45113441874756</v>
      </c>
      <c r="AO37" s="915">
        <v>-1</v>
      </c>
      <c r="AP37" s="915">
        <v>24.127411764705879</v>
      </c>
      <c r="AQ37" s="915">
        <v>290</v>
      </c>
      <c r="AR37" s="1041">
        <v>7.1035188810335015</v>
      </c>
      <c r="AS37" s="913"/>
      <c r="AT37" s="915"/>
      <c r="AU37" s="1041">
        <v>87.139200000000017</v>
      </c>
      <c r="AX37" s="1719"/>
      <c r="AY37" s="873"/>
      <c r="AZ37" s="873"/>
      <c r="BA37" s="912"/>
      <c r="BB37" s="913"/>
      <c r="BC37" s="913"/>
      <c r="BD37" s="913"/>
      <c r="BE37" s="913"/>
      <c r="BF37" s="913"/>
      <c r="BG37" s="1767"/>
      <c r="BH37" s="1040">
        <v>1</v>
      </c>
      <c r="BI37" s="913">
        <v>5710</v>
      </c>
      <c r="BJ37" s="915">
        <v>5.71</v>
      </c>
      <c r="BK37" s="1768"/>
      <c r="BL37" s="914"/>
      <c r="BM37" s="915">
        <v>59.8</v>
      </c>
      <c r="BN37" s="914">
        <v>0.9050279329608939</v>
      </c>
      <c r="BO37" s="914">
        <v>6.9289607333085597</v>
      </c>
      <c r="BP37" s="914">
        <v>0</v>
      </c>
      <c r="BQ37" s="914">
        <v>6.9289607333085597</v>
      </c>
      <c r="BR37" s="915">
        <v>2060</v>
      </c>
      <c r="BS37" s="915">
        <v>0</v>
      </c>
      <c r="BT37" s="1041">
        <v>14.273659110615633</v>
      </c>
      <c r="BU37" s="914">
        <v>9</v>
      </c>
      <c r="BV37" s="914">
        <v>3.06</v>
      </c>
      <c r="BW37" s="915">
        <v>2800</v>
      </c>
      <c r="BX37" s="1041">
        <v>8.5679999999999996</v>
      </c>
      <c r="BY37" s="1040">
        <v>12.852823529411765</v>
      </c>
      <c r="BZ37" s="915">
        <v>19.928960733308561</v>
      </c>
      <c r="CA37" s="915">
        <v>205.26255002109636</v>
      </c>
      <c r="CB37" s="915" t="s">
        <v>785</v>
      </c>
      <c r="CC37" s="915" t="s">
        <v>785</v>
      </c>
      <c r="CD37" s="915" t="s">
        <v>785</v>
      </c>
      <c r="CE37" s="915">
        <v>15</v>
      </c>
      <c r="CF37" s="915">
        <v>870</v>
      </c>
      <c r="CG37" s="1041">
        <v>12.987430555555555</v>
      </c>
      <c r="CH37" s="915">
        <v>128.67952941176469</v>
      </c>
      <c r="CI37" s="915">
        <v>110.45113441874756</v>
      </c>
      <c r="CJ37" s="915">
        <v>-1</v>
      </c>
      <c r="CK37" s="915">
        <v>24.127411764705879</v>
      </c>
      <c r="CL37" s="915">
        <v>530</v>
      </c>
      <c r="CM37" s="1041">
        <v>12.813368437857708</v>
      </c>
      <c r="CN37" s="913"/>
      <c r="CO37" s="915"/>
      <c r="CP37" s="1041">
        <v>87.139200000000017</v>
      </c>
      <c r="CR37" s="1719">
        <f t="shared" si="1"/>
        <v>0</v>
      </c>
      <c r="CS37" s="873">
        <f t="shared" si="11"/>
        <v>0</v>
      </c>
      <c r="CT37" s="873">
        <f t="shared" si="12"/>
        <v>0</v>
      </c>
      <c r="CU37" s="912">
        <f t="shared" si="13"/>
        <v>0</v>
      </c>
      <c r="CV37" s="913">
        <f t="shared" si="14"/>
        <v>0</v>
      </c>
      <c r="CW37" s="913">
        <f t="shared" si="15"/>
        <v>0</v>
      </c>
      <c r="CX37" s="913">
        <f t="shared" si="16"/>
        <v>0</v>
      </c>
      <c r="CY37" s="913">
        <f t="shared" si="17"/>
        <v>0</v>
      </c>
      <c r="CZ37" s="913">
        <f t="shared" si="18"/>
        <v>0</v>
      </c>
      <c r="DA37" s="1767">
        <f t="shared" si="19"/>
        <v>0</v>
      </c>
      <c r="DB37" s="1040">
        <f t="shared" si="20"/>
        <v>0</v>
      </c>
      <c r="DC37" s="913">
        <f t="shared" si="21"/>
        <v>0</v>
      </c>
      <c r="DD37" s="915">
        <f t="shared" si="22"/>
        <v>0</v>
      </c>
      <c r="DE37" s="1768">
        <f t="shared" si="23"/>
        <v>0</v>
      </c>
      <c r="DF37" s="914">
        <f t="shared" si="24"/>
        <v>0</v>
      </c>
      <c r="DG37" s="915">
        <f t="shared" si="25"/>
        <v>0</v>
      </c>
      <c r="DH37" s="914">
        <f t="shared" si="26"/>
        <v>0</v>
      </c>
      <c r="DI37" s="914">
        <f t="shared" si="27"/>
        <v>0</v>
      </c>
      <c r="DJ37" s="914">
        <f t="shared" si="28"/>
        <v>0</v>
      </c>
      <c r="DK37" s="914">
        <f t="shared" si="29"/>
        <v>0</v>
      </c>
      <c r="DL37" s="915">
        <f t="shared" si="30"/>
        <v>0</v>
      </c>
      <c r="DM37" s="915">
        <f t="shared" si="31"/>
        <v>0</v>
      </c>
      <c r="DN37" s="1041">
        <f t="shared" si="32"/>
        <v>0</v>
      </c>
      <c r="DO37" s="914">
        <f t="shared" si="33"/>
        <v>0</v>
      </c>
      <c r="DP37" s="914">
        <f t="shared" si="34"/>
        <v>0</v>
      </c>
      <c r="DQ37" s="915">
        <f t="shared" si="35"/>
        <v>0</v>
      </c>
      <c r="DR37" s="1041">
        <f t="shared" si="36"/>
        <v>0</v>
      </c>
      <c r="DS37" s="1040">
        <f t="shared" si="37"/>
        <v>0</v>
      </c>
      <c r="DT37" s="915">
        <f t="shared" si="38"/>
        <v>0</v>
      </c>
      <c r="DU37" s="915">
        <f t="shared" si="39"/>
        <v>0</v>
      </c>
      <c r="DV37" s="915" t="e">
        <f t="shared" si="40"/>
        <v>#VALUE!</v>
      </c>
      <c r="DW37" s="915" t="e">
        <f t="shared" si="41"/>
        <v>#VALUE!</v>
      </c>
      <c r="DX37" s="915" t="e">
        <f t="shared" si="42"/>
        <v>#VALUE!</v>
      </c>
      <c r="DY37" s="915">
        <f t="shared" si="43"/>
        <v>0</v>
      </c>
      <c r="DZ37" s="915">
        <f t="shared" si="44"/>
        <v>0</v>
      </c>
      <c r="EA37" s="1041">
        <f t="shared" si="45"/>
        <v>0</v>
      </c>
      <c r="EB37" s="915">
        <f t="shared" si="2"/>
        <v>0</v>
      </c>
      <c r="EC37" s="915">
        <f t="shared" si="3"/>
        <v>0</v>
      </c>
      <c r="ED37" s="915">
        <f t="shared" si="4"/>
        <v>0</v>
      </c>
      <c r="EE37" s="915">
        <f t="shared" si="5"/>
        <v>0</v>
      </c>
      <c r="EF37" s="915">
        <f t="shared" si="6"/>
        <v>-240</v>
      </c>
      <c r="EG37" s="1041">
        <f t="shared" si="7"/>
        <v>-5.7098495568242065</v>
      </c>
      <c r="EH37" s="913">
        <f t="shared" si="8"/>
        <v>0</v>
      </c>
      <c r="EI37" s="915">
        <f t="shared" si="9"/>
        <v>0</v>
      </c>
      <c r="EJ37" s="1041">
        <f t="shared" si="10"/>
        <v>0</v>
      </c>
    </row>
    <row r="38" spans="1:140">
      <c r="A38" s="891">
        <f>Eingabedaten!A42</f>
        <v>11.3</v>
      </c>
      <c r="B38" s="1536" t="str">
        <f>Eingabedaten!C42</f>
        <v>Schwimmhalle</v>
      </c>
      <c r="C38" s="1780"/>
      <c r="D38" s="886"/>
      <c r="E38" s="886"/>
      <c r="F38" s="1758"/>
      <c r="G38" s="1759"/>
      <c r="H38" s="1759"/>
      <c r="I38" s="1759"/>
      <c r="J38" s="1759"/>
      <c r="K38" s="1759"/>
      <c r="L38" s="1760"/>
      <c r="M38" s="1774">
        <v>1</v>
      </c>
      <c r="N38" s="1759">
        <v>5710</v>
      </c>
      <c r="O38" s="1762">
        <v>5.71</v>
      </c>
      <c r="P38" s="1775"/>
      <c r="Q38" s="1761"/>
      <c r="R38" s="1762">
        <v>59.8</v>
      </c>
      <c r="S38" s="1761">
        <v>0.79646017699115046</v>
      </c>
      <c r="T38" s="1761">
        <v>7.8734671125975471</v>
      </c>
      <c r="U38" s="1761">
        <v>0</v>
      </c>
      <c r="V38" s="1761">
        <v>7.8734671125975471</v>
      </c>
      <c r="W38" s="1762">
        <v>1590</v>
      </c>
      <c r="X38" s="1762">
        <v>0</v>
      </c>
      <c r="Y38" s="1776">
        <v>12.518812709030101</v>
      </c>
      <c r="Z38" s="1761">
        <v>3.6</v>
      </c>
      <c r="AA38" s="1761">
        <v>1.2240000000000002</v>
      </c>
      <c r="AB38" s="1762">
        <v>2800</v>
      </c>
      <c r="AC38" s="1776">
        <v>3.4272000000000009</v>
      </c>
      <c r="AD38" s="1774">
        <v>11.799349019607845</v>
      </c>
      <c r="AE38" s="1762">
        <v>15.873467112597547</v>
      </c>
      <c r="AF38" s="1762">
        <v>130.87506883187353</v>
      </c>
      <c r="AG38" s="1762" t="s">
        <v>18</v>
      </c>
      <c r="AH38" s="1762" t="s">
        <v>18</v>
      </c>
      <c r="AI38" s="1762" t="s">
        <v>18</v>
      </c>
      <c r="AJ38" s="1762">
        <v>0</v>
      </c>
      <c r="AK38" s="1762">
        <v>0</v>
      </c>
      <c r="AL38" s="1776">
        <v>1.536675</v>
      </c>
      <c r="AM38" s="1762">
        <v>262.34039215686278</v>
      </c>
      <c r="AN38" s="1762">
        <v>161.31713325600026</v>
      </c>
      <c r="AO38" s="1762">
        <v>-1</v>
      </c>
      <c r="AP38" s="1762">
        <v>21.643082352941178</v>
      </c>
      <c r="AQ38" s="1762">
        <v>940</v>
      </c>
      <c r="AR38" s="1776">
        <v>20.28147022618861</v>
      </c>
      <c r="AS38" s="1759"/>
      <c r="AT38" s="1762"/>
      <c r="AU38" s="1776">
        <v>174.27840000000003</v>
      </c>
      <c r="AX38" s="1780"/>
      <c r="AY38" s="886"/>
      <c r="AZ38" s="886"/>
      <c r="BA38" s="1758"/>
      <c r="BB38" s="1759"/>
      <c r="BC38" s="1759"/>
      <c r="BD38" s="1759"/>
      <c r="BE38" s="1759"/>
      <c r="BF38" s="1759"/>
      <c r="BG38" s="1760"/>
      <c r="BH38" s="1774">
        <v>1</v>
      </c>
      <c r="BI38" s="1759">
        <v>5710</v>
      </c>
      <c r="BJ38" s="1762">
        <v>5.71</v>
      </c>
      <c r="BK38" s="1775"/>
      <c r="BL38" s="1761"/>
      <c r="BM38" s="1762">
        <v>59.8</v>
      </c>
      <c r="BN38" s="1761">
        <v>0.79646017699115046</v>
      </c>
      <c r="BO38" s="1761">
        <v>7.8734671125975471</v>
      </c>
      <c r="BP38" s="1761">
        <v>0</v>
      </c>
      <c r="BQ38" s="1761">
        <v>7.8734671125975471</v>
      </c>
      <c r="BR38" s="1762">
        <v>1590</v>
      </c>
      <c r="BS38" s="1762">
        <v>0</v>
      </c>
      <c r="BT38" s="1776">
        <v>12.518812709030101</v>
      </c>
      <c r="BU38" s="1761">
        <v>3.6</v>
      </c>
      <c r="BV38" s="1761">
        <v>1.2240000000000002</v>
      </c>
      <c r="BW38" s="1762">
        <v>3370</v>
      </c>
      <c r="BX38" s="1776">
        <v>4.124880000000001</v>
      </c>
      <c r="BY38" s="1774">
        <v>11.799349019607845</v>
      </c>
      <c r="BZ38" s="1762">
        <v>15.873467112597547</v>
      </c>
      <c r="CA38" s="1762">
        <v>130.87506883187353</v>
      </c>
      <c r="CB38" s="1762" t="s">
        <v>18</v>
      </c>
      <c r="CC38" s="1762" t="s">
        <v>18</v>
      </c>
      <c r="CD38" s="1762" t="s">
        <v>18</v>
      </c>
      <c r="CE38" s="1762">
        <v>0</v>
      </c>
      <c r="CF38" s="1762">
        <v>0</v>
      </c>
      <c r="CG38" s="1776">
        <v>1.536675</v>
      </c>
      <c r="CH38" s="1762">
        <v>262.34039215686278</v>
      </c>
      <c r="CI38" s="1762">
        <v>161.31713325600026</v>
      </c>
      <c r="CJ38" s="1762">
        <v>-1</v>
      </c>
      <c r="CK38" s="1762">
        <v>21.643082352941178</v>
      </c>
      <c r="CL38" s="1762">
        <v>1210</v>
      </c>
      <c r="CM38" s="1776">
        <v>26.218504952039691</v>
      </c>
      <c r="CN38" s="1759"/>
      <c r="CO38" s="1762"/>
      <c r="CP38" s="1776">
        <v>174.27840000000003</v>
      </c>
      <c r="CR38" s="1780">
        <f t="shared" si="1"/>
        <v>0</v>
      </c>
      <c r="CS38" s="886">
        <f t="shared" si="11"/>
        <v>0</v>
      </c>
      <c r="CT38" s="886">
        <f t="shared" si="12"/>
        <v>0</v>
      </c>
      <c r="CU38" s="1758">
        <f t="shared" si="13"/>
        <v>0</v>
      </c>
      <c r="CV38" s="1759">
        <f t="shared" si="14"/>
        <v>0</v>
      </c>
      <c r="CW38" s="1759">
        <f t="shared" si="15"/>
        <v>0</v>
      </c>
      <c r="CX38" s="1759">
        <f t="shared" si="16"/>
        <v>0</v>
      </c>
      <c r="CY38" s="1759">
        <f t="shared" si="17"/>
        <v>0</v>
      </c>
      <c r="CZ38" s="1759">
        <f t="shared" si="18"/>
        <v>0</v>
      </c>
      <c r="DA38" s="1760">
        <f t="shared" si="19"/>
        <v>0</v>
      </c>
      <c r="DB38" s="1774">
        <f t="shared" si="20"/>
        <v>0</v>
      </c>
      <c r="DC38" s="1759">
        <f t="shared" si="21"/>
        <v>0</v>
      </c>
      <c r="DD38" s="1762">
        <f t="shared" si="22"/>
        <v>0</v>
      </c>
      <c r="DE38" s="1775">
        <f t="shared" si="23"/>
        <v>0</v>
      </c>
      <c r="DF38" s="1761">
        <f t="shared" si="24"/>
        <v>0</v>
      </c>
      <c r="DG38" s="1762">
        <f t="shared" si="25"/>
        <v>0</v>
      </c>
      <c r="DH38" s="1761">
        <f t="shared" si="26"/>
        <v>0</v>
      </c>
      <c r="DI38" s="1761">
        <f t="shared" si="27"/>
        <v>0</v>
      </c>
      <c r="DJ38" s="1761">
        <f t="shared" si="28"/>
        <v>0</v>
      </c>
      <c r="DK38" s="1761">
        <f t="shared" si="29"/>
        <v>0</v>
      </c>
      <c r="DL38" s="1762">
        <f t="shared" si="30"/>
        <v>0</v>
      </c>
      <c r="DM38" s="1762">
        <f t="shared" si="31"/>
        <v>0</v>
      </c>
      <c r="DN38" s="1776">
        <f t="shared" si="32"/>
        <v>0</v>
      </c>
      <c r="DO38" s="1761">
        <f t="shared" si="33"/>
        <v>0</v>
      </c>
      <c r="DP38" s="1761">
        <f t="shared" si="34"/>
        <v>0</v>
      </c>
      <c r="DQ38" s="1762">
        <f t="shared" si="35"/>
        <v>-570</v>
      </c>
      <c r="DR38" s="1776">
        <f t="shared" si="36"/>
        <v>-0.69768000000000008</v>
      </c>
      <c r="DS38" s="1774">
        <f t="shared" si="37"/>
        <v>0</v>
      </c>
      <c r="DT38" s="1762">
        <f t="shared" si="38"/>
        <v>0</v>
      </c>
      <c r="DU38" s="1762">
        <f t="shared" si="39"/>
        <v>0</v>
      </c>
      <c r="DV38" s="1762" t="e">
        <f t="shared" si="40"/>
        <v>#VALUE!</v>
      </c>
      <c r="DW38" s="1762" t="e">
        <f t="shared" si="41"/>
        <v>#VALUE!</v>
      </c>
      <c r="DX38" s="1762" t="e">
        <f t="shared" si="42"/>
        <v>#VALUE!</v>
      </c>
      <c r="DY38" s="1762">
        <f t="shared" si="43"/>
        <v>0</v>
      </c>
      <c r="DZ38" s="1762">
        <f t="shared" si="44"/>
        <v>0</v>
      </c>
      <c r="EA38" s="1776">
        <f t="shared" si="45"/>
        <v>0</v>
      </c>
      <c r="EB38" s="1762">
        <f t="shared" si="2"/>
        <v>0</v>
      </c>
      <c r="EC38" s="1762">
        <f t="shared" si="3"/>
        <v>0</v>
      </c>
      <c r="ED38" s="1762">
        <f t="shared" si="4"/>
        <v>0</v>
      </c>
      <c r="EE38" s="1762">
        <f t="shared" si="5"/>
        <v>0</v>
      </c>
      <c r="EF38" s="1762">
        <f t="shared" si="6"/>
        <v>-270</v>
      </c>
      <c r="EG38" s="1776">
        <f t="shared" si="7"/>
        <v>-5.9370347258510812</v>
      </c>
      <c r="EH38" s="1759">
        <f t="shared" si="8"/>
        <v>0</v>
      </c>
      <c r="EI38" s="1762">
        <f t="shared" si="9"/>
        <v>0</v>
      </c>
      <c r="EJ38" s="1776">
        <f t="shared" si="10"/>
        <v>0</v>
      </c>
    </row>
    <row r="39" spans="1:140">
      <c r="A39" s="890">
        <f>Eingabedaten!A43</f>
        <v>12.1</v>
      </c>
      <c r="B39" s="888" t="str">
        <f>Eingabedaten!C43</f>
        <v>Verkehrsfläche</v>
      </c>
      <c r="C39" s="1777"/>
      <c r="D39" s="884"/>
      <c r="E39" s="884"/>
      <c r="F39" s="908"/>
      <c r="G39" s="909"/>
      <c r="H39" s="909"/>
      <c r="I39" s="909"/>
      <c r="J39" s="909"/>
      <c r="K39" s="909"/>
      <c r="L39" s="1772"/>
      <c r="M39" s="1038">
        <v>0</v>
      </c>
      <c r="N39" s="909">
        <v>0</v>
      </c>
      <c r="O39" s="911">
        <v>0</v>
      </c>
      <c r="P39" s="1773"/>
      <c r="Q39" s="910"/>
      <c r="R39" s="911">
        <v>49.8</v>
      </c>
      <c r="S39" s="910">
        <v>0.54655870445344124</v>
      </c>
      <c r="T39" s="910">
        <v>4.5924438494719624</v>
      </c>
      <c r="U39" s="910">
        <v>0</v>
      </c>
      <c r="V39" s="910">
        <v>4.5924438494719624</v>
      </c>
      <c r="W39" s="911">
        <v>1000</v>
      </c>
      <c r="X39" s="911">
        <v>0</v>
      </c>
      <c r="Y39" s="1039">
        <v>4.5924438494719624</v>
      </c>
      <c r="Z39" s="910">
        <v>2</v>
      </c>
      <c r="AA39" s="910">
        <v>0.68</v>
      </c>
      <c r="AB39" s="911">
        <v>790</v>
      </c>
      <c r="AC39" s="1039">
        <v>0.53720000000000001</v>
      </c>
      <c r="AD39" s="1038">
        <v>4.4947058823529416</v>
      </c>
      <c r="AE39" s="911">
        <v>4.5924438494719624</v>
      </c>
      <c r="AF39" s="911">
        <v>11.792333822304753</v>
      </c>
      <c r="AG39" s="911" t="s">
        <v>18</v>
      </c>
      <c r="AH39" s="911" t="s">
        <v>18</v>
      </c>
      <c r="AI39" s="911" t="s">
        <v>18</v>
      </c>
      <c r="AJ39" s="911">
        <v>0</v>
      </c>
      <c r="AK39" s="911">
        <v>0</v>
      </c>
      <c r="AL39" s="1039">
        <v>0</v>
      </c>
      <c r="AM39" s="911">
        <v>6.2376470588235291</v>
      </c>
      <c r="AN39" s="911">
        <v>403.35722368917391</v>
      </c>
      <c r="AO39" s="911">
        <v>0</v>
      </c>
      <c r="AP39" s="911">
        <v>8.1089411764705872</v>
      </c>
      <c r="AQ39" s="911">
        <v>540</v>
      </c>
      <c r="AR39" s="1039">
        <v>4.3520018965374447</v>
      </c>
      <c r="AS39" s="909"/>
      <c r="AT39" s="911"/>
      <c r="AU39" s="1039">
        <v>0</v>
      </c>
      <c r="AX39" s="1777"/>
      <c r="AY39" s="884"/>
      <c r="AZ39" s="884"/>
      <c r="BA39" s="908"/>
      <c r="BB39" s="909"/>
      <c r="BC39" s="909"/>
      <c r="BD39" s="909"/>
      <c r="BE39" s="909"/>
      <c r="BF39" s="909"/>
      <c r="BG39" s="1772"/>
      <c r="BH39" s="1038">
        <v>0</v>
      </c>
      <c r="BI39" s="909">
        <v>0</v>
      </c>
      <c r="BJ39" s="911">
        <v>0</v>
      </c>
      <c r="BK39" s="1773"/>
      <c r="BL39" s="910"/>
      <c r="BM39" s="911">
        <v>49.8</v>
      </c>
      <c r="BN39" s="910">
        <v>0.54655870445344124</v>
      </c>
      <c r="BO39" s="910">
        <v>4.5924438494719624</v>
      </c>
      <c r="BP39" s="910">
        <v>0</v>
      </c>
      <c r="BQ39" s="910">
        <v>4.5924438494719624</v>
      </c>
      <c r="BR39" s="911">
        <v>1000</v>
      </c>
      <c r="BS39" s="911">
        <v>0</v>
      </c>
      <c r="BT39" s="1039">
        <v>4.5924438494719624</v>
      </c>
      <c r="BU39" s="910">
        <v>2</v>
      </c>
      <c r="BV39" s="910">
        <v>0.68</v>
      </c>
      <c r="BW39" s="911">
        <v>1100</v>
      </c>
      <c r="BX39" s="1039">
        <v>0.748</v>
      </c>
      <c r="BY39" s="1038">
        <v>4.4947058823529416</v>
      </c>
      <c r="BZ39" s="911">
        <v>4.5924438494719624</v>
      </c>
      <c r="CA39" s="911">
        <v>11.792333822304753</v>
      </c>
      <c r="CB39" s="911" t="s">
        <v>18</v>
      </c>
      <c r="CC39" s="911" t="s">
        <v>18</v>
      </c>
      <c r="CD39" s="911" t="s">
        <v>18</v>
      </c>
      <c r="CE39" s="911">
        <v>0</v>
      </c>
      <c r="CF39" s="911">
        <v>0</v>
      </c>
      <c r="CG39" s="1039">
        <v>0</v>
      </c>
      <c r="CH39" s="911">
        <v>6.2376470588235291</v>
      </c>
      <c r="CI39" s="911">
        <v>403.35722368917391</v>
      </c>
      <c r="CJ39" s="911">
        <v>0</v>
      </c>
      <c r="CK39" s="911">
        <v>8.1089411764705872</v>
      </c>
      <c r="CL39" s="911">
        <v>670</v>
      </c>
      <c r="CM39" s="1039">
        <v>5.40152100094953</v>
      </c>
      <c r="CN39" s="909"/>
      <c r="CO39" s="911"/>
      <c r="CP39" s="1039">
        <v>0</v>
      </c>
      <c r="CR39" s="1777">
        <f t="shared" si="1"/>
        <v>0</v>
      </c>
      <c r="CS39" s="884">
        <f t="shared" si="11"/>
        <v>0</v>
      </c>
      <c r="CT39" s="884">
        <f t="shared" si="12"/>
        <v>0</v>
      </c>
      <c r="CU39" s="908">
        <f t="shared" si="13"/>
        <v>0</v>
      </c>
      <c r="CV39" s="909">
        <f t="shared" si="14"/>
        <v>0</v>
      </c>
      <c r="CW39" s="909">
        <f t="shared" si="15"/>
        <v>0</v>
      </c>
      <c r="CX39" s="909">
        <f t="shared" si="16"/>
        <v>0</v>
      </c>
      <c r="CY39" s="909">
        <f t="shared" si="17"/>
        <v>0</v>
      </c>
      <c r="CZ39" s="909">
        <f t="shared" si="18"/>
        <v>0</v>
      </c>
      <c r="DA39" s="1772">
        <f t="shared" si="19"/>
        <v>0</v>
      </c>
      <c r="DB39" s="1038">
        <f t="shared" si="20"/>
        <v>0</v>
      </c>
      <c r="DC39" s="909">
        <f t="shared" si="21"/>
        <v>0</v>
      </c>
      <c r="DD39" s="911">
        <f t="shared" si="22"/>
        <v>0</v>
      </c>
      <c r="DE39" s="1773">
        <f t="shared" si="23"/>
        <v>0</v>
      </c>
      <c r="DF39" s="910">
        <f t="shared" si="24"/>
        <v>0</v>
      </c>
      <c r="DG39" s="911">
        <f t="shared" si="25"/>
        <v>0</v>
      </c>
      <c r="DH39" s="910">
        <f t="shared" si="26"/>
        <v>0</v>
      </c>
      <c r="DI39" s="910">
        <f t="shared" si="27"/>
        <v>0</v>
      </c>
      <c r="DJ39" s="910">
        <f t="shared" si="28"/>
        <v>0</v>
      </c>
      <c r="DK39" s="910">
        <f t="shared" si="29"/>
        <v>0</v>
      </c>
      <c r="DL39" s="911">
        <f t="shared" si="30"/>
        <v>0</v>
      </c>
      <c r="DM39" s="911">
        <f t="shared" si="31"/>
        <v>0</v>
      </c>
      <c r="DN39" s="1039">
        <f t="shared" si="32"/>
        <v>0</v>
      </c>
      <c r="DO39" s="910">
        <f t="shared" si="33"/>
        <v>0</v>
      </c>
      <c r="DP39" s="910">
        <f t="shared" si="34"/>
        <v>0</v>
      </c>
      <c r="DQ39" s="911">
        <f t="shared" si="35"/>
        <v>-310</v>
      </c>
      <c r="DR39" s="1039">
        <f t="shared" si="36"/>
        <v>-0.21079999999999999</v>
      </c>
      <c r="DS39" s="1038">
        <f t="shared" si="37"/>
        <v>0</v>
      </c>
      <c r="DT39" s="911">
        <f t="shared" si="38"/>
        <v>0</v>
      </c>
      <c r="DU39" s="911">
        <f t="shared" si="39"/>
        <v>0</v>
      </c>
      <c r="DV39" s="911" t="e">
        <f t="shared" si="40"/>
        <v>#VALUE!</v>
      </c>
      <c r="DW39" s="911" t="e">
        <f t="shared" si="41"/>
        <v>#VALUE!</v>
      </c>
      <c r="DX39" s="911" t="e">
        <f t="shared" si="42"/>
        <v>#VALUE!</v>
      </c>
      <c r="DY39" s="911">
        <f t="shared" si="43"/>
        <v>0</v>
      </c>
      <c r="DZ39" s="911">
        <f t="shared" si="44"/>
        <v>0</v>
      </c>
      <c r="EA39" s="1039">
        <f t="shared" si="45"/>
        <v>0</v>
      </c>
      <c r="EB39" s="911">
        <f t="shared" si="2"/>
        <v>0</v>
      </c>
      <c r="EC39" s="911">
        <f t="shared" si="3"/>
        <v>0</v>
      </c>
      <c r="ED39" s="911">
        <f t="shared" si="4"/>
        <v>0</v>
      </c>
      <c r="EE39" s="911">
        <f t="shared" si="5"/>
        <v>0</v>
      </c>
      <c r="EF39" s="911">
        <f t="shared" si="6"/>
        <v>-130</v>
      </c>
      <c r="EG39" s="1039">
        <f t="shared" si="7"/>
        <v>-1.0495191044120853</v>
      </c>
      <c r="EH39" s="909">
        <f t="shared" si="8"/>
        <v>0</v>
      </c>
      <c r="EI39" s="911">
        <f t="shared" si="9"/>
        <v>0</v>
      </c>
      <c r="EJ39" s="1039">
        <f t="shared" si="10"/>
        <v>0</v>
      </c>
    </row>
    <row r="40" spans="1:140">
      <c r="A40" s="889">
        <f>Eingabedaten!A44</f>
        <v>12.2</v>
      </c>
      <c r="B40" s="1013" t="str">
        <f>Eingabedaten!C44</f>
        <v>Verkehrsfläche 24 h</v>
      </c>
      <c r="C40" s="1719"/>
      <c r="D40" s="873"/>
      <c r="E40" s="873"/>
      <c r="F40" s="912"/>
      <c r="G40" s="913"/>
      <c r="H40" s="913"/>
      <c r="I40" s="913"/>
      <c r="J40" s="913"/>
      <c r="K40" s="913"/>
      <c r="L40" s="1767"/>
      <c r="M40" s="1040">
        <v>0</v>
      </c>
      <c r="N40" s="913">
        <v>0</v>
      </c>
      <c r="O40" s="915">
        <v>0</v>
      </c>
      <c r="P40" s="1768"/>
      <c r="Q40" s="914"/>
      <c r="R40" s="915">
        <v>54.800000000000004</v>
      </c>
      <c r="S40" s="914">
        <v>0.54655870445344124</v>
      </c>
      <c r="T40" s="914">
        <v>8.3468505001351723</v>
      </c>
      <c r="U40" s="914">
        <v>0</v>
      </c>
      <c r="V40" s="914">
        <v>8.3468505001351723</v>
      </c>
      <c r="W40" s="915">
        <v>4890</v>
      </c>
      <c r="X40" s="915">
        <v>0</v>
      </c>
      <c r="Y40" s="1041">
        <v>40.81609894566099</v>
      </c>
      <c r="Z40" s="914">
        <v>2</v>
      </c>
      <c r="AA40" s="914">
        <v>0.68</v>
      </c>
      <c r="AB40" s="915">
        <v>1260</v>
      </c>
      <c r="AC40" s="1041">
        <v>0.85680000000000012</v>
      </c>
      <c r="AD40" s="1040">
        <v>6.3659999999999997</v>
      </c>
      <c r="AE40" s="915">
        <v>8.3468505001351723</v>
      </c>
      <c r="AF40" s="915">
        <v>129.85832117543845</v>
      </c>
      <c r="AG40" s="915" t="s">
        <v>1261</v>
      </c>
      <c r="AH40" s="915" t="s">
        <v>1260</v>
      </c>
      <c r="AI40" s="915" t="s">
        <v>1259</v>
      </c>
      <c r="AJ40" s="915">
        <v>7</v>
      </c>
      <c r="AK40" s="915">
        <v>3040</v>
      </c>
      <c r="AL40" s="1041">
        <v>21.311499999999999</v>
      </c>
      <c r="AM40" s="915">
        <v>6.2376470588235291</v>
      </c>
      <c r="AN40" s="915">
        <v>403.35722368917391</v>
      </c>
      <c r="AO40" s="915">
        <v>0</v>
      </c>
      <c r="AP40" s="915">
        <v>8.1089411764705872</v>
      </c>
      <c r="AQ40" s="915">
        <v>0</v>
      </c>
      <c r="AR40" s="1041">
        <v>1.6854901667997933E-2</v>
      </c>
      <c r="AS40" s="913"/>
      <c r="AT40" s="915"/>
      <c r="AU40" s="1041">
        <v>0</v>
      </c>
      <c r="AX40" s="1719"/>
      <c r="AY40" s="873"/>
      <c r="AZ40" s="873"/>
      <c r="BA40" s="912"/>
      <c r="BB40" s="913"/>
      <c r="BC40" s="913"/>
      <c r="BD40" s="913"/>
      <c r="BE40" s="913"/>
      <c r="BF40" s="913"/>
      <c r="BG40" s="1767"/>
      <c r="BH40" s="1040">
        <v>0</v>
      </c>
      <c r="BI40" s="913">
        <v>0</v>
      </c>
      <c r="BJ40" s="915">
        <v>0</v>
      </c>
      <c r="BK40" s="1768"/>
      <c r="BL40" s="914"/>
      <c r="BM40" s="915">
        <v>54.800000000000004</v>
      </c>
      <c r="BN40" s="914">
        <v>0.54655870445344124</v>
      </c>
      <c r="BO40" s="914">
        <v>8.3468505001351723</v>
      </c>
      <c r="BP40" s="914">
        <v>0</v>
      </c>
      <c r="BQ40" s="914">
        <v>8.3468505001351723</v>
      </c>
      <c r="BR40" s="915">
        <v>4890</v>
      </c>
      <c r="BS40" s="915">
        <v>0</v>
      </c>
      <c r="BT40" s="1041">
        <v>40.81609894566099</v>
      </c>
      <c r="BU40" s="914">
        <v>2</v>
      </c>
      <c r="BV40" s="914">
        <v>0.68</v>
      </c>
      <c r="BW40" s="915">
        <v>1770</v>
      </c>
      <c r="BX40" s="1041">
        <v>1.2036000000000002</v>
      </c>
      <c r="BY40" s="1040">
        <v>6.3659999999999997</v>
      </c>
      <c r="BZ40" s="915">
        <v>8.3468505001351723</v>
      </c>
      <c r="CA40" s="915">
        <v>129.85832117543845</v>
      </c>
      <c r="CB40" s="915" t="s">
        <v>860</v>
      </c>
      <c r="CC40" s="915" t="s">
        <v>784</v>
      </c>
      <c r="CD40" s="915" t="s">
        <v>785</v>
      </c>
      <c r="CE40" s="915">
        <v>7</v>
      </c>
      <c r="CF40" s="915">
        <v>3040</v>
      </c>
      <c r="CG40" s="1041">
        <v>21.311499999999999</v>
      </c>
      <c r="CH40" s="915">
        <v>6.2376470588235291</v>
      </c>
      <c r="CI40" s="915">
        <v>403.35722368917391</v>
      </c>
      <c r="CJ40" s="915">
        <v>0</v>
      </c>
      <c r="CK40" s="915">
        <v>8.1089411764705872</v>
      </c>
      <c r="CL40" s="915">
        <v>110</v>
      </c>
      <c r="CM40" s="1041">
        <v>0.91128998980762166</v>
      </c>
      <c r="CN40" s="913"/>
      <c r="CO40" s="915"/>
      <c r="CP40" s="1041">
        <v>0</v>
      </c>
      <c r="CR40" s="1719">
        <f t="shared" si="1"/>
        <v>0</v>
      </c>
      <c r="CS40" s="873">
        <f t="shared" si="11"/>
        <v>0</v>
      </c>
      <c r="CT40" s="873">
        <f t="shared" si="12"/>
        <v>0</v>
      </c>
      <c r="CU40" s="912">
        <f t="shared" si="13"/>
        <v>0</v>
      </c>
      <c r="CV40" s="913">
        <f t="shared" si="14"/>
        <v>0</v>
      </c>
      <c r="CW40" s="913">
        <f t="shared" si="15"/>
        <v>0</v>
      </c>
      <c r="CX40" s="913">
        <f t="shared" si="16"/>
        <v>0</v>
      </c>
      <c r="CY40" s="913">
        <f t="shared" si="17"/>
        <v>0</v>
      </c>
      <c r="CZ40" s="913">
        <f t="shared" si="18"/>
        <v>0</v>
      </c>
      <c r="DA40" s="1767">
        <f t="shared" si="19"/>
        <v>0</v>
      </c>
      <c r="DB40" s="1040">
        <f t="shared" si="20"/>
        <v>0</v>
      </c>
      <c r="DC40" s="913">
        <f t="shared" si="21"/>
        <v>0</v>
      </c>
      <c r="DD40" s="915">
        <f t="shared" si="22"/>
        <v>0</v>
      </c>
      <c r="DE40" s="1768">
        <f t="shared" si="23"/>
        <v>0</v>
      </c>
      <c r="DF40" s="914">
        <f t="shared" si="24"/>
        <v>0</v>
      </c>
      <c r="DG40" s="915">
        <f t="shared" si="25"/>
        <v>0</v>
      </c>
      <c r="DH40" s="914">
        <f t="shared" si="26"/>
        <v>0</v>
      </c>
      <c r="DI40" s="914">
        <f t="shared" si="27"/>
        <v>0</v>
      </c>
      <c r="DJ40" s="914">
        <f t="shared" si="28"/>
        <v>0</v>
      </c>
      <c r="DK40" s="914">
        <f t="shared" si="29"/>
        <v>0</v>
      </c>
      <c r="DL40" s="915">
        <f t="shared" si="30"/>
        <v>0</v>
      </c>
      <c r="DM40" s="915">
        <f t="shared" si="31"/>
        <v>0</v>
      </c>
      <c r="DN40" s="1041">
        <f t="shared" si="32"/>
        <v>0</v>
      </c>
      <c r="DO40" s="914">
        <f t="shared" si="33"/>
        <v>0</v>
      </c>
      <c r="DP40" s="914">
        <f t="shared" si="34"/>
        <v>0</v>
      </c>
      <c r="DQ40" s="915">
        <f t="shared" si="35"/>
        <v>-510</v>
      </c>
      <c r="DR40" s="1041">
        <f t="shared" si="36"/>
        <v>-0.34680000000000011</v>
      </c>
      <c r="DS40" s="1040">
        <f t="shared" si="37"/>
        <v>0</v>
      </c>
      <c r="DT40" s="915">
        <f t="shared" si="38"/>
        <v>0</v>
      </c>
      <c r="DU40" s="915">
        <f t="shared" si="39"/>
        <v>0</v>
      </c>
      <c r="DV40" s="915" t="e">
        <f t="shared" si="40"/>
        <v>#VALUE!</v>
      </c>
      <c r="DW40" s="915" t="e">
        <f t="shared" si="41"/>
        <v>#VALUE!</v>
      </c>
      <c r="DX40" s="915" t="e">
        <f t="shared" si="42"/>
        <v>#VALUE!</v>
      </c>
      <c r="DY40" s="915">
        <f t="shared" si="43"/>
        <v>0</v>
      </c>
      <c r="DZ40" s="915">
        <f t="shared" si="44"/>
        <v>0</v>
      </c>
      <c r="EA40" s="1041">
        <f t="shared" si="45"/>
        <v>0</v>
      </c>
      <c r="EB40" s="915">
        <f t="shared" si="2"/>
        <v>0</v>
      </c>
      <c r="EC40" s="915">
        <f t="shared" si="3"/>
        <v>0</v>
      </c>
      <c r="ED40" s="915">
        <f t="shared" si="4"/>
        <v>0</v>
      </c>
      <c r="EE40" s="915">
        <f t="shared" si="5"/>
        <v>0</v>
      </c>
      <c r="EF40" s="915">
        <f t="shared" si="6"/>
        <v>-110</v>
      </c>
      <c r="EG40" s="1041">
        <f t="shared" si="7"/>
        <v>-0.89443508813962369</v>
      </c>
      <c r="EH40" s="913">
        <f t="shared" si="8"/>
        <v>0</v>
      </c>
      <c r="EI40" s="915">
        <f t="shared" si="9"/>
        <v>0</v>
      </c>
      <c r="EJ40" s="1041">
        <f t="shared" si="10"/>
        <v>0</v>
      </c>
    </row>
    <row r="41" spans="1:140">
      <c r="A41" s="889">
        <f>Eingabedaten!A45</f>
        <v>12.3</v>
      </c>
      <c r="B41" s="1013" t="str">
        <f>Eingabedaten!C45</f>
        <v>Treppenhaus</v>
      </c>
      <c r="C41" s="1719"/>
      <c r="D41" s="873"/>
      <c r="E41" s="873"/>
      <c r="F41" s="912"/>
      <c r="G41" s="913"/>
      <c r="H41" s="913"/>
      <c r="I41" s="913"/>
      <c r="J41" s="913"/>
      <c r="K41" s="913"/>
      <c r="L41" s="1767"/>
      <c r="M41" s="1040">
        <v>0</v>
      </c>
      <c r="N41" s="913">
        <v>0</v>
      </c>
      <c r="O41" s="915">
        <v>0</v>
      </c>
      <c r="P41" s="1768"/>
      <c r="Q41" s="914"/>
      <c r="R41" s="915">
        <v>49.8</v>
      </c>
      <c r="S41" s="914">
        <v>0.54655870445344124</v>
      </c>
      <c r="T41" s="914">
        <v>4.5924438494719624</v>
      </c>
      <c r="U41" s="914">
        <v>0</v>
      </c>
      <c r="V41" s="914">
        <v>4.5924438494719624</v>
      </c>
      <c r="W41" s="915">
        <v>500</v>
      </c>
      <c r="X41" s="915">
        <v>0</v>
      </c>
      <c r="Y41" s="1041">
        <v>2.2962219247359812</v>
      </c>
      <c r="Z41" s="914">
        <v>2</v>
      </c>
      <c r="AA41" s="914">
        <v>0</v>
      </c>
      <c r="AB41" s="915">
        <v>0</v>
      </c>
      <c r="AC41" s="1041">
        <v>0</v>
      </c>
      <c r="AD41" s="1040">
        <v>4.4947058823529416</v>
      </c>
      <c r="AE41" s="915">
        <v>4.5924438494719624</v>
      </c>
      <c r="AF41" s="915">
        <v>5.8961669111523767</v>
      </c>
      <c r="AG41" s="915" t="s">
        <v>18</v>
      </c>
      <c r="AH41" s="915" t="s">
        <v>18</v>
      </c>
      <c r="AI41" s="915" t="s">
        <v>18</v>
      </c>
      <c r="AJ41" s="915">
        <v>0</v>
      </c>
      <c r="AK41" s="915">
        <v>0</v>
      </c>
      <c r="AL41" s="1041">
        <v>0</v>
      </c>
      <c r="AM41" s="915">
        <v>16.477647058823528</v>
      </c>
      <c r="AN41" s="915">
        <v>152.69170355561903</v>
      </c>
      <c r="AO41" s="915">
        <v>-1</v>
      </c>
      <c r="AP41" s="915">
        <v>22.244823529411764</v>
      </c>
      <c r="AQ41" s="915">
        <v>420</v>
      </c>
      <c r="AR41" s="1041">
        <v>9.2467139050992682</v>
      </c>
      <c r="AS41" s="913"/>
      <c r="AT41" s="915"/>
      <c r="AU41" s="1041">
        <v>0</v>
      </c>
      <c r="AX41" s="1719"/>
      <c r="AY41" s="873"/>
      <c r="AZ41" s="873"/>
      <c r="BA41" s="912"/>
      <c r="BB41" s="913"/>
      <c r="BC41" s="913"/>
      <c r="BD41" s="913"/>
      <c r="BE41" s="913"/>
      <c r="BF41" s="913"/>
      <c r="BG41" s="1767"/>
      <c r="BH41" s="1040">
        <v>0</v>
      </c>
      <c r="BI41" s="913">
        <v>0</v>
      </c>
      <c r="BJ41" s="915">
        <v>0</v>
      </c>
      <c r="BK41" s="1768"/>
      <c r="BL41" s="914"/>
      <c r="BM41" s="915">
        <v>49.8</v>
      </c>
      <c r="BN41" s="914">
        <v>0.54655870445344124</v>
      </c>
      <c r="BO41" s="914">
        <v>4.5924438494719624</v>
      </c>
      <c r="BP41" s="914">
        <v>0</v>
      </c>
      <c r="BQ41" s="914">
        <v>4.5924438494719624</v>
      </c>
      <c r="BR41" s="915">
        <v>500</v>
      </c>
      <c r="BS41" s="915">
        <v>0</v>
      </c>
      <c r="BT41" s="1041">
        <v>2.2962219247359812</v>
      </c>
      <c r="BU41" s="914">
        <v>2</v>
      </c>
      <c r="BV41" s="914">
        <v>0.68</v>
      </c>
      <c r="BW41" s="915">
        <v>1100</v>
      </c>
      <c r="BX41" s="1041">
        <v>0.748</v>
      </c>
      <c r="BY41" s="1040">
        <v>4.4947058823529416</v>
      </c>
      <c r="BZ41" s="915">
        <v>4.5924438494719624</v>
      </c>
      <c r="CA41" s="915">
        <v>5.8961669111523767</v>
      </c>
      <c r="CB41" s="915" t="s">
        <v>18</v>
      </c>
      <c r="CC41" s="915" t="s">
        <v>18</v>
      </c>
      <c r="CD41" s="915" t="s">
        <v>18</v>
      </c>
      <c r="CE41" s="915">
        <v>0</v>
      </c>
      <c r="CF41" s="915">
        <v>0</v>
      </c>
      <c r="CG41" s="1041">
        <v>0</v>
      </c>
      <c r="CH41" s="915">
        <v>6.2376470588235291</v>
      </c>
      <c r="CI41" s="915">
        <v>403.35722368917391</v>
      </c>
      <c r="CJ41" s="915">
        <v>0</v>
      </c>
      <c r="CK41" s="915">
        <v>8.1089411764705872</v>
      </c>
      <c r="CL41" s="915">
        <v>750</v>
      </c>
      <c r="CM41" s="1041">
        <v>6.0964676723595481</v>
      </c>
      <c r="CN41" s="913"/>
      <c r="CO41" s="915"/>
      <c r="CP41" s="1041">
        <v>0</v>
      </c>
      <c r="CR41" s="1719">
        <f t="shared" si="1"/>
        <v>0</v>
      </c>
      <c r="CS41" s="873">
        <f t="shared" si="11"/>
        <v>0</v>
      </c>
      <c r="CT41" s="873">
        <f t="shared" si="12"/>
        <v>0</v>
      </c>
      <c r="CU41" s="912">
        <f t="shared" si="13"/>
        <v>0</v>
      </c>
      <c r="CV41" s="913">
        <f t="shared" si="14"/>
        <v>0</v>
      </c>
      <c r="CW41" s="913">
        <f t="shared" si="15"/>
        <v>0</v>
      </c>
      <c r="CX41" s="913">
        <f t="shared" si="16"/>
        <v>0</v>
      </c>
      <c r="CY41" s="913">
        <f t="shared" si="17"/>
        <v>0</v>
      </c>
      <c r="CZ41" s="913">
        <f t="shared" si="18"/>
        <v>0</v>
      </c>
      <c r="DA41" s="1767">
        <f t="shared" si="19"/>
        <v>0</v>
      </c>
      <c r="DB41" s="1040">
        <f t="shared" si="20"/>
        <v>0</v>
      </c>
      <c r="DC41" s="913">
        <f t="shared" si="21"/>
        <v>0</v>
      </c>
      <c r="DD41" s="915">
        <f t="shared" si="22"/>
        <v>0</v>
      </c>
      <c r="DE41" s="1768">
        <f t="shared" si="23"/>
        <v>0</v>
      </c>
      <c r="DF41" s="914">
        <f t="shared" si="24"/>
        <v>0</v>
      </c>
      <c r="DG41" s="915">
        <f t="shared" si="25"/>
        <v>0</v>
      </c>
      <c r="DH41" s="914">
        <f t="shared" si="26"/>
        <v>0</v>
      </c>
      <c r="DI41" s="914">
        <f t="shared" si="27"/>
        <v>0</v>
      </c>
      <c r="DJ41" s="914">
        <f t="shared" si="28"/>
        <v>0</v>
      </c>
      <c r="DK41" s="914">
        <f t="shared" si="29"/>
        <v>0</v>
      </c>
      <c r="DL41" s="915">
        <f t="shared" si="30"/>
        <v>0</v>
      </c>
      <c r="DM41" s="915">
        <f t="shared" si="31"/>
        <v>0</v>
      </c>
      <c r="DN41" s="1041">
        <f t="shared" si="32"/>
        <v>0</v>
      </c>
      <c r="DO41" s="914">
        <f t="shared" si="33"/>
        <v>0</v>
      </c>
      <c r="DP41" s="914">
        <f t="shared" si="34"/>
        <v>-0.68</v>
      </c>
      <c r="DQ41" s="915">
        <f t="shared" si="35"/>
        <v>-1100</v>
      </c>
      <c r="DR41" s="1041">
        <f t="shared" si="36"/>
        <v>-0.748</v>
      </c>
      <c r="DS41" s="1040">
        <f t="shared" si="37"/>
        <v>0</v>
      </c>
      <c r="DT41" s="915">
        <f t="shared" si="38"/>
        <v>0</v>
      </c>
      <c r="DU41" s="915">
        <f t="shared" si="39"/>
        <v>0</v>
      </c>
      <c r="DV41" s="915" t="e">
        <f t="shared" si="40"/>
        <v>#VALUE!</v>
      </c>
      <c r="DW41" s="915" t="e">
        <f t="shared" si="41"/>
        <v>#VALUE!</v>
      </c>
      <c r="DX41" s="915" t="e">
        <f t="shared" si="42"/>
        <v>#VALUE!</v>
      </c>
      <c r="DY41" s="915">
        <f t="shared" si="43"/>
        <v>0</v>
      </c>
      <c r="DZ41" s="915">
        <f t="shared" si="44"/>
        <v>0</v>
      </c>
      <c r="EA41" s="1041">
        <f t="shared" si="45"/>
        <v>0</v>
      </c>
      <c r="EB41" s="915">
        <f t="shared" si="2"/>
        <v>10.239999999999998</v>
      </c>
      <c r="EC41" s="915">
        <f t="shared" si="3"/>
        <v>-250.66552013355488</v>
      </c>
      <c r="ED41" s="915">
        <f t="shared" si="4"/>
        <v>-1</v>
      </c>
      <c r="EE41" s="915">
        <f t="shared" si="5"/>
        <v>14.135882352941177</v>
      </c>
      <c r="EF41" s="915">
        <f t="shared" si="6"/>
        <v>-330</v>
      </c>
      <c r="EG41" s="1041">
        <f t="shared" si="7"/>
        <v>3.15024623273972</v>
      </c>
      <c r="EH41" s="913">
        <f t="shared" si="8"/>
        <v>0</v>
      </c>
      <c r="EI41" s="915">
        <f t="shared" si="9"/>
        <v>0</v>
      </c>
      <c r="EJ41" s="1041">
        <f t="shared" si="10"/>
        <v>0</v>
      </c>
    </row>
    <row r="42" spans="1:140">
      <c r="A42" s="889">
        <f>Eingabedaten!A46</f>
        <v>12.4</v>
      </c>
      <c r="B42" s="1013" t="str">
        <f>Eingabedaten!C46</f>
        <v>Nebenraum</v>
      </c>
      <c r="C42" s="1719"/>
      <c r="D42" s="873"/>
      <c r="E42" s="873"/>
      <c r="F42" s="912"/>
      <c r="G42" s="913"/>
      <c r="H42" s="913"/>
      <c r="I42" s="913"/>
      <c r="J42" s="913"/>
      <c r="K42" s="913"/>
      <c r="L42" s="1767"/>
      <c r="M42" s="1040">
        <v>0</v>
      </c>
      <c r="N42" s="913">
        <v>0</v>
      </c>
      <c r="O42" s="915">
        <v>0</v>
      </c>
      <c r="P42" s="1768"/>
      <c r="Q42" s="914"/>
      <c r="R42" s="915">
        <v>49.8</v>
      </c>
      <c r="S42" s="914">
        <v>0.64209274673008321</v>
      </c>
      <c r="T42" s="914">
        <v>3.909155139074818</v>
      </c>
      <c r="U42" s="914">
        <v>0</v>
      </c>
      <c r="V42" s="914">
        <v>3.909155139074818</v>
      </c>
      <c r="W42" s="915">
        <v>250</v>
      </c>
      <c r="X42" s="915">
        <v>0</v>
      </c>
      <c r="Y42" s="1041">
        <v>0.9772887847687044</v>
      </c>
      <c r="Z42" s="914">
        <v>0.5</v>
      </c>
      <c r="AA42" s="914">
        <v>8.3000000000000004E-2</v>
      </c>
      <c r="AB42" s="915">
        <v>790</v>
      </c>
      <c r="AC42" s="1041">
        <v>6.5570000000000003E-2</v>
      </c>
      <c r="AD42" s="1040">
        <v>8.9894117647058831</v>
      </c>
      <c r="AE42" s="915">
        <v>3.909155139074818</v>
      </c>
      <c r="AF42" s="915">
        <v>1.5619378217718305E-3</v>
      </c>
      <c r="AG42" s="915" t="s">
        <v>18</v>
      </c>
      <c r="AH42" s="915" t="s">
        <v>18</v>
      </c>
      <c r="AI42" s="915" t="s">
        <v>18</v>
      </c>
      <c r="AJ42" s="915">
        <v>0</v>
      </c>
      <c r="AK42" s="915">
        <v>0</v>
      </c>
      <c r="AL42" s="1041">
        <v>0</v>
      </c>
      <c r="AM42" s="915">
        <v>7.0352941176470587</v>
      </c>
      <c r="AN42" s="915">
        <v>325.21739130434781</v>
      </c>
      <c r="AO42" s="915">
        <v>0</v>
      </c>
      <c r="AP42" s="915">
        <v>9.1458823529411752</v>
      </c>
      <c r="AQ42" s="915">
        <v>970</v>
      </c>
      <c r="AR42" s="1041">
        <v>8.8909034944738803</v>
      </c>
      <c r="AS42" s="913"/>
      <c r="AT42" s="915"/>
      <c r="AU42" s="1041">
        <v>0</v>
      </c>
      <c r="AX42" s="1719"/>
      <c r="AY42" s="873"/>
      <c r="AZ42" s="873"/>
      <c r="BA42" s="912"/>
      <c r="BB42" s="913"/>
      <c r="BC42" s="913"/>
      <c r="BD42" s="913"/>
      <c r="BE42" s="913"/>
      <c r="BF42" s="913"/>
      <c r="BG42" s="1767"/>
      <c r="BH42" s="1040">
        <v>0</v>
      </c>
      <c r="BI42" s="913">
        <v>0</v>
      </c>
      <c r="BJ42" s="915">
        <v>0</v>
      </c>
      <c r="BK42" s="1768"/>
      <c r="BL42" s="914"/>
      <c r="BM42" s="915">
        <v>49.8</v>
      </c>
      <c r="BN42" s="914">
        <v>0.64209274673008321</v>
      </c>
      <c r="BO42" s="914">
        <v>3.909155139074818</v>
      </c>
      <c r="BP42" s="914">
        <v>0</v>
      </c>
      <c r="BQ42" s="914">
        <v>3.909155139074818</v>
      </c>
      <c r="BR42" s="915">
        <v>250</v>
      </c>
      <c r="BS42" s="915">
        <v>0</v>
      </c>
      <c r="BT42" s="1041">
        <v>0.9772887847687044</v>
      </c>
      <c r="BU42" s="914">
        <v>0.5</v>
      </c>
      <c r="BV42" s="914">
        <v>8.3000000000000004E-2</v>
      </c>
      <c r="BW42" s="915">
        <v>1100</v>
      </c>
      <c r="BX42" s="1041">
        <v>9.1300000000000006E-2</v>
      </c>
      <c r="BY42" s="1040">
        <v>8.9894117647058831</v>
      </c>
      <c r="BZ42" s="915">
        <v>3.909155139074818</v>
      </c>
      <c r="CA42" s="915">
        <v>1.5619378217718305E-3</v>
      </c>
      <c r="CB42" s="915" t="s">
        <v>18</v>
      </c>
      <c r="CC42" s="915" t="s">
        <v>18</v>
      </c>
      <c r="CD42" s="915" t="s">
        <v>18</v>
      </c>
      <c r="CE42" s="915">
        <v>0</v>
      </c>
      <c r="CF42" s="915">
        <v>0</v>
      </c>
      <c r="CG42" s="1041">
        <v>0</v>
      </c>
      <c r="CH42" s="915">
        <v>7.0352941176470587</v>
      </c>
      <c r="CI42" s="915">
        <v>325.21739130434781</v>
      </c>
      <c r="CJ42" s="915">
        <v>0</v>
      </c>
      <c r="CK42" s="915">
        <v>9.1458823529411752</v>
      </c>
      <c r="CL42" s="915">
        <v>990</v>
      </c>
      <c r="CM42" s="1041">
        <v>9.0635095977528142</v>
      </c>
      <c r="CN42" s="913"/>
      <c r="CO42" s="915"/>
      <c r="CP42" s="1041">
        <v>0</v>
      </c>
      <c r="CR42" s="1719">
        <f t="shared" si="1"/>
        <v>0</v>
      </c>
      <c r="CS42" s="873">
        <f t="shared" si="11"/>
        <v>0</v>
      </c>
      <c r="CT42" s="873">
        <f t="shared" si="12"/>
        <v>0</v>
      </c>
      <c r="CU42" s="912">
        <f t="shared" si="13"/>
        <v>0</v>
      </c>
      <c r="CV42" s="913">
        <f t="shared" si="14"/>
        <v>0</v>
      </c>
      <c r="CW42" s="913">
        <f t="shared" si="15"/>
        <v>0</v>
      </c>
      <c r="CX42" s="913">
        <f t="shared" si="16"/>
        <v>0</v>
      </c>
      <c r="CY42" s="913">
        <f t="shared" si="17"/>
        <v>0</v>
      </c>
      <c r="CZ42" s="913">
        <f t="shared" si="18"/>
        <v>0</v>
      </c>
      <c r="DA42" s="1767">
        <f t="shared" si="19"/>
        <v>0</v>
      </c>
      <c r="DB42" s="1040">
        <f t="shared" si="20"/>
        <v>0</v>
      </c>
      <c r="DC42" s="913">
        <f t="shared" si="21"/>
        <v>0</v>
      </c>
      <c r="DD42" s="915">
        <f t="shared" si="22"/>
        <v>0</v>
      </c>
      <c r="DE42" s="1768">
        <f t="shared" si="23"/>
        <v>0</v>
      </c>
      <c r="DF42" s="914">
        <f t="shared" si="24"/>
        <v>0</v>
      </c>
      <c r="DG42" s="915">
        <f t="shared" si="25"/>
        <v>0</v>
      </c>
      <c r="DH42" s="914">
        <f t="shared" si="26"/>
        <v>0</v>
      </c>
      <c r="DI42" s="914">
        <f t="shared" si="27"/>
        <v>0</v>
      </c>
      <c r="DJ42" s="914">
        <f t="shared" si="28"/>
        <v>0</v>
      </c>
      <c r="DK42" s="914">
        <f t="shared" si="29"/>
        <v>0</v>
      </c>
      <c r="DL42" s="915">
        <f t="shared" si="30"/>
        <v>0</v>
      </c>
      <c r="DM42" s="915">
        <f t="shared" si="31"/>
        <v>0</v>
      </c>
      <c r="DN42" s="1041">
        <f t="shared" si="32"/>
        <v>0</v>
      </c>
      <c r="DO42" s="914">
        <f t="shared" si="33"/>
        <v>0</v>
      </c>
      <c r="DP42" s="914">
        <f t="shared" si="34"/>
        <v>0</v>
      </c>
      <c r="DQ42" s="915">
        <f t="shared" si="35"/>
        <v>-310</v>
      </c>
      <c r="DR42" s="1041">
        <f t="shared" si="36"/>
        <v>-2.5730000000000003E-2</v>
      </c>
      <c r="DS42" s="1040">
        <f t="shared" si="37"/>
        <v>0</v>
      </c>
      <c r="DT42" s="915">
        <f t="shared" si="38"/>
        <v>0</v>
      </c>
      <c r="DU42" s="915">
        <f t="shared" si="39"/>
        <v>0</v>
      </c>
      <c r="DV42" s="915" t="e">
        <f t="shared" si="40"/>
        <v>#VALUE!</v>
      </c>
      <c r="DW42" s="915" t="e">
        <f t="shared" si="41"/>
        <v>#VALUE!</v>
      </c>
      <c r="DX42" s="915" t="e">
        <f t="shared" si="42"/>
        <v>#VALUE!</v>
      </c>
      <c r="DY42" s="915">
        <f t="shared" si="43"/>
        <v>0</v>
      </c>
      <c r="DZ42" s="915">
        <f t="shared" si="44"/>
        <v>0</v>
      </c>
      <c r="EA42" s="1041">
        <f t="shared" si="45"/>
        <v>0</v>
      </c>
      <c r="EB42" s="915">
        <f t="shared" si="2"/>
        <v>0</v>
      </c>
      <c r="EC42" s="915">
        <f t="shared" si="3"/>
        <v>0</v>
      </c>
      <c r="ED42" s="915">
        <f t="shared" si="4"/>
        <v>0</v>
      </c>
      <c r="EE42" s="915">
        <f t="shared" si="5"/>
        <v>0</v>
      </c>
      <c r="EF42" s="915">
        <f t="shared" si="6"/>
        <v>-20</v>
      </c>
      <c r="EG42" s="1041">
        <f t="shared" si="7"/>
        <v>-0.17260610327893389</v>
      </c>
      <c r="EH42" s="913">
        <f t="shared" si="8"/>
        <v>0</v>
      </c>
      <c r="EI42" s="915">
        <f t="shared" si="9"/>
        <v>0</v>
      </c>
      <c r="EJ42" s="1041">
        <f t="shared" si="10"/>
        <v>0</v>
      </c>
    </row>
    <row r="43" spans="1:140">
      <c r="A43" s="889">
        <f>Eingabedaten!A47</f>
        <v>12.5</v>
      </c>
      <c r="B43" s="1013" t="str">
        <f>Eingabedaten!C47</f>
        <v>Küche, Teeküche</v>
      </c>
      <c r="C43" s="1719"/>
      <c r="D43" s="873"/>
      <c r="E43" s="873"/>
      <c r="F43" s="912"/>
      <c r="G43" s="913"/>
      <c r="H43" s="913"/>
      <c r="I43" s="913"/>
      <c r="J43" s="913"/>
      <c r="K43" s="913"/>
      <c r="L43" s="1767"/>
      <c r="M43" s="1040">
        <v>30</v>
      </c>
      <c r="N43" s="913">
        <v>1430</v>
      </c>
      <c r="O43" s="915">
        <v>42.9</v>
      </c>
      <c r="P43" s="1768"/>
      <c r="Q43" s="914"/>
      <c r="R43" s="915">
        <v>54.800000000000004</v>
      </c>
      <c r="S43" s="914">
        <v>0.75524475524475521</v>
      </c>
      <c r="T43" s="914">
        <v>6.0404839145715057</v>
      </c>
      <c r="U43" s="914">
        <v>0</v>
      </c>
      <c r="V43" s="914">
        <v>6.0404839145715057</v>
      </c>
      <c r="W43" s="915">
        <v>130</v>
      </c>
      <c r="X43" s="915">
        <v>0</v>
      </c>
      <c r="Y43" s="1041">
        <v>0.78526290889429573</v>
      </c>
      <c r="Z43" s="914">
        <v>20</v>
      </c>
      <c r="AA43" s="914">
        <v>6.8000000000000007</v>
      </c>
      <c r="AB43" s="915">
        <v>1030</v>
      </c>
      <c r="AC43" s="1041">
        <v>7.0040000000000013</v>
      </c>
      <c r="AD43" s="1040">
        <v>8.9894117647058831</v>
      </c>
      <c r="AE43" s="915">
        <v>71.04048391457151</v>
      </c>
      <c r="AF43" s="915">
        <v>339.40942222154467</v>
      </c>
      <c r="AG43" s="915" t="s">
        <v>18</v>
      </c>
      <c r="AH43" s="915" t="s">
        <v>18</v>
      </c>
      <c r="AI43" s="915" t="s">
        <v>18</v>
      </c>
      <c r="AJ43" s="915">
        <v>0</v>
      </c>
      <c r="AK43" s="915">
        <v>0</v>
      </c>
      <c r="AL43" s="1041">
        <v>0</v>
      </c>
      <c r="AM43" s="915">
        <v>31.995294117647056</v>
      </c>
      <c r="AN43" s="915">
        <v>71.510516252390062</v>
      </c>
      <c r="AO43" s="915">
        <v>-2</v>
      </c>
      <c r="AP43" s="915">
        <v>47.99294117647058</v>
      </c>
      <c r="AQ43" s="915">
        <v>40</v>
      </c>
      <c r="AR43" s="1041">
        <v>1.7636158548709411</v>
      </c>
      <c r="AS43" s="913"/>
      <c r="AT43" s="915"/>
      <c r="AU43" s="1041">
        <v>0</v>
      </c>
      <c r="AX43" s="1719"/>
      <c r="AY43" s="873"/>
      <c r="AZ43" s="873"/>
      <c r="BA43" s="912"/>
      <c r="BB43" s="913"/>
      <c r="BC43" s="913"/>
      <c r="BD43" s="913"/>
      <c r="BE43" s="913"/>
      <c r="BF43" s="913"/>
      <c r="BG43" s="1767"/>
      <c r="BH43" s="1040">
        <v>30</v>
      </c>
      <c r="BI43" s="913">
        <v>1430</v>
      </c>
      <c r="BJ43" s="915">
        <v>42.9</v>
      </c>
      <c r="BK43" s="1768"/>
      <c r="BL43" s="914"/>
      <c r="BM43" s="915">
        <v>54.800000000000004</v>
      </c>
      <c r="BN43" s="914">
        <v>0.75524475524475521</v>
      </c>
      <c r="BO43" s="914">
        <v>6.0404839145715057</v>
      </c>
      <c r="BP43" s="914">
        <v>0</v>
      </c>
      <c r="BQ43" s="914">
        <v>6.0404839145715057</v>
      </c>
      <c r="BR43" s="915">
        <v>130</v>
      </c>
      <c r="BS43" s="915">
        <v>0</v>
      </c>
      <c r="BT43" s="1041">
        <v>0.78526290889429573</v>
      </c>
      <c r="BU43" s="914">
        <v>20</v>
      </c>
      <c r="BV43" s="914">
        <v>6.8000000000000007</v>
      </c>
      <c r="BW43" s="915">
        <v>1030</v>
      </c>
      <c r="BX43" s="1041">
        <v>7.0040000000000013</v>
      </c>
      <c r="BY43" s="1040">
        <v>8.9894117647058831</v>
      </c>
      <c r="BZ43" s="915">
        <v>71.04048391457151</v>
      </c>
      <c r="CA43" s="915">
        <v>339.40942222154467</v>
      </c>
      <c r="CB43" s="915" t="s">
        <v>18</v>
      </c>
      <c r="CC43" s="915" t="s">
        <v>18</v>
      </c>
      <c r="CD43" s="915" t="s">
        <v>18</v>
      </c>
      <c r="CE43" s="915">
        <v>0</v>
      </c>
      <c r="CF43" s="915">
        <v>0</v>
      </c>
      <c r="CG43" s="1041">
        <v>0</v>
      </c>
      <c r="CH43" s="915">
        <v>31.995294117647056</v>
      </c>
      <c r="CI43" s="915">
        <v>71.510516252390062</v>
      </c>
      <c r="CJ43" s="915">
        <v>-2</v>
      </c>
      <c r="CK43" s="915">
        <v>47.99294117647058</v>
      </c>
      <c r="CL43" s="915">
        <v>210</v>
      </c>
      <c r="CM43" s="1041">
        <v>10.192663130666473</v>
      </c>
      <c r="CN43" s="913"/>
      <c r="CO43" s="915"/>
      <c r="CP43" s="1041">
        <v>0</v>
      </c>
      <c r="CR43" s="1719">
        <f t="shared" si="1"/>
        <v>0</v>
      </c>
      <c r="CS43" s="873">
        <f t="shared" si="11"/>
        <v>0</v>
      </c>
      <c r="CT43" s="873">
        <f t="shared" si="12"/>
        <v>0</v>
      </c>
      <c r="CU43" s="912">
        <f t="shared" si="13"/>
        <v>0</v>
      </c>
      <c r="CV43" s="913">
        <f t="shared" si="14"/>
        <v>0</v>
      </c>
      <c r="CW43" s="913">
        <f t="shared" si="15"/>
        <v>0</v>
      </c>
      <c r="CX43" s="913">
        <f t="shared" si="16"/>
        <v>0</v>
      </c>
      <c r="CY43" s="913">
        <f t="shared" si="17"/>
        <v>0</v>
      </c>
      <c r="CZ43" s="913">
        <f t="shared" si="18"/>
        <v>0</v>
      </c>
      <c r="DA43" s="1767">
        <f t="shared" si="19"/>
        <v>0</v>
      </c>
      <c r="DB43" s="1040">
        <f t="shared" si="20"/>
        <v>0</v>
      </c>
      <c r="DC43" s="913">
        <f t="shared" si="21"/>
        <v>0</v>
      </c>
      <c r="DD43" s="915">
        <f t="shared" si="22"/>
        <v>0</v>
      </c>
      <c r="DE43" s="1768">
        <f t="shared" si="23"/>
        <v>0</v>
      </c>
      <c r="DF43" s="914">
        <f t="shared" si="24"/>
        <v>0</v>
      </c>
      <c r="DG43" s="915">
        <f t="shared" si="25"/>
        <v>0</v>
      </c>
      <c r="DH43" s="914">
        <f t="shared" si="26"/>
        <v>0</v>
      </c>
      <c r="DI43" s="914">
        <f t="shared" si="27"/>
        <v>0</v>
      </c>
      <c r="DJ43" s="914">
        <f t="shared" si="28"/>
        <v>0</v>
      </c>
      <c r="DK43" s="914">
        <f t="shared" si="29"/>
        <v>0</v>
      </c>
      <c r="DL43" s="915">
        <f t="shared" si="30"/>
        <v>0</v>
      </c>
      <c r="DM43" s="915">
        <f t="shared" si="31"/>
        <v>0</v>
      </c>
      <c r="DN43" s="1041">
        <f t="shared" si="32"/>
        <v>0</v>
      </c>
      <c r="DO43" s="914">
        <f t="shared" si="33"/>
        <v>0</v>
      </c>
      <c r="DP43" s="914">
        <f t="shared" si="34"/>
        <v>0</v>
      </c>
      <c r="DQ43" s="915">
        <f t="shared" si="35"/>
        <v>0</v>
      </c>
      <c r="DR43" s="1041">
        <f t="shared" si="36"/>
        <v>0</v>
      </c>
      <c r="DS43" s="1040">
        <f t="shared" si="37"/>
        <v>0</v>
      </c>
      <c r="DT43" s="915">
        <f t="shared" si="38"/>
        <v>0</v>
      </c>
      <c r="DU43" s="915">
        <f t="shared" si="39"/>
        <v>0</v>
      </c>
      <c r="DV43" s="915" t="e">
        <f t="shared" si="40"/>
        <v>#VALUE!</v>
      </c>
      <c r="DW43" s="915" t="e">
        <f t="shared" si="41"/>
        <v>#VALUE!</v>
      </c>
      <c r="DX43" s="915" t="e">
        <f t="shared" si="42"/>
        <v>#VALUE!</v>
      </c>
      <c r="DY43" s="915">
        <f t="shared" si="43"/>
        <v>0</v>
      </c>
      <c r="DZ43" s="915">
        <f t="shared" si="44"/>
        <v>0</v>
      </c>
      <c r="EA43" s="1041">
        <f t="shared" si="45"/>
        <v>0</v>
      </c>
      <c r="EB43" s="915">
        <f t="shared" si="2"/>
        <v>0</v>
      </c>
      <c r="EC43" s="915">
        <f t="shared" si="3"/>
        <v>0</v>
      </c>
      <c r="ED43" s="915">
        <f t="shared" si="4"/>
        <v>0</v>
      </c>
      <c r="EE43" s="915">
        <f t="shared" si="5"/>
        <v>0</v>
      </c>
      <c r="EF43" s="915">
        <f t="shared" si="6"/>
        <v>-170</v>
      </c>
      <c r="EG43" s="1041">
        <f t="shared" si="7"/>
        <v>-8.429047275795531</v>
      </c>
      <c r="EH43" s="913">
        <f t="shared" si="8"/>
        <v>0</v>
      </c>
      <c r="EI43" s="915">
        <f t="shared" si="9"/>
        <v>0</v>
      </c>
      <c r="EJ43" s="1041">
        <f t="shared" si="10"/>
        <v>0</v>
      </c>
    </row>
    <row r="44" spans="1:140">
      <c r="A44" s="889">
        <f>Eingabedaten!A48</f>
        <v>12.6</v>
      </c>
      <c r="B44" s="1013" t="str">
        <f>Eingabedaten!C48</f>
        <v xml:space="preserve">WC, Bad, Dusche </v>
      </c>
      <c r="C44" s="1719"/>
      <c r="D44" s="873"/>
      <c r="E44" s="873"/>
      <c r="F44" s="912"/>
      <c r="G44" s="913"/>
      <c r="H44" s="913"/>
      <c r="I44" s="913"/>
      <c r="J44" s="913"/>
      <c r="K44" s="913"/>
      <c r="L44" s="1767"/>
      <c r="M44" s="1040">
        <v>0</v>
      </c>
      <c r="N44" s="913">
        <v>0</v>
      </c>
      <c r="O44" s="915">
        <v>0</v>
      </c>
      <c r="P44" s="1768"/>
      <c r="Q44" s="914"/>
      <c r="R44" s="915">
        <v>54.800000000000004</v>
      </c>
      <c r="S44" s="914">
        <v>0.64209274673008321</v>
      </c>
      <c r="T44" s="914">
        <v>7.1049608002162747</v>
      </c>
      <c r="U44" s="914">
        <v>0</v>
      </c>
      <c r="V44" s="914">
        <v>7.1049608002162747</v>
      </c>
      <c r="W44" s="915">
        <v>130</v>
      </c>
      <c r="X44" s="915">
        <v>0</v>
      </c>
      <c r="Y44" s="1041">
        <v>0.92364490402811572</v>
      </c>
      <c r="Z44" s="914">
        <v>16</v>
      </c>
      <c r="AA44" s="914">
        <v>2.6560000000000001</v>
      </c>
      <c r="AB44" s="915">
        <v>1160</v>
      </c>
      <c r="AC44" s="1041">
        <v>3.0809600000000001</v>
      </c>
      <c r="AD44" s="1040">
        <v>8.9894117647058831</v>
      </c>
      <c r="AE44" s="915">
        <v>7.1049608002162747</v>
      </c>
      <c r="AF44" s="915">
        <v>1.6577959277190433</v>
      </c>
      <c r="AG44" s="915" t="s">
        <v>18</v>
      </c>
      <c r="AH44" s="915" t="s">
        <v>18</v>
      </c>
      <c r="AI44" s="915" t="s">
        <v>18</v>
      </c>
      <c r="AJ44" s="915">
        <v>0</v>
      </c>
      <c r="AK44" s="915">
        <v>0</v>
      </c>
      <c r="AL44" s="1041">
        <v>0</v>
      </c>
      <c r="AM44" s="915">
        <v>26.875294117647059</v>
      </c>
      <c r="AN44" s="915">
        <v>85.133952022412885</v>
      </c>
      <c r="AO44" s="915">
        <v>-2</v>
      </c>
      <c r="AP44" s="915">
        <v>41.656705882352938</v>
      </c>
      <c r="AQ44" s="915">
        <v>530</v>
      </c>
      <c r="AR44" s="1041">
        <v>22.020437111773841</v>
      </c>
      <c r="AS44" s="913"/>
      <c r="AT44" s="915"/>
      <c r="AU44" s="1041">
        <v>0</v>
      </c>
      <c r="AX44" s="1719"/>
      <c r="AY44" s="873"/>
      <c r="AZ44" s="873"/>
      <c r="BA44" s="912"/>
      <c r="BB44" s="913"/>
      <c r="BC44" s="913"/>
      <c r="BD44" s="913"/>
      <c r="BE44" s="913"/>
      <c r="BF44" s="913"/>
      <c r="BG44" s="1767"/>
      <c r="BH44" s="1040">
        <v>0</v>
      </c>
      <c r="BI44" s="913">
        <v>0</v>
      </c>
      <c r="BJ44" s="915">
        <v>0</v>
      </c>
      <c r="BK44" s="1768"/>
      <c r="BL44" s="914"/>
      <c r="BM44" s="915">
        <v>54.800000000000004</v>
      </c>
      <c r="BN44" s="914">
        <v>0.64209274673008321</v>
      </c>
      <c r="BO44" s="914">
        <v>7.1049608002162747</v>
      </c>
      <c r="BP44" s="914">
        <v>0</v>
      </c>
      <c r="BQ44" s="914">
        <v>7.1049608002162747</v>
      </c>
      <c r="BR44" s="915">
        <v>130</v>
      </c>
      <c r="BS44" s="915">
        <v>0</v>
      </c>
      <c r="BT44" s="1041">
        <v>0.92364490402811572</v>
      </c>
      <c r="BU44" s="914">
        <v>16</v>
      </c>
      <c r="BV44" s="914">
        <v>2.6560000000000001</v>
      </c>
      <c r="BW44" s="915">
        <v>1160</v>
      </c>
      <c r="BX44" s="1041">
        <v>3.0809600000000001</v>
      </c>
      <c r="BY44" s="1040">
        <v>8.9894117647058831</v>
      </c>
      <c r="BZ44" s="915">
        <v>7.1049608002162747</v>
      </c>
      <c r="CA44" s="915">
        <v>1.6577959277190433</v>
      </c>
      <c r="CB44" s="915" t="s">
        <v>18</v>
      </c>
      <c r="CC44" s="915" t="s">
        <v>18</v>
      </c>
      <c r="CD44" s="915" t="s">
        <v>18</v>
      </c>
      <c r="CE44" s="915">
        <v>0</v>
      </c>
      <c r="CF44" s="915">
        <v>0</v>
      </c>
      <c r="CG44" s="1041">
        <v>0</v>
      </c>
      <c r="CH44" s="915">
        <v>26.875294117647059</v>
      </c>
      <c r="CI44" s="915">
        <v>85.133952022412885</v>
      </c>
      <c r="CJ44" s="915">
        <v>-2</v>
      </c>
      <c r="CK44" s="915">
        <v>41.656705882352938</v>
      </c>
      <c r="CL44" s="915">
        <v>660</v>
      </c>
      <c r="CM44" s="1041">
        <v>27.377205742090936</v>
      </c>
      <c r="CN44" s="913"/>
      <c r="CO44" s="915"/>
      <c r="CP44" s="1041">
        <v>0</v>
      </c>
      <c r="CR44" s="1719">
        <f t="shared" si="1"/>
        <v>0</v>
      </c>
      <c r="CS44" s="873">
        <f t="shared" si="11"/>
        <v>0</v>
      </c>
      <c r="CT44" s="873">
        <f t="shared" si="12"/>
        <v>0</v>
      </c>
      <c r="CU44" s="912">
        <f t="shared" si="13"/>
        <v>0</v>
      </c>
      <c r="CV44" s="913">
        <f t="shared" si="14"/>
        <v>0</v>
      </c>
      <c r="CW44" s="913">
        <f t="shared" si="15"/>
        <v>0</v>
      </c>
      <c r="CX44" s="913">
        <f t="shared" si="16"/>
        <v>0</v>
      </c>
      <c r="CY44" s="913">
        <f t="shared" si="17"/>
        <v>0</v>
      </c>
      <c r="CZ44" s="913">
        <f t="shared" si="18"/>
        <v>0</v>
      </c>
      <c r="DA44" s="1767">
        <f t="shared" si="19"/>
        <v>0</v>
      </c>
      <c r="DB44" s="1040">
        <f t="shared" si="20"/>
        <v>0</v>
      </c>
      <c r="DC44" s="913">
        <f t="shared" si="21"/>
        <v>0</v>
      </c>
      <c r="DD44" s="915">
        <f t="shared" si="22"/>
        <v>0</v>
      </c>
      <c r="DE44" s="1768">
        <f t="shared" si="23"/>
        <v>0</v>
      </c>
      <c r="DF44" s="914">
        <f t="shared" si="24"/>
        <v>0</v>
      </c>
      <c r="DG44" s="915">
        <f t="shared" si="25"/>
        <v>0</v>
      </c>
      <c r="DH44" s="914">
        <f t="shared" si="26"/>
        <v>0</v>
      </c>
      <c r="DI44" s="914">
        <f t="shared" si="27"/>
        <v>0</v>
      </c>
      <c r="DJ44" s="914">
        <f t="shared" si="28"/>
        <v>0</v>
      </c>
      <c r="DK44" s="914">
        <f t="shared" si="29"/>
        <v>0</v>
      </c>
      <c r="DL44" s="915">
        <f t="shared" si="30"/>
        <v>0</v>
      </c>
      <c r="DM44" s="915">
        <f t="shared" si="31"/>
        <v>0</v>
      </c>
      <c r="DN44" s="1041">
        <f t="shared" si="32"/>
        <v>0</v>
      </c>
      <c r="DO44" s="914">
        <f t="shared" si="33"/>
        <v>0</v>
      </c>
      <c r="DP44" s="914">
        <f t="shared" si="34"/>
        <v>0</v>
      </c>
      <c r="DQ44" s="915">
        <f t="shared" si="35"/>
        <v>0</v>
      </c>
      <c r="DR44" s="1041">
        <f t="shared" si="36"/>
        <v>0</v>
      </c>
      <c r="DS44" s="1040">
        <f t="shared" si="37"/>
        <v>0</v>
      </c>
      <c r="DT44" s="915">
        <f t="shared" si="38"/>
        <v>0</v>
      </c>
      <c r="DU44" s="915">
        <f t="shared" si="39"/>
        <v>0</v>
      </c>
      <c r="DV44" s="915" t="e">
        <f t="shared" si="40"/>
        <v>#VALUE!</v>
      </c>
      <c r="DW44" s="915" t="e">
        <f t="shared" si="41"/>
        <v>#VALUE!</v>
      </c>
      <c r="DX44" s="915" t="e">
        <f t="shared" si="42"/>
        <v>#VALUE!</v>
      </c>
      <c r="DY44" s="915">
        <f t="shared" si="43"/>
        <v>0</v>
      </c>
      <c r="DZ44" s="915">
        <f t="shared" si="44"/>
        <v>0</v>
      </c>
      <c r="EA44" s="1041">
        <f t="shared" si="45"/>
        <v>0</v>
      </c>
      <c r="EB44" s="915">
        <f t="shared" si="2"/>
        <v>0</v>
      </c>
      <c r="EC44" s="915">
        <f t="shared" si="3"/>
        <v>0</v>
      </c>
      <c r="ED44" s="915">
        <f t="shared" si="4"/>
        <v>0</v>
      </c>
      <c r="EE44" s="915">
        <f t="shared" si="5"/>
        <v>0</v>
      </c>
      <c r="EF44" s="915">
        <f t="shared" si="6"/>
        <v>-130</v>
      </c>
      <c r="EG44" s="1041">
        <f t="shared" si="7"/>
        <v>-5.3567686303170952</v>
      </c>
      <c r="EH44" s="913">
        <f t="shared" si="8"/>
        <v>0</v>
      </c>
      <c r="EI44" s="915">
        <f t="shared" si="9"/>
        <v>0</v>
      </c>
      <c r="EJ44" s="1041">
        <f t="shared" si="10"/>
        <v>0</v>
      </c>
    </row>
    <row r="45" spans="1:140">
      <c r="A45" s="882">
        <f>Eingabedaten!A49</f>
        <v>12.7</v>
      </c>
      <c r="B45" s="1013" t="str">
        <f>Eingabedaten!C49</f>
        <v>WC</v>
      </c>
      <c r="C45" s="1719"/>
      <c r="D45" s="873"/>
      <c r="E45" s="873"/>
      <c r="F45" s="912"/>
      <c r="G45" s="913"/>
      <c r="H45" s="913"/>
      <c r="I45" s="913"/>
      <c r="J45" s="913"/>
      <c r="K45" s="913"/>
      <c r="L45" s="1767"/>
      <c r="M45" s="1040">
        <v>0</v>
      </c>
      <c r="N45" s="913">
        <v>0</v>
      </c>
      <c r="O45" s="915">
        <v>0</v>
      </c>
      <c r="P45" s="1768"/>
      <c r="Q45" s="914"/>
      <c r="R45" s="915">
        <v>54.800000000000004</v>
      </c>
      <c r="S45" s="914">
        <v>0.39130434782608692</v>
      </c>
      <c r="T45" s="914">
        <v>11.658556366585564</v>
      </c>
      <c r="U45" s="914">
        <v>0</v>
      </c>
      <c r="V45" s="914">
        <v>11.658556366585564</v>
      </c>
      <c r="W45" s="915">
        <v>460</v>
      </c>
      <c r="X45" s="915">
        <v>0</v>
      </c>
      <c r="Y45" s="1041">
        <v>5.3629359286293594</v>
      </c>
      <c r="Z45" s="914">
        <v>8</v>
      </c>
      <c r="AA45" s="914">
        <v>1.3280000000000001</v>
      </c>
      <c r="AB45" s="915">
        <v>1160</v>
      </c>
      <c r="AC45" s="1041">
        <v>1.5404800000000001</v>
      </c>
      <c r="AD45" s="1040">
        <v>22.473529411764709</v>
      </c>
      <c r="AE45" s="915">
        <v>11.658556366585564</v>
      </c>
      <c r="AF45" s="915">
        <v>30.293616295638756</v>
      </c>
      <c r="AG45" s="915" t="s">
        <v>18</v>
      </c>
      <c r="AH45" s="915" t="s">
        <v>18</v>
      </c>
      <c r="AI45" s="915" t="s">
        <v>18</v>
      </c>
      <c r="AJ45" s="915">
        <v>0</v>
      </c>
      <c r="AK45" s="915">
        <v>0</v>
      </c>
      <c r="AL45" s="1041">
        <v>0</v>
      </c>
      <c r="AM45" s="915">
        <v>4.9576470588235289</v>
      </c>
      <c r="AN45" s="915">
        <v>124.8172757475083</v>
      </c>
      <c r="AO45" s="915">
        <v>-1</v>
      </c>
      <c r="AP45" s="915">
        <v>35.942941176470583</v>
      </c>
      <c r="AQ45" s="915">
        <v>820</v>
      </c>
      <c r="AR45" s="1041">
        <v>29.512381172156754</v>
      </c>
      <c r="AS45" s="913"/>
      <c r="AT45" s="915"/>
      <c r="AU45" s="1041">
        <v>0</v>
      </c>
      <c r="AX45" s="1719"/>
      <c r="AY45" s="873"/>
      <c r="AZ45" s="873"/>
      <c r="BA45" s="912"/>
      <c r="BB45" s="913"/>
      <c r="BC45" s="913"/>
      <c r="BD45" s="913"/>
      <c r="BE45" s="913"/>
      <c r="BF45" s="913"/>
      <c r="BG45" s="1767"/>
      <c r="BH45" s="1040">
        <v>0</v>
      </c>
      <c r="BI45" s="913">
        <v>0</v>
      </c>
      <c r="BJ45" s="915">
        <v>0</v>
      </c>
      <c r="BK45" s="1768"/>
      <c r="BL45" s="914"/>
      <c r="BM45" s="915">
        <v>54.800000000000004</v>
      </c>
      <c r="BN45" s="914">
        <v>0.39130434782608692</v>
      </c>
      <c r="BO45" s="914">
        <v>11.658556366585564</v>
      </c>
      <c r="BP45" s="914">
        <v>0</v>
      </c>
      <c r="BQ45" s="914">
        <v>11.658556366585564</v>
      </c>
      <c r="BR45" s="915">
        <v>460</v>
      </c>
      <c r="BS45" s="915">
        <v>0</v>
      </c>
      <c r="BT45" s="1041">
        <v>5.3629359286293594</v>
      </c>
      <c r="BU45" s="914">
        <v>8</v>
      </c>
      <c r="BV45" s="914">
        <v>1.3280000000000001</v>
      </c>
      <c r="BW45" s="915">
        <v>1160</v>
      </c>
      <c r="BX45" s="1041">
        <v>1.5404800000000001</v>
      </c>
      <c r="BY45" s="1040">
        <v>22.473529411764709</v>
      </c>
      <c r="BZ45" s="915">
        <v>11.658556366585564</v>
      </c>
      <c r="CA45" s="915">
        <v>30.293616295638756</v>
      </c>
      <c r="CB45" s="915" t="s">
        <v>18</v>
      </c>
      <c r="CC45" s="915" t="s">
        <v>18</v>
      </c>
      <c r="CD45" s="915" t="s">
        <v>18</v>
      </c>
      <c r="CE45" s="915">
        <v>0</v>
      </c>
      <c r="CF45" s="915">
        <v>0</v>
      </c>
      <c r="CG45" s="1041">
        <v>0</v>
      </c>
      <c r="CH45" s="915">
        <v>4.9576470588235289</v>
      </c>
      <c r="CI45" s="915">
        <v>124.8172757475083</v>
      </c>
      <c r="CJ45" s="915">
        <v>-1</v>
      </c>
      <c r="CK45" s="915">
        <v>35.942941176470583</v>
      </c>
      <c r="CL45" s="915">
        <v>1000</v>
      </c>
      <c r="CM45" s="1041">
        <v>35.921675289229078</v>
      </c>
      <c r="CN45" s="913"/>
      <c r="CO45" s="915"/>
      <c r="CP45" s="1041">
        <v>0</v>
      </c>
      <c r="CR45" s="1719">
        <f t="shared" si="1"/>
        <v>0</v>
      </c>
      <c r="CS45" s="873">
        <f t="shared" si="11"/>
        <v>0</v>
      </c>
      <c r="CT45" s="873">
        <f t="shared" si="12"/>
        <v>0</v>
      </c>
      <c r="CU45" s="912">
        <f t="shared" si="13"/>
        <v>0</v>
      </c>
      <c r="CV45" s="913">
        <f t="shared" si="14"/>
        <v>0</v>
      </c>
      <c r="CW45" s="913">
        <f t="shared" si="15"/>
        <v>0</v>
      </c>
      <c r="CX45" s="913">
        <f t="shared" si="16"/>
        <v>0</v>
      </c>
      <c r="CY45" s="913">
        <f t="shared" si="17"/>
        <v>0</v>
      </c>
      <c r="CZ45" s="913">
        <f t="shared" si="18"/>
        <v>0</v>
      </c>
      <c r="DA45" s="1767">
        <f t="shared" si="19"/>
        <v>0</v>
      </c>
      <c r="DB45" s="1040">
        <f t="shared" si="20"/>
        <v>0</v>
      </c>
      <c r="DC45" s="913">
        <f t="shared" si="21"/>
        <v>0</v>
      </c>
      <c r="DD45" s="915">
        <f t="shared" si="22"/>
        <v>0</v>
      </c>
      <c r="DE45" s="1768">
        <f t="shared" si="23"/>
        <v>0</v>
      </c>
      <c r="DF45" s="914">
        <f t="shared" si="24"/>
        <v>0</v>
      </c>
      <c r="DG45" s="915">
        <f t="shared" si="25"/>
        <v>0</v>
      </c>
      <c r="DH45" s="914">
        <f t="shared" si="26"/>
        <v>0</v>
      </c>
      <c r="DI45" s="914">
        <f t="shared" si="27"/>
        <v>0</v>
      </c>
      <c r="DJ45" s="914">
        <f t="shared" si="28"/>
        <v>0</v>
      </c>
      <c r="DK45" s="914">
        <f t="shared" si="29"/>
        <v>0</v>
      </c>
      <c r="DL45" s="915">
        <f t="shared" si="30"/>
        <v>0</v>
      </c>
      <c r="DM45" s="915">
        <f t="shared" si="31"/>
        <v>0</v>
      </c>
      <c r="DN45" s="1041">
        <f t="shared" si="32"/>
        <v>0</v>
      </c>
      <c r="DO45" s="914">
        <f t="shared" si="33"/>
        <v>0</v>
      </c>
      <c r="DP45" s="914">
        <f t="shared" si="34"/>
        <v>0</v>
      </c>
      <c r="DQ45" s="915">
        <f t="shared" si="35"/>
        <v>0</v>
      </c>
      <c r="DR45" s="1041">
        <f t="shared" si="36"/>
        <v>0</v>
      </c>
      <c r="DS45" s="1040">
        <f t="shared" si="37"/>
        <v>0</v>
      </c>
      <c r="DT45" s="915">
        <f t="shared" si="38"/>
        <v>0</v>
      </c>
      <c r="DU45" s="915">
        <f t="shared" si="39"/>
        <v>0</v>
      </c>
      <c r="DV45" s="915" t="e">
        <f t="shared" si="40"/>
        <v>#VALUE!</v>
      </c>
      <c r="DW45" s="915" t="e">
        <f t="shared" si="41"/>
        <v>#VALUE!</v>
      </c>
      <c r="DX45" s="915" t="e">
        <f t="shared" si="42"/>
        <v>#VALUE!</v>
      </c>
      <c r="DY45" s="915">
        <f t="shared" si="43"/>
        <v>0</v>
      </c>
      <c r="DZ45" s="915">
        <f t="shared" si="44"/>
        <v>0</v>
      </c>
      <c r="EA45" s="1041">
        <f t="shared" si="45"/>
        <v>0</v>
      </c>
      <c r="EB45" s="915">
        <f t="shared" si="2"/>
        <v>0</v>
      </c>
      <c r="EC45" s="915">
        <f t="shared" si="3"/>
        <v>0</v>
      </c>
      <c r="ED45" s="915">
        <f t="shared" si="4"/>
        <v>0</v>
      </c>
      <c r="EE45" s="915">
        <f t="shared" si="5"/>
        <v>0</v>
      </c>
      <c r="EF45" s="915">
        <f t="shared" si="6"/>
        <v>-180</v>
      </c>
      <c r="EG45" s="1041">
        <f t="shared" si="7"/>
        <v>-6.4092941170723243</v>
      </c>
      <c r="EH45" s="913">
        <f t="shared" si="8"/>
        <v>0</v>
      </c>
      <c r="EI45" s="915">
        <f t="shared" si="9"/>
        <v>0</v>
      </c>
      <c r="EJ45" s="1041">
        <f t="shared" si="10"/>
        <v>0</v>
      </c>
    </row>
    <row r="46" spans="1:140">
      <c r="A46" s="889">
        <f>Eingabedaten!A50</f>
        <v>12.8</v>
      </c>
      <c r="B46" s="1013" t="str">
        <f>Eingabedaten!C50</f>
        <v>Garderobe, Dusche</v>
      </c>
      <c r="C46" s="1719"/>
      <c r="D46" s="873"/>
      <c r="E46" s="873"/>
      <c r="F46" s="912"/>
      <c r="G46" s="913"/>
      <c r="H46" s="913"/>
      <c r="I46" s="913"/>
      <c r="J46" s="913"/>
      <c r="K46" s="913"/>
      <c r="L46" s="1767"/>
      <c r="M46" s="1040">
        <v>0</v>
      </c>
      <c r="N46" s="913">
        <v>0</v>
      </c>
      <c r="O46" s="915">
        <v>0</v>
      </c>
      <c r="P46" s="1768"/>
      <c r="Q46" s="914"/>
      <c r="R46" s="915">
        <v>54.800000000000004</v>
      </c>
      <c r="S46" s="914">
        <v>0.68067226890756305</v>
      </c>
      <c r="T46" s="914">
        <v>6.7022618725781742</v>
      </c>
      <c r="U46" s="914">
        <v>0</v>
      </c>
      <c r="V46" s="914">
        <v>6.7022618725781742</v>
      </c>
      <c r="W46" s="915">
        <v>150</v>
      </c>
      <c r="X46" s="915">
        <v>0</v>
      </c>
      <c r="Y46" s="1041">
        <v>1.0053392808867261</v>
      </c>
      <c r="Z46" s="914">
        <v>20</v>
      </c>
      <c r="AA46" s="914">
        <v>3.3200000000000003</v>
      </c>
      <c r="AB46" s="915">
        <v>1160</v>
      </c>
      <c r="AC46" s="1041">
        <v>3.8512000000000004</v>
      </c>
      <c r="AD46" s="1040">
        <v>8.9894117647058831</v>
      </c>
      <c r="AE46" s="915">
        <v>6.7022618725781742</v>
      </c>
      <c r="AF46" s="915">
        <v>1.5638344462827281</v>
      </c>
      <c r="AG46" s="915" t="s">
        <v>18</v>
      </c>
      <c r="AH46" s="915" t="s">
        <v>18</v>
      </c>
      <c r="AI46" s="915" t="s">
        <v>18</v>
      </c>
      <c r="AJ46" s="915">
        <v>0</v>
      </c>
      <c r="AK46" s="915">
        <v>0</v>
      </c>
      <c r="AL46" s="1041">
        <v>0</v>
      </c>
      <c r="AM46" s="915">
        <v>57.591529411764697</v>
      </c>
      <c r="AN46" s="915">
        <v>69.197676128842488</v>
      </c>
      <c r="AO46" s="915">
        <v>-2</v>
      </c>
      <c r="AP46" s="915">
        <v>49.592705882352931</v>
      </c>
      <c r="AQ46" s="915">
        <v>500</v>
      </c>
      <c r="AR46" s="1041">
        <v>24.710877754527317</v>
      </c>
      <c r="AS46" s="913"/>
      <c r="AT46" s="915"/>
      <c r="AU46" s="1041">
        <v>0</v>
      </c>
      <c r="AX46" s="1719"/>
      <c r="AY46" s="873"/>
      <c r="AZ46" s="873"/>
      <c r="BA46" s="912"/>
      <c r="BB46" s="913"/>
      <c r="BC46" s="913"/>
      <c r="BD46" s="913"/>
      <c r="BE46" s="913"/>
      <c r="BF46" s="913"/>
      <c r="BG46" s="1767"/>
      <c r="BH46" s="1040">
        <v>0</v>
      </c>
      <c r="BI46" s="913">
        <v>0</v>
      </c>
      <c r="BJ46" s="915">
        <v>0</v>
      </c>
      <c r="BK46" s="1768"/>
      <c r="BL46" s="914"/>
      <c r="BM46" s="915">
        <v>54.800000000000004</v>
      </c>
      <c r="BN46" s="914">
        <v>0.68067226890756305</v>
      </c>
      <c r="BO46" s="914">
        <v>6.7022618725781742</v>
      </c>
      <c r="BP46" s="914">
        <v>0</v>
      </c>
      <c r="BQ46" s="914">
        <v>6.7022618725781742</v>
      </c>
      <c r="BR46" s="915">
        <v>150</v>
      </c>
      <c r="BS46" s="915">
        <v>0</v>
      </c>
      <c r="BT46" s="1041">
        <v>1.0053392808867261</v>
      </c>
      <c r="BU46" s="914">
        <v>20</v>
      </c>
      <c r="BV46" s="914">
        <v>3.3200000000000003</v>
      </c>
      <c r="BW46" s="915">
        <v>1160</v>
      </c>
      <c r="BX46" s="1041">
        <v>3.8512000000000004</v>
      </c>
      <c r="BY46" s="1040">
        <v>8.9894117647058831</v>
      </c>
      <c r="BZ46" s="915">
        <v>6.7022618725781742</v>
      </c>
      <c r="CA46" s="915">
        <v>1.5638344462827281</v>
      </c>
      <c r="CB46" s="915" t="s">
        <v>18</v>
      </c>
      <c r="CC46" s="915" t="s">
        <v>18</v>
      </c>
      <c r="CD46" s="915" t="s">
        <v>18</v>
      </c>
      <c r="CE46" s="915">
        <v>0</v>
      </c>
      <c r="CF46" s="915">
        <v>0</v>
      </c>
      <c r="CG46" s="1041">
        <v>0</v>
      </c>
      <c r="CH46" s="915">
        <v>57.591529411764697</v>
      </c>
      <c r="CI46" s="915">
        <v>69.197676128842488</v>
      </c>
      <c r="CJ46" s="915">
        <v>-2</v>
      </c>
      <c r="CK46" s="915">
        <v>49.592705882352931</v>
      </c>
      <c r="CL46" s="915">
        <v>610</v>
      </c>
      <c r="CM46" s="1041">
        <v>30.359042457821278</v>
      </c>
      <c r="CN46" s="913"/>
      <c r="CO46" s="915"/>
      <c r="CP46" s="1041">
        <v>0</v>
      </c>
      <c r="CR46" s="1719">
        <f t="shared" si="1"/>
        <v>0</v>
      </c>
      <c r="CS46" s="873">
        <f t="shared" si="11"/>
        <v>0</v>
      </c>
      <c r="CT46" s="873">
        <f t="shared" si="12"/>
        <v>0</v>
      </c>
      <c r="CU46" s="912">
        <f t="shared" si="13"/>
        <v>0</v>
      </c>
      <c r="CV46" s="913">
        <f t="shared" si="14"/>
        <v>0</v>
      </c>
      <c r="CW46" s="913">
        <f t="shared" si="15"/>
        <v>0</v>
      </c>
      <c r="CX46" s="913">
        <f t="shared" si="16"/>
        <v>0</v>
      </c>
      <c r="CY46" s="913">
        <f t="shared" si="17"/>
        <v>0</v>
      </c>
      <c r="CZ46" s="913">
        <f t="shared" si="18"/>
        <v>0</v>
      </c>
      <c r="DA46" s="1767">
        <f t="shared" si="19"/>
        <v>0</v>
      </c>
      <c r="DB46" s="1040">
        <f t="shared" si="20"/>
        <v>0</v>
      </c>
      <c r="DC46" s="913">
        <f t="shared" si="21"/>
        <v>0</v>
      </c>
      <c r="DD46" s="915">
        <f t="shared" si="22"/>
        <v>0</v>
      </c>
      <c r="DE46" s="1768">
        <f t="shared" si="23"/>
        <v>0</v>
      </c>
      <c r="DF46" s="914">
        <f t="shared" si="24"/>
        <v>0</v>
      </c>
      <c r="DG46" s="915">
        <f t="shared" si="25"/>
        <v>0</v>
      </c>
      <c r="DH46" s="914">
        <f t="shared" si="26"/>
        <v>0</v>
      </c>
      <c r="DI46" s="914">
        <f t="shared" si="27"/>
        <v>0</v>
      </c>
      <c r="DJ46" s="914">
        <f t="shared" si="28"/>
        <v>0</v>
      </c>
      <c r="DK46" s="914">
        <f t="shared" si="29"/>
        <v>0</v>
      </c>
      <c r="DL46" s="915">
        <f t="shared" si="30"/>
        <v>0</v>
      </c>
      <c r="DM46" s="915">
        <f t="shared" si="31"/>
        <v>0</v>
      </c>
      <c r="DN46" s="1041">
        <f t="shared" si="32"/>
        <v>0</v>
      </c>
      <c r="DO46" s="914">
        <f t="shared" si="33"/>
        <v>0</v>
      </c>
      <c r="DP46" s="914">
        <f t="shared" si="34"/>
        <v>0</v>
      </c>
      <c r="DQ46" s="915">
        <f t="shared" si="35"/>
        <v>0</v>
      </c>
      <c r="DR46" s="1041">
        <f t="shared" si="36"/>
        <v>0</v>
      </c>
      <c r="DS46" s="1040">
        <f t="shared" si="37"/>
        <v>0</v>
      </c>
      <c r="DT46" s="915">
        <f t="shared" si="38"/>
        <v>0</v>
      </c>
      <c r="DU46" s="915">
        <f t="shared" si="39"/>
        <v>0</v>
      </c>
      <c r="DV46" s="915" t="e">
        <f t="shared" si="40"/>
        <v>#VALUE!</v>
      </c>
      <c r="DW46" s="915" t="e">
        <f t="shared" si="41"/>
        <v>#VALUE!</v>
      </c>
      <c r="DX46" s="915" t="e">
        <f t="shared" si="42"/>
        <v>#VALUE!</v>
      </c>
      <c r="DY46" s="915">
        <f t="shared" si="43"/>
        <v>0</v>
      </c>
      <c r="DZ46" s="915">
        <f t="shared" si="44"/>
        <v>0</v>
      </c>
      <c r="EA46" s="1041">
        <f t="shared" si="45"/>
        <v>0</v>
      </c>
      <c r="EB46" s="915">
        <f t="shared" si="2"/>
        <v>0</v>
      </c>
      <c r="EC46" s="915">
        <f t="shared" si="3"/>
        <v>0</v>
      </c>
      <c r="ED46" s="915">
        <f t="shared" si="4"/>
        <v>0</v>
      </c>
      <c r="EE46" s="915">
        <f t="shared" si="5"/>
        <v>0</v>
      </c>
      <c r="EF46" s="915">
        <f t="shared" si="6"/>
        <v>-110</v>
      </c>
      <c r="EG46" s="1041">
        <f t="shared" si="7"/>
        <v>-5.6481647032939613</v>
      </c>
      <c r="EH46" s="913">
        <f t="shared" si="8"/>
        <v>0</v>
      </c>
      <c r="EI46" s="915">
        <f t="shared" si="9"/>
        <v>0</v>
      </c>
      <c r="EJ46" s="1041">
        <f t="shared" si="10"/>
        <v>0</v>
      </c>
    </row>
    <row r="47" spans="1:140">
      <c r="A47" s="889">
        <f>Eingabedaten!A51</f>
        <v>12.9</v>
      </c>
      <c r="B47" s="1013" t="str">
        <f>Eingabedaten!C51</f>
        <v>Parkhaus</v>
      </c>
      <c r="C47" s="1719"/>
      <c r="D47" s="873"/>
      <c r="E47" s="873"/>
      <c r="F47" s="912"/>
      <c r="G47" s="913"/>
      <c r="H47" s="913"/>
      <c r="I47" s="913"/>
      <c r="J47" s="913"/>
      <c r="K47" s="913"/>
      <c r="L47" s="1767"/>
      <c r="M47" s="1040">
        <v>0.5</v>
      </c>
      <c r="N47" s="913">
        <v>2130</v>
      </c>
      <c r="O47" s="915">
        <v>1.0649999999999999</v>
      </c>
      <c r="P47" s="1768"/>
      <c r="Q47" s="914"/>
      <c r="R47" s="915">
        <v>48.55</v>
      </c>
      <c r="S47" s="914">
        <v>1.0424710424710426</v>
      </c>
      <c r="T47" s="914">
        <v>1.8523286417210205</v>
      </c>
      <c r="U47" s="914">
        <v>0</v>
      </c>
      <c r="V47" s="914">
        <v>1.8523286417210205</v>
      </c>
      <c r="W47" s="915">
        <v>640</v>
      </c>
      <c r="X47" s="915">
        <v>0</v>
      </c>
      <c r="Y47" s="1041">
        <v>1.1854903307014533</v>
      </c>
      <c r="Z47" s="914">
        <v>2</v>
      </c>
      <c r="AA47" s="914">
        <v>0.16600000000000001</v>
      </c>
      <c r="AB47" s="915">
        <v>1620</v>
      </c>
      <c r="AC47" s="1041">
        <v>0.26891999999999999</v>
      </c>
      <c r="AD47" s="1040">
        <v>0</v>
      </c>
      <c r="AE47" s="915">
        <v>2.3523286417210203</v>
      </c>
      <c r="AF47" s="915">
        <v>8.4660544684746526</v>
      </c>
      <c r="AG47" s="915" t="s">
        <v>18</v>
      </c>
      <c r="AH47" s="915" t="s">
        <v>18</v>
      </c>
      <c r="AI47" s="915" t="s">
        <v>18</v>
      </c>
      <c r="AJ47" s="915">
        <v>0</v>
      </c>
      <c r="AK47" s="915">
        <v>0</v>
      </c>
      <c r="AL47" s="1041">
        <v>0</v>
      </c>
      <c r="AM47" s="915">
        <v>275.2</v>
      </c>
      <c r="AN47" s="915">
        <v>130.81395348837211</v>
      </c>
      <c r="AO47" s="915">
        <v>-1</v>
      </c>
      <c r="AP47" s="915">
        <v>0</v>
      </c>
      <c r="AQ47" s="915">
        <v>0</v>
      </c>
      <c r="AR47" s="1041">
        <v>0</v>
      </c>
      <c r="AS47" s="913"/>
      <c r="AT47" s="915"/>
      <c r="AU47" s="1041">
        <v>0</v>
      </c>
      <c r="AX47" s="1719"/>
      <c r="AY47" s="873"/>
      <c r="AZ47" s="873"/>
      <c r="BA47" s="912"/>
      <c r="BB47" s="913"/>
      <c r="BC47" s="913"/>
      <c r="BD47" s="913"/>
      <c r="BE47" s="913"/>
      <c r="BF47" s="913"/>
      <c r="BG47" s="1767"/>
      <c r="BH47" s="1040">
        <v>0.5</v>
      </c>
      <c r="BI47" s="913">
        <v>2130</v>
      </c>
      <c r="BJ47" s="915">
        <v>1.0649999999999999</v>
      </c>
      <c r="BK47" s="1768"/>
      <c r="BL47" s="914"/>
      <c r="BM47" s="915">
        <v>48.55</v>
      </c>
      <c r="BN47" s="914">
        <v>1.0424710424710426</v>
      </c>
      <c r="BO47" s="914">
        <v>1.8523286417210205</v>
      </c>
      <c r="BP47" s="914">
        <v>0</v>
      </c>
      <c r="BQ47" s="914">
        <v>1.8523286417210205</v>
      </c>
      <c r="BR47" s="915">
        <v>640</v>
      </c>
      <c r="BS47" s="915">
        <v>0</v>
      </c>
      <c r="BT47" s="1041">
        <v>1.1854903307014533</v>
      </c>
      <c r="BU47" s="914">
        <v>2</v>
      </c>
      <c r="BV47" s="914">
        <v>0.16600000000000001</v>
      </c>
      <c r="BW47" s="915">
        <v>2100</v>
      </c>
      <c r="BX47" s="1041">
        <v>0.34860000000000002</v>
      </c>
      <c r="BY47" s="1040">
        <v>0</v>
      </c>
      <c r="BZ47" s="915">
        <v>2.3523286417210203</v>
      </c>
      <c r="CA47" s="915">
        <v>8.4660544684746526</v>
      </c>
      <c r="CB47" s="915" t="s">
        <v>18</v>
      </c>
      <c r="CC47" s="915" t="s">
        <v>18</v>
      </c>
      <c r="CD47" s="915" t="s">
        <v>18</v>
      </c>
      <c r="CE47" s="915">
        <v>0</v>
      </c>
      <c r="CF47" s="915">
        <v>0</v>
      </c>
      <c r="CG47" s="1041">
        <v>0</v>
      </c>
      <c r="CH47" s="915">
        <v>70.399999999999991</v>
      </c>
      <c r="CI47" s="915">
        <v>511.36363636363643</v>
      </c>
      <c r="CJ47" s="915">
        <v>0</v>
      </c>
      <c r="CK47" s="915">
        <v>0</v>
      </c>
      <c r="CL47" s="915">
        <v>0</v>
      </c>
      <c r="CM47" s="1041">
        <v>0</v>
      </c>
      <c r="CN47" s="913"/>
      <c r="CO47" s="915"/>
      <c r="CP47" s="1041">
        <v>0</v>
      </c>
      <c r="CR47" s="1719">
        <f t="shared" si="1"/>
        <v>0</v>
      </c>
      <c r="CS47" s="873">
        <f t="shared" si="11"/>
        <v>0</v>
      </c>
      <c r="CT47" s="873">
        <f t="shared" si="12"/>
        <v>0</v>
      </c>
      <c r="CU47" s="912">
        <f t="shared" si="13"/>
        <v>0</v>
      </c>
      <c r="CV47" s="913">
        <f t="shared" si="14"/>
        <v>0</v>
      </c>
      <c r="CW47" s="913">
        <f t="shared" si="15"/>
        <v>0</v>
      </c>
      <c r="CX47" s="913">
        <f t="shared" si="16"/>
        <v>0</v>
      </c>
      <c r="CY47" s="913">
        <f t="shared" si="17"/>
        <v>0</v>
      </c>
      <c r="CZ47" s="913">
        <f t="shared" si="18"/>
        <v>0</v>
      </c>
      <c r="DA47" s="1767">
        <f t="shared" si="19"/>
        <v>0</v>
      </c>
      <c r="DB47" s="1040">
        <f t="shared" si="20"/>
        <v>0</v>
      </c>
      <c r="DC47" s="913">
        <f t="shared" si="21"/>
        <v>0</v>
      </c>
      <c r="DD47" s="915">
        <f t="shared" si="22"/>
        <v>0</v>
      </c>
      <c r="DE47" s="1768">
        <f t="shared" si="23"/>
        <v>0</v>
      </c>
      <c r="DF47" s="914">
        <f t="shared" si="24"/>
        <v>0</v>
      </c>
      <c r="DG47" s="915">
        <f t="shared" si="25"/>
        <v>0</v>
      </c>
      <c r="DH47" s="914">
        <f t="shared" si="26"/>
        <v>0</v>
      </c>
      <c r="DI47" s="914">
        <f t="shared" si="27"/>
        <v>0</v>
      </c>
      <c r="DJ47" s="914">
        <f t="shared" si="28"/>
        <v>0</v>
      </c>
      <c r="DK47" s="914">
        <f t="shared" si="29"/>
        <v>0</v>
      </c>
      <c r="DL47" s="915">
        <f t="shared" si="30"/>
        <v>0</v>
      </c>
      <c r="DM47" s="915">
        <f t="shared" si="31"/>
        <v>0</v>
      </c>
      <c r="DN47" s="1041">
        <f t="shared" si="32"/>
        <v>0</v>
      </c>
      <c r="DO47" s="914">
        <f t="shared" si="33"/>
        <v>0</v>
      </c>
      <c r="DP47" s="914">
        <f t="shared" si="34"/>
        <v>0</v>
      </c>
      <c r="DQ47" s="915">
        <f t="shared" si="35"/>
        <v>-480</v>
      </c>
      <c r="DR47" s="1041">
        <f t="shared" si="36"/>
        <v>-7.9680000000000029E-2</v>
      </c>
      <c r="DS47" s="1040">
        <f t="shared" si="37"/>
        <v>0</v>
      </c>
      <c r="DT47" s="915">
        <f t="shared" si="38"/>
        <v>0</v>
      </c>
      <c r="DU47" s="915">
        <f t="shared" si="39"/>
        <v>0</v>
      </c>
      <c r="DV47" s="915" t="e">
        <f t="shared" si="40"/>
        <v>#VALUE!</v>
      </c>
      <c r="DW47" s="915" t="e">
        <f t="shared" si="41"/>
        <v>#VALUE!</v>
      </c>
      <c r="DX47" s="915" t="e">
        <f t="shared" si="42"/>
        <v>#VALUE!</v>
      </c>
      <c r="DY47" s="915">
        <f t="shared" si="43"/>
        <v>0</v>
      </c>
      <c r="DZ47" s="915">
        <f t="shared" si="44"/>
        <v>0</v>
      </c>
      <c r="EA47" s="1041">
        <f t="shared" si="45"/>
        <v>0</v>
      </c>
      <c r="EB47" s="915">
        <f t="shared" si="2"/>
        <v>204.8</v>
      </c>
      <c r="EC47" s="915">
        <f t="shared" si="3"/>
        <v>-380.54968287526435</v>
      </c>
      <c r="ED47" s="915">
        <f t="shared" si="4"/>
        <v>-1</v>
      </c>
      <c r="EE47" s="915">
        <f t="shared" si="5"/>
        <v>0</v>
      </c>
      <c r="EF47" s="915">
        <f t="shared" si="6"/>
        <v>0</v>
      </c>
      <c r="EG47" s="1041">
        <f t="shared" si="7"/>
        <v>0</v>
      </c>
      <c r="EH47" s="913">
        <f t="shared" si="8"/>
        <v>0</v>
      </c>
      <c r="EI47" s="915">
        <f t="shared" si="9"/>
        <v>0</v>
      </c>
      <c r="EJ47" s="1041">
        <f t="shared" si="10"/>
        <v>0</v>
      </c>
    </row>
    <row r="48" spans="1:140">
      <c r="A48" s="1713" t="str">
        <f>Eingabedaten!A52</f>
        <v>12.10</v>
      </c>
      <c r="B48" s="1013" t="str">
        <f>Eingabedaten!C52</f>
        <v>Wasch- und Trockenraum</v>
      </c>
      <c r="C48" s="1719"/>
      <c r="D48" s="873"/>
      <c r="E48" s="873"/>
      <c r="F48" s="912"/>
      <c r="G48" s="913"/>
      <c r="H48" s="913"/>
      <c r="I48" s="913"/>
      <c r="J48" s="913"/>
      <c r="K48" s="913"/>
      <c r="L48" s="1767"/>
      <c r="M48" s="1040">
        <v>15</v>
      </c>
      <c r="N48" s="913">
        <v>1720</v>
      </c>
      <c r="O48" s="915">
        <v>25.8</v>
      </c>
      <c r="P48" s="1768"/>
      <c r="Q48" s="914"/>
      <c r="R48" s="915">
        <v>54.800000000000004</v>
      </c>
      <c r="S48" s="914">
        <v>0.68067226890756305</v>
      </c>
      <c r="T48" s="914">
        <v>6.7022618725781742</v>
      </c>
      <c r="U48" s="914">
        <v>0</v>
      </c>
      <c r="V48" s="914">
        <v>6.7022618725781742</v>
      </c>
      <c r="W48" s="915">
        <v>180</v>
      </c>
      <c r="X48" s="915">
        <v>0</v>
      </c>
      <c r="Y48" s="1041">
        <v>1.2064071370640712</v>
      </c>
      <c r="Z48" s="914">
        <v>4</v>
      </c>
      <c r="AA48" s="914">
        <v>0.66400000000000003</v>
      </c>
      <c r="AB48" s="915">
        <v>1160</v>
      </c>
      <c r="AC48" s="1041">
        <v>0.77024000000000004</v>
      </c>
      <c r="AD48" s="1040">
        <v>8.9894117647058831</v>
      </c>
      <c r="AE48" s="915">
        <v>21.702261872578173</v>
      </c>
      <c r="AF48" s="915">
        <v>111.0638344462827</v>
      </c>
      <c r="AG48" s="915" t="s">
        <v>18</v>
      </c>
      <c r="AH48" s="915" t="s">
        <v>18</v>
      </c>
      <c r="AI48" s="915" t="s">
        <v>18</v>
      </c>
      <c r="AJ48" s="915">
        <v>0</v>
      </c>
      <c r="AK48" s="915">
        <v>0</v>
      </c>
      <c r="AL48" s="1041">
        <v>0</v>
      </c>
      <c r="AM48" s="915">
        <v>20.727529411764706</v>
      </c>
      <c r="AN48" s="915">
        <v>192.26604004903965</v>
      </c>
      <c r="AO48" s="915">
        <v>-1</v>
      </c>
      <c r="AP48" s="915">
        <v>0</v>
      </c>
      <c r="AQ48" s="915">
        <v>0</v>
      </c>
      <c r="AR48" s="1041">
        <v>0</v>
      </c>
      <c r="AS48" s="913"/>
      <c r="AT48" s="915"/>
      <c r="AU48" s="1041">
        <v>0</v>
      </c>
      <c r="AX48" s="1719"/>
      <c r="AY48" s="873"/>
      <c r="AZ48" s="873"/>
      <c r="BA48" s="912"/>
      <c r="BB48" s="913"/>
      <c r="BC48" s="913"/>
      <c r="BD48" s="913"/>
      <c r="BE48" s="913"/>
      <c r="BF48" s="913"/>
      <c r="BG48" s="1767"/>
      <c r="BH48" s="1040">
        <v>15</v>
      </c>
      <c r="BI48" s="913">
        <v>1720</v>
      </c>
      <c r="BJ48" s="915">
        <v>25.8</v>
      </c>
      <c r="BK48" s="1768"/>
      <c r="BL48" s="914"/>
      <c r="BM48" s="915">
        <v>54.800000000000004</v>
      </c>
      <c r="BN48" s="914">
        <v>0.68067226890756305</v>
      </c>
      <c r="BO48" s="914">
        <v>6.7022618725781742</v>
      </c>
      <c r="BP48" s="914">
        <v>0</v>
      </c>
      <c r="BQ48" s="914">
        <v>6.7022618725781742</v>
      </c>
      <c r="BR48" s="915">
        <v>180</v>
      </c>
      <c r="BS48" s="915">
        <v>0</v>
      </c>
      <c r="BT48" s="1041">
        <v>1.2064071370640712</v>
      </c>
      <c r="BU48" s="914">
        <v>4</v>
      </c>
      <c r="BV48" s="914">
        <v>0.66400000000000003</v>
      </c>
      <c r="BW48" s="915">
        <v>1490</v>
      </c>
      <c r="BX48" s="1041">
        <v>0.98936000000000002</v>
      </c>
      <c r="BY48" s="1040">
        <v>8.9894117647058831</v>
      </c>
      <c r="BZ48" s="915">
        <v>21.702261872578173</v>
      </c>
      <c r="CA48" s="915">
        <v>111.0638344462827</v>
      </c>
      <c r="CB48" s="915" t="s">
        <v>18</v>
      </c>
      <c r="CC48" s="915" t="s">
        <v>18</v>
      </c>
      <c r="CD48" s="915" t="s">
        <v>18</v>
      </c>
      <c r="CE48" s="915">
        <v>0</v>
      </c>
      <c r="CF48" s="915">
        <v>0</v>
      </c>
      <c r="CG48" s="1041">
        <v>0</v>
      </c>
      <c r="CH48" s="915">
        <v>20.727529411764706</v>
      </c>
      <c r="CI48" s="915">
        <v>192.26604004903965</v>
      </c>
      <c r="CJ48" s="915">
        <v>-1</v>
      </c>
      <c r="CK48" s="915">
        <v>0</v>
      </c>
      <c r="CL48" s="915">
        <v>0</v>
      </c>
      <c r="CM48" s="1041">
        <v>0</v>
      </c>
      <c r="CN48" s="913"/>
      <c r="CO48" s="915"/>
      <c r="CP48" s="1041">
        <v>0</v>
      </c>
      <c r="CR48" s="1719">
        <f t="shared" si="1"/>
        <v>0</v>
      </c>
      <c r="CS48" s="873">
        <f t="shared" si="11"/>
        <v>0</v>
      </c>
      <c r="CT48" s="873">
        <f t="shared" si="12"/>
        <v>0</v>
      </c>
      <c r="CU48" s="912">
        <f t="shared" si="13"/>
        <v>0</v>
      </c>
      <c r="CV48" s="913">
        <f t="shared" si="14"/>
        <v>0</v>
      </c>
      <c r="CW48" s="913">
        <f t="shared" si="15"/>
        <v>0</v>
      </c>
      <c r="CX48" s="913">
        <f t="shared" si="16"/>
        <v>0</v>
      </c>
      <c r="CY48" s="913">
        <f t="shared" si="17"/>
        <v>0</v>
      </c>
      <c r="CZ48" s="913">
        <f t="shared" si="18"/>
        <v>0</v>
      </c>
      <c r="DA48" s="1767">
        <f t="shared" si="19"/>
        <v>0</v>
      </c>
      <c r="DB48" s="1040">
        <f t="shared" si="20"/>
        <v>0</v>
      </c>
      <c r="DC48" s="913">
        <f t="shared" si="21"/>
        <v>0</v>
      </c>
      <c r="DD48" s="915">
        <f t="shared" si="22"/>
        <v>0</v>
      </c>
      <c r="DE48" s="1768">
        <f t="shared" si="23"/>
        <v>0</v>
      </c>
      <c r="DF48" s="914">
        <f t="shared" si="24"/>
        <v>0</v>
      </c>
      <c r="DG48" s="915">
        <f t="shared" si="25"/>
        <v>0</v>
      </c>
      <c r="DH48" s="914">
        <f t="shared" si="26"/>
        <v>0</v>
      </c>
      <c r="DI48" s="914">
        <f t="shared" si="27"/>
        <v>0</v>
      </c>
      <c r="DJ48" s="914">
        <f t="shared" si="28"/>
        <v>0</v>
      </c>
      <c r="DK48" s="914">
        <f t="shared" si="29"/>
        <v>0</v>
      </c>
      <c r="DL48" s="915">
        <f t="shared" si="30"/>
        <v>0</v>
      </c>
      <c r="DM48" s="915">
        <f t="shared" si="31"/>
        <v>0</v>
      </c>
      <c r="DN48" s="1041">
        <f t="shared" si="32"/>
        <v>0</v>
      </c>
      <c r="DO48" s="914">
        <f t="shared" si="33"/>
        <v>0</v>
      </c>
      <c r="DP48" s="914">
        <f t="shared" si="34"/>
        <v>0</v>
      </c>
      <c r="DQ48" s="915">
        <f t="shared" si="35"/>
        <v>-330</v>
      </c>
      <c r="DR48" s="1041">
        <f t="shared" si="36"/>
        <v>-0.21911999999999998</v>
      </c>
      <c r="DS48" s="1040">
        <f t="shared" si="37"/>
        <v>0</v>
      </c>
      <c r="DT48" s="915">
        <f t="shared" si="38"/>
        <v>0</v>
      </c>
      <c r="DU48" s="915">
        <f t="shared" si="39"/>
        <v>0</v>
      </c>
      <c r="DV48" s="915" t="e">
        <f t="shared" si="40"/>
        <v>#VALUE!</v>
      </c>
      <c r="DW48" s="915" t="e">
        <f t="shared" si="41"/>
        <v>#VALUE!</v>
      </c>
      <c r="DX48" s="915" t="e">
        <f t="shared" si="42"/>
        <v>#VALUE!</v>
      </c>
      <c r="DY48" s="915">
        <f t="shared" si="43"/>
        <v>0</v>
      </c>
      <c r="DZ48" s="915">
        <f t="shared" si="44"/>
        <v>0</v>
      </c>
      <c r="EA48" s="1041">
        <f t="shared" si="45"/>
        <v>0</v>
      </c>
      <c r="EB48" s="915">
        <f t="shared" si="2"/>
        <v>0</v>
      </c>
      <c r="EC48" s="915">
        <f t="shared" si="3"/>
        <v>0</v>
      </c>
      <c r="ED48" s="915">
        <f t="shared" si="4"/>
        <v>0</v>
      </c>
      <c r="EE48" s="915">
        <f t="shared" si="5"/>
        <v>0</v>
      </c>
      <c r="EF48" s="915">
        <f t="shared" si="6"/>
        <v>0</v>
      </c>
      <c r="EG48" s="1041">
        <f t="shared" si="7"/>
        <v>0</v>
      </c>
      <c r="EH48" s="913">
        <f t="shared" si="8"/>
        <v>0</v>
      </c>
      <c r="EI48" s="915">
        <f t="shared" si="9"/>
        <v>0</v>
      </c>
      <c r="EJ48" s="1041">
        <f t="shared" si="10"/>
        <v>0</v>
      </c>
    </row>
    <row r="49" spans="1:140" ht="12.75" customHeight="1">
      <c r="A49" s="1783">
        <f>Eingabedaten!A53</f>
        <v>12.11</v>
      </c>
      <c r="B49" s="1013" t="str">
        <f>Eingabedaten!C53</f>
        <v>Kühlraum</v>
      </c>
      <c r="C49" s="1719"/>
      <c r="D49" s="873"/>
      <c r="E49" s="873"/>
      <c r="F49" s="912"/>
      <c r="G49" s="913"/>
      <c r="H49" s="913"/>
      <c r="I49" s="913"/>
      <c r="J49" s="913"/>
      <c r="K49" s="913"/>
      <c r="L49" s="1767"/>
      <c r="M49" s="1040">
        <v>80</v>
      </c>
      <c r="N49" s="913">
        <v>3180</v>
      </c>
      <c r="O49" s="915">
        <v>254.4</v>
      </c>
      <c r="P49" s="1768"/>
      <c r="Q49" s="914"/>
      <c r="R49" s="915">
        <v>49.8</v>
      </c>
      <c r="S49" s="914">
        <v>0.68067226890756305</v>
      </c>
      <c r="T49" s="914">
        <v>3.6875898656353812</v>
      </c>
      <c r="U49" s="914">
        <v>0</v>
      </c>
      <c r="V49" s="914">
        <v>3.6875898656353812</v>
      </c>
      <c r="W49" s="915">
        <v>0</v>
      </c>
      <c r="X49" s="915">
        <v>0</v>
      </c>
      <c r="Y49" s="1041">
        <v>0</v>
      </c>
      <c r="Z49" s="914">
        <v>0</v>
      </c>
      <c r="AA49" s="914">
        <v>0</v>
      </c>
      <c r="AB49" s="915">
        <v>0</v>
      </c>
      <c r="AC49" s="1041">
        <v>0</v>
      </c>
      <c r="AD49" s="1040">
        <v>3.3811764705882354</v>
      </c>
      <c r="AE49" s="915">
        <v>3.6875898656353812</v>
      </c>
      <c r="AF49" s="915">
        <v>0</v>
      </c>
      <c r="AG49" s="915" t="s">
        <v>18</v>
      </c>
      <c r="AH49" s="915" t="s">
        <v>18</v>
      </c>
      <c r="AI49" s="915" t="s">
        <v>18</v>
      </c>
      <c r="AJ49" s="915">
        <v>0</v>
      </c>
      <c r="AK49" s="915">
        <v>0</v>
      </c>
      <c r="AL49" s="1041">
        <v>0</v>
      </c>
      <c r="AM49" s="915">
        <v>4.0574117647058827</v>
      </c>
      <c r="AN49" s="915">
        <v>1076.2526096033403</v>
      </c>
      <c r="AO49" s="915">
        <v>0</v>
      </c>
      <c r="AP49" s="915">
        <v>0</v>
      </c>
      <c r="AQ49" s="915">
        <v>0</v>
      </c>
      <c r="AR49" s="1041">
        <v>0</v>
      </c>
      <c r="AS49" s="913"/>
      <c r="AT49" s="915"/>
      <c r="AU49" s="1041">
        <v>0</v>
      </c>
      <c r="AX49" s="1719"/>
      <c r="AY49" s="873"/>
      <c r="AZ49" s="873"/>
      <c r="BA49" s="912"/>
      <c r="BB49" s="913"/>
      <c r="BC49" s="913"/>
      <c r="BD49" s="913"/>
      <c r="BE49" s="913"/>
      <c r="BF49" s="913"/>
      <c r="BG49" s="1767"/>
      <c r="BH49" s="1040">
        <v>80</v>
      </c>
      <c r="BI49" s="913">
        <v>3730</v>
      </c>
      <c r="BJ49" s="915">
        <v>298.39999999999998</v>
      </c>
      <c r="BK49" s="1768"/>
      <c r="BL49" s="914"/>
      <c r="BM49" s="915">
        <v>49.8</v>
      </c>
      <c r="BN49" s="914">
        <v>0.68067226890756305</v>
      </c>
      <c r="BO49" s="914">
        <v>3.6875898656353812</v>
      </c>
      <c r="BP49" s="914">
        <v>0</v>
      </c>
      <c r="BQ49" s="914">
        <v>3.6875898656353812</v>
      </c>
      <c r="BR49" s="915">
        <v>0</v>
      </c>
      <c r="BS49" s="915">
        <v>0</v>
      </c>
      <c r="BT49" s="1041">
        <v>0</v>
      </c>
      <c r="BU49" s="914">
        <v>0</v>
      </c>
      <c r="BV49" s="914">
        <v>0</v>
      </c>
      <c r="BW49" s="915">
        <v>0</v>
      </c>
      <c r="BX49" s="1041">
        <v>0</v>
      </c>
      <c r="BY49" s="1040">
        <v>3.3811764705882354</v>
      </c>
      <c r="BZ49" s="915">
        <v>3.6875898656353812</v>
      </c>
      <c r="CA49" s="915">
        <v>0</v>
      </c>
      <c r="CB49" s="915" t="s">
        <v>18</v>
      </c>
      <c r="CC49" s="915" t="s">
        <v>18</v>
      </c>
      <c r="CD49" s="915" t="s">
        <v>18</v>
      </c>
      <c r="CE49" s="915">
        <v>0</v>
      </c>
      <c r="CF49" s="915">
        <v>0</v>
      </c>
      <c r="CG49" s="1041">
        <v>0</v>
      </c>
      <c r="CH49" s="915">
        <v>4.0574117647058827</v>
      </c>
      <c r="CI49" s="915">
        <v>1076.2526096033403</v>
      </c>
      <c r="CJ49" s="915">
        <v>0</v>
      </c>
      <c r="CK49" s="915">
        <v>0</v>
      </c>
      <c r="CL49" s="915">
        <v>0</v>
      </c>
      <c r="CM49" s="1041">
        <v>0</v>
      </c>
      <c r="CN49" s="913"/>
      <c r="CO49" s="915"/>
      <c r="CP49" s="1041">
        <v>0</v>
      </c>
      <c r="CR49" s="1719">
        <f t="shared" si="1"/>
        <v>0</v>
      </c>
      <c r="CS49" s="873">
        <f t="shared" si="11"/>
        <v>0</v>
      </c>
      <c r="CT49" s="873">
        <f t="shared" si="12"/>
        <v>0</v>
      </c>
      <c r="CU49" s="912">
        <f t="shared" si="13"/>
        <v>0</v>
      </c>
      <c r="CV49" s="913">
        <f t="shared" si="14"/>
        <v>0</v>
      </c>
      <c r="CW49" s="913">
        <f t="shared" si="15"/>
        <v>0</v>
      </c>
      <c r="CX49" s="913">
        <f t="shared" si="16"/>
        <v>0</v>
      </c>
      <c r="CY49" s="913">
        <f t="shared" si="17"/>
        <v>0</v>
      </c>
      <c r="CZ49" s="913">
        <f t="shared" si="18"/>
        <v>0</v>
      </c>
      <c r="DA49" s="1767">
        <f t="shared" si="19"/>
        <v>0</v>
      </c>
      <c r="DB49" s="1040">
        <f t="shared" si="20"/>
        <v>0</v>
      </c>
      <c r="DC49" s="913">
        <f t="shared" si="21"/>
        <v>-550</v>
      </c>
      <c r="DD49" s="915">
        <f t="shared" si="22"/>
        <v>-43.999999999999972</v>
      </c>
      <c r="DE49" s="1768">
        <f t="shared" si="23"/>
        <v>0</v>
      </c>
      <c r="DF49" s="914">
        <f t="shared" si="24"/>
        <v>0</v>
      </c>
      <c r="DG49" s="915">
        <f t="shared" si="25"/>
        <v>0</v>
      </c>
      <c r="DH49" s="914">
        <f t="shared" si="26"/>
        <v>0</v>
      </c>
      <c r="DI49" s="914">
        <f t="shared" si="27"/>
        <v>0</v>
      </c>
      <c r="DJ49" s="914">
        <f t="shared" si="28"/>
        <v>0</v>
      </c>
      <c r="DK49" s="914">
        <f t="shared" si="29"/>
        <v>0</v>
      </c>
      <c r="DL49" s="915">
        <f t="shared" si="30"/>
        <v>0</v>
      </c>
      <c r="DM49" s="915">
        <f t="shared" si="31"/>
        <v>0</v>
      </c>
      <c r="DN49" s="1041">
        <f t="shared" si="32"/>
        <v>0</v>
      </c>
      <c r="DO49" s="914">
        <f t="shared" si="33"/>
        <v>0</v>
      </c>
      <c r="DP49" s="914">
        <f t="shared" si="34"/>
        <v>0</v>
      </c>
      <c r="DQ49" s="915">
        <f t="shared" si="35"/>
        <v>0</v>
      </c>
      <c r="DR49" s="1041">
        <f t="shared" si="36"/>
        <v>0</v>
      </c>
      <c r="DS49" s="1040">
        <f t="shared" si="37"/>
        <v>0</v>
      </c>
      <c r="DT49" s="915">
        <f t="shared" si="38"/>
        <v>0</v>
      </c>
      <c r="DU49" s="915">
        <f t="shared" si="39"/>
        <v>0</v>
      </c>
      <c r="DV49" s="915" t="e">
        <f t="shared" si="40"/>
        <v>#VALUE!</v>
      </c>
      <c r="DW49" s="915" t="e">
        <f t="shared" si="41"/>
        <v>#VALUE!</v>
      </c>
      <c r="DX49" s="915" t="e">
        <f t="shared" si="42"/>
        <v>#VALUE!</v>
      </c>
      <c r="DY49" s="915">
        <f t="shared" si="43"/>
        <v>0</v>
      </c>
      <c r="DZ49" s="915">
        <f t="shared" si="44"/>
        <v>0</v>
      </c>
      <c r="EA49" s="1041">
        <f t="shared" si="45"/>
        <v>0</v>
      </c>
      <c r="EB49" s="915">
        <f t="shared" si="2"/>
        <v>0</v>
      </c>
      <c r="EC49" s="915">
        <f t="shared" si="3"/>
        <v>0</v>
      </c>
      <c r="ED49" s="915">
        <f t="shared" si="4"/>
        <v>0</v>
      </c>
      <c r="EE49" s="915">
        <f t="shared" si="5"/>
        <v>0</v>
      </c>
      <c r="EF49" s="915">
        <f t="shared" si="6"/>
        <v>0</v>
      </c>
      <c r="EG49" s="1041">
        <f t="shared" si="7"/>
        <v>0</v>
      </c>
      <c r="EH49" s="913">
        <f t="shared" si="8"/>
        <v>0</v>
      </c>
      <c r="EI49" s="915">
        <f t="shared" si="9"/>
        <v>0</v>
      </c>
      <c r="EJ49" s="1041">
        <f t="shared" si="10"/>
        <v>0</v>
      </c>
    </row>
    <row r="50" spans="1:140">
      <c r="A50" s="1784">
        <f>Eingabedaten!A54</f>
        <v>12.12</v>
      </c>
      <c r="B50" s="1785" t="str">
        <f>Eingabedaten!C54</f>
        <v>Serverraum</v>
      </c>
      <c r="C50" s="1786"/>
      <c r="D50" s="1787"/>
      <c r="E50" s="1787"/>
      <c r="F50" s="1758"/>
      <c r="G50" s="1759"/>
      <c r="H50" s="1759"/>
      <c r="I50" s="1759"/>
      <c r="J50" s="1759"/>
      <c r="K50" s="1759"/>
      <c r="L50" s="1760"/>
      <c r="M50" s="1774">
        <v>50</v>
      </c>
      <c r="N50" s="1759">
        <v>7010</v>
      </c>
      <c r="O50" s="1762">
        <v>350.5</v>
      </c>
      <c r="P50" s="1775"/>
      <c r="Q50" s="1761"/>
      <c r="R50" s="1762">
        <v>49.8</v>
      </c>
      <c r="S50" s="1761">
        <v>0.58002148227712136</v>
      </c>
      <c r="T50" s="1761">
        <v>4.3274951658485801</v>
      </c>
      <c r="U50" s="1761">
        <v>0</v>
      </c>
      <c r="V50" s="1761">
        <v>4.3274951658485801</v>
      </c>
      <c r="W50" s="1762">
        <v>0</v>
      </c>
      <c r="X50" s="1762">
        <v>0</v>
      </c>
      <c r="Y50" s="1776">
        <v>0</v>
      </c>
      <c r="Z50" s="1761">
        <v>2</v>
      </c>
      <c r="AA50" s="1761">
        <v>0.68</v>
      </c>
      <c r="AB50" s="1762">
        <v>1620</v>
      </c>
      <c r="AC50" s="1776">
        <v>1.1016000000000001</v>
      </c>
      <c r="AD50" s="1774">
        <v>1.5218823529411765</v>
      </c>
      <c r="AE50" s="1762">
        <v>54.327495165848582</v>
      </c>
      <c r="AF50" s="1762">
        <v>1200</v>
      </c>
      <c r="AG50" s="1762" t="s">
        <v>1259</v>
      </c>
      <c r="AH50" s="1762" t="s">
        <v>1259</v>
      </c>
      <c r="AI50" s="1762" t="s">
        <v>1259</v>
      </c>
      <c r="AJ50" s="1762">
        <v>51</v>
      </c>
      <c r="AK50" s="1762">
        <v>6580</v>
      </c>
      <c r="AL50" s="1776">
        <v>335.5675</v>
      </c>
      <c r="AM50" s="1762">
        <v>5.0729411764705876</v>
      </c>
      <c r="AN50" s="1762">
        <v>478.22356215213364</v>
      </c>
      <c r="AO50" s="1762">
        <v>0</v>
      </c>
      <c r="AP50" s="1762">
        <v>6.5948235294117641</v>
      </c>
      <c r="AQ50" s="1762">
        <v>0</v>
      </c>
      <c r="AR50" s="1776">
        <v>4.6482077446322968E-11</v>
      </c>
      <c r="AS50" s="1759"/>
      <c r="AT50" s="1762"/>
      <c r="AU50" s="1776">
        <v>0</v>
      </c>
      <c r="AX50" s="1786"/>
      <c r="AY50" s="1787"/>
      <c r="AZ50" s="1787"/>
      <c r="BA50" s="1758"/>
      <c r="BB50" s="1759"/>
      <c r="BC50" s="1759"/>
      <c r="BD50" s="1759"/>
      <c r="BE50" s="1759"/>
      <c r="BF50" s="1759"/>
      <c r="BG50" s="1760"/>
      <c r="BH50" s="1774">
        <v>50</v>
      </c>
      <c r="BI50" s="1759">
        <v>7010</v>
      </c>
      <c r="BJ50" s="1762">
        <v>350.5</v>
      </c>
      <c r="BK50" s="1775"/>
      <c r="BL50" s="1761"/>
      <c r="BM50" s="1762">
        <v>49.8</v>
      </c>
      <c r="BN50" s="1761">
        <v>0.58002148227712136</v>
      </c>
      <c r="BO50" s="1761">
        <v>4.3274951658485801</v>
      </c>
      <c r="BP50" s="1761">
        <v>0</v>
      </c>
      <c r="BQ50" s="1761">
        <v>4.3274951658485801</v>
      </c>
      <c r="BR50" s="1762">
        <v>0</v>
      </c>
      <c r="BS50" s="1762">
        <v>0</v>
      </c>
      <c r="BT50" s="1776">
        <v>0</v>
      </c>
      <c r="BU50" s="1761">
        <v>2</v>
      </c>
      <c r="BV50" s="1761">
        <v>0.68</v>
      </c>
      <c r="BW50" s="1762">
        <v>2100</v>
      </c>
      <c r="BX50" s="1776">
        <v>1.4279999999999999</v>
      </c>
      <c r="BY50" s="1774">
        <v>1.5218823529411765</v>
      </c>
      <c r="BZ50" s="1762">
        <v>54.327495165848582</v>
      </c>
      <c r="CA50" s="1762">
        <v>1200</v>
      </c>
      <c r="CB50" s="1762" t="s">
        <v>785</v>
      </c>
      <c r="CC50" s="1762" t="s">
        <v>785</v>
      </c>
      <c r="CD50" s="1762" t="s">
        <v>785</v>
      </c>
      <c r="CE50" s="1762">
        <v>51</v>
      </c>
      <c r="CF50" s="1762">
        <v>6580</v>
      </c>
      <c r="CG50" s="1776">
        <v>335.5675</v>
      </c>
      <c r="CH50" s="1762">
        <v>5.0729411764705876</v>
      </c>
      <c r="CI50" s="1762">
        <v>478.22356215213364</v>
      </c>
      <c r="CJ50" s="1762">
        <v>0</v>
      </c>
      <c r="CK50" s="1762">
        <v>6.5948235294117641</v>
      </c>
      <c r="CL50" s="1762">
        <v>0</v>
      </c>
      <c r="CM50" s="1776">
        <v>1.1228369786456865E-3</v>
      </c>
      <c r="CN50" s="1759"/>
      <c r="CO50" s="1762"/>
      <c r="CP50" s="1776">
        <v>0</v>
      </c>
      <c r="CR50" s="1786">
        <f t="shared" si="1"/>
        <v>0</v>
      </c>
      <c r="CS50" s="1787">
        <f t="shared" si="11"/>
        <v>0</v>
      </c>
      <c r="CT50" s="1787">
        <f t="shared" si="12"/>
        <v>0</v>
      </c>
      <c r="CU50" s="1758">
        <f t="shared" si="13"/>
        <v>0</v>
      </c>
      <c r="CV50" s="1759">
        <f t="shared" si="14"/>
        <v>0</v>
      </c>
      <c r="CW50" s="1759">
        <f t="shared" si="15"/>
        <v>0</v>
      </c>
      <c r="CX50" s="1759">
        <f t="shared" si="16"/>
        <v>0</v>
      </c>
      <c r="CY50" s="1759">
        <f t="shared" si="17"/>
        <v>0</v>
      </c>
      <c r="CZ50" s="1759">
        <f t="shared" si="18"/>
        <v>0</v>
      </c>
      <c r="DA50" s="1760">
        <f t="shared" si="19"/>
        <v>0</v>
      </c>
      <c r="DB50" s="1774">
        <f t="shared" si="20"/>
        <v>0</v>
      </c>
      <c r="DC50" s="1759">
        <f t="shared" si="21"/>
        <v>0</v>
      </c>
      <c r="DD50" s="1762">
        <f t="shared" si="22"/>
        <v>0</v>
      </c>
      <c r="DE50" s="1775">
        <f t="shared" si="23"/>
        <v>0</v>
      </c>
      <c r="DF50" s="1761">
        <f t="shared" si="24"/>
        <v>0</v>
      </c>
      <c r="DG50" s="1762">
        <f t="shared" si="25"/>
        <v>0</v>
      </c>
      <c r="DH50" s="1761">
        <f t="shared" si="26"/>
        <v>0</v>
      </c>
      <c r="DI50" s="1761">
        <f t="shared" si="27"/>
        <v>0</v>
      </c>
      <c r="DJ50" s="1761">
        <f t="shared" si="28"/>
        <v>0</v>
      </c>
      <c r="DK50" s="1761">
        <f t="shared" si="29"/>
        <v>0</v>
      </c>
      <c r="DL50" s="1762">
        <f t="shared" si="30"/>
        <v>0</v>
      </c>
      <c r="DM50" s="1762">
        <f t="shared" si="31"/>
        <v>0</v>
      </c>
      <c r="DN50" s="1776">
        <f t="shared" si="32"/>
        <v>0</v>
      </c>
      <c r="DO50" s="1761">
        <f t="shared" si="33"/>
        <v>0</v>
      </c>
      <c r="DP50" s="1761">
        <f t="shared" si="34"/>
        <v>0</v>
      </c>
      <c r="DQ50" s="1762">
        <f t="shared" si="35"/>
        <v>-480</v>
      </c>
      <c r="DR50" s="1776">
        <f t="shared" si="36"/>
        <v>-0.3263999999999998</v>
      </c>
      <c r="DS50" s="1774">
        <f t="shared" si="37"/>
        <v>0</v>
      </c>
      <c r="DT50" s="1762">
        <f t="shared" si="38"/>
        <v>0</v>
      </c>
      <c r="DU50" s="1762">
        <f t="shared" si="39"/>
        <v>0</v>
      </c>
      <c r="DV50" s="1762" t="e">
        <f t="shared" si="40"/>
        <v>#VALUE!</v>
      </c>
      <c r="DW50" s="1762" t="e">
        <f t="shared" si="41"/>
        <v>#VALUE!</v>
      </c>
      <c r="DX50" s="1762" t="e">
        <f t="shared" si="42"/>
        <v>#VALUE!</v>
      </c>
      <c r="DY50" s="1762">
        <f t="shared" si="43"/>
        <v>0</v>
      </c>
      <c r="DZ50" s="1762">
        <f t="shared" si="44"/>
        <v>0</v>
      </c>
      <c r="EA50" s="1776">
        <f t="shared" si="45"/>
        <v>0</v>
      </c>
      <c r="EB50" s="1762">
        <f t="shared" si="2"/>
        <v>0</v>
      </c>
      <c r="EC50" s="1762">
        <f t="shared" si="3"/>
        <v>0</v>
      </c>
      <c r="ED50" s="1762">
        <f t="shared" si="4"/>
        <v>0</v>
      </c>
      <c r="EE50" s="1762">
        <f t="shared" si="5"/>
        <v>0</v>
      </c>
      <c r="EF50" s="1762">
        <f t="shared" si="6"/>
        <v>0</v>
      </c>
      <c r="EG50" s="1776">
        <f t="shared" si="7"/>
        <v>-1.122836932163609E-3</v>
      </c>
      <c r="EH50" s="1759">
        <f t="shared" si="8"/>
        <v>0</v>
      </c>
      <c r="EI50" s="1762">
        <f t="shared" si="9"/>
        <v>0</v>
      </c>
      <c r="EJ50" s="1776">
        <f t="shared" si="10"/>
        <v>0</v>
      </c>
    </row>
  </sheetData>
  <sheetProtection password="DFA6" sheet="1" objects="1" scenarios="1"/>
  <pageMargins left="0.70866141732283472" right="0.70866141732283472" top="0.74803149606299213" bottom="0.74803149606299213" header="0.31496062992125984" footer="0.31496062992125984"/>
  <pageSetup paperSize="8" scale="93" fitToWidth="0" orientation="landscape" r:id="rId1"/>
  <headerFooter>
    <oddHeader>&amp;R&amp;D</oddHeader>
    <oddFooter>&amp;C SIA 2024, Copyright © 201X by SIA Zurich&amp;R&amp;P/&amp;N</oddFooter>
  </headerFooter>
  <colBreaks count="1" manualBreakCount="1">
    <brk id="29" max="49"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tabColor theme="6" tint="0.59999389629810485"/>
    <pageSetUpPr fitToPage="1"/>
  </sheetPr>
  <dimension ref="A1:EJ55"/>
  <sheetViews>
    <sheetView showGridLines="0" showRowColHeaders="0" topLeftCell="N1" zoomScale="90" zoomScaleNormal="90" workbookViewId="0">
      <selection activeCell="D33" sqref="D33"/>
    </sheetView>
  </sheetViews>
  <sheetFormatPr baseColWidth="10" defaultColWidth="11.44140625" defaultRowHeight="13.2"/>
  <cols>
    <col min="1" max="1" width="6.5546875" style="1031" customWidth="1"/>
    <col min="2" max="2" width="30.44140625" style="1031" customWidth="1"/>
    <col min="3" max="3" width="6.44140625" style="1031" hidden="1" customWidth="1"/>
    <col min="4" max="4" width="7.109375" style="1031" hidden="1" customWidth="1"/>
    <col min="5" max="6" width="6.5546875" style="1031" hidden="1" customWidth="1"/>
    <col min="7" max="7" width="5.44140625" style="1031" hidden="1" customWidth="1"/>
    <col min="8" max="8" width="4.44140625" style="1031" hidden="1" customWidth="1"/>
    <col min="9" max="9" width="5.33203125" style="1031" hidden="1" customWidth="1"/>
    <col min="10" max="10" width="11.44140625" style="1031" hidden="1" customWidth="1"/>
    <col min="11" max="11" width="5.88671875" style="1031" hidden="1" customWidth="1"/>
    <col min="12" max="12" width="7.44140625" style="1031" hidden="1" customWidth="1"/>
    <col min="13" max="13" width="11.44140625" style="1031" hidden="1" customWidth="1"/>
    <col min="14" max="14" width="7.109375" style="1031" customWidth="1"/>
    <col min="15" max="15" width="7.88671875" style="1031" customWidth="1"/>
    <col min="16" max="16" width="4.33203125" style="1031" customWidth="1"/>
    <col min="17" max="17" width="3.5546875" style="1031" customWidth="1"/>
    <col min="18" max="18" width="6.109375" style="1031" customWidth="1"/>
    <col min="19" max="19" width="5.109375" style="1031" customWidth="1"/>
    <col min="20" max="20" width="7" style="1031" customWidth="1"/>
    <col min="21" max="21" width="11.44140625" style="1031" hidden="1" customWidth="1"/>
    <col min="22" max="22" width="7.88671875" style="1031" customWidth="1"/>
    <col min="23" max="23" width="6.88671875" style="1031" customWidth="1"/>
    <col min="24" max="24" width="7" style="1031" customWidth="1"/>
    <col min="25" max="25" width="8.33203125" style="1031" customWidth="1"/>
    <col min="26" max="26" width="11.44140625" style="1031" hidden="1" customWidth="1"/>
    <col min="27" max="27" width="7.44140625" style="1031" customWidth="1"/>
    <col min="28" max="28" width="6.44140625" style="1031" customWidth="1"/>
    <col min="29" max="29" width="8.33203125" style="1031" customWidth="1"/>
    <col min="30" max="30" width="6.5546875" style="1031" customWidth="1"/>
    <col min="31" max="31" width="6.109375" style="1031" customWidth="1"/>
    <col min="32" max="32" width="7.5546875" style="1031" customWidth="1"/>
    <col min="33" max="35" width="7.33203125" style="1031" customWidth="1"/>
    <col min="36" max="36" width="6.109375" style="1031" customWidth="1"/>
    <col min="37" max="37" width="5.88671875" style="1031" customWidth="1"/>
    <col min="38" max="38" width="7.88671875" style="1031" bestFit="1" customWidth="1"/>
    <col min="39" max="39" width="6" style="1031" customWidth="1"/>
    <col min="40" max="40" width="4.44140625" style="1031" bestFit="1" customWidth="1"/>
    <col min="41" max="41" width="3.5546875" style="1031" bestFit="1" customWidth="1"/>
    <col min="42" max="42" width="5.88671875" style="1031" bestFit="1" customWidth="1"/>
    <col min="43" max="43" width="6.109375" style="1031" customWidth="1"/>
    <col min="44" max="44" width="7.88671875" style="1031" bestFit="1" customWidth="1"/>
    <col min="45" max="45" width="6.88671875" style="1031" hidden="1" customWidth="1"/>
    <col min="46" max="46" width="6.44140625" style="1031" hidden="1" customWidth="1"/>
    <col min="47" max="47" width="8.88671875" style="1031" customWidth="1"/>
    <col min="48" max="49" width="11.44140625" style="1031"/>
    <col min="50" max="140" width="6.5546875" style="1031" hidden="1" customWidth="1"/>
    <col min="141" max="16384" width="11.44140625" style="1031"/>
  </cols>
  <sheetData>
    <row r="1" spans="1:140" ht="15.6">
      <c r="A1" s="356" t="str">
        <f>Begriffe!F361</f>
        <v>SIA 2024 - Resultate Bestand</v>
      </c>
      <c r="B1" s="873"/>
      <c r="C1" s="873"/>
      <c r="D1" s="873"/>
      <c r="E1" s="873"/>
      <c r="F1" s="873"/>
      <c r="G1" s="873"/>
      <c r="H1" s="873"/>
      <c r="I1" s="873"/>
      <c r="J1" s="873"/>
      <c r="K1" s="873"/>
      <c r="L1" s="873"/>
      <c r="M1" s="873"/>
      <c r="N1" s="873"/>
      <c r="O1" s="873"/>
      <c r="P1" s="873"/>
      <c r="Q1" s="873"/>
      <c r="R1" s="873"/>
      <c r="S1" s="873"/>
      <c r="T1" s="873"/>
      <c r="U1" s="873"/>
      <c r="V1" s="873"/>
      <c r="W1" s="873"/>
      <c r="X1" s="873"/>
      <c r="Y1" s="873"/>
      <c r="Z1" s="873"/>
      <c r="AA1" s="873"/>
      <c r="AB1" s="873"/>
      <c r="AC1" s="873"/>
      <c r="AD1" s="873"/>
      <c r="AE1" s="873"/>
      <c r="AF1" s="873"/>
      <c r="AG1" s="873"/>
    </row>
    <row r="2" spans="1:140">
      <c r="A2" s="873"/>
      <c r="B2" s="873"/>
      <c r="C2" s="1752" t="s">
        <v>26</v>
      </c>
      <c r="D2" s="1752" t="s">
        <v>26</v>
      </c>
      <c r="E2" s="1752" t="s">
        <v>26</v>
      </c>
      <c r="F2" s="1753" t="s">
        <v>26</v>
      </c>
      <c r="G2" s="1753" t="s">
        <v>26</v>
      </c>
      <c r="H2" s="1753" t="s">
        <v>26</v>
      </c>
      <c r="I2" s="1753" t="s">
        <v>26</v>
      </c>
      <c r="J2" s="1753" t="s">
        <v>26</v>
      </c>
      <c r="K2" s="1753" t="s">
        <v>26</v>
      </c>
      <c r="L2" s="1753" t="s">
        <v>26</v>
      </c>
      <c r="M2" s="1753" t="s">
        <v>26</v>
      </c>
      <c r="N2" s="1753"/>
      <c r="O2" s="1753"/>
      <c r="P2" s="1753"/>
      <c r="Q2" s="1753"/>
      <c r="R2" s="1753"/>
      <c r="S2" s="1753"/>
      <c r="T2" s="1753"/>
      <c r="U2" s="1753" t="s">
        <v>26</v>
      </c>
      <c r="V2" s="1753"/>
      <c r="W2" s="1753"/>
      <c r="X2" s="1753"/>
      <c r="Y2" s="1753"/>
      <c r="Z2" s="1753" t="s">
        <v>26</v>
      </c>
      <c r="AA2" s="1753"/>
      <c r="AB2" s="1753"/>
      <c r="AC2" s="1753"/>
      <c r="AD2" s="1753"/>
      <c r="AE2" s="1753"/>
      <c r="AF2" s="1753"/>
      <c r="AG2" s="1753"/>
      <c r="AH2" s="1753"/>
      <c r="AI2" s="1753"/>
      <c r="AJ2" s="1753"/>
      <c r="AK2" s="1753"/>
      <c r="AL2" s="1753"/>
      <c r="AM2" s="1753"/>
      <c r="AN2" s="1753"/>
      <c r="AO2" s="1753"/>
      <c r="AP2" s="1753"/>
      <c r="AQ2" s="1753"/>
      <c r="AR2" s="1753"/>
      <c r="AS2" s="1753" t="s">
        <v>26</v>
      </c>
      <c r="AT2" s="1753" t="s">
        <v>26</v>
      </c>
      <c r="AU2" s="1753"/>
    </row>
    <row r="3" spans="1:140">
      <c r="A3" s="286" t="str">
        <f>Begriffe!F195</f>
        <v>Raumnutzung</v>
      </c>
      <c r="B3" s="1754"/>
      <c r="C3" s="286" t="str">
        <f>Begriffe!F196</f>
        <v>Raum</v>
      </c>
      <c r="D3" s="287"/>
      <c r="E3" s="287"/>
      <c r="F3" s="515" t="str">
        <f>Begriffe!F201</f>
        <v>Personen</v>
      </c>
      <c r="G3" s="517"/>
      <c r="H3" s="517"/>
      <c r="I3" s="517"/>
      <c r="J3" s="517"/>
      <c r="K3" s="517"/>
      <c r="L3" s="1755"/>
      <c r="M3" s="515" t="str">
        <f>Begriffe!F202</f>
        <v>Geräte</v>
      </c>
      <c r="N3" s="517" t="str">
        <f>Begriffe!F202</f>
        <v>Geräte</v>
      </c>
      <c r="O3" s="874"/>
      <c r="P3" s="515" t="str">
        <f>Begriffe!F203</f>
        <v>Beleuchtung</v>
      </c>
      <c r="Q3" s="874"/>
      <c r="R3" s="874"/>
      <c r="S3" s="874"/>
      <c r="T3" s="517"/>
      <c r="U3" s="517"/>
      <c r="V3" s="517"/>
      <c r="W3" s="517"/>
      <c r="X3" s="517"/>
      <c r="Y3" s="518"/>
      <c r="Z3" s="515" t="str">
        <f>Begriffe!F205</f>
        <v>Lüftung</v>
      </c>
      <c r="AA3" s="515" t="str">
        <f>Begriffe!F205</f>
        <v>Lüftung</v>
      </c>
      <c r="AB3" s="517"/>
      <c r="AC3" s="518"/>
      <c r="AD3" s="515" t="str">
        <f>Begriffe!F206</f>
        <v>Raumkühlung</v>
      </c>
      <c r="AE3" s="517"/>
      <c r="AF3" s="517"/>
      <c r="AG3" s="517"/>
      <c r="AH3" s="517"/>
      <c r="AI3" s="517"/>
      <c r="AJ3" s="517"/>
      <c r="AK3" s="517"/>
      <c r="AL3" s="518"/>
      <c r="AM3" s="517" t="str">
        <f>Begriffe!F208</f>
        <v>Raumheizung</v>
      </c>
      <c r="AN3" s="517"/>
      <c r="AO3" s="517"/>
      <c r="AP3" s="517"/>
      <c r="AQ3" s="517"/>
      <c r="AR3" s="518"/>
      <c r="AS3" s="517" t="str">
        <f>Begriffe!F209</f>
        <v>Wasser</v>
      </c>
      <c r="AT3" s="517"/>
      <c r="AU3" s="518" t="str">
        <f>Begriffe!F209</f>
        <v>Wasser</v>
      </c>
      <c r="AX3" s="286" t="s">
        <v>0</v>
      </c>
      <c r="AY3" s="287"/>
      <c r="AZ3" s="287"/>
      <c r="BA3" s="515" t="s">
        <v>12</v>
      </c>
      <c r="BB3" s="517"/>
      <c r="BC3" s="517"/>
      <c r="BD3" s="517"/>
      <c r="BE3" s="517"/>
      <c r="BF3" s="517"/>
      <c r="BG3" s="1755"/>
      <c r="BH3" s="515" t="s">
        <v>64</v>
      </c>
      <c r="BI3" s="517" t="s">
        <v>64</v>
      </c>
      <c r="BJ3" s="874"/>
      <c r="BK3" s="515" t="s">
        <v>19</v>
      </c>
      <c r="BL3" s="874"/>
      <c r="BM3" s="874"/>
      <c r="BN3" s="874"/>
      <c r="BO3" s="517"/>
      <c r="BP3" s="517"/>
      <c r="BQ3" s="517"/>
      <c r="BR3" s="517"/>
      <c r="BS3" s="517"/>
      <c r="BT3" s="518"/>
      <c r="BU3" s="515" t="s">
        <v>23</v>
      </c>
      <c r="BV3" s="515" t="s">
        <v>23</v>
      </c>
      <c r="BW3" s="517"/>
      <c r="BX3" s="518"/>
      <c r="BY3" s="515" t="s">
        <v>369</v>
      </c>
      <c r="BZ3" s="517"/>
      <c r="CA3" s="517"/>
      <c r="CB3" s="517"/>
      <c r="CC3" s="517"/>
      <c r="CD3" s="517"/>
      <c r="CE3" s="517"/>
      <c r="CF3" s="517"/>
      <c r="CG3" s="518"/>
      <c r="CH3" s="517" t="s">
        <v>370</v>
      </c>
      <c r="CI3" s="517"/>
      <c r="CJ3" s="517"/>
      <c r="CK3" s="517"/>
      <c r="CL3" s="517"/>
      <c r="CM3" s="518"/>
      <c r="CN3" s="517" t="s">
        <v>772</v>
      </c>
      <c r="CO3" s="517"/>
      <c r="CP3" s="518"/>
      <c r="CR3" s="286" t="s">
        <v>0</v>
      </c>
      <c r="CS3" s="287"/>
      <c r="CT3" s="287"/>
      <c r="CU3" s="515" t="s">
        <v>12</v>
      </c>
      <c r="CV3" s="517"/>
      <c r="CW3" s="517"/>
      <c r="CX3" s="517"/>
      <c r="CY3" s="517"/>
      <c r="CZ3" s="517"/>
      <c r="DA3" s="1755"/>
      <c r="DB3" s="515" t="s">
        <v>64</v>
      </c>
      <c r="DC3" s="517" t="s">
        <v>64</v>
      </c>
      <c r="DD3" s="874"/>
      <c r="DE3" s="515" t="s">
        <v>19</v>
      </c>
      <c r="DF3" s="874"/>
      <c r="DG3" s="874"/>
      <c r="DH3" s="874"/>
      <c r="DI3" s="517"/>
      <c r="DJ3" s="517"/>
      <c r="DK3" s="517"/>
      <c r="DL3" s="517"/>
      <c r="DM3" s="517"/>
      <c r="DN3" s="518"/>
      <c r="DO3" s="515" t="s">
        <v>23</v>
      </c>
      <c r="DP3" s="515" t="s">
        <v>23</v>
      </c>
      <c r="DQ3" s="517"/>
      <c r="DR3" s="518"/>
      <c r="DS3" s="515" t="s">
        <v>369</v>
      </c>
      <c r="DT3" s="517"/>
      <c r="DU3" s="517"/>
      <c r="DV3" s="517"/>
      <c r="DW3" s="517"/>
      <c r="DX3" s="517"/>
      <c r="DY3" s="517"/>
      <c r="DZ3" s="517"/>
      <c r="EA3" s="518"/>
      <c r="EB3" s="517" t="s">
        <v>370</v>
      </c>
      <c r="EC3" s="517"/>
      <c r="ED3" s="517"/>
      <c r="EE3" s="517"/>
      <c r="EF3" s="517"/>
      <c r="EG3" s="518"/>
      <c r="EH3" s="517" t="s">
        <v>772</v>
      </c>
      <c r="EI3" s="517"/>
      <c r="EJ3" s="518"/>
    </row>
    <row r="4" spans="1:140" ht="167.25" customHeight="1">
      <c r="A4" s="875" t="s">
        <v>714</v>
      </c>
      <c r="B4" s="514" t="str">
        <f>Begriffe!F194</f>
        <v>Bezeichnung</v>
      </c>
      <c r="C4" s="513" t="str">
        <f>Begriffe!F154</f>
        <v>Nettogeschossfläche</v>
      </c>
      <c r="D4" s="512" t="str">
        <f>Begriffe!F54 &amp; " " &amp; Begriffe!F225</f>
        <v>Maximale Luftgeschwindigkeit Sommer</v>
      </c>
      <c r="E4" s="512" t="str">
        <f>Begriffe!F54 &amp; " " &amp; Begriffe!F226</f>
        <v>Maximale Luftgeschwindigkeit Winter</v>
      </c>
      <c r="F4" s="513" t="str">
        <f>Begriffe!F58</f>
        <v>Nutzungsstunden pro Tag</v>
      </c>
      <c r="G4" s="512" t="str">
        <f>Begriffe!F81</f>
        <v>Volllaststunden pro Tag</v>
      </c>
      <c r="H4" s="512" t="str">
        <f>Begriffe!F60</f>
        <v>Nutzungstage pro Jahr</v>
      </c>
      <c r="I4" s="512" t="str">
        <f>Begriffe!F30</f>
        <v>Jahresgleichzeitigkeit</v>
      </c>
      <c r="J4" s="512" t="str">
        <f>Begriffe!F62</f>
        <v>Personenfläche</v>
      </c>
      <c r="K4" s="512" t="str">
        <f>Begriffe!F89</f>
        <v>Wärmeeintragsleistung Personen</v>
      </c>
      <c r="L4" s="514" t="str">
        <f>Begriffe!F22</f>
        <v>Feuchteproduktion Personen</v>
      </c>
      <c r="M4" s="513" t="str">
        <f>Begriffe!F19</f>
        <v>Elektrische Leistung der Geräte</v>
      </c>
      <c r="N4" s="512" t="str">
        <f>Begriffe!F33</f>
        <v>Jährliche Volllaststunden der Geräte</v>
      </c>
      <c r="O4" s="512" t="str">
        <f>Begriffe!F40</f>
        <v>Jährlicher Elektrizitätsbedarf der Geräte</v>
      </c>
      <c r="P4" s="876" t="str">
        <f>Begriffe!F27</f>
        <v>Glasflächenzahl</v>
      </c>
      <c r="Q4" s="877" t="str">
        <f>Begriffe!F65</f>
        <v>Raumindex</v>
      </c>
      <c r="R4" s="1757" t="str">
        <f>Begriffe!F51</f>
        <v>Leuchten-Lichtausbeute</v>
      </c>
      <c r="S4" s="1757" t="str">
        <f>Begriffe!F67</f>
        <v>Raumwirkungsgrad</v>
      </c>
      <c r="T4" s="512" t="str">
        <f>Begriffe!F18</f>
        <v>Elektrische Leistung der Raumbeleuchtung</v>
      </c>
      <c r="U4" s="512" t="str">
        <f>Begriffe!F17</f>
        <v>Elektrische Leistung der Akzentbeleuchtung</v>
      </c>
      <c r="V4" s="512" t="str">
        <f>Begriffe!F302</f>
        <v>Elektrische Leistung Beleuchtung</v>
      </c>
      <c r="W4" s="512" t="str">
        <f>Begriffe!F37</f>
        <v xml:space="preserve">Jährliche Volllaststunden der Raumbeleuchtung </v>
      </c>
      <c r="X4" s="512" t="str">
        <f>Begriffe!F38</f>
        <v xml:space="preserve">Jährliche Volllaststunden der Akzentbeleuchtung </v>
      </c>
      <c r="Y4" s="514" t="str">
        <f>Begriffe!F39</f>
        <v>Jährlicher Elektrizitätsbedarf Beleuchtung</v>
      </c>
      <c r="Z4" s="876" t="str">
        <f>Begriffe!F10</f>
        <v>Aussenluft-Volumenstrom</v>
      </c>
      <c r="AA4" s="877" t="str">
        <f>Begriffe!F20</f>
        <v>Elektrische Leistung der Lüftung</v>
      </c>
      <c r="AB4" s="512" t="str">
        <f>Begriffe!F34</f>
        <v>Jährliche Volllaststunden der Lüftung</v>
      </c>
      <c r="AC4" s="512" t="str">
        <f>Begriffe!F41</f>
        <v>Jährlicher Elektrizitätsbedarf für die Lüftung</v>
      </c>
      <c r="AD4" s="513" t="str">
        <f>Begriffe!F21</f>
        <v>Externe Wärmeeintragsleistung</v>
      </c>
      <c r="AE4" s="512" t="str">
        <f>Begriffe!F29</f>
        <v>Interne Wärmeeintragsleistung</v>
      </c>
      <c r="AF4" s="512" t="str">
        <f>Begriffe!F28</f>
        <v>Interne Wärmeeinträge pro Tag</v>
      </c>
      <c r="AG4" s="512" t="str">
        <f>Begriffe!$F57 &amp; " " &amp; Begriffe!$F329</f>
        <v>Notwendigkeit einer Kühlung mit Fensterlüftung Tag und Nacht</v>
      </c>
      <c r="AH4" s="512" t="str">
        <f>Begriffe!$F57 &amp; " " &amp; Begriffe!$F330</f>
        <v>Notwendigkeit einer Kühlung mit Fensterlüftung bei Belegung</v>
      </c>
      <c r="AI4" s="512" t="str">
        <f>Begriffe!$F57 &amp; " " &amp; Begriffe!$F331</f>
        <v>Notwendigkeit einer Kühlung ohne Fensterlüftung</v>
      </c>
      <c r="AJ4" s="512" t="str">
        <f>Begriffe!F46</f>
        <v>Klimakälteleistungsbedarf</v>
      </c>
      <c r="AK4" s="512" t="str">
        <f>Begriffe!F35</f>
        <v>Jährliche Volllaststunden der Raumkühlung</v>
      </c>
      <c r="AL4" s="514" t="str">
        <f>Begriffe!F44</f>
        <v>Jährlicher Klimakältebedarf</v>
      </c>
      <c r="AM4" s="512" t="str">
        <f>Begriffe!F91</f>
        <v>Wärmetransferkoeffizient</v>
      </c>
      <c r="AN4" s="512" t="str">
        <f>Begriffe!F94</f>
        <v>Zeitkonstante</v>
      </c>
      <c r="AO4" s="512" t="str">
        <f>Begriffe!F75</f>
        <v>Temperaturkorrektur</v>
      </c>
      <c r="AP4" s="512" t="str">
        <f>Begriffe!F56</f>
        <v>Norm-Heizwärmeleistungsbedarf</v>
      </c>
      <c r="AQ4" s="512" t="str">
        <f>Begriffe!F36</f>
        <v>Jährliche Volllaststunden der Raumheizung</v>
      </c>
      <c r="AR4" s="514" t="str">
        <f>Begriffe!F43</f>
        <v xml:space="preserve">Jährlicher Heizwärmebedarf </v>
      </c>
      <c r="AS4" s="512" t="str">
        <f>Begriffe!F92</f>
        <v>Warmwasserbedarf pro Person</v>
      </c>
      <c r="AT4" s="512" t="str">
        <f>Begriffe!F93</f>
        <v>Wasserbedarf pro Person</v>
      </c>
      <c r="AU4" s="514" t="str">
        <f>Begriffe!F45</f>
        <v>Jährlicher Wärmebedarf für Warmwasser</v>
      </c>
      <c r="AX4" s="513" t="s">
        <v>373</v>
      </c>
      <c r="AY4" s="512" t="s">
        <v>1376</v>
      </c>
      <c r="AZ4" s="512" t="s">
        <v>1377</v>
      </c>
      <c r="BA4" s="513" t="s">
        <v>866</v>
      </c>
      <c r="BB4" s="512" t="s">
        <v>867</v>
      </c>
      <c r="BC4" s="512" t="s">
        <v>868</v>
      </c>
      <c r="BD4" s="512" t="s">
        <v>103</v>
      </c>
      <c r="BE4" s="512" t="s">
        <v>131</v>
      </c>
      <c r="BF4" s="512" t="s">
        <v>735</v>
      </c>
      <c r="BG4" s="514" t="s">
        <v>754</v>
      </c>
      <c r="BH4" s="513" t="s">
        <v>967</v>
      </c>
      <c r="BI4" s="512" t="s">
        <v>1282</v>
      </c>
      <c r="BJ4" s="512" t="s">
        <v>1014</v>
      </c>
      <c r="BK4" s="876" t="s">
        <v>737</v>
      </c>
      <c r="BL4" s="877" t="s">
        <v>738</v>
      </c>
      <c r="BM4" s="1757" t="s">
        <v>739</v>
      </c>
      <c r="BN4" s="1757" t="s">
        <v>740</v>
      </c>
      <c r="BO4" s="512" t="s">
        <v>964</v>
      </c>
      <c r="BP4" s="512" t="s">
        <v>961</v>
      </c>
      <c r="BQ4" s="512" t="s">
        <v>769</v>
      </c>
      <c r="BR4" s="512" t="s">
        <v>1005</v>
      </c>
      <c r="BS4" s="512" t="s">
        <v>1008</v>
      </c>
      <c r="BT4" s="514" t="s">
        <v>741</v>
      </c>
      <c r="BU4" s="876" t="s">
        <v>540</v>
      </c>
      <c r="BV4" s="877" t="s">
        <v>970</v>
      </c>
      <c r="BW4" s="512" t="s">
        <v>1281</v>
      </c>
      <c r="BX4" s="512" t="s">
        <v>1016</v>
      </c>
      <c r="BY4" s="513" t="s">
        <v>841</v>
      </c>
      <c r="BZ4" s="512" t="s">
        <v>842</v>
      </c>
      <c r="CA4" s="512" t="s">
        <v>742</v>
      </c>
      <c r="CB4" s="512" t="s">
        <v>1378</v>
      </c>
      <c r="CC4" s="512" t="s">
        <v>1379</v>
      </c>
      <c r="CD4" s="512" t="s">
        <v>1380</v>
      </c>
      <c r="CE4" s="512" t="s">
        <v>744</v>
      </c>
      <c r="CF4" s="512" t="s">
        <v>1283</v>
      </c>
      <c r="CG4" s="514" t="s">
        <v>746</v>
      </c>
      <c r="CH4" s="512" t="s">
        <v>887</v>
      </c>
      <c r="CI4" s="512" t="s">
        <v>747</v>
      </c>
      <c r="CJ4" s="512" t="s">
        <v>1102</v>
      </c>
      <c r="CK4" s="512" t="s">
        <v>748</v>
      </c>
      <c r="CL4" s="512" t="s">
        <v>1284</v>
      </c>
      <c r="CM4" s="514" t="s">
        <v>1023</v>
      </c>
      <c r="CN4" s="512" t="s">
        <v>824</v>
      </c>
      <c r="CO4" s="512" t="s">
        <v>823</v>
      </c>
      <c r="CP4" s="514" t="s">
        <v>749</v>
      </c>
      <c r="CR4" s="513" t="s">
        <v>373</v>
      </c>
      <c r="CS4" s="512" t="s">
        <v>1376</v>
      </c>
      <c r="CT4" s="512" t="s">
        <v>1377</v>
      </c>
      <c r="CU4" s="513" t="s">
        <v>866</v>
      </c>
      <c r="CV4" s="512" t="s">
        <v>867</v>
      </c>
      <c r="CW4" s="512" t="s">
        <v>868</v>
      </c>
      <c r="CX4" s="512" t="s">
        <v>103</v>
      </c>
      <c r="CY4" s="512" t="s">
        <v>131</v>
      </c>
      <c r="CZ4" s="512" t="s">
        <v>735</v>
      </c>
      <c r="DA4" s="514" t="s">
        <v>754</v>
      </c>
      <c r="DB4" s="513" t="s">
        <v>967</v>
      </c>
      <c r="DC4" s="512" t="s">
        <v>1282</v>
      </c>
      <c r="DD4" s="512" t="s">
        <v>1014</v>
      </c>
      <c r="DE4" s="876" t="s">
        <v>737</v>
      </c>
      <c r="DF4" s="877" t="s">
        <v>738</v>
      </c>
      <c r="DG4" s="1757" t="s">
        <v>739</v>
      </c>
      <c r="DH4" s="1757" t="s">
        <v>740</v>
      </c>
      <c r="DI4" s="512" t="s">
        <v>964</v>
      </c>
      <c r="DJ4" s="512" t="s">
        <v>961</v>
      </c>
      <c r="DK4" s="512" t="s">
        <v>769</v>
      </c>
      <c r="DL4" s="512" t="s">
        <v>1005</v>
      </c>
      <c r="DM4" s="512" t="s">
        <v>1008</v>
      </c>
      <c r="DN4" s="514" t="s">
        <v>741</v>
      </c>
      <c r="DO4" s="876" t="s">
        <v>540</v>
      </c>
      <c r="DP4" s="877" t="s">
        <v>970</v>
      </c>
      <c r="DQ4" s="512" t="s">
        <v>1281</v>
      </c>
      <c r="DR4" s="512" t="s">
        <v>1016</v>
      </c>
      <c r="DS4" s="513" t="s">
        <v>841</v>
      </c>
      <c r="DT4" s="512" t="s">
        <v>842</v>
      </c>
      <c r="DU4" s="512" t="s">
        <v>742</v>
      </c>
      <c r="DV4" s="512" t="s">
        <v>1378</v>
      </c>
      <c r="DW4" s="512" t="s">
        <v>1379</v>
      </c>
      <c r="DX4" s="512" t="s">
        <v>1380</v>
      </c>
      <c r="DY4" s="512" t="s">
        <v>744</v>
      </c>
      <c r="DZ4" s="512" t="s">
        <v>1283</v>
      </c>
      <c r="EA4" s="514" t="s">
        <v>746</v>
      </c>
      <c r="EB4" s="512" t="s">
        <v>887</v>
      </c>
      <c r="EC4" s="512" t="s">
        <v>747</v>
      </c>
      <c r="ED4" s="512" t="s">
        <v>1102</v>
      </c>
      <c r="EE4" s="512" t="s">
        <v>748</v>
      </c>
      <c r="EF4" s="512" t="s">
        <v>1284</v>
      </c>
      <c r="EG4" s="514" t="s">
        <v>1023</v>
      </c>
      <c r="EH4" s="512" t="s">
        <v>824</v>
      </c>
      <c r="EI4" s="512" t="s">
        <v>823</v>
      </c>
      <c r="EJ4" s="514" t="s">
        <v>749</v>
      </c>
    </row>
    <row r="5" spans="1:140" ht="15.6">
      <c r="A5" s="919"/>
      <c r="B5" s="1350"/>
      <c r="C5" s="1758" t="s">
        <v>646</v>
      </c>
      <c r="D5" s="1759" t="s">
        <v>7</v>
      </c>
      <c r="E5" s="1759" t="s">
        <v>7</v>
      </c>
      <c r="F5" s="1758" t="s">
        <v>17</v>
      </c>
      <c r="G5" s="1759" t="s">
        <v>17</v>
      </c>
      <c r="H5" s="1759" t="s">
        <v>48</v>
      </c>
      <c r="I5" s="1759" t="s">
        <v>18</v>
      </c>
      <c r="J5" s="1759" t="s">
        <v>132</v>
      </c>
      <c r="K5" s="1759" t="s">
        <v>188</v>
      </c>
      <c r="L5" s="1760" t="s">
        <v>648</v>
      </c>
      <c r="M5" s="1758" t="s">
        <v>188</v>
      </c>
      <c r="N5" s="1759" t="s">
        <v>17</v>
      </c>
      <c r="O5" s="1761" t="s">
        <v>649</v>
      </c>
      <c r="P5" s="1758" t="s">
        <v>18</v>
      </c>
      <c r="Q5" s="1761" t="s">
        <v>18</v>
      </c>
      <c r="R5" s="1761" t="s">
        <v>97</v>
      </c>
      <c r="S5" s="1761" t="s">
        <v>18</v>
      </c>
      <c r="T5" s="1761" t="s">
        <v>188</v>
      </c>
      <c r="U5" s="1761" t="s">
        <v>188</v>
      </c>
      <c r="V5" s="1761" t="s">
        <v>188</v>
      </c>
      <c r="W5" s="1762" t="s">
        <v>17</v>
      </c>
      <c r="X5" s="1762" t="s">
        <v>17</v>
      </c>
      <c r="Y5" s="1763" t="s">
        <v>649</v>
      </c>
      <c r="Z5" s="1764" t="s">
        <v>240</v>
      </c>
      <c r="AA5" s="1761" t="s">
        <v>188</v>
      </c>
      <c r="AB5" s="1762" t="s">
        <v>17</v>
      </c>
      <c r="AC5" s="1763" t="s">
        <v>649</v>
      </c>
      <c r="AD5" s="1765" t="s">
        <v>188</v>
      </c>
      <c r="AE5" s="1761" t="s">
        <v>188</v>
      </c>
      <c r="AF5" s="1759" t="s">
        <v>694</v>
      </c>
      <c r="AG5" s="1759"/>
      <c r="AH5" s="1759"/>
      <c r="AI5" s="1759"/>
      <c r="AJ5" s="1759" t="s">
        <v>188</v>
      </c>
      <c r="AK5" s="1759" t="s">
        <v>17</v>
      </c>
      <c r="AL5" s="1763" t="s">
        <v>649</v>
      </c>
      <c r="AM5" s="1761" t="s">
        <v>62</v>
      </c>
      <c r="AN5" s="1761" t="s">
        <v>17</v>
      </c>
      <c r="AO5" s="1761" t="s">
        <v>73</v>
      </c>
      <c r="AP5" s="1759" t="s">
        <v>188</v>
      </c>
      <c r="AQ5" s="1759" t="s">
        <v>17</v>
      </c>
      <c r="AR5" s="1763" t="s">
        <v>649</v>
      </c>
      <c r="AS5" s="1766" t="s">
        <v>916</v>
      </c>
      <c r="AT5" s="1759" t="s">
        <v>916</v>
      </c>
      <c r="AU5" s="1763" t="s">
        <v>649</v>
      </c>
      <c r="AX5" s="1758" t="s">
        <v>273</v>
      </c>
      <c r="AY5" s="1759" t="s">
        <v>7</v>
      </c>
      <c r="AZ5" s="1759" t="s">
        <v>7</v>
      </c>
      <c r="BA5" s="1758" t="s">
        <v>17</v>
      </c>
      <c r="BB5" s="1759" t="s">
        <v>17</v>
      </c>
      <c r="BC5" s="1759" t="s">
        <v>48</v>
      </c>
      <c r="BD5" s="1759" t="s">
        <v>18</v>
      </c>
      <c r="BE5" s="1759" t="s">
        <v>132</v>
      </c>
      <c r="BF5" s="1759" t="s">
        <v>29</v>
      </c>
      <c r="BG5" s="1760" t="s">
        <v>1381</v>
      </c>
      <c r="BH5" s="1758" t="s">
        <v>29</v>
      </c>
      <c r="BI5" s="1759" t="s">
        <v>17</v>
      </c>
      <c r="BJ5" s="1761" t="s">
        <v>168</v>
      </c>
      <c r="BK5" s="1758" t="s">
        <v>18</v>
      </c>
      <c r="BL5" s="1761" t="s">
        <v>18</v>
      </c>
      <c r="BM5" s="1761" t="s">
        <v>97</v>
      </c>
      <c r="BN5" s="1761" t="s">
        <v>18</v>
      </c>
      <c r="BO5" s="1761" t="s">
        <v>29</v>
      </c>
      <c r="BP5" s="1761" t="s">
        <v>29</v>
      </c>
      <c r="BQ5" s="1761" t="s">
        <v>29</v>
      </c>
      <c r="BR5" s="1762" t="s">
        <v>17</v>
      </c>
      <c r="BS5" s="1762" t="s">
        <v>17</v>
      </c>
      <c r="BT5" s="1763" t="s">
        <v>168</v>
      </c>
      <c r="BU5" s="1764" t="s">
        <v>1384</v>
      </c>
      <c r="BV5" s="1761" t="s">
        <v>29</v>
      </c>
      <c r="BW5" s="1762" t="s">
        <v>17</v>
      </c>
      <c r="BX5" s="1763" t="s">
        <v>168</v>
      </c>
      <c r="BY5" s="1765" t="s">
        <v>29</v>
      </c>
      <c r="BZ5" s="1761" t="s">
        <v>29</v>
      </c>
      <c r="CA5" s="1759" t="s">
        <v>789</v>
      </c>
      <c r="CB5" s="1759"/>
      <c r="CC5" s="1759"/>
      <c r="CD5" s="1759"/>
      <c r="CE5" s="1759" t="s">
        <v>29</v>
      </c>
      <c r="CF5" s="1759" t="s">
        <v>17</v>
      </c>
      <c r="CG5" s="1763" t="s">
        <v>168</v>
      </c>
      <c r="CH5" s="1761" t="s">
        <v>62</v>
      </c>
      <c r="CI5" s="1761" t="s">
        <v>17</v>
      </c>
      <c r="CJ5" s="1761" t="s">
        <v>73</v>
      </c>
      <c r="CK5" s="1759" t="s">
        <v>29</v>
      </c>
      <c r="CL5" s="1759" t="s">
        <v>17</v>
      </c>
      <c r="CM5" s="1763" t="s">
        <v>168</v>
      </c>
      <c r="CN5" s="1766" t="s">
        <v>1383</v>
      </c>
      <c r="CO5" s="1759" t="s">
        <v>1383</v>
      </c>
      <c r="CP5" s="1763" t="s">
        <v>168</v>
      </c>
      <c r="CR5" s="1758" t="s">
        <v>273</v>
      </c>
      <c r="CS5" s="1759" t="s">
        <v>7</v>
      </c>
      <c r="CT5" s="1759" t="s">
        <v>7</v>
      </c>
      <c r="CU5" s="1758" t="s">
        <v>17</v>
      </c>
      <c r="CV5" s="1759" t="s">
        <v>17</v>
      </c>
      <c r="CW5" s="1759" t="s">
        <v>48</v>
      </c>
      <c r="CX5" s="1759" t="s">
        <v>18</v>
      </c>
      <c r="CY5" s="1759" t="s">
        <v>132</v>
      </c>
      <c r="CZ5" s="1759" t="s">
        <v>29</v>
      </c>
      <c r="DA5" s="1760" t="s">
        <v>1381</v>
      </c>
      <c r="DB5" s="1758" t="s">
        <v>29</v>
      </c>
      <c r="DC5" s="1759" t="s">
        <v>17</v>
      </c>
      <c r="DD5" s="1761" t="s">
        <v>168</v>
      </c>
      <c r="DE5" s="1758" t="s">
        <v>18</v>
      </c>
      <c r="DF5" s="1761" t="s">
        <v>18</v>
      </c>
      <c r="DG5" s="1761" t="s">
        <v>97</v>
      </c>
      <c r="DH5" s="1761" t="s">
        <v>18</v>
      </c>
      <c r="DI5" s="1761" t="s">
        <v>29</v>
      </c>
      <c r="DJ5" s="1761" t="s">
        <v>29</v>
      </c>
      <c r="DK5" s="1761" t="s">
        <v>29</v>
      </c>
      <c r="DL5" s="1762" t="s">
        <v>17</v>
      </c>
      <c r="DM5" s="1762" t="s">
        <v>17</v>
      </c>
      <c r="DN5" s="1763" t="s">
        <v>168</v>
      </c>
      <c r="DO5" s="1764" t="s">
        <v>1384</v>
      </c>
      <c r="DP5" s="1761" t="s">
        <v>29</v>
      </c>
      <c r="DQ5" s="1762" t="s">
        <v>17</v>
      </c>
      <c r="DR5" s="1763" t="s">
        <v>168</v>
      </c>
      <c r="DS5" s="1765" t="s">
        <v>29</v>
      </c>
      <c r="DT5" s="1761" t="s">
        <v>29</v>
      </c>
      <c r="DU5" s="1759" t="s">
        <v>789</v>
      </c>
      <c r="DV5" s="1759"/>
      <c r="DW5" s="1759"/>
      <c r="DX5" s="1759"/>
      <c r="DY5" s="1759" t="s">
        <v>29</v>
      </c>
      <c r="DZ5" s="1759" t="s">
        <v>17</v>
      </c>
      <c r="EA5" s="1763" t="s">
        <v>168</v>
      </c>
      <c r="EB5" s="1761" t="s">
        <v>62</v>
      </c>
      <c r="EC5" s="1761" t="s">
        <v>17</v>
      </c>
      <c r="ED5" s="1761" t="s">
        <v>73</v>
      </c>
      <c r="EE5" s="1759" t="s">
        <v>29</v>
      </c>
      <c r="EF5" s="1759" t="s">
        <v>17</v>
      </c>
      <c r="EG5" s="1763" t="s">
        <v>168</v>
      </c>
      <c r="EH5" s="1766" t="s">
        <v>1383</v>
      </c>
      <c r="EI5" s="1759" t="s">
        <v>1383</v>
      </c>
      <c r="EJ5" s="1763" t="s">
        <v>168</v>
      </c>
    </row>
    <row r="6" spans="1:140">
      <c r="A6" s="892">
        <f>Eingabedaten!A10</f>
        <v>1.1000000000000001</v>
      </c>
      <c r="B6" s="1701" t="str">
        <f>Eingabedaten!C10</f>
        <v>Wohnen MFH</v>
      </c>
      <c r="C6" s="1474"/>
      <c r="D6" s="918"/>
      <c r="E6" s="918"/>
      <c r="F6" s="912"/>
      <c r="G6" s="913"/>
      <c r="H6" s="913"/>
      <c r="I6" s="913"/>
      <c r="J6" s="913"/>
      <c r="K6" s="913"/>
      <c r="L6" s="1767"/>
      <c r="M6" s="1040">
        <v>10</v>
      </c>
      <c r="N6" s="913">
        <v>1780</v>
      </c>
      <c r="O6" s="915">
        <v>17.8</v>
      </c>
      <c r="P6" s="1768"/>
      <c r="Q6" s="914"/>
      <c r="R6" s="915">
        <v>32.599999999999994</v>
      </c>
      <c r="S6" s="914">
        <v>0.69930069930069916</v>
      </c>
      <c r="T6" s="914">
        <v>2.7415644171779152</v>
      </c>
      <c r="U6" s="914">
        <v>0</v>
      </c>
      <c r="V6" s="914">
        <v>2.7415644171779152</v>
      </c>
      <c r="W6" s="915">
        <v>1450</v>
      </c>
      <c r="X6" s="915">
        <v>0</v>
      </c>
      <c r="Y6" s="1041">
        <v>3.9752684049079772</v>
      </c>
      <c r="Z6" s="914">
        <v>1</v>
      </c>
      <c r="AA6" s="914">
        <v>0</v>
      </c>
      <c r="AB6" s="915">
        <v>0</v>
      </c>
      <c r="AC6" s="1041">
        <v>0</v>
      </c>
      <c r="AD6" s="1040">
        <v>28.550117647058826</v>
      </c>
      <c r="AE6" s="915">
        <v>15.041564417177916</v>
      </c>
      <c r="AF6" s="915">
        <v>95.944092301475763</v>
      </c>
      <c r="AG6" s="915" t="s">
        <v>18</v>
      </c>
      <c r="AH6" s="915" t="s">
        <v>18</v>
      </c>
      <c r="AI6" s="915" t="s">
        <v>18</v>
      </c>
      <c r="AJ6" s="915">
        <v>21</v>
      </c>
      <c r="AK6" s="915">
        <v>80</v>
      </c>
      <c r="AL6" s="1041">
        <v>1.6459999999999999</v>
      </c>
      <c r="AM6" s="915">
        <v>35.237647058823534</v>
      </c>
      <c r="AN6" s="915">
        <v>68.108974358974351</v>
      </c>
      <c r="AO6" s="915">
        <v>-2</v>
      </c>
      <c r="AP6" s="915">
        <v>54.618352941176475</v>
      </c>
      <c r="AQ6" s="915">
        <v>2070</v>
      </c>
      <c r="AR6" s="1041">
        <v>112.88267208938234</v>
      </c>
      <c r="AS6" s="913"/>
      <c r="AT6" s="915"/>
      <c r="AU6" s="1041">
        <v>19.75866666666667</v>
      </c>
      <c r="AX6" s="1474"/>
      <c r="AY6" s="918"/>
      <c r="AZ6" s="918"/>
      <c r="BA6" s="912"/>
      <c r="BB6" s="913"/>
      <c r="BC6" s="913"/>
      <c r="BD6" s="913"/>
      <c r="BE6" s="913"/>
      <c r="BF6" s="913"/>
      <c r="BG6" s="1767"/>
      <c r="BH6" s="1040">
        <v>10</v>
      </c>
      <c r="BI6" s="913">
        <v>1780</v>
      </c>
      <c r="BJ6" s="915">
        <v>17.8</v>
      </c>
      <c r="BK6" s="1768"/>
      <c r="BL6" s="914"/>
      <c r="BM6" s="915">
        <v>32.599999999999994</v>
      </c>
      <c r="BN6" s="914">
        <v>0.69930069930069916</v>
      </c>
      <c r="BO6" s="914">
        <v>2.7415644171779152</v>
      </c>
      <c r="BP6" s="914">
        <v>0</v>
      </c>
      <c r="BQ6" s="914">
        <v>2.7415644171779152</v>
      </c>
      <c r="BR6" s="915">
        <v>1450</v>
      </c>
      <c r="BS6" s="915">
        <v>0</v>
      </c>
      <c r="BT6" s="1041">
        <v>3.9752684049079772</v>
      </c>
      <c r="BU6" s="914">
        <v>1</v>
      </c>
      <c r="BV6" s="914">
        <v>0</v>
      </c>
      <c r="BW6" s="915">
        <v>0</v>
      </c>
      <c r="BX6" s="1041">
        <v>0</v>
      </c>
      <c r="BY6" s="1040">
        <v>28.550117647058826</v>
      </c>
      <c r="BZ6" s="915">
        <v>15.041564417177916</v>
      </c>
      <c r="CA6" s="915">
        <v>95.944092301475763</v>
      </c>
      <c r="CB6" s="915" t="s">
        <v>18</v>
      </c>
      <c r="CC6" s="915" t="s">
        <v>18</v>
      </c>
      <c r="CD6" s="915" t="s">
        <v>18</v>
      </c>
      <c r="CE6" s="915">
        <v>21</v>
      </c>
      <c r="CF6" s="915">
        <v>80</v>
      </c>
      <c r="CG6" s="1041">
        <v>1.6459999999999999</v>
      </c>
      <c r="CH6" s="915">
        <v>35.237647058823534</v>
      </c>
      <c r="CI6" s="915">
        <v>68.108974358974351</v>
      </c>
      <c r="CJ6" s="915">
        <v>-2</v>
      </c>
      <c r="CK6" s="915">
        <v>54.618352941176475</v>
      </c>
      <c r="CL6" s="915">
        <v>2070</v>
      </c>
      <c r="CM6" s="1041">
        <v>113.32361071789128</v>
      </c>
      <c r="CN6" s="913"/>
      <c r="CO6" s="915"/>
      <c r="CP6" s="1041">
        <v>19.75866666666667</v>
      </c>
      <c r="CR6" s="1474">
        <f>C6-AX6</f>
        <v>0</v>
      </c>
      <c r="CS6" s="918">
        <f t="shared" ref="CS6:EJ11" si="0">D6-AY6</f>
        <v>0</v>
      </c>
      <c r="CT6" s="918">
        <f t="shared" si="0"/>
        <v>0</v>
      </c>
      <c r="CU6" s="912">
        <f t="shared" si="0"/>
        <v>0</v>
      </c>
      <c r="CV6" s="913">
        <f t="shared" si="0"/>
        <v>0</v>
      </c>
      <c r="CW6" s="913">
        <f t="shared" si="0"/>
        <v>0</v>
      </c>
      <c r="CX6" s="913">
        <f t="shared" si="0"/>
        <v>0</v>
      </c>
      <c r="CY6" s="913">
        <f t="shared" si="0"/>
        <v>0</v>
      </c>
      <c r="CZ6" s="913">
        <f t="shared" si="0"/>
        <v>0</v>
      </c>
      <c r="DA6" s="1767">
        <f t="shared" si="0"/>
        <v>0</v>
      </c>
      <c r="DB6" s="1040">
        <f t="shared" si="0"/>
        <v>0</v>
      </c>
      <c r="DC6" s="913">
        <f t="shared" si="0"/>
        <v>0</v>
      </c>
      <c r="DD6" s="915">
        <f t="shared" si="0"/>
        <v>0</v>
      </c>
      <c r="DE6" s="1768">
        <f t="shared" si="0"/>
        <v>0</v>
      </c>
      <c r="DF6" s="914">
        <f t="shared" si="0"/>
        <v>0</v>
      </c>
      <c r="DG6" s="915">
        <f t="shared" si="0"/>
        <v>0</v>
      </c>
      <c r="DH6" s="914">
        <f t="shared" si="0"/>
        <v>0</v>
      </c>
      <c r="DI6" s="914">
        <f t="shared" si="0"/>
        <v>0</v>
      </c>
      <c r="DJ6" s="914">
        <f t="shared" si="0"/>
        <v>0</v>
      </c>
      <c r="DK6" s="914">
        <f t="shared" si="0"/>
        <v>0</v>
      </c>
      <c r="DL6" s="915">
        <f t="shared" si="0"/>
        <v>0</v>
      </c>
      <c r="DM6" s="915">
        <f t="shared" si="0"/>
        <v>0</v>
      </c>
      <c r="DN6" s="1041">
        <f t="shared" si="0"/>
        <v>0</v>
      </c>
      <c r="DO6" s="914">
        <f t="shared" si="0"/>
        <v>0</v>
      </c>
      <c r="DP6" s="914">
        <f t="shared" si="0"/>
        <v>0</v>
      </c>
      <c r="DQ6" s="915">
        <f t="shared" si="0"/>
        <v>0</v>
      </c>
      <c r="DR6" s="1041">
        <f t="shared" si="0"/>
        <v>0</v>
      </c>
      <c r="DS6" s="1040">
        <f t="shared" si="0"/>
        <v>0</v>
      </c>
      <c r="DT6" s="915">
        <f t="shared" si="0"/>
        <v>0</v>
      </c>
      <c r="DU6" s="915">
        <f t="shared" si="0"/>
        <v>0</v>
      </c>
      <c r="DV6" s="915" t="e">
        <f t="shared" si="0"/>
        <v>#VALUE!</v>
      </c>
      <c r="DW6" s="915" t="e">
        <f t="shared" si="0"/>
        <v>#VALUE!</v>
      </c>
      <c r="DX6" s="915" t="e">
        <f t="shared" si="0"/>
        <v>#VALUE!</v>
      </c>
      <c r="DY6" s="915">
        <f t="shared" si="0"/>
        <v>0</v>
      </c>
      <c r="DZ6" s="915">
        <f t="shared" si="0"/>
        <v>0</v>
      </c>
      <c r="EA6" s="1041">
        <f t="shared" si="0"/>
        <v>0</v>
      </c>
      <c r="EB6" s="915">
        <f t="shared" si="0"/>
        <v>0</v>
      </c>
      <c r="EC6" s="915">
        <f t="shared" si="0"/>
        <v>0</v>
      </c>
      <c r="ED6" s="915">
        <f t="shared" si="0"/>
        <v>0</v>
      </c>
      <c r="EE6" s="915">
        <f t="shared" si="0"/>
        <v>0</v>
      </c>
      <c r="EF6" s="915">
        <f t="shared" si="0"/>
        <v>0</v>
      </c>
      <c r="EG6" s="1041">
        <f t="shared" si="0"/>
        <v>-0.44093862850894538</v>
      </c>
      <c r="EH6" s="913">
        <f t="shared" si="0"/>
        <v>0</v>
      </c>
      <c r="EI6" s="915">
        <f t="shared" si="0"/>
        <v>0</v>
      </c>
      <c r="EJ6" s="1041">
        <f t="shared" si="0"/>
        <v>0</v>
      </c>
    </row>
    <row r="7" spans="1:140">
      <c r="A7" s="892">
        <f>Eingabedaten!A11</f>
        <v>1.2</v>
      </c>
      <c r="B7" s="1701" t="str">
        <f>Eingabedaten!C11</f>
        <v>Wohnen EFH</v>
      </c>
      <c r="C7" s="1474"/>
      <c r="D7" s="918"/>
      <c r="E7" s="918"/>
      <c r="F7" s="912"/>
      <c r="G7" s="913"/>
      <c r="H7" s="913"/>
      <c r="I7" s="913"/>
      <c r="J7" s="913"/>
      <c r="K7" s="913"/>
      <c r="L7" s="1767"/>
      <c r="M7" s="1040">
        <v>10</v>
      </c>
      <c r="N7" s="913">
        <v>1780</v>
      </c>
      <c r="O7" s="915">
        <v>17.8</v>
      </c>
      <c r="P7" s="1768"/>
      <c r="Q7" s="914"/>
      <c r="R7" s="915">
        <v>32.599999999999994</v>
      </c>
      <c r="S7" s="914">
        <v>0.69930069930069916</v>
      </c>
      <c r="T7" s="914">
        <v>2.7415644171779152</v>
      </c>
      <c r="U7" s="914">
        <v>0</v>
      </c>
      <c r="V7" s="914">
        <v>2.7415644171779152</v>
      </c>
      <c r="W7" s="915">
        <v>1450</v>
      </c>
      <c r="X7" s="915">
        <v>0</v>
      </c>
      <c r="Y7" s="1041">
        <v>3.9752684049079772</v>
      </c>
      <c r="Z7" s="914">
        <v>0.6</v>
      </c>
      <c r="AA7" s="914">
        <v>0</v>
      </c>
      <c r="AB7" s="915">
        <v>0</v>
      </c>
      <c r="AC7" s="1041">
        <v>0</v>
      </c>
      <c r="AD7" s="1040">
        <v>30.888000000000005</v>
      </c>
      <c r="AE7" s="915">
        <v>14.141564417177916</v>
      </c>
      <c r="AF7" s="915">
        <v>83.344092301475769</v>
      </c>
      <c r="AG7" s="915" t="s">
        <v>18</v>
      </c>
      <c r="AH7" s="915" t="s">
        <v>18</v>
      </c>
      <c r="AI7" s="915" t="s">
        <v>18</v>
      </c>
      <c r="AJ7" s="915">
        <v>21</v>
      </c>
      <c r="AK7" s="915">
        <v>60</v>
      </c>
      <c r="AL7" s="1041">
        <v>1.3265</v>
      </c>
      <c r="AM7" s="915">
        <v>43.030588235294125</v>
      </c>
      <c r="AN7" s="915">
        <v>55.774278215223084</v>
      </c>
      <c r="AO7" s="915">
        <v>-2</v>
      </c>
      <c r="AP7" s="915">
        <v>66.69741176470589</v>
      </c>
      <c r="AQ7" s="915">
        <v>2590</v>
      </c>
      <c r="AR7" s="1041">
        <v>172.74678896993376</v>
      </c>
      <c r="AS7" s="913"/>
      <c r="AT7" s="915"/>
      <c r="AU7" s="1041">
        <v>13.548800000000002</v>
      </c>
      <c r="AX7" s="1474"/>
      <c r="AY7" s="918"/>
      <c r="AZ7" s="918"/>
      <c r="BA7" s="912"/>
      <c r="BB7" s="913"/>
      <c r="BC7" s="913"/>
      <c r="BD7" s="913"/>
      <c r="BE7" s="913"/>
      <c r="BF7" s="913"/>
      <c r="BG7" s="1767"/>
      <c r="BH7" s="1040">
        <v>10</v>
      </c>
      <c r="BI7" s="913">
        <v>1780</v>
      </c>
      <c r="BJ7" s="915">
        <v>17.8</v>
      </c>
      <c r="BK7" s="1768"/>
      <c r="BL7" s="914"/>
      <c r="BM7" s="915">
        <v>32.599999999999994</v>
      </c>
      <c r="BN7" s="914">
        <v>0.69930069930069916</v>
      </c>
      <c r="BO7" s="914">
        <v>2.7415644171779152</v>
      </c>
      <c r="BP7" s="914">
        <v>0</v>
      </c>
      <c r="BQ7" s="914">
        <v>2.7415644171779152</v>
      </c>
      <c r="BR7" s="915">
        <v>1450</v>
      </c>
      <c r="BS7" s="915">
        <v>0</v>
      </c>
      <c r="BT7" s="1041">
        <v>3.9752684049079772</v>
      </c>
      <c r="BU7" s="914">
        <v>0.6</v>
      </c>
      <c r="BV7" s="914">
        <v>0</v>
      </c>
      <c r="BW7" s="915">
        <v>0</v>
      </c>
      <c r="BX7" s="1041">
        <v>0</v>
      </c>
      <c r="BY7" s="1040">
        <v>30.888000000000005</v>
      </c>
      <c r="BZ7" s="915">
        <v>14.141564417177916</v>
      </c>
      <c r="CA7" s="915">
        <v>83.344092301475769</v>
      </c>
      <c r="CB7" s="915" t="s">
        <v>18</v>
      </c>
      <c r="CC7" s="915" t="s">
        <v>18</v>
      </c>
      <c r="CD7" s="915" t="s">
        <v>18</v>
      </c>
      <c r="CE7" s="915">
        <v>21</v>
      </c>
      <c r="CF7" s="915">
        <v>60</v>
      </c>
      <c r="CG7" s="1041">
        <v>1.3265</v>
      </c>
      <c r="CH7" s="915">
        <v>43.030588235294125</v>
      </c>
      <c r="CI7" s="915">
        <v>55.774278215223084</v>
      </c>
      <c r="CJ7" s="915">
        <v>-2</v>
      </c>
      <c r="CK7" s="915">
        <v>66.69741176470589</v>
      </c>
      <c r="CL7" s="915">
        <v>2590</v>
      </c>
      <c r="CM7" s="1041">
        <v>172.94958572515358</v>
      </c>
      <c r="CN7" s="913"/>
      <c r="CO7" s="915"/>
      <c r="CP7" s="1041">
        <v>13.548800000000002</v>
      </c>
      <c r="CR7" s="1474">
        <f t="shared" ref="CR7:CR50" si="1">C7-AX7</f>
        <v>0</v>
      </c>
      <c r="CS7" s="918">
        <f t="shared" si="0"/>
        <v>0</v>
      </c>
      <c r="CT7" s="918">
        <f t="shared" si="0"/>
        <v>0</v>
      </c>
      <c r="CU7" s="912">
        <f t="shared" si="0"/>
        <v>0</v>
      </c>
      <c r="CV7" s="913">
        <f t="shared" si="0"/>
        <v>0</v>
      </c>
      <c r="CW7" s="913">
        <f t="shared" si="0"/>
        <v>0</v>
      </c>
      <c r="CX7" s="913">
        <f t="shared" si="0"/>
        <v>0</v>
      </c>
      <c r="CY7" s="913">
        <f t="shared" si="0"/>
        <v>0</v>
      </c>
      <c r="CZ7" s="913">
        <f t="shared" si="0"/>
        <v>0</v>
      </c>
      <c r="DA7" s="1767">
        <f t="shared" si="0"/>
        <v>0</v>
      </c>
      <c r="DB7" s="1040">
        <f t="shared" si="0"/>
        <v>0</v>
      </c>
      <c r="DC7" s="913">
        <f t="shared" si="0"/>
        <v>0</v>
      </c>
      <c r="DD7" s="915">
        <f t="shared" si="0"/>
        <v>0</v>
      </c>
      <c r="DE7" s="1768">
        <f t="shared" si="0"/>
        <v>0</v>
      </c>
      <c r="DF7" s="914">
        <f t="shared" si="0"/>
        <v>0</v>
      </c>
      <c r="DG7" s="915">
        <f t="shared" si="0"/>
        <v>0</v>
      </c>
      <c r="DH7" s="914">
        <f t="shared" si="0"/>
        <v>0</v>
      </c>
      <c r="DI7" s="914">
        <f t="shared" si="0"/>
        <v>0</v>
      </c>
      <c r="DJ7" s="914">
        <f t="shared" si="0"/>
        <v>0</v>
      </c>
      <c r="DK7" s="914">
        <f t="shared" si="0"/>
        <v>0</v>
      </c>
      <c r="DL7" s="915">
        <f t="shared" si="0"/>
        <v>0</v>
      </c>
      <c r="DM7" s="915">
        <f t="shared" si="0"/>
        <v>0</v>
      </c>
      <c r="DN7" s="1041">
        <f t="shared" si="0"/>
        <v>0</v>
      </c>
      <c r="DO7" s="914">
        <f t="shared" si="0"/>
        <v>0</v>
      </c>
      <c r="DP7" s="914">
        <f t="shared" si="0"/>
        <v>0</v>
      </c>
      <c r="DQ7" s="915">
        <f t="shared" si="0"/>
        <v>0</v>
      </c>
      <c r="DR7" s="1041">
        <f t="shared" si="0"/>
        <v>0</v>
      </c>
      <c r="DS7" s="1040">
        <f t="shared" si="0"/>
        <v>0</v>
      </c>
      <c r="DT7" s="915">
        <f t="shared" si="0"/>
        <v>0</v>
      </c>
      <c r="DU7" s="915">
        <f t="shared" si="0"/>
        <v>0</v>
      </c>
      <c r="DV7" s="915" t="e">
        <f t="shared" si="0"/>
        <v>#VALUE!</v>
      </c>
      <c r="DW7" s="915" t="e">
        <f t="shared" si="0"/>
        <v>#VALUE!</v>
      </c>
      <c r="DX7" s="915" t="e">
        <f t="shared" si="0"/>
        <v>#VALUE!</v>
      </c>
      <c r="DY7" s="915">
        <f t="shared" si="0"/>
        <v>0</v>
      </c>
      <c r="DZ7" s="915">
        <f t="shared" si="0"/>
        <v>0</v>
      </c>
      <c r="EA7" s="1041">
        <f t="shared" si="0"/>
        <v>0</v>
      </c>
      <c r="EB7" s="915">
        <f t="shared" si="0"/>
        <v>0</v>
      </c>
      <c r="EC7" s="915">
        <f t="shared" si="0"/>
        <v>0</v>
      </c>
      <c r="ED7" s="915">
        <f t="shared" si="0"/>
        <v>0</v>
      </c>
      <c r="EE7" s="915">
        <f t="shared" si="0"/>
        <v>0</v>
      </c>
      <c r="EF7" s="915">
        <f t="shared" si="0"/>
        <v>0</v>
      </c>
      <c r="EG7" s="1041">
        <f t="shared" si="0"/>
        <v>-0.20279675521982199</v>
      </c>
      <c r="EH7" s="913">
        <f t="shared" si="0"/>
        <v>0</v>
      </c>
      <c r="EI7" s="915">
        <f t="shared" si="0"/>
        <v>0</v>
      </c>
      <c r="EJ7" s="1041">
        <f t="shared" si="0"/>
        <v>0</v>
      </c>
    </row>
    <row r="8" spans="1:140">
      <c r="A8" s="878">
        <f>Eingabedaten!A12</f>
        <v>2.1</v>
      </c>
      <c r="B8" s="1364" t="str">
        <f>Eingabedaten!C12</f>
        <v xml:space="preserve">Hotelzimmer </v>
      </c>
      <c r="C8" s="1390"/>
      <c r="D8" s="879"/>
      <c r="E8" s="879"/>
      <c r="F8" s="908"/>
      <c r="G8" s="909"/>
      <c r="H8" s="909"/>
      <c r="I8" s="909"/>
      <c r="J8" s="909"/>
      <c r="K8" s="909"/>
      <c r="L8" s="1772"/>
      <c r="M8" s="1038">
        <v>10</v>
      </c>
      <c r="N8" s="909">
        <v>1530</v>
      </c>
      <c r="O8" s="911">
        <v>15.3</v>
      </c>
      <c r="P8" s="1773"/>
      <c r="Q8" s="910"/>
      <c r="R8" s="911">
        <v>32.599999999999994</v>
      </c>
      <c r="S8" s="910">
        <v>0.69930069930069916</v>
      </c>
      <c r="T8" s="910">
        <v>2.7415644171779152</v>
      </c>
      <c r="U8" s="910">
        <v>0</v>
      </c>
      <c r="V8" s="910">
        <v>2.7415644171779152</v>
      </c>
      <c r="W8" s="911">
        <v>1150</v>
      </c>
      <c r="X8" s="911">
        <v>0</v>
      </c>
      <c r="Y8" s="1039">
        <v>3.1527990797546024</v>
      </c>
      <c r="Z8" s="910">
        <v>2.4</v>
      </c>
      <c r="AA8" s="910">
        <v>2.1840000000000002</v>
      </c>
      <c r="AB8" s="911">
        <v>3100</v>
      </c>
      <c r="AC8" s="1039">
        <v>6.7704000000000004</v>
      </c>
      <c r="AD8" s="1038">
        <v>28.934117647058827</v>
      </c>
      <c r="AE8" s="911">
        <v>17.441564417177915</v>
      </c>
      <c r="AF8" s="911">
        <v>120.08367098742613</v>
      </c>
      <c r="AG8" s="911" t="s">
        <v>18</v>
      </c>
      <c r="AH8" s="911" t="s">
        <v>18</v>
      </c>
      <c r="AI8" s="911" t="s">
        <v>18</v>
      </c>
      <c r="AJ8" s="911">
        <v>20</v>
      </c>
      <c r="AK8" s="911">
        <v>70</v>
      </c>
      <c r="AL8" s="1039">
        <v>1.4255</v>
      </c>
      <c r="AM8" s="911">
        <v>36.517647058823535</v>
      </c>
      <c r="AN8" s="911">
        <v>65.721649484536073</v>
      </c>
      <c r="AO8" s="911">
        <v>-2</v>
      </c>
      <c r="AP8" s="911">
        <v>56.602352941176477</v>
      </c>
      <c r="AQ8" s="911">
        <v>1910</v>
      </c>
      <c r="AR8" s="1039">
        <v>107.84706092723228</v>
      </c>
      <c r="AS8" s="909"/>
      <c r="AT8" s="911"/>
      <c r="AU8" s="1039">
        <v>39.517333333333333</v>
      </c>
      <c r="AX8" s="1390"/>
      <c r="AY8" s="879"/>
      <c r="AZ8" s="879"/>
      <c r="BA8" s="908"/>
      <c r="BB8" s="909"/>
      <c r="BC8" s="909"/>
      <c r="BD8" s="909"/>
      <c r="BE8" s="909"/>
      <c r="BF8" s="909"/>
      <c r="BG8" s="1772"/>
      <c r="BH8" s="1038">
        <v>10</v>
      </c>
      <c r="BI8" s="909">
        <v>1530</v>
      </c>
      <c r="BJ8" s="911">
        <v>15.3</v>
      </c>
      <c r="BK8" s="1773"/>
      <c r="BL8" s="910"/>
      <c r="BM8" s="911">
        <v>32.599999999999994</v>
      </c>
      <c r="BN8" s="910">
        <v>0.69930069930069916</v>
      </c>
      <c r="BO8" s="910">
        <v>2.7415644171779152</v>
      </c>
      <c r="BP8" s="910">
        <v>0</v>
      </c>
      <c r="BQ8" s="910">
        <v>2.7415644171779152</v>
      </c>
      <c r="BR8" s="911">
        <v>1150</v>
      </c>
      <c r="BS8" s="911">
        <v>0</v>
      </c>
      <c r="BT8" s="1039">
        <v>3.1527990797546024</v>
      </c>
      <c r="BU8" s="910">
        <v>2.4</v>
      </c>
      <c r="BV8" s="910">
        <v>0</v>
      </c>
      <c r="BW8" s="911">
        <v>0</v>
      </c>
      <c r="BX8" s="1039">
        <v>0</v>
      </c>
      <c r="BY8" s="1038">
        <v>31.238117647058825</v>
      </c>
      <c r="BZ8" s="911">
        <v>17.441564417177915</v>
      </c>
      <c r="CA8" s="911">
        <v>120.08367098742613</v>
      </c>
      <c r="CB8" s="911" t="s">
        <v>18</v>
      </c>
      <c r="CC8" s="911" t="s">
        <v>18</v>
      </c>
      <c r="CD8" s="911" t="s">
        <v>18</v>
      </c>
      <c r="CE8" s="911">
        <v>20</v>
      </c>
      <c r="CF8" s="911">
        <v>70</v>
      </c>
      <c r="CG8" s="1039">
        <v>1.4255</v>
      </c>
      <c r="CH8" s="911">
        <v>44.197647058823534</v>
      </c>
      <c r="CI8" s="911">
        <v>54.301533219761495</v>
      </c>
      <c r="CJ8" s="911">
        <v>-2</v>
      </c>
      <c r="CK8" s="911">
        <v>68.506352941176473</v>
      </c>
      <c r="CL8" s="911">
        <v>1910</v>
      </c>
      <c r="CM8" s="1039">
        <v>130.91456137718166</v>
      </c>
      <c r="CN8" s="909"/>
      <c r="CO8" s="911"/>
      <c r="CP8" s="1039">
        <v>39.517333333333333</v>
      </c>
      <c r="CR8" s="1390">
        <f t="shared" si="1"/>
        <v>0</v>
      </c>
      <c r="CS8" s="879">
        <f t="shared" si="0"/>
        <v>0</v>
      </c>
      <c r="CT8" s="879">
        <f t="shared" si="0"/>
        <v>0</v>
      </c>
      <c r="CU8" s="908">
        <f t="shared" si="0"/>
        <v>0</v>
      </c>
      <c r="CV8" s="909">
        <f t="shared" si="0"/>
        <v>0</v>
      </c>
      <c r="CW8" s="909">
        <f t="shared" si="0"/>
        <v>0</v>
      </c>
      <c r="CX8" s="909">
        <f t="shared" si="0"/>
        <v>0</v>
      </c>
      <c r="CY8" s="909">
        <f t="shared" si="0"/>
        <v>0</v>
      </c>
      <c r="CZ8" s="909">
        <f t="shared" si="0"/>
        <v>0</v>
      </c>
      <c r="DA8" s="1772">
        <f t="shared" si="0"/>
        <v>0</v>
      </c>
      <c r="DB8" s="1038">
        <f t="shared" si="0"/>
        <v>0</v>
      </c>
      <c r="DC8" s="909">
        <f t="shared" si="0"/>
        <v>0</v>
      </c>
      <c r="DD8" s="911">
        <f t="shared" si="0"/>
        <v>0</v>
      </c>
      <c r="DE8" s="1773">
        <f t="shared" si="0"/>
        <v>0</v>
      </c>
      <c r="DF8" s="910">
        <f t="shared" si="0"/>
        <v>0</v>
      </c>
      <c r="DG8" s="911">
        <f t="shared" si="0"/>
        <v>0</v>
      </c>
      <c r="DH8" s="910">
        <f t="shared" si="0"/>
        <v>0</v>
      </c>
      <c r="DI8" s="910">
        <f t="shared" si="0"/>
        <v>0</v>
      </c>
      <c r="DJ8" s="910">
        <f t="shared" si="0"/>
        <v>0</v>
      </c>
      <c r="DK8" s="910">
        <f t="shared" si="0"/>
        <v>0</v>
      </c>
      <c r="DL8" s="911">
        <f t="shared" si="0"/>
        <v>0</v>
      </c>
      <c r="DM8" s="911">
        <f t="shared" si="0"/>
        <v>0</v>
      </c>
      <c r="DN8" s="1039">
        <f t="shared" si="0"/>
        <v>0</v>
      </c>
      <c r="DO8" s="910">
        <f t="shared" si="0"/>
        <v>0</v>
      </c>
      <c r="DP8" s="910">
        <f t="shared" si="0"/>
        <v>2.1840000000000002</v>
      </c>
      <c r="DQ8" s="911">
        <f t="shared" si="0"/>
        <v>3100</v>
      </c>
      <c r="DR8" s="1039">
        <f t="shared" si="0"/>
        <v>6.7704000000000004</v>
      </c>
      <c r="DS8" s="1038">
        <f t="shared" si="0"/>
        <v>-2.3039999999999985</v>
      </c>
      <c r="DT8" s="911">
        <f t="shared" si="0"/>
        <v>0</v>
      </c>
      <c r="DU8" s="911">
        <f t="shared" si="0"/>
        <v>0</v>
      </c>
      <c r="DV8" s="911" t="e">
        <f t="shared" si="0"/>
        <v>#VALUE!</v>
      </c>
      <c r="DW8" s="911" t="e">
        <f t="shared" si="0"/>
        <v>#VALUE!</v>
      </c>
      <c r="DX8" s="911" t="e">
        <f t="shared" si="0"/>
        <v>#VALUE!</v>
      </c>
      <c r="DY8" s="911">
        <f t="shared" si="0"/>
        <v>0</v>
      </c>
      <c r="DZ8" s="911">
        <f t="shared" si="0"/>
        <v>0</v>
      </c>
      <c r="EA8" s="1039">
        <f t="shared" si="0"/>
        <v>0</v>
      </c>
      <c r="EB8" s="911">
        <f t="shared" si="0"/>
        <v>-7.68</v>
      </c>
      <c r="EC8" s="911">
        <f t="shared" si="0"/>
        <v>11.420116264774578</v>
      </c>
      <c r="ED8" s="911">
        <f t="shared" si="0"/>
        <v>0</v>
      </c>
      <c r="EE8" s="911">
        <f t="shared" si="0"/>
        <v>-11.903999999999996</v>
      </c>
      <c r="EF8" s="911">
        <f t="shared" si="0"/>
        <v>0</v>
      </c>
      <c r="EG8" s="1039">
        <f t="shared" si="0"/>
        <v>-23.067500449949378</v>
      </c>
      <c r="EH8" s="909">
        <f t="shared" si="0"/>
        <v>0</v>
      </c>
      <c r="EI8" s="911">
        <f t="shared" si="0"/>
        <v>0</v>
      </c>
      <c r="EJ8" s="1039">
        <f t="shared" si="0"/>
        <v>0</v>
      </c>
    </row>
    <row r="9" spans="1:140">
      <c r="A9" s="880">
        <f>Eingabedaten!A13</f>
        <v>2.2000000000000002</v>
      </c>
      <c r="B9" s="1409" t="str">
        <f>Eingabedaten!C13</f>
        <v>Empfang, Lobby</v>
      </c>
      <c r="C9" s="1434"/>
      <c r="D9" s="881"/>
      <c r="E9" s="881"/>
      <c r="F9" s="1758"/>
      <c r="G9" s="1759"/>
      <c r="H9" s="1759"/>
      <c r="I9" s="1759"/>
      <c r="J9" s="1759"/>
      <c r="K9" s="1759"/>
      <c r="L9" s="1760"/>
      <c r="M9" s="1774">
        <v>15</v>
      </c>
      <c r="N9" s="1759">
        <v>2990</v>
      </c>
      <c r="O9" s="1762">
        <v>44.85</v>
      </c>
      <c r="P9" s="1775"/>
      <c r="Q9" s="1761"/>
      <c r="R9" s="1762">
        <v>45.1</v>
      </c>
      <c r="S9" s="1761">
        <v>0.81081081081081086</v>
      </c>
      <c r="T9" s="1761">
        <v>10.254988913525498</v>
      </c>
      <c r="U9" s="1761">
        <v>0</v>
      </c>
      <c r="V9" s="1761">
        <v>10.254988913525498</v>
      </c>
      <c r="W9" s="1762">
        <v>3900</v>
      </c>
      <c r="X9" s="1762">
        <v>0</v>
      </c>
      <c r="Y9" s="1776">
        <v>39.994456762749444</v>
      </c>
      <c r="Z9" s="1761">
        <v>7.2</v>
      </c>
      <c r="AA9" s="1761">
        <v>6.5520000000000005</v>
      </c>
      <c r="AB9" s="1762">
        <v>2680</v>
      </c>
      <c r="AC9" s="1776">
        <v>17.559360000000002</v>
      </c>
      <c r="AD9" s="1774">
        <v>32.813490196078433</v>
      </c>
      <c r="AE9" s="1762">
        <v>39.254988913525494</v>
      </c>
      <c r="AF9" s="1762">
        <v>425.51654660728622</v>
      </c>
      <c r="AG9" s="1762" t="s">
        <v>18</v>
      </c>
      <c r="AH9" s="1762" t="s">
        <v>18</v>
      </c>
      <c r="AI9" s="1762" t="s">
        <v>18</v>
      </c>
      <c r="AJ9" s="1762">
        <v>48</v>
      </c>
      <c r="AK9" s="1762">
        <v>310</v>
      </c>
      <c r="AL9" s="1776">
        <v>14.724305555555556</v>
      </c>
      <c r="AM9" s="1762">
        <v>308.08847058823528</v>
      </c>
      <c r="AN9" s="1762">
        <v>47.487658243315899</v>
      </c>
      <c r="AO9" s="1762">
        <v>-3</v>
      </c>
      <c r="AP9" s="1762">
        <v>68.46410457516339</v>
      </c>
      <c r="AQ9" s="1762">
        <v>400</v>
      </c>
      <c r="AR9" s="1776">
        <v>27.473638438178593</v>
      </c>
      <c r="AS9" s="1759"/>
      <c r="AT9" s="1762"/>
      <c r="AU9" s="1776">
        <v>0</v>
      </c>
      <c r="AX9" s="1434"/>
      <c r="AY9" s="881"/>
      <c r="AZ9" s="881"/>
      <c r="BA9" s="1758"/>
      <c r="BB9" s="1759"/>
      <c r="BC9" s="1759"/>
      <c r="BD9" s="1759"/>
      <c r="BE9" s="1759"/>
      <c r="BF9" s="1759"/>
      <c r="BG9" s="1760"/>
      <c r="BH9" s="1774">
        <v>15</v>
      </c>
      <c r="BI9" s="1759">
        <v>2990</v>
      </c>
      <c r="BJ9" s="1762">
        <v>44.85</v>
      </c>
      <c r="BK9" s="1775"/>
      <c r="BL9" s="1761"/>
      <c r="BM9" s="1762">
        <v>45.1</v>
      </c>
      <c r="BN9" s="1761">
        <v>0.81081081081081086</v>
      </c>
      <c r="BO9" s="1761">
        <v>10.254988913525498</v>
      </c>
      <c r="BP9" s="1761">
        <v>0</v>
      </c>
      <c r="BQ9" s="1761">
        <v>10.254988913525498</v>
      </c>
      <c r="BR9" s="1762">
        <v>3900</v>
      </c>
      <c r="BS9" s="1762">
        <v>0</v>
      </c>
      <c r="BT9" s="1776">
        <v>39.994456762749444</v>
      </c>
      <c r="BU9" s="1761">
        <v>7.2</v>
      </c>
      <c r="BV9" s="1761">
        <v>0</v>
      </c>
      <c r="BW9" s="1762">
        <v>0</v>
      </c>
      <c r="BX9" s="1776">
        <v>0</v>
      </c>
      <c r="BY9" s="1774">
        <v>39.725490196078425</v>
      </c>
      <c r="BZ9" s="1762">
        <v>39.254988913525494</v>
      </c>
      <c r="CA9" s="1762">
        <v>425.51654660728622</v>
      </c>
      <c r="CB9" s="1762" t="s">
        <v>18</v>
      </c>
      <c r="CC9" s="1762" t="s">
        <v>18</v>
      </c>
      <c r="CD9" s="1762" t="s">
        <v>18</v>
      </c>
      <c r="CE9" s="1762">
        <v>48</v>
      </c>
      <c r="CF9" s="1762">
        <v>310</v>
      </c>
      <c r="CG9" s="1776">
        <v>14.724305555555556</v>
      </c>
      <c r="CH9" s="1762">
        <v>473.97647058823526</v>
      </c>
      <c r="CI9" s="1762">
        <v>30.867355043685468</v>
      </c>
      <c r="CJ9" s="1762">
        <v>-3</v>
      </c>
      <c r="CK9" s="1762">
        <v>105.32810457516339</v>
      </c>
      <c r="CL9" s="1762">
        <v>1070</v>
      </c>
      <c r="CM9" s="1776">
        <v>112.27584747830618</v>
      </c>
      <c r="CN9" s="1759"/>
      <c r="CO9" s="1762"/>
      <c r="CP9" s="1776">
        <v>0</v>
      </c>
      <c r="CR9" s="1434">
        <f t="shared" si="1"/>
        <v>0</v>
      </c>
      <c r="CS9" s="881">
        <f t="shared" si="0"/>
        <v>0</v>
      </c>
      <c r="CT9" s="881">
        <f t="shared" si="0"/>
        <v>0</v>
      </c>
      <c r="CU9" s="1758">
        <f t="shared" si="0"/>
        <v>0</v>
      </c>
      <c r="CV9" s="1759">
        <f t="shared" si="0"/>
        <v>0</v>
      </c>
      <c r="CW9" s="1759">
        <f t="shared" si="0"/>
        <v>0</v>
      </c>
      <c r="CX9" s="1759">
        <f t="shared" si="0"/>
        <v>0</v>
      </c>
      <c r="CY9" s="1759">
        <f t="shared" si="0"/>
        <v>0</v>
      </c>
      <c r="CZ9" s="1759">
        <f t="shared" si="0"/>
        <v>0</v>
      </c>
      <c r="DA9" s="1760">
        <f t="shared" si="0"/>
        <v>0</v>
      </c>
      <c r="DB9" s="1774">
        <f t="shared" si="0"/>
        <v>0</v>
      </c>
      <c r="DC9" s="1759">
        <f t="shared" si="0"/>
        <v>0</v>
      </c>
      <c r="DD9" s="1762">
        <f t="shared" si="0"/>
        <v>0</v>
      </c>
      <c r="DE9" s="1775">
        <f t="shared" si="0"/>
        <v>0</v>
      </c>
      <c r="DF9" s="1761">
        <f t="shared" si="0"/>
        <v>0</v>
      </c>
      <c r="DG9" s="1762">
        <f t="shared" si="0"/>
        <v>0</v>
      </c>
      <c r="DH9" s="1761">
        <f t="shared" si="0"/>
        <v>0</v>
      </c>
      <c r="DI9" s="1761">
        <f t="shared" si="0"/>
        <v>0</v>
      </c>
      <c r="DJ9" s="1761">
        <f t="shared" si="0"/>
        <v>0</v>
      </c>
      <c r="DK9" s="1761">
        <f t="shared" si="0"/>
        <v>0</v>
      </c>
      <c r="DL9" s="1762">
        <f t="shared" si="0"/>
        <v>0</v>
      </c>
      <c r="DM9" s="1762">
        <f t="shared" si="0"/>
        <v>0</v>
      </c>
      <c r="DN9" s="1776">
        <f t="shared" si="0"/>
        <v>0</v>
      </c>
      <c r="DO9" s="1761">
        <f t="shared" si="0"/>
        <v>0</v>
      </c>
      <c r="DP9" s="1761">
        <f t="shared" si="0"/>
        <v>6.5520000000000005</v>
      </c>
      <c r="DQ9" s="1762">
        <f t="shared" si="0"/>
        <v>2680</v>
      </c>
      <c r="DR9" s="1776">
        <f t="shared" si="0"/>
        <v>17.559360000000002</v>
      </c>
      <c r="DS9" s="1774">
        <f t="shared" si="0"/>
        <v>-6.9119999999999919</v>
      </c>
      <c r="DT9" s="1762">
        <f t="shared" si="0"/>
        <v>0</v>
      </c>
      <c r="DU9" s="1762">
        <f t="shared" si="0"/>
        <v>0</v>
      </c>
      <c r="DV9" s="1762" t="e">
        <f t="shared" si="0"/>
        <v>#VALUE!</v>
      </c>
      <c r="DW9" s="1762" t="e">
        <f t="shared" si="0"/>
        <v>#VALUE!</v>
      </c>
      <c r="DX9" s="1762" t="e">
        <f t="shared" si="0"/>
        <v>#VALUE!</v>
      </c>
      <c r="DY9" s="1762">
        <f t="shared" si="0"/>
        <v>0</v>
      </c>
      <c r="DZ9" s="1762">
        <f t="shared" si="0"/>
        <v>0</v>
      </c>
      <c r="EA9" s="1776">
        <f t="shared" si="0"/>
        <v>0</v>
      </c>
      <c r="EB9" s="1762">
        <f t="shared" si="0"/>
        <v>-165.88799999999998</v>
      </c>
      <c r="EC9" s="1762">
        <f t="shared" si="0"/>
        <v>16.620303199630431</v>
      </c>
      <c r="ED9" s="1762">
        <f t="shared" si="0"/>
        <v>0</v>
      </c>
      <c r="EE9" s="1762">
        <f t="shared" si="0"/>
        <v>-36.864000000000004</v>
      </c>
      <c r="EF9" s="1762">
        <f t="shared" si="0"/>
        <v>-670</v>
      </c>
      <c r="EG9" s="1776">
        <f t="shared" si="0"/>
        <v>-84.802209040127579</v>
      </c>
      <c r="EH9" s="1759">
        <f t="shared" si="0"/>
        <v>0</v>
      </c>
      <c r="EI9" s="1762">
        <f t="shared" si="0"/>
        <v>0</v>
      </c>
      <c r="EJ9" s="1776">
        <f t="shared" si="0"/>
        <v>0</v>
      </c>
    </row>
    <row r="10" spans="1:140">
      <c r="A10" s="878">
        <f>Eingabedaten!A14</f>
        <v>3.1</v>
      </c>
      <c r="B10" s="1364" t="str">
        <f>Eingabedaten!C14</f>
        <v>Einzel-, Gruppenbüro</v>
      </c>
      <c r="C10" s="1390"/>
      <c r="D10" s="879"/>
      <c r="E10" s="879"/>
      <c r="F10" s="908"/>
      <c r="G10" s="909"/>
      <c r="H10" s="909"/>
      <c r="I10" s="909"/>
      <c r="J10" s="909"/>
      <c r="K10" s="909"/>
      <c r="L10" s="1772"/>
      <c r="M10" s="1038">
        <v>15</v>
      </c>
      <c r="N10" s="909">
        <v>1930</v>
      </c>
      <c r="O10" s="911">
        <v>28.95</v>
      </c>
      <c r="P10" s="1773"/>
      <c r="Q10" s="910"/>
      <c r="R10" s="911">
        <v>55.1</v>
      </c>
      <c r="S10" s="910">
        <v>0.71428571428571419</v>
      </c>
      <c r="T10" s="910">
        <v>15.880217785843922</v>
      </c>
      <c r="U10" s="910">
        <v>0</v>
      </c>
      <c r="V10" s="910">
        <v>15.880217785843922</v>
      </c>
      <c r="W10" s="911">
        <v>1210</v>
      </c>
      <c r="X10" s="911">
        <v>0</v>
      </c>
      <c r="Y10" s="1039">
        <v>19.215063520871148</v>
      </c>
      <c r="Z10" s="910">
        <v>2.5714285714285716</v>
      </c>
      <c r="AA10" s="910">
        <v>2.3400000000000003</v>
      </c>
      <c r="AB10" s="911">
        <v>1470</v>
      </c>
      <c r="AC10" s="1039">
        <v>3.4398000000000009</v>
      </c>
      <c r="AD10" s="1038">
        <v>41.032806722689081</v>
      </c>
      <c r="AE10" s="911">
        <v>35.880217785843925</v>
      </c>
      <c r="AF10" s="911">
        <v>173.28184453194123</v>
      </c>
      <c r="AG10" s="911" t="s">
        <v>18</v>
      </c>
      <c r="AH10" s="911" t="s">
        <v>18</v>
      </c>
      <c r="AI10" s="911" t="s">
        <v>18</v>
      </c>
      <c r="AJ10" s="911">
        <v>38</v>
      </c>
      <c r="AK10" s="911">
        <v>200</v>
      </c>
      <c r="AL10" s="1039">
        <v>7.673055555555556</v>
      </c>
      <c r="AM10" s="911">
        <v>66.408605042016816</v>
      </c>
      <c r="AN10" s="911">
        <v>60.660813420959919</v>
      </c>
      <c r="AO10" s="911">
        <v>-2</v>
      </c>
      <c r="AP10" s="911">
        <v>57.185187675070033</v>
      </c>
      <c r="AQ10" s="911">
        <v>1380</v>
      </c>
      <c r="AR10" s="1039">
        <v>78.850563896183758</v>
      </c>
      <c r="AS10" s="909"/>
      <c r="AT10" s="911"/>
      <c r="AU10" s="1039">
        <v>2.5950857142857147</v>
      </c>
      <c r="AX10" s="1390"/>
      <c r="AY10" s="879"/>
      <c r="AZ10" s="879"/>
      <c r="BA10" s="908"/>
      <c r="BB10" s="909"/>
      <c r="BC10" s="909"/>
      <c r="BD10" s="909"/>
      <c r="BE10" s="909"/>
      <c r="BF10" s="909"/>
      <c r="BG10" s="1772"/>
      <c r="BH10" s="1038">
        <v>15</v>
      </c>
      <c r="BI10" s="909">
        <v>1930</v>
      </c>
      <c r="BJ10" s="911">
        <v>28.95</v>
      </c>
      <c r="BK10" s="1773"/>
      <c r="BL10" s="910"/>
      <c r="BM10" s="911">
        <v>55.1</v>
      </c>
      <c r="BN10" s="910">
        <v>0.71428571428571419</v>
      </c>
      <c r="BO10" s="910">
        <v>15.880217785843922</v>
      </c>
      <c r="BP10" s="910">
        <v>0</v>
      </c>
      <c r="BQ10" s="910">
        <v>15.880217785843922</v>
      </c>
      <c r="BR10" s="911">
        <v>1210</v>
      </c>
      <c r="BS10" s="911">
        <v>0</v>
      </c>
      <c r="BT10" s="1039">
        <v>19.215063520871148</v>
      </c>
      <c r="BU10" s="910">
        <v>2.5714285714285716</v>
      </c>
      <c r="BV10" s="910">
        <v>0</v>
      </c>
      <c r="BW10" s="911">
        <v>0</v>
      </c>
      <c r="BX10" s="1039">
        <v>0</v>
      </c>
      <c r="BY10" s="1038">
        <v>43.501378151260511</v>
      </c>
      <c r="BZ10" s="911">
        <v>35.880217785843925</v>
      </c>
      <c r="CA10" s="911">
        <v>173.28184453194123</v>
      </c>
      <c r="CB10" s="911" t="s">
        <v>18</v>
      </c>
      <c r="CC10" s="911" t="s">
        <v>18</v>
      </c>
      <c r="CD10" s="911" t="s">
        <v>18</v>
      </c>
      <c r="CE10" s="911">
        <v>38</v>
      </c>
      <c r="CF10" s="911">
        <v>200</v>
      </c>
      <c r="CG10" s="1039">
        <v>7.673055555555556</v>
      </c>
      <c r="CH10" s="911">
        <v>81.220033613445395</v>
      </c>
      <c r="CI10" s="911">
        <v>49.598600502587423</v>
      </c>
      <c r="CJ10" s="911">
        <v>-3</v>
      </c>
      <c r="CK10" s="911">
        <v>72.19558543417368</v>
      </c>
      <c r="CL10" s="911">
        <v>1380</v>
      </c>
      <c r="CM10" s="1039">
        <v>99.681928392703426</v>
      </c>
      <c r="CN10" s="909"/>
      <c r="CO10" s="911"/>
      <c r="CP10" s="1039">
        <v>2.5950857142857147</v>
      </c>
      <c r="CR10" s="1390">
        <f t="shared" si="1"/>
        <v>0</v>
      </c>
      <c r="CS10" s="879">
        <f t="shared" si="0"/>
        <v>0</v>
      </c>
      <c r="CT10" s="879">
        <f t="shared" si="0"/>
        <v>0</v>
      </c>
      <c r="CU10" s="908">
        <f t="shared" si="0"/>
        <v>0</v>
      </c>
      <c r="CV10" s="909">
        <f t="shared" si="0"/>
        <v>0</v>
      </c>
      <c r="CW10" s="909">
        <f t="shared" si="0"/>
        <v>0</v>
      </c>
      <c r="CX10" s="909">
        <f t="shared" si="0"/>
        <v>0</v>
      </c>
      <c r="CY10" s="909">
        <f t="shared" si="0"/>
        <v>0</v>
      </c>
      <c r="CZ10" s="909">
        <f t="shared" si="0"/>
        <v>0</v>
      </c>
      <c r="DA10" s="1772">
        <f t="shared" si="0"/>
        <v>0</v>
      </c>
      <c r="DB10" s="1038">
        <f t="shared" si="0"/>
        <v>0</v>
      </c>
      <c r="DC10" s="909">
        <f t="shared" si="0"/>
        <v>0</v>
      </c>
      <c r="DD10" s="911">
        <f t="shared" si="0"/>
        <v>0</v>
      </c>
      <c r="DE10" s="1773">
        <f t="shared" si="0"/>
        <v>0</v>
      </c>
      <c r="DF10" s="910">
        <f t="shared" si="0"/>
        <v>0</v>
      </c>
      <c r="DG10" s="911">
        <f t="shared" si="0"/>
        <v>0</v>
      </c>
      <c r="DH10" s="910">
        <f t="shared" si="0"/>
        <v>0</v>
      </c>
      <c r="DI10" s="910">
        <f t="shared" si="0"/>
        <v>0</v>
      </c>
      <c r="DJ10" s="910">
        <f t="shared" si="0"/>
        <v>0</v>
      </c>
      <c r="DK10" s="910">
        <f t="shared" si="0"/>
        <v>0</v>
      </c>
      <c r="DL10" s="911">
        <f t="shared" si="0"/>
        <v>0</v>
      </c>
      <c r="DM10" s="911">
        <f t="shared" si="0"/>
        <v>0</v>
      </c>
      <c r="DN10" s="1039">
        <f t="shared" si="0"/>
        <v>0</v>
      </c>
      <c r="DO10" s="910">
        <f t="shared" si="0"/>
        <v>0</v>
      </c>
      <c r="DP10" s="910">
        <f t="shared" si="0"/>
        <v>2.3400000000000003</v>
      </c>
      <c r="DQ10" s="911">
        <f t="shared" si="0"/>
        <v>1470</v>
      </c>
      <c r="DR10" s="1039">
        <f t="shared" si="0"/>
        <v>3.4398000000000009</v>
      </c>
      <c r="DS10" s="1038">
        <f t="shared" si="0"/>
        <v>-2.4685714285714297</v>
      </c>
      <c r="DT10" s="911">
        <f t="shared" si="0"/>
        <v>0</v>
      </c>
      <c r="DU10" s="911">
        <f t="shared" si="0"/>
        <v>0</v>
      </c>
      <c r="DV10" s="911" t="e">
        <f t="shared" si="0"/>
        <v>#VALUE!</v>
      </c>
      <c r="DW10" s="911" t="e">
        <f t="shared" si="0"/>
        <v>#VALUE!</v>
      </c>
      <c r="DX10" s="911" t="e">
        <f t="shared" si="0"/>
        <v>#VALUE!</v>
      </c>
      <c r="DY10" s="911">
        <f t="shared" si="0"/>
        <v>0</v>
      </c>
      <c r="DZ10" s="911">
        <f t="shared" si="0"/>
        <v>0</v>
      </c>
      <c r="EA10" s="1039">
        <f t="shared" si="0"/>
        <v>0</v>
      </c>
      <c r="EB10" s="911">
        <f t="shared" si="0"/>
        <v>-14.811428571428578</v>
      </c>
      <c r="EC10" s="911">
        <f t="shared" si="0"/>
        <v>11.062212918372495</v>
      </c>
      <c r="ED10" s="911">
        <f t="shared" si="0"/>
        <v>1</v>
      </c>
      <c r="EE10" s="911">
        <f t="shared" si="0"/>
        <v>-15.010397759103647</v>
      </c>
      <c r="EF10" s="911">
        <f t="shared" si="0"/>
        <v>0</v>
      </c>
      <c r="EG10" s="1039">
        <f t="shared" si="0"/>
        <v>-20.831364496519669</v>
      </c>
      <c r="EH10" s="909">
        <f t="shared" si="0"/>
        <v>0</v>
      </c>
      <c r="EI10" s="911">
        <f t="shared" si="0"/>
        <v>0</v>
      </c>
      <c r="EJ10" s="1039">
        <f t="shared" si="0"/>
        <v>0</v>
      </c>
    </row>
    <row r="11" spans="1:140">
      <c r="A11" s="882">
        <f>Eingabedaten!A15</f>
        <v>3.2</v>
      </c>
      <c r="B11" s="1013" t="str">
        <f>Eingabedaten!C15</f>
        <v>Grossraumbüro</v>
      </c>
      <c r="C11" s="1719"/>
      <c r="D11" s="873"/>
      <c r="E11" s="873"/>
      <c r="F11" s="912"/>
      <c r="G11" s="913"/>
      <c r="H11" s="913"/>
      <c r="I11" s="913"/>
      <c r="J11" s="913"/>
      <c r="K11" s="913"/>
      <c r="L11" s="1767"/>
      <c r="M11" s="1040">
        <v>19</v>
      </c>
      <c r="N11" s="913">
        <v>1930</v>
      </c>
      <c r="O11" s="915">
        <v>36.67</v>
      </c>
      <c r="P11" s="1768"/>
      <c r="Q11" s="914"/>
      <c r="R11" s="915">
        <v>55.1</v>
      </c>
      <c r="S11" s="914">
        <v>0.90909090909090917</v>
      </c>
      <c r="T11" s="914">
        <v>12.477313974591651</v>
      </c>
      <c r="U11" s="914">
        <v>0</v>
      </c>
      <c r="V11" s="914">
        <v>12.477313974591651</v>
      </c>
      <c r="W11" s="915">
        <v>1860</v>
      </c>
      <c r="X11" s="915">
        <v>0</v>
      </c>
      <c r="Y11" s="1041">
        <v>23.20780399274047</v>
      </c>
      <c r="Z11" s="914">
        <v>3.6</v>
      </c>
      <c r="AA11" s="914">
        <v>3.2760000000000002</v>
      </c>
      <c r="AB11" s="915">
        <v>1470</v>
      </c>
      <c r="AC11" s="1041">
        <v>4.8157200000000007</v>
      </c>
      <c r="AD11" s="1040">
        <v>24.579058823529415</v>
      </c>
      <c r="AE11" s="915">
        <v>38.477313974591652</v>
      </c>
      <c r="AF11" s="915">
        <v>309.38301296320759</v>
      </c>
      <c r="AG11" s="915" t="s">
        <v>18</v>
      </c>
      <c r="AH11" s="915" t="s">
        <v>18</v>
      </c>
      <c r="AI11" s="915" t="s">
        <v>18</v>
      </c>
      <c r="AJ11" s="915">
        <v>37</v>
      </c>
      <c r="AK11" s="915">
        <v>300</v>
      </c>
      <c r="AL11" s="1041">
        <v>11.200347222222222</v>
      </c>
      <c r="AM11" s="915">
        <v>230.3209411764706</v>
      </c>
      <c r="AN11" s="915">
        <v>61.70867454518708</v>
      </c>
      <c r="AO11" s="915">
        <v>-2</v>
      </c>
      <c r="AP11" s="915">
        <v>49.582980392156863</v>
      </c>
      <c r="AQ11" s="915">
        <v>1030</v>
      </c>
      <c r="AR11" s="1041">
        <v>51.100575971290638</v>
      </c>
      <c r="AS11" s="913"/>
      <c r="AT11" s="915"/>
      <c r="AU11" s="1041">
        <v>3.6331200000000008</v>
      </c>
      <c r="AX11" s="1719"/>
      <c r="AY11" s="873"/>
      <c r="AZ11" s="873"/>
      <c r="BA11" s="912"/>
      <c r="BB11" s="913"/>
      <c r="BC11" s="913"/>
      <c r="BD11" s="913"/>
      <c r="BE11" s="913"/>
      <c r="BF11" s="913"/>
      <c r="BG11" s="1767"/>
      <c r="BH11" s="1040">
        <v>19</v>
      </c>
      <c r="BI11" s="913">
        <v>1930</v>
      </c>
      <c r="BJ11" s="915">
        <v>36.67</v>
      </c>
      <c r="BK11" s="1768"/>
      <c r="BL11" s="914"/>
      <c r="BM11" s="915">
        <v>55.1</v>
      </c>
      <c r="BN11" s="914">
        <v>0.90909090909090917</v>
      </c>
      <c r="BO11" s="914">
        <v>12.477313974591651</v>
      </c>
      <c r="BP11" s="914">
        <v>0</v>
      </c>
      <c r="BQ11" s="914">
        <v>12.477313974591651</v>
      </c>
      <c r="BR11" s="915">
        <v>1860</v>
      </c>
      <c r="BS11" s="915">
        <v>0</v>
      </c>
      <c r="BT11" s="1041">
        <v>23.20780399274047</v>
      </c>
      <c r="BU11" s="914">
        <v>3.6</v>
      </c>
      <c r="BV11" s="914">
        <v>0</v>
      </c>
      <c r="BW11" s="915">
        <v>0</v>
      </c>
      <c r="BX11" s="1041">
        <v>0</v>
      </c>
      <c r="BY11" s="1040">
        <v>28.035058823529415</v>
      </c>
      <c r="BZ11" s="915">
        <v>38.477313974591652</v>
      </c>
      <c r="CA11" s="915">
        <v>309.38301296320759</v>
      </c>
      <c r="CB11" s="915" t="s">
        <v>18</v>
      </c>
      <c r="CC11" s="915" t="s">
        <v>18</v>
      </c>
      <c r="CD11" s="915" t="s">
        <v>18</v>
      </c>
      <c r="CE11" s="915">
        <v>37</v>
      </c>
      <c r="CF11" s="915">
        <v>300</v>
      </c>
      <c r="CG11" s="1041">
        <v>11.200347222222222</v>
      </c>
      <c r="CH11" s="915">
        <v>313.26494117647059</v>
      </c>
      <c r="CI11" s="915">
        <v>45.369903017629888</v>
      </c>
      <c r="CJ11" s="915">
        <v>-3</v>
      </c>
      <c r="CK11" s="915">
        <v>69.614431372549021</v>
      </c>
      <c r="CL11" s="915">
        <v>1160</v>
      </c>
      <c r="CM11" s="1041">
        <v>80.617794527510128</v>
      </c>
      <c r="CN11" s="913"/>
      <c r="CO11" s="915"/>
      <c r="CP11" s="1041">
        <v>3.6331200000000008</v>
      </c>
      <c r="CR11" s="1719">
        <f t="shared" si="1"/>
        <v>0</v>
      </c>
      <c r="CS11" s="873">
        <f t="shared" si="0"/>
        <v>0</v>
      </c>
      <c r="CT11" s="873">
        <f t="shared" si="0"/>
        <v>0</v>
      </c>
      <c r="CU11" s="912">
        <f t="shared" si="0"/>
        <v>0</v>
      </c>
      <c r="CV11" s="913">
        <f t="shared" si="0"/>
        <v>0</v>
      </c>
      <c r="CW11" s="913">
        <f t="shared" si="0"/>
        <v>0</v>
      </c>
      <c r="CX11" s="913">
        <f t="shared" si="0"/>
        <v>0</v>
      </c>
      <c r="CY11" s="913">
        <f t="shared" si="0"/>
        <v>0</v>
      </c>
      <c r="CZ11" s="913">
        <f t="shared" si="0"/>
        <v>0</v>
      </c>
      <c r="DA11" s="1767">
        <f t="shared" si="0"/>
        <v>0</v>
      </c>
      <c r="DB11" s="1040">
        <f t="shared" si="0"/>
        <v>0</v>
      </c>
      <c r="DC11" s="913">
        <f t="shared" si="0"/>
        <v>0</v>
      </c>
      <c r="DD11" s="915">
        <f t="shared" si="0"/>
        <v>0</v>
      </c>
      <c r="DE11" s="1768">
        <f t="shared" si="0"/>
        <v>0</v>
      </c>
      <c r="DF11" s="914">
        <f t="shared" si="0"/>
        <v>0</v>
      </c>
      <c r="DG11" s="915">
        <f t="shared" si="0"/>
        <v>0</v>
      </c>
      <c r="DH11" s="914">
        <f t="shared" si="0"/>
        <v>0</v>
      </c>
      <c r="DI11" s="914">
        <f t="shared" si="0"/>
        <v>0</v>
      </c>
      <c r="DJ11" s="914">
        <f t="shared" si="0"/>
        <v>0</v>
      </c>
      <c r="DK11" s="914">
        <f t="shared" si="0"/>
        <v>0</v>
      </c>
      <c r="DL11" s="915">
        <f t="shared" si="0"/>
        <v>0</v>
      </c>
      <c r="DM11" s="915">
        <f t="shared" si="0"/>
        <v>0</v>
      </c>
      <c r="DN11" s="1041">
        <f t="shared" si="0"/>
        <v>0</v>
      </c>
      <c r="DO11" s="914">
        <f t="shared" si="0"/>
        <v>0</v>
      </c>
      <c r="DP11" s="914">
        <f t="shared" si="0"/>
        <v>3.2760000000000002</v>
      </c>
      <c r="DQ11" s="915">
        <f t="shared" si="0"/>
        <v>1470</v>
      </c>
      <c r="DR11" s="1041">
        <f t="shared" si="0"/>
        <v>4.8157200000000007</v>
      </c>
      <c r="DS11" s="1040">
        <f t="shared" si="0"/>
        <v>-3.4559999999999995</v>
      </c>
      <c r="DT11" s="915">
        <f t="shared" si="0"/>
        <v>0</v>
      </c>
      <c r="DU11" s="915">
        <f t="shared" si="0"/>
        <v>0</v>
      </c>
      <c r="DV11" s="915" t="e">
        <f t="shared" si="0"/>
        <v>#VALUE!</v>
      </c>
      <c r="DW11" s="915" t="e">
        <f t="shared" si="0"/>
        <v>#VALUE!</v>
      </c>
      <c r="DX11" s="915" t="e">
        <f t="shared" si="0"/>
        <v>#VALUE!</v>
      </c>
      <c r="DY11" s="915">
        <f t="shared" si="0"/>
        <v>0</v>
      </c>
      <c r="DZ11" s="915">
        <f t="shared" si="0"/>
        <v>0</v>
      </c>
      <c r="EA11" s="1041">
        <f t="shared" si="0"/>
        <v>0</v>
      </c>
      <c r="EB11" s="915">
        <f t="shared" ref="EB11:EB50" si="2">AM11-CH11</f>
        <v>-82.943999999999988</v>
      </c>
      <c r="EC11" s="915">
        <f t="shared" ref="EC11:EC50" si="3">AN11-CI11</f>
        <v>16.338771527557192</v>
      </c>
      <c r="ED11" s="915">
        <f t="shared" ref="ED11:ED50" si="4">AO11-CJ11</f>
        <v>1</v>
      </c>
      <c r="EE11" s="915">
        <f t="shared" ref="EE11:EE50" si="5">AP11-CK11</f>
        <v>-20.031450980392158</v>
      </c>
      <c r="EF11" s="915">
        <f t="shared" ref="EF11:EF50" si="6">AQ11-CL11</f>
        <v>-130</v>
      </c>
      <c r="EG11" s="1041">
        <f t="shared" ref="EG11:EG50" si="7">AR11-CM11</f>
        <v>-29.51721855621949</v>
      </c>
      <c r="EH11" s="913">
        <f t="shared" ref="EH11:EH50" si="8">AS11-CN11</f>
        <v>0</v>
      </c>
      <c r="EI11" s="915">
        <f t="shared" ref="EI11:EI50" si="9">AT11-CO11</f>
        <v>0</v>
      </c>
      <c r="EJ11" s="1041">
        <f t="shared" ref="EJ11:EJ49" si="10">AU11-CP11</f>
        <v>0</v>
      </c>
    </row>
    <row r="12" spans="1:140">
      <c r="A12" s="882">
        <f>Eingabedaten!A16</f>
        <v>3.3</v>
      </c>
      <c r="B12" s="1013" t="str">
        <f>Eingabedaten!C16</f>
        <v>Sitzungszimmer</v>
      </c>
      <c r="C12" s="1719"/>
      <c r="D12" s="873"/>
      <c r="E12" s="873"/>
      <c r="F12" s="912"/>
      <c r="G12" s="913"/>
      <c r="H12" s="913"/>
      <c r="I12" s="913"/>
      <c r="J12" s="913"/>
      <c r="K12" s="913"/>
      <c r="L12" s="1767"/>
      <c r="M12" s="1040">
        <v>3</v>
      </c>
      <c r="N12" s="913">
        <v>1410</v>
      </c>
      <c r="O12" s="915">
        <v>4.2300000000000004</v>
      </c>
      <c r="P12" s="1768"/>
      <c r="Q12" s="914"/>
      <c r="R12" s="915">
        <v>55.1</v>
      </c>
      <c r="S12" s="914">
        <v>0.71428571428571419</v>
      </c>
      <c r="T12" s="914">
        <v>15.880217785843922</v>
      </c>
      <c r="U12" s="914">
        <v>0</v>
      </c>
      <c r="V12" s="914">
        <v>15.880217785843922</v>
      </c>
      <c r="W12" s="915">
        <v>660</v>
      </c>
      <c r="X12" s="915">
        <v>0</v>
      </c>
      <c r="Y12" s="1041">
        <v>10.48094373865699</v>
      </c>
      <c r="Z12" s="914">
        <v>12</v>
      </c>
      <c r="AA12" s="914">
        <v>10.92</v>
      </c>
      <c r="AB12" s="915">
        <v>930</v>
      </c>
      <c r="AC12" s="1041">
        <v>10.1556</v>
      </c>
      <c r="AD12" s="1040">
        <v>50.084235294117647</v>
      </c>
      <c r="AE12" s="915">
        <v>42.180217785843922</v>
      </c>
      <c r="AF12" s="915">
        <v>118.46575048119465</v>
      </c>
      <c r="AG12" s="915" t="s">
        <v>18</v>
      </c>
      <c r="AH12" s="915" t="s">
        <v>18</v>
      </c>
      <c r="AI12" s="915" t="s">
        <v>18</v>
      </c>
      <c r="AJ12" s="915">
        <v>52</v>
      </c>
      <c r="AK12" s="915">
        <v>80</v>
      </c>
      <c r="AL12" s="1041">
        <v>4.1952777777777781</v>
      </c>
      <c r="AM12" s="915">
        <v>120.71717647058824</v>
      </c>
      <c r="AN12" s="915">
        <v>33.37056181877719</v>
      </c>
      <c r="AO12" s="915">
        <v>-3</v>
      </c>
      <c r="AP12" s="915">
        <v>107.3041568627451</v>
      </c>
      <c r="AQ12" s="915">
        <v>850</v>
      </c>
      <c r="AR12" s="1041">
        <v>91.12423436241518</v>
      </c>
      <c r="AS12" s="913"/>
      <c r="AT12" s="915"/>
      <c r="AU12" s="1041">
        <v>0</v>
      </c>
      <c r="AX12" s="1719"/>
      <c r="AY12" s="873"/>
      <c r="AZ12" s="873"/>
      <c r="BA12" s="912"/>
      <c r="BB12" s="913"/>
      <c r="BC12" s="913"/>
      <c r="BD12" s="913"/>
      <c r="BE12" s="913"/>
      <c r="BF12" s="913"/>
      <c r="BG12" s="1767"/>
      <c r="BH12" s="1040">
        <v>3</v>
      </c>
      <c r="BI12" s="913">
        <v>1410</v>
      </c>
      <c r="BJ12" s="915">
        <v>4.2300000000000004</v>
      </c>
      <c r="BK12" s="1768"/>
      <c r="BL12" s="914"/>
      <c r="BM12" s="915">
        <v>55.1</v>
      </c>
      <c r="BN12" s="914">
        <v>0.71428571428571419</v>
      </c>
      <c r="BO12" s="914">
        <v>15.880217785843922</v>
      </c>
      <c r="BP12" s="914">
        <v>0</v>
      </c>
      <c r="BQ12" s="914">
        <v>15.880217785843922</v>
      </c>
      <c r="BR12" s="915">
        <v>660</v>
      </c>
      <c r="BS12" s="915">
        <v>0</v>
      </c>
      <c r="BT12" s="1041">
        <v>10.48094373865699</v>
      </c>
      <c r="BU12" s="914">
        <v>12</v>
      </c>
      <c r="BV12" s="914">
        <v>0</v>
      </c>
      <c r="BW12" s="915">
        <v>0</v>
      </c>
      <c r="BX12" s="1041">
        <v>0</v>
      </c>
      <c r="BY12" s="1040">
        <v>61.604235294117657</v>
      </c>
      <c r="BZ12" s="915">
        <v>42.180217785843922</v>
      </c>
      <c r="CA12" s="915">
        <v>118.46575048119465</v>
      </c>
      <c r="CB12" s="915" t="s">
        <v>18</v>
      </c>
      <c r="CC12" s="915" t="s">
        <v>18</v>
      </c>
      <c r="CD12" s="915" t="s">
        <v>18</v>
      </c>
      <c r="CE12" s="915">
        <v>52</v>
      </c>
      <c r="CF12" s="915">
        <v>80</v>
      </c>
      <c r="CG12" s="1041">
        <v>4.1952777777777781</v>
      </c>
      <c r="CH12" s="915">
        <v>189.83717647058828</v>
      </c>
      <c r="CI12" s="915">
        <v>21.220290329297672</v>
      </c>
      <c r="CJ12" s="915">
        <v>-3</v>
      </c>
      <c r="CK12" s="915">
        <v>168.74415686274514</v>
      </c>
      <c r="CL12" s="915">
        <v>850</v>
      </c>
      <c r="CM12" s="1041">
        <v>144.26904068978649</v>
      </c>
      <c r="CN12" s="913"/>
      <c r="CO12" s="915"/>
      <c r="CP12" s="1041">
        <v>0</v>
      </c>
      <c r="CR12" s="1719">
        <f t="shared" si="1"/>
        <v>0</v>
      </c>
      <c r="CS12" s="873">
        <f t="shared" ref="CS12:CS50" si="11">D12-AY12</f>
        <v>0</v>
      </c>
      <c r="CT12" s="873">
        <f t="shared" ref="CT12:CT50" si="12">E12-AZ12</f>
        <v>0</v>
      </c>
      <c r="CU12" s="912">
        <f t="shared" ref="CU12:CU50" si="13">F12-BA12</f>
        <v>0</v>
      </c>
      <c r="CV12" s="913">
        <f t="shared" ref="CV12:CV50" si="14">G12-BB12</f>
        <v>0</v>
      </c>
      <c r="CW12" s="913">
        <f t="shared" ref="CW12:CW50" si="15">H12-BC12</f>
        <v>0</v>
      </c>
      <c r="CX12" s="913">
        <f t="shared" ref="CX12:CX50" si="16">I12-BD12</f>
        <v>0</v>
      </c>
      <c r="CY12" s="913">
        <f t="shared" ref="CY12:CY50" si="17">J12-BE12</f>
        <v>0</v>
      </c>
      <c r="CZ12" s="913">
        <f t="shared" ref="CZ12:CZ50" si="18">K12-BF12</f>
        <v>0</v>
      </c>
      <c r="DA12" s="1767">
        <f t="shared" ref="DA12:DA50" si="19">L12-BG12</f>
        <v>0</v>
      </c>
      <c r="DB12" s="1040">
        <f t="shared" ref="DB12:DB50" si="20">M12-BH12</f>
        <v>0</v>
      </c>
      <c r="DC12" s="913">
        <f t="shared" ref="DC12:DC50" si="21">N12-BI12</f>
        <v>0</v>
      </c>
      <c r="DD12" s="915">
        <f t="shared" ref="DD12:DD50" si="22">O12-BJ12</f>
        <v>0</v>
      </c>
      <c r="DE12" s="1768">
        <f t="shared" ref="DE12:DE50" si="23">P12-BK12</f>
        <v>0</v>
      </c>
      <c r="DF12" s="914">
        <f t="shared" ref="DF12:DF50" si="24">Q12-BL12</f>
        <v>0</v>
      </c>
      <c r="DG12" s="915">
        <f t="shared" ref="DG12:DG50" si="25">R12-BM12</f>
        <v>0</v>
      </c>
      <c r="DH12" s="914">
        <f t="shared" ref="DH12:DH50" si="26">S12-BN12</f>
        <v>0</v>
      </c>
      <c r="DI12" s="914">
        <f t="shared" ref="DI12:DI50" si="27">T12-BO12</f>
        <v>0</v>
      </c>
      <c r="DJ12" s="914">
        <f t="shared" ref="DJ12:DJ50" si="28">U12-BP12</f>
        <v>0</v>
      </c>
      <c r="DK12" s="914">
        <f t="shared" ref="DK12:DK50" si="29">V12-BQ12</f>
        <v>0</v>
      </c>
      <c r="DL12" s="915">
        <f t="shared" ref="DL12:DL50" si="30">W12-BR12</f>
        <v>0</v>
      </c>
      <c r="DM12" s="915">
        <f t="shared" ref="DM12:DM50" si="31">X12-BS12</f>
        <v>0</v>
      </c>
      <c r="DN12" s="1041">
        <f t="shared" ref="DN12:DN50" si="32">Y12-BT12</f>
        <v>0</v>
      </c>
      <c r="DO12" s="914">
        <f t="shared" ref="DO12:DO50" si="33">Z12-BU12</f>
        <v>0</v>
      </c>
      <c r="DP12" s="914">
        <f t="shared" ref="DP12:DP50" si="34">AA12-BV12</f>
        <v>10.92</v>
      </c>
      <c r="DQ12" s="915">
        <f t="shared" ref="DQ12:DQ50" si="35">AB12-BW12</f>
        <v>930</v>
      </c>
      <c r="DR12" s="1041">
        <f t="shared" ref="DR12:DR50" si="36">AC12-BX12</f>
        <v>10.1556</v>
      </c>
      <c r="DS12" s="1040">
        <f t="shared" ref="DS12:DS50" si="37">AD12-BY12</f>
        <v>-11.52000000000001</v>
      </c>
      <c r="DT12" s="915">
        <f t="shared" ref="DT12:DT50" si="38">AE12-BZ12</f>
        <v>0</v>
      </c>
      <c r="DU12" s="915">
        <f t="shared" ref="DU12:DU50" si="39">AF12-CA12</f>
        <v>0</v>
      </c>
      <c r="DV12" s="915" t="e">
        <f t="shared" ref="DV12:DV50" si="40">AG12-CB12</f>
        <v>#VALUE!</v>
      </c>
      <c r="DW12" s="915" t="e">
        <f t="shared" ref="DW12:DW50" si="41">AH12-CC12</f>
        <v>#VALUE!</v>
      </c>
      <c r="DX12" s="915" t="e">
        <f t="shared" ref="DX12:DX50" si="42">AI12-CD12</f>
        <v>#VALUE!</v>
      </c>
      <c r="DY12" s="915">
        <f t="shared" ref="DY12:DY50" si="43">AJ12-CE12</f>
        <v>0</v>
      </c>
      <c r="DZ12" s="915">
        <f t="shared" ref="DZ12:DZ50" si="44">AK12-CF12</f>
        <v>0</v>
      </c>
      <c r="EA12" s="1041">
        <f t="shared" ref="EA12:EA50" si="45">AL12-CG12</f>
        <v>0</v>
      </c>
      <c r="EB12" s="915">
        <f t="shared" si="2"/>
        <v>-69.120000000000033</v>
      </c>
      <c r="EC12" s="915">
        <f t="shared" si="3"/>
        <v>12.150271489479518</v>
      </c>
      <c r="ED12" s="915">
        <f t="shared" si="4"/>
        <v>0</v>
      </c>
      <c r="EE12" s="915">
        <f t="shared" si="5"/>
        <v>-61.44000000000004</v>
      </c>
      <c r="EF12" s="915">
        <f t="shared" si="6"/>
        <v>0</v>
      </c>
      <c r="EG12" s="1041">
        <f t="shared" si="7"/>
        <v>-53.144806327371313</v>
      </c>
      <c r="EH12" s="913">
        <f t="shared" si="8"/>
        <v>0</v>
      </c>
      <c r="EI12" s="915">
        <f t="shared" si="9"/>
        <v>0</v>
      </c>
      <c r="EJ12" s="1041">
        <f t="shared" si="10"/>
        <v>0</v>
      </c>
    </row>
    <row r="13" spans="1:140">
      <c r="A13" s="882">
        <f>Eingabedaten!A17</f>
        <v>3.4</v>
      </c>
      <c r="B13" s="1013" t="str">
        <f>Eingabedaten!C17</f>
        <v>Schalterhalle, Empfang</v>
      </c>
      <c r="C13" s="1719"/>
      <c r="D13" s="873"/>
      <c r="E13" s="873"/>
      <c r="F13" s="912"/>
      <c r="G13" s="913"/>
      <c r="H13" s="913"/>
      <c r="I13" s="913"/>
      <c r="J13" s="913"/>
      <c r="K13" s="913"/>
      <c r="L13" s="1767"/>
      <c r="M13" s="1040">
        <v>9.5</v>
      </c>
      <c r="N13" s="913">
        <v>1930</v>
      </c>
      <c r="O13" s="915">
        <v>18.335000000000001</v>
      </c>
      <c r="P13" s="1768"/>
      <c r="Q13" s="914"/>
      <c r="R13" s="915">
        <v>45.1</v>
      </c>
      <c r="S13" s="914">
        <v>0.75376884422110546</v>
      </c>
      <c r="T13" s="914">
        <v>11.031042128603106</v>
      </c>
      <c r="U13" s="914">
        <v>0</v>
      </c>
      <c r="V13" s="914">
        <v>11.031042128603106</v>
      </c>
      <c r="W13" s="915">
        <v>1310</v>
      </c>
      <c r="X13" s="915">
        <v>0</v>
      </c>
      <c r="Y13" s="1041">
        <v>14.450665188470071</v>
      </c>
      <c r="Z13" s="914">
        <v>2.5</v>
      </c>
      <c r="AA13" s="914">
        <v>2.2749999999999999</v>
      </c>
      <c r="AB13" s="915">
        <v>1470</v>
      </c>
      <c r="AC13" s="1041">
        <v>3.3442500000000002</v>
      </c>
      <c r="AD13" s="1040">
        <v>28.301490196078433</v>
      </c>
      <c r="AE13" s="915">
        <v>26.331042128603109</v>
      </c>
      <c r="AF13" s="915">
        <v>142.15753090977805</v>
      </c>
      <c r="AG13" s="915" t="s">
        <v>18</v>
      </c>
      <c r="AH13" s="915" t="s">
        <v>18</v>
      </c>
      <c r="AI13" s="915" t="s">
        <v>18</v>
      </c>
      <c r="AJ13" s="915">
        <v>30</v>
      </c>
      <c r="AK13" s="915">
        <v>260</v>
      </c>
      <c r="AL13" s="1041">
        <v>7.662638888888889</v>
      </c>
      <c r="AM13" s="915">
        <v>199.8004705882353</v>
      </c>
      <c r="AN13" s="915">
        <v>73.225052758516725</v>
      </c>
      <c r="AO13" s="915">
        <v>-2</v>
      </c>
      <c r="AP13" s="915">
        <v>41.625098039215686</v>
      </c>
      <c r="AQ13" s="915">
        <v>1120</v>
      </c>
      <c r="AR13" s="1041">
        <v>46.608882732744767</v>
      </c>
      <c r="AS13" s="913"/>
      <c r="AT13" s="915"/>
      <c r="AU13" s="1041">
        <v>0</v>
      </c>
      <c r="AX13" s="1719"/>
      <c r="AY13" s="873"/>
      <c r="AZ13" s="873"/>
      <c r="BA13" s="912"/>
      <c r="BB13" s="913"/>
      <c r="BC13" s="913"/>
      <c r="BD13" s="913"/>
      <c r="BE13" s="913"/>
      <c r="BF13" s="913"/>
      <c r="BG13" s="1767"/>
      <c r="BH13" s="1040">
        <v>9.5</v>
      </c>
      <c r="BI13" s="913">
        <v>1930</v>
      </c>
      <c r="BJ13" s="915">
        <v>18.335000000000001</v>
      </c>
      <c r="BK13" s="1768"/>
      <c r="BL13" s="914"/>
      <c r="BM13" s="915">
        <v>45.1</v>
      </c>
      <c r="BN13" s="914">
        <v>0.75376884422110546</v>
      </c>
      <c r="BO13" s="914">
        <v>11.031042128603106</v>
      </c>
      <c r="BP13" s="914">
        <v>0</v>
      </c>
      <c r="BQ13" s="914">
        <v>11.031042128603106</v>
      </c>
      <c r="BR13" s="915">
        <v>1310</v>
      </c>
      <c r="BS13" s="915">
        <v>0</v>
      </c>
      <c r="BT13" s="1041">
        <v>14.450665188470071</v>
      </c>
      <c r="BU13" s="914">
        <v>2.5</v>
      </c>
      <c r="BV13" s="914">
        <v>0</v>
      </c>
      <c r="BW13" s="915">
        <v>0</v>
      </c>
      <c r="BX13" s="1041">
        <v>0</v>
      </c>
      <c r="BY13" s="1040">
        <v>30.701490196078431</v>
      </c>
      <c r="BZ13" s="915">
        <v>26.331042128603109</v>
      </c>
      <c r="CA13" s="915">
        <v>142.15753090977805</v>
      </c>
      <c r="CB13" s="915" t="s">
        <v>18</v>
      </c>
      <c r="CC13" s="915" t="s">
        <v>18</v>
      </c>
      <c r="CD13" s="915" t="s">
        <v>18</v>
      </c>
      <c r="CE13" s="915">
        <v>30</v>
      </c>
      <c r="CF13" s="915">
        <v>260</v>
      </c>
      <c r="CG13" s="1041">
        <v>7.662638888888889</v>
      </c>
      <c r="CH13" s="915">
        <v>257.40047058823529</v>
      </c>
      <c r="CI13" s="915">
        <v>56.839056923886972</v>
      </c>
      <c r="CJ13" s="915">
        <v>-2</v>
      </c>
      <c r="CK13" s="915">
        <v>53.625098039215686</v>
      </c>
      <c r="CL13" s="915">
        <v>1200</v>
      </c>
      <c r="CM13" s="1041">
        <v>64.266541738592892</v>
      </c>
      <c r="CN13" s="913"/>
      <c r="CO13" s="915"/>
      <c r="CP13" s="1041">
        <v>0</v>
      </c>
      <c r="CR13" s="1719">
        <f t="shared" si="1"/>
        <v>0</v>
      </c>
      <c r="CS13" s="873">
        <f t="shared" si="11"/>
        <v>0</v>
      </c>
      <c r="CT13" s="873">
        <f t="shared" si="12"/>
        <v>0</v>
      </c>
      <c r="CU13" s="912">
        <f t="shared" si="13"/>
        <v>0</v>
      </c>
      <c r="CV13" s="913">
        <f t="shared" si="14"/>
        <v>0</v>
      </c>
      <c r="CW13" s="913">
        <f t="shared" si="15"/>
        <v>0</v>
      </c>
      <c r="CX13" s="913">
        <f t="shared" si="16"/>
        <v>0</v>
      </c>
      <c r="CY13" s="913">
        <f t="shared" si="17"/>
        <v>0</v>
      </c>
      <c r="CZ13" s="913">
        <f t="shared" si="18"/>
        <v>0</v>
      </c>
      <c r="DA13" s="1767">
        <f t="shared" si="19"/>
        <v>0</v>
      </c>
      <c r="DB13" s="1040">
        <f t="shared" si="20"/>
        <v>0</v>
      </c>
      <c r="DC13" s="913">
        <f t="shared" si="21"/>
        <v>0</v>
      </c>
      <c r="DD13" s="915">
        <f t="shared" si="22"/>
        <v>0</v>
      </c>
      <c r="DE13" s="1768">
        <f t="shared" si="23"/>
        <v>0</v>
      </c>
      <c r="DF13" s="914">
        <f t="shared" si="24"/>
        <v>0</v>
      </c>
      <c r="DG13" s="915">
        <f t="shared" si="25"/>
        <v>0</v>
      </c>
      <c r="DH13" s="914">
        <f t="shared" si="26"/>
        <v>0</v>
      </c>
      <c r="DI13" s="914">
        <f t="shared" si="27"/>
        <v>0</v>
      </c>
      <c r="DJ13" s="914">
        <f t="shared" si="28"/>
        <v>0</v>
      </c>
      <c r="DK13" s="914">
        <f t="shared" si="29"/>
        <v>0</v>
      </c>
      <c r="DL13" s="915">
        <f t="shared" si="30"/>
        <v>0</v>
      </c>
      <c r="DM13" s="915">
        <f t="shared" si="31"/>
        <v>0</v>
      </c>
      <c r="DN13" s="1041">
        <f t="shared" si="32"/>
        <v>0</v>
      </c>
      <c r="DO13" s="914">
        <f t="shared" si="33"/>
        <v>0</v>
      </c>
      <c r="DP13" s="914">
        <f t="shared" si="34"/>
        <v>2.2749999999999999</v>
      </c>
      <c r="DQ13" s="915">
        <f t="shared" si="35"/>
        <v>1470</v>
      </c>
      <c r="DR13" s="1041">
        <f t="shared" si="36"/>
        <v>3.3442500000000002</v>
      </c>
      <c r="DS13" s="1040">
        <f t="shared" si="37"/>
        <v>-2.3999999999999986</v>
      </c>
      <c r="DT13" s="915">
        <f t="shared" si="38"/>
        <v>0</v>
      </c>
      <c r="DU13" s="915">
        <f t="shared" si="39"/>
        <v>0</v>
      </c>
      <c r="DV13" s="915" t="e">
        <f t="shared" si="40"/>
        <v>#VALUE!</v>
      </c>
      <c r="DW13" s="915" t="e">
        <f t="shared" si="41"/>
        <v>#VALUE!</v>
      </c>
      <c r="DX13" s="915" t="e">
        <f t="shared" si="42"/>
        <v>#VALUE!</v>
      </c>
      <c r="DY13" s="915">
        <f t="shared" si="43"/>
        <v>0</v>
      </c>
      <c r="DZ13" s="915">
        <f t="shared" si="44"/>
        <v>0</v>
      </c>
      <c r="EA13" s="1041">
        <f t="shared" si="45"/>
        <v>0</v>
      </c>
      <c r="EB13" s="915">
        <f t="shared" si="2"/>
        <v>-57.599999999999994</v>
      </c>
      <c r="EC13" s="915">
        <f t="shared" si="3"/>
        <v>16.385995834629753</v>
      </c>
      <c r="ED13" s="915">
        <f t="shared" si="4"/>
        <v>0</v>
      </c>
      <c r="EE13" s="915">
        <f t="shared" si="5"/>
        <v>-12</v>
      </c>
      <c r="EF13" s="915">
        <f t="shared" si="6"/>
        <v>-80</v>
      </c>
      <c r="EG13" s="1041">
        <f t="shared" si="7"/>
        <v>-17.657659005848124</v>
      </c>
      <c r="EH13" s="913">
        <f t="shared" si="8"/>
        <v>0</v>
      </c>
      <c r="EI13" s="915">
        <f t="shared" si="9"/>
        <v>0</v>
      </c>
      <c r="EJ13" s="1041">
        <f t="shared" si="10"/>
        <v>0</v>
      </c>
    </row>
    <row r="14" spans="1:140">
      <c r="A14" s="883">
        <f>Eingabedaten!A18</f>
        <v>4.0999999999999996</v>
      </c>
      <c r="B14" s="888" t="str">
        <f>Eingabedaten!C18</f>
        <v>Schulzimmer</v>
      </c>
      <c r="C14" s="1777"/>
      <c r="D14" s="884"/>
      <c r="E14" s="884"/>
      <c r="F14" s="908"/>
      <c r="G14" s="909"/>
      <c r="H14" s="909"/>
      <c r="I14" s="1778"/>
      <c r="J14" s="909"/>
      <c r="K14" s="909"/>
      <c r="L14" s="1772"/>
      <c r="M14" s="1038">
        <v>6</v>
      </c>
      <c r="N14" s="909">
        <v>1770</v>
      </c>
      <c r="O14" s="911">
        <v>10.62</v>
      </c>
      <c r="P14" s="1773"/>
      <c r="Q14" s="910"/>
      <c r="R14" s="911">
        <v>55.1</v>
      </c>
      <c r="S14" s="910">
        <v>0.80831408775981517</v>
      </c>
      <c r="T14" s="910">
        <v>14.032927145449831</v>
      </c>
      <c r="U14" s="910">
        <v>0</v>
      </c>
      <c r="V14" s="910">
        <v>14.032927145449831</v>
      </c>
      <c r="W14" s="911">
        <v>1180</v>
      </c>
      <c r="X14" s="911">
        <v>0</v>
      </c>
      <c r="Y14" s="1039">
        <v>16.558854031630801</v>
      </c>
      <c r="Z14" s="910">
        <v>8.3333333333333339</v>
      </c>
      <c r="AA14" s="910">
        <v>0</v>
      </c>
      <c r="AB14" s="911">
        <v>0</v>
      </c>
      <c r="AC14" s="1039">
        <v>0</v>
      </c>
      <c r="AD14" s="1038">
        <v>51.000873949579841</v>
      </c>
      <c r="AE14" s="911">
        <v>43.33292714544983</v>
      </c>
      <c r="AF14" s="911">
        <v>262.36902965911372</v>
      </c>
      <c r="AG14" s="911" t="s">
        <v>18</v>
      </c>
      <c r="AH14" s="911" t="s">
        <v>18</v>
      </c>
      <c r="AI14" s="911" t="s">
        <v>18</v>
      </c>
      <c r="AJ14" s="911">
        <v>46</v>
      </c>
      <c r="AK14" s="911">
        <v>120</v>
      </c>
      <c r="AL14" s="1039">
        <v>5.3250000000000002</v>
      </c>
      <c r="AM14" s="911">
        <v>295.36313725490197</v>
      </c>
      <c r="AN14" s="911">
        <v>25.216416879985555</v>
      </c>
      <c r="AO14" s="911">
        <v>-3</v>
      </c>
      <c r="AP14" s="911">
        <v>135.02314845938375</v>
      </c>
      <c r="AQ14" s="911">
        <v>970</v>
      </c>
      <c r="AR14" s="1039">
        <v>131.08433886861184</v>
      </c>
      <c r="AS14" s="909"/>
      <c r="AT14" s="911"/>
      <c r="AU14" s="1039">
        <v>5.290005205479452</v>
      </c>
      <c r="AX14" s="1777"/>
      <c r="AY14" s="884"/>
      <c r="AZ14" s="884"/>
      <c r="BA14" s="908"/>
      <c r="BB14" s="909"/>
      <c r="BC14" s="909"/>
      <c r="BD14" s="1778"/>
      <c r="BE14" s="909"/>
      <c r="BF14" s="909"/>
      <c r="BG14" s="1772"/>
      <c r="BH14" s="1038">
        <v>6</v>
      </c>
      <c r="BI14" s="909">
        <v>1770</v>
      </c>
      <c r="BJ14" s="911">
        <v>10.62</v>
      </c>
      <c r="BK14" s="1773"/>
      <c r="BL14" s="910"/>
      <c r="BM14" s="911">
        <v>55.1</v>
      </c>
      <c r="BN14" s="910">
        <v>0.80831408775981517</v>
      </c>
      <c r="BO14" s="910">
        <v>14.032927145449831</v>
      </c>
      <c r="BP14" s="910">
        <v>0</v>
      </c>
      <c r="BQ14" s="910">
        <v>14.032927145449831</v>
      </c>
      <c r="BR14" s="911">
        <v>1180</v>
      </c>
      <c r="BS14" s="911">
        <v>0</v>
      </c>
      <c r="BT14" s="1039">
        <v>16.558854031630801</v>
      </c>
      <c r="BU14" s="910">
        <v>8.3333333333333339</v>
      </c>
      <c r="BV14" s="910">
        <v>0</v>
      </c>
      <c r="BW14" s="911">
        <v>0</v>
      </c>
      <c r="BX14" s="1039">
        <v>0</v>
      </c>
      <c r="BY14" s="1038">
        <v>51.000873949579841</v>
      </c>
      <c r="BZ14" s="911">
        <v>43.33292714544983</v>
      </c>
      <c r="CA14" s="911">
        <v>262.36902965911372</v>
      </c>
      <c r="CB14" s="911" t="s">
        <v>18</v>
      </c>
      <c r="CC14" s="911" t="s">
        <v>18</v>
      </c>
      <c r="CD14" s="911" t="s">
        <v>18</v>
      </c>
      <c r="CE14" s="911">
        <v>46</v>
      </c>
      <c r="CF14" s="911">
        <v>120</v>
      </c>
      <c r="CG14" s="1039">
        <v>5.3250000000000002</v>
      </c>
      <c r="CH14" s="911">
        <v>295.36313725490197</v>
      </c>
      <c r="CI14" s="911">
        <v>25.216416879985555</v>
      </c>
      <c r="CJ14" s="911">
        <v>-3</v>
      </c>
      <c r="CK14" s="911">
        <v>135.02314845938375</v>
      </c>
      <c r="CL14" s="911">
        <v>1090</v>
      </c>
      <c r="CM14" s="1039">
        <v>147.55956716501828</v>
      </c>
      <c r="CN14" s="909"/>
      <c r="CO14" s="911"/>
      <c r="CP14" s="1039">
        <v>5.290005205479452</v>
      </c>
      <c r="CR14" s="1777">
        <f t="shared" si="1"/>
        <v>0</v>
      </c>
      <c r="CS14" s="884">
        <f t="shared" si="11"/>
        <v>0</v>
      </c>
      <c r="CT14" s="884">
        <f t="shared" si="12"/>
        <v>0</v>
      </c>
      <c r="CU14" s="908">
        <f t="shared" si="13"/>
        <v>0</v>
      </c>
      <c r="CV14" s="909">
        <f t="shared" si="14"/>
        <v>0</v>
      </c>
      <c r="CW14" s="909">
        <f t="shared" si="15"/>
        <v>0</v>
      </c>
      <c r="CX14" s="1778">
        <f t="shared" si="16"/>
        <v>0</v>
      </c>
      <c r="CY14" s="909">
        <f t="shared" si="17"/>
        <v>0</v>
      </c>
      <c r="CZ14" s="909">
        <f t="shared" si="18"/>
        <v>0</v>
      </c>
      <c r="DA14" s="1772">
        <f t="shared" si="19"/>
        <v>0</v>
      </c>
      <c r="DB14" s="1038">
        <f t="shared" si="20"/>
        <v>0</v>
      </c>
      <c r="DC14" s="909">
        <f t="shared" si="21"/>
        <v>0</v>
      </c>
      <c r="DD14" s="911">
        <f t="shared" si="22"/>
        <v>0</v>
      </c>
      <c r="DE14" s="1773">
        <f t="shared" si="23"/>
        <v>0</v>
      </c>
      <c r="DF14" s="910">
        <f t="shared" si="24"/>
        <v>0</v>
      </c>
      <c r="DG14" s="911">
        <f t="shared" si="25"/>
        <v>0</v>
      </c>
      <c r="DH14" s="910">
        <f t="shared" si="26"/>
        <v>0</v>
      </c>
      <c r="DI14" s="910">
        <f t="shared" si="27"/>
        <v>0</v>
      </c>
      <c r="DJ14" s="910">
        <f t="shared" si="28"/>
        <v>0</v>
      </c>
      <c r="DK14" s="910">
        <f t="shared" si="29"/>
        <v>0</v>
      </c>
      <c r="DL14" s="911">
        <f t="shared" si="30"/>
        <v>0</v>
      </c>
      <c r="DM14" s="911">
        <f t="shared" si="31"/>
        <v>0</v>
      </c>
      <c r="DN14" s="1039">
        <f t="shared" si="32"/>
        <v>0</v>
      </c>
      <c r="DO14" s="910">
        <f t="shared" si="33"/>
        <v>0</v>
      </c>
      <c r="DP14" s="910">
        <f t="shared" si="34"/>
        <v>0</v>
      </c>
      <c r="DQ14" s="911">
        <f t="shared" si="35"/>
        <v>0</v>
      </c>
      <c r="DR14" s="1039">
        <f t="shared" si="36"/>
        <v>0</v>
      </c>
      <c r="DS14" s="1038">
        <f t="shared" si="37"/>
        <v>0</v>
      </c>
      <c r="DT14" s="911">
        <f t="shared" si="38"/>
        <v>0</v>
      </c>
      <c r="DU14" s="911">
        <f t="shared" si="39"/>
        <v>0</v>
      </c>
      <c r="DV14" s="911" t="e">
        <f t="shared" si="40"/>
        <v>#VALUE!</v>
      </c>
      <c r="DW14" s="911" t="e">
        <f t="shared" si="41"/>
        <v>#VALUE!</v>
      </c>
      <c r="DX14" s="911" t="e">
        <f t="shared" si="42"/>
        <v>#VALUE!</v>
      </c>
      <c r="DY14" s="911">
        <f t="shared" si="43"/>
        <v>0</v>
      </c>
      <c r="DZ14" s="911">
        <f t="shared" si="44"/>
        <v>0</v>
      </c>
      <c r="EA14" s="1039">
        <f t="shared" si="45"/>
        <v>0</v>
      </c>
      <c r="EB14" s="911">
        <f t="shared" si="2"/>
        <v>0</v>
      </c>
      <c r="EC14" s="911">
        <f t="shared" si="3"/>
        <v>0</v>
      </c>
      <c r="ED14" s="911">
        <f t="shared" si="4"/>
        <v>0</v>
      </c>
      <c r="EE14" s="911">
        <f t="shared" si="5"/>
        <v>0</v>
      </c>
      <c r="EF14" s="911">
        <f t="shared" si="6"/>
        <v>-120</v>
      </c>
      <c r="EG14" s="1039">
        <f t="shared" si="7"/>
        <v>-16.475228296406442</v>
      </c>
      <c r="EH14" s="909">
        <f t="shared" si="8"/>
        <v>0</v>
      </c>
      <c r="EI14" s="911">
        <f t="shared" si="9"/>
        <v>0</v>
      </c>
      <c r="EJ14" s="1039">
        <f t="shared" si="10"/>
        <v>0</v>
      </c>
    </row>
    <row r="15" spans="1:140">
      <c r="A15" s="882">
        <f>Eingabedaten!A19</f>
        <v>4.2</v>
      </c>
      <c r="B15" s="1013" t="str">
        <f>Eingabedaten!C19</f>
        <v>Lehrerzimmer</v>
      </c>
      <c r="C15" s="1719"/>
      <c r="D15" s="873"/>
      <c r="E15" s="873"/>
      <c r="F15" s="912"/>
      <c r="G15" s="913"/>
      <c r="H15" s="913"/>
      <c r="I15" s="1779"/>
      <c r="J15" s="913"/>
      <c r="K15" s="913"/>
      <c r="L15" s="1767"/>
      <c r="M15" s="1040">
        <v>6</v>
      </c>
      <c r="N15" s="913">
        <v>1510</v>
      </c>
      <c r="O15" s="915">
        <v>9.06</v>
      </c>
      <c r="P15" s="1768"/>
      <c r="Q15" s="914"/>
      <c r="R15" s="915">
        <v>45.1</v>
      </c>
      <c r="S15" s="914">
        <v>0.71428571428571419</v>
      </c>
      <c r="T15" s="914">
        <v>11.640798226164081</v>
      </c>
      <c r="U15" s="914">
        <v>0</v>
      </c>
      <c r="V15" s="914">
        <v>11.640798226164081</v>
      </c>
      <c r="W15" s="915">
        <v>1030</v>
      </c>
      <c r="X15" s="915">
        <v>0</v>
      </c>
      <c r="Y15" s="1041">
        <v>11.990022172949004</v>
      </c>
      <c r="Z15" s="914">
        <v>12</v>
      </c>
      <c r="AA15" s="914">
        <v>0</v>
      </c>
      <c r="AB15" s="915">
        <v>0</v>
      </c>
      <c r="AC15" s="1041">
        <v>0</v>
      </c>
      <c r="AD15" s="1040">
        <v>64.710117647058837</v>
      </c>
      <c r="AE15" s="915">
        <v>40.940798226164084</v>
      </c>
      <c r="AF15" s="915">
        <v>188.90299360847379</v>
      </c>
      <c r="AG15" s="915" t="s">
        <v>18</v>
      </c>
      <c r="AH15" s="915" t="s">
        <v>18</v>
      </c>
      <c r="AI15" s="915" t="s">
        <v>18</v>
      </c>
      <c r="AJ15" s="915">
        <v>50</v>
      </c>
      <c r="AK15" s="915">
        <v>50</v>
      </c>
      <c r="AL15" s="1041">
        <v>2.6161111111111111</v>
      </c>
      <c r="AM15" s="915">
        <v>208.47247058823532</v>
      </c>
      <c r="AN15" s="915">
        <v>20.100495706585043</v>
      </c>
      <c r="AO15" s="915">
        <v>-3</v>
      </c>
      <c r="AP15" s="915">
        <v>185.30886274509805</v>
      </c>
      <c r="AQ15" s="915">
        <v>970</v>
      </c>
      <c r="AR15" s="1041">
        <v>178.96180401479566</v>
      </c>
      <c r="AS15" s="913"/>
      <c r="AT15" s="915"/>
      <c r="AU15" s="1041">
        <v>0</v>
      </c>
      <c r="AX15" s="1719"/>
      <c r="AY15" s="873"/>
      <c r="AZ15" s="873"/>
      <c r="BA15" s="912"/>
      <c r="BB15" s="913"/>
      <c r="BC15" s="913"/>
      <c r="BD15" s="1779"/>
      <c r="BE15" s="913"/>
      <c r="BF15" s="913"/>
      <c r="BG15" s="1767"/>
      <c r="BH15" s="1040">
        <v>6</v>
      </c>
      <c r="BI15" s="913">
        <v>1510</v>
      </c>
      <c r="BJ15" s="915">
        <v>9.06</v>
      </c>
      <c r="BK15" s="1768"/>
      <c r="BL15" s="914"/>
      <c r="BM15" s="915">
        <v>45.1</v>
      </c>
      <c r="BN15" s="914">
        <v>0.71428571428571419</v>
      </c>
      <c r="BO15" s="914">
        <v>11.640798226164081</v>
      </c>
      <c r="BP15" s="914">
        <v>0</v>
      </c>
      <c r="BQ15" s="914">
        <v>11.640798226164081</v>
      </c>
      <c r="BR15" s="915">
        <v>1030</v>
      </c>
      <c r="BS15" s="915">
        <v>0</v>
      </c>
      <c r="BT15" s="1041">
        <v>11.990022172949004</v>
      </c>
      <c r="BU15" s="914">
        <v>12</v>
      </c>
      <c r="BV15" s="914">
        <v>0</v>
      </c>
      <c r="BW15" s="915">
        <v>0</v>
      </c>
      <c r="BX15" s="1041">
        <v>0</v>
      </c>
      <c r="BY15" s="1040">
        <v>64.710117647058837</v>
      </c>
      <c r="BZ15" s="915">
        <v>40.940798226164084</v>
      </c>
      <c r="CA15" s="915">
        <v>188.90299360847379</v>
      </c>
      <c r="CB15" s="915" t="s">
        <v>18</v>
      </c>
      <c r="CC15" s="915" t="s">
        <v>18</v>
      </c>
      <c r="CD15" s="915" t="s">
        <v>18</v>
      </c>
      <c r="CE15" s="915">
        <v>50</v>
      </c>
      <c r="CF15" s="915">
        <v>50</v>
      </c>
      <c r="CG15" s="1041">
        <v>2.6161111111111111</v>
      </c>
      <c r="CH15" s="915">
        <v>208.47247058823532</v>
      </c>
      <c r="CI15" s="915">
        <v>20.100495706585043</v>
      </c>
      <c r="CJ15" s="915">
        <v>-3</v>
      </c>
      <c r="CK15" s="915">
        <v>185.30886274509805</v>
      </c>
      <c r="CL15" s="915">
        <v>1070</v>
      </c>
      <c r="CM15" s="1041">
        <v>197.97646803627634</v>
      </c>
      <c r="CN15" s="913"/>
      <c r="CO15" s="915"/>
      <c r="CP15" s="1041">
        <v>0</v>
      </c>
      <c r="CR15" s="1719">
        <f t="shared" si="1"/>
        <v>0</v>
      </c>
      <c r="CS15" s="873">
        <f t="shared" si="11"/>
        <v>0</v>
      </c>
      <c r="CT15" s="873">
        <f t="shared" si="12"/>
        <v>0</v>
      </c>
      <c r="CU15" s="912">
        <f t="shared" si="13"/>
        <v>0</v>
      </c>
      <c r="CV15" s="913">
        <f t="shared" si="14"/>
        <v>0</v>
      </c>
      <c r="CW15" s="913">
        <f t="shared" si="15"/>
        <v>0</v>
      </c>
      <c r="CX15" s="1779">
        <f t="shared" si="16"/>
        <v>0</v>
      </c>
      <c r="CY15" s="913">
        <f t="shared" si="17"/>
        <v>0</v>
      </c>
      <c r="CZ15" s="913">
        <f t="shared" si="18"/>
        <v>0</v>
      </c>
      <c r="DA15" s="1767">
        <f t="shared" si="19"/>
        <v>0</v>
      </c>
      <c r="DB15" s="1040">
        <f t="shared" si="20"/>
        <v>0</v>
      </c>
      <c r="DC15" s="913">
        <f t="shared" si="21"/>
        <v>0</v>
      </c>
      <c r="DD15" s="915">
        <f t="shared" si="22"/>
        <v>0</v>
      </c>
      <c r="DE15" s="1768">
        <f t="shared" si="23"/>
        <v>0</v>
      </c>
      <c r="DF15" s="914">
        <f t="shared" si="24"/>
        <v>0</v>
      </c>
      <c r="DG15" s="915">
        <f t="shared" si="25"/>
        <v>0</v>
      </c>
      <c r="DH15" s="914">
        <f t="shared" si="26"/>
        <v>0</v>
      </c>
      <c r="DI15" s="914">
        <f t="shared" si="27"/>
        <v>0</v>
      </c>
      <c r="DJ15" s="914">
        <f t="shared" si="28"/>
        <v>0</v>
      </c>
      <c r="DK15" s="914">
        <f t="shared" si="29"/>
        <v>0</v>
      </c>
      <c r="DL15" s="915">
        <f t="shared" si="30"/>
        <v>0</v>
      </c>
      <c r="DM15" s="915">
        <f t="shared" si="31"/>
        <v>0</v>
      </c>
      <c r="DN15" s="1041">
        <f t="shared" si="32"/>
        <v>0</v>
      </c>
      <c r="DO15" s="914">
        <f t="shared" si="33"/>
        <v>0</v>
      </c>
      <c r="DP15" s="914">
        <f t="shared" si="34"/>
        <v>0</v>
      </c>
      <c r="DQ15" s="915">
        <f t="shared" si="35"/>
        <v>0</v>
      </c>
      <c r="DR15" s="1041">
        <f t="shared" si="36"/>
        <v>0</v>
      </c>
      <c r="DS15" s="1040">
        <f t="shared" si="37"/>
        <v>0</v>
      </c>
      <c r="DT15" s="915">
        <f t="shared" si="38"/>
        <v>0</v>
      </c>
      <c r="DU15" s="915">
        <f t="shared" si="39"/>
        <v>0</v>
      </c>
      <c r="DV15" s="915" t="e">
        <f t="shared" si="40"/>
        <v>#VALUE!</v>
      </c>
      <c r="DW15" s="915" t="e">
        <f t="shared" si="41"/>
        <v>#VALUE!</v>
      </c>
      <c r="DX15" s="915" t="e">
        <f t="shared" si="42"/>
        <v>#VALUE!</v>
      </c>
      <c r="DY15" s="915">
        <f t="shared" si="43"/>
        <v>0</v>
      </c>
      <c r="DZ15" s="915">
        <f t="shared" si="44"/>
        <v>0</v>
      </c>
      <c r="EA15" s="1041">
        <f t="shared" si="45"/>
        <v>0</v>
      </c>
      <c r="EB15" s="915">
        <f t="shared" si="2"/>
        <v>0</v>
      </c>
      <c r="EC15" s="915">
        <f t="shared" si="3"/>
        <v>0</v>
      </c>
      <c r="ED15" s="915">
        <f t="shared" si="4"/>
        <v>0</v>
      </c>
      <c r="EE15" s="915">
        <f t="shared" si="5"/>
        <v>0</v>
      </c>
      <c r="EF15" s="915">
        <f t="shared" si="6"/>
        <v>-100</v>
      </c>
      <c r="EG15" s="1041">
        <f t="shared" si="7"/>
        <v>-19.014664021480684</v>
      </c>
      <c r="EH15" s="913">
        <f t="shared" si="8"/>
        <v>0</v>
      </c>
      <c r="EI15" s="915">
        <f t="shared" si="9"/>
        <v>0</v>
      </c>
      <c r="EJ15" s="1041">
        <f t="shared" si="10"/>
        <v>0</v>
      </c>
    </row>
    <row r="16" spans="1:140">
      <c r="A16" s="882">
        <f>Eingabedaten!A20</f>
        <v>4.3</v>
      </c>
      <c r="B16" s="1013" t="str">
        <f>Eingabedaten!C20</f>
        <v>Bibliothek</v>
      </c>
      <c r="C16" s="1719"/>
      <c r="D16" s="873"/>
      <c r="E16" s="873"/>
      <c r="F16" s="912"/>
      <c r="G16" s="913"/>
      <c r="H16" s="913"/>
      <c r="I16" s="1779"/>
      <c r="J16" s="913"/>
      <c r="K16" s="913"/>
      <c r="L16" s="1767"/>
      <c r="M16" s="1040">
        <v>3</v>
      </c>
      <c r="N16" s="913">
        <v>1510</v>
      </c>
      <c r="O16" s="915">
        <v>4.53</v>
      </c>
      <c r="P16" s="1768"/>
      <c r="Q16" s="914"/>
      <c r="R16" s="915">
        <v>40.099999999999994</v>
      </c>
      <c r="S16" s="914">
        <v>0.90909090909090917</v>
      </c>
      <c r="T16" s="914">
        <v>6.8578553615960098</v>
      </c>
      <c r="U16" s="914">
        <v>0</v>
      </c>
      <c r="V16" s="914">
        <v>6.8578553615960098</v>
      </c>
      <c r="W16" s="915">
        <v>1240</v>
      </c>
      <c r="X16" s="915">
        <v>0</v>
      </c>
      <c r="Y16" s="1041">
        <v>8.5037406483790523</v>
      </c>
      <c r="Z16" s="914">
        <v>7.2</v>
      </c>
      <c r="AA16" s="914">
        <v>0</v>
      </c>
      <c r="AB16" s="915">
        <v>0</v>
      </c>
      <c r="AC16" s="1041">
        <v>0</v>
      </c>
      <c r="AD16" s="1040">
        <v>34.947058823529417</v>
      </c>
      <c r="AE16" s="915">
        <v>23.857855361596009</v>
      </c>
      <c r="AF16" s="915">
        <v>127.55300780185463</v>
      </c>
      <c r="AG16" s="915" t="s">
        <v>18</v>
      </c>
      <c r="AH16" s="915" t="s">
        <v>18</v>
      </c>
      <c r="AI16" s="915" t="s">
        <v>18</v>
      </c>
      <c r="AJ16" s="915">
        <v>27</v>
      </c>
      <c r="AK16" s="915">
        <v>70</v>
      </c>
      <c r="AL16" s="1041">
        <v>1.9981944444444444</v>
      </c>
      <c r="AM16" s="915">
        <v>479.15294117647056</v>
      </c>
      <c r="AN16" s="915">
        <v>29.662345315262233</v>
      </c>
      <c r="AO16" s="915">
        <v>-3</v>
      </c>
      <c r="AP16" s="915">
        <v>106.47843137254901</v>
      </c>
      <c r="AQ16" s="915">
        <v>860</v>
      </c>
      <c r="AR16" s="1041">
        <v>91.815580429795673</v>
      </c>
      <c r="AS16" s="913"/>
      <c r="AT16" s="915"/>
      <c r="AU16" s="1041">
        <v>0</v>
      </c>
      <c r="AX16" s="1719"/>
      <c r="AY16" s="873"/>
      <c r="AZ16" s="873"/>
      <c r="BA16" s="912"/>
      <c r="BB16" s="913"/>
      <c r="BC16" s="913"/>
      <c r="BD16" s="1779"/>
      <c r="BE16" s="913"/>
      <c r="BF16" s="913"/>
      <c r="BG16" s="1767"/>
      <c r="BH16" s="1040">
        <v>3</v>
      </c>
      <c r="BI16" s="913">
        <v>1510</v>
      </c>
      <c r="BJ16" s="915">
        <v>4.53</v>
      </c>
      <c r="BK16" s="1768"/>
      <c r="BL16" s="914"/>
      <c r="BM16" s="915">
        <v>40.099999999999994</v>
      </c>
      <c r="BN16" s="914">
        <v>0.90909090909090917</v>
      </c>
      <c r="BO16" s="914">
        <v>6.8578553615960098</v>
      </c>
      <c r="BP16" s="914">
        <v>0</v>
      </c>
      <c r="BQ16" s="914">
        <v>6.8578553615960098</v>
      </c>
      <c r="BR16" s="915">
        <v>1240</v>
      </c>
      <c r="BS16" s="915">
        <v>0</v>
      </c>
      <c r="BT16" s="1041">
        <v>8.5037406483790523</v>
      </c>
      <c r="BU16" s="914">
        <v>7.2</v>
      </c>
      <c r="BV16" s="914">
        <v>0</v>
      </c>
      <c r="BW16" s="915">
        <v>0</v>
      </c>
      <c r="BX16" s="1041">
        <v>0</v>
      </c>
      <c r="BY16" s="1040">
        <v>34.947058823529417</v>
      </c>
      <c r="BZ16" s="915">
        <v>23.857855361596009</v>
      </c>
      <c r="CA16" s="915">
        <v>127.55300780185463</v>
      </c>
      <c r="CB16" s="915" t="s">
        <v>18</v>
      </c>
      <c r="CC16" s="915" t="s">
        <v>18</v>
      </c>
      <c r="CD16" s="915" t="s">
        <v>18</v>
      </c>
      <c r="CE16" s="915">
        <v>27</v>
      </c>
      <c r="CF16" s="915">
        <v>70</v>
      </c>
      <c r="CG16" s="1041">
        <v>1.9981944444444444</v>
      </c>
      <c r="CH16" s="915">
        <v>479.15294117647056</v>
      </c>
      <c r="CI16" s="915">
        <v>29.662345315262233</v>
      </c>
      <c r="CJ16" s="915">
        <v>-3</v>
      </c>
      <c r="CK16" s="915">
        <v>106.47843137254901</v>
      </c>
      <c r="CL16" s="915">
        <v>960</v>
      </c>
      <c r="CM16" s="1041">
        <v>102.71008393201811</v>
      </c>
      <c r="CN16" s="913"/>
      <c r="CO16" s="915"/>
      <c r="CP16" s="1041">
        <v>0</v>
      </c>
      <c r="CR16" s="1719">
        <f t="shared" si="1"/>
        <v>0</v>
      </c>
      <c r="CS16" s="873">
        <f t="shared" si="11"/>
        <v>0</v>
      </c>
      <c r="CT16" s="873">
        <f t="shared" si="12"/>
        <v>0</v>
      </c>
      <c r="CU16" s="912">
        <f t="shared" si="13"/>
        <v>0</v>
      </c>
      <c r="CV16" s="913">
        <f t="shared" si="14"/>
        <v>0</v>
      </c>
      <c r="CW16" s="913">
        <f t="shared" si="15"/>
        <v>0</v>
      </c>
      <c r="CX16" s="1779">
        <f t="shared" si="16"/>
        <v>0</v>
      </c>
      <c r="CY16" s="913">
        <f t="shared" si="17"/>
        <v>0</v>
      </c>
      <c r="CZ16" s="913">
        <f t="shared" si="18"/>
        <v>0</v>
      </c>
      <c r="DA16" s="1767">
        <f t="shared" si="19"/>
        <v>0</v>
      </c>
      <c r="DB16" s="1040">
        <f t="shared" si="20"/>
        <v>0</v>
      </c>
      <c r="DC16" s="913">
        <f t="shared" si="21"/>
        <v>0</v>
      </c>
      <c r="DD16" s="915">
        <f t="shared" si="22"/>
        <v>0</v>
      </c>
      <c r="DE16" s="1768">
        <f t="shared" si="23"/>
        <v>0</v>
      </c>
      <c r="DF16" s="914">
        <f t="shared" si="24"/>
        <v>0</v>
      </c>
      <c r="DG16" s="915">
        <f t="shared" si="25"/>
        <v>0</v>
      </c>
      <c r="DH16" s="914">
        <f t="shared" si="26"/>
        <v>0</v>
      </c>
      <c r="DI16" s="914">
        <f t="shared" si="27"/>
        <v>0</v>
      </c>
      <c r="DJ16" s="914">
        <f t="shared" si="28"/>
        <v>0</v>
      </c>
      <c r="DK16" s="914">
        <f t="shared" si="29"/>
        <v>0</v>
      </c>
      <c r="DL16" s="915">
        <f t="shared" si="30"/>
        <v>0</v>
      </c>
      <c r="DM16" s="915">
        <f t="shared" si="31"/>
        <v>0</v>
      </c>
      <c r="DN16" s="1041">
        <f t="shared" si="32"/>
        <v>0</v>
      </c>
      <c r="DO16" s="914">
        <f t="shared" si="33"/>
        <v>0</v>
      </c>
      <c r="DP16" s="914">
        <f t="shared" si="34"/>
        <v>0</v>
      </c>
      <c r="DQ16" s="915">
        <f t="shared" si="35"/>
        <v>0</v>
      </c>
      <c r="DR16" s="1041">
        <f t="shared" si="36"/>
        <v>0</v>
      </c>
      <c r="DS16" s="1040">
        <f t="shared" si="37"/>
        <v>0</v>
      </c>
      <c r="DT16" s="915">
        <f t="shared" si="38"/>
        <v>0</v>
      </c>
      <c r="DU16" s="915">
        <f t="shared" si="39"/>
        <v>0</v>
      </c>
      <c r="DV16" s="915" t="e">
        <f t="shared" si="40"/>
        <v>#VALUE!</v>
      </c>
      <c r="DW16" s="915" t="e">
        <f t="shared" si="41"/>
        <v>#VALUE!</v>
      </c>
      <c r="DX16" s="915" t="e">
        <f t="shared" si="42"/>
        <v>#VALUE!</v>
      </c>
      <c r="DY16" s="915">
        <f t="shared" si="43"/>
        <v>0</v>
      </c>
      <c r="DZ16" s="915">
        <f t="shared" si="44"/>
        <v>0</v>
      </c>
      <c r="EA16" s="1041">
        <f t="shared" si="45"/>
        <v>0</v>
      </c>
      <c r="EB16" s="915">
        <f t="shared" si="2"/>
        <v>0</v>
      </c>
      <c r="EC16" s="915">
        <f t="shared" si="3"/>
        <v>0</v>
      </c>
      <c r="ED16" s="915">
        <f t="shared" si="4"/>
        <v>0</v>
      </c>
      <c r="EE16" s="915">
        <f t="shared" si="5"/>
        <v>0</v>
      </c>
      <c r="EF16" s="915">
        <f t="shared" si="6"/>
        <v>-100</v>
      </c>
      <c r="EG16" s="1041">
        <f t="shared" si="7"/>
        <v>-10.894503502222435</v>
      </c>
      <c r="EH16" s="913">
        <f t="shared" si="8"/>
        <v>0</v>
      </c>
      <c r="EI16" s="915">
        <f t="shared" si="9"/>
        <v>0</v>
      </c>
      <c r="EJ16" s="1041">
        <f t="shared" si="10"/>
        <v>0</v>
      </c>
    </row>
    <row r="17" spans="1:140">
      <c r="A17" s="882">
        <f>Eingabedaten!A21</f>
        <v>4.4000000000000004</v>
      </c>
      <c r="B17" s="1013" t="str">
        <f>Eingabedaten!C21</f>
        <v>Hörsaal</v>
      </c>
      <c r="C17" s="1719"/>
      <c r="D17" s="873"/>
      <c r="E17" s="873"/>
      <c r="F17" s="912"/>
      <c r="G17" s="913"/>
      <c r="H17" s="913"/>
      <c r="I17" s="1779"/>
      <c r="J17" s="913"/>
      <c r="K17" s="913"/>
      <c r="L17" s="1767"/>
      <c r="M17" s="1040">
        <v>6</v>
      </c>
      <c r="N17" s="913">
        <v>1770</v>
      </c>
      <c r="O17" s="915">
        <v>10.62</v>
      </c>
      <c r="P17" s="1768"/>
      <c r="Q17" s="914"/>
      <c r="R17" s="915">
        <v>55.1</v>
      </c>
      <c r="S17" s="914">
        <v>0.90909090909090917</v>
      </c>
      <c r="T17" s="914">
        <v>12.477313974591651</v>
      </c>
      <c r="U17" s="914">
        <v>0</v>
      </c>
      <c r="V17" s="914">
        <v>12.477313974591651</v>
      </c>
      <c r="W17" s="915">
        <v>1630</v>
      </c>
      <c r="X17" s="915">
        <v>0</v>
      </c>
      <c r="Y17" s="1041">
        <v>20.338021778584391</v>
      </c>
      <c r="Z17" s="914">
        <v>15</v>
      </c>
      <c r="AA17" s="914">
        <v>13.65</v>
      </c>
      <c r="AB17" s="915">
        <v>1340</v>
      </c>
      <c r="AC17" s="1041">
        <v>18.291</v>
      </c>
      <c r="AD17" s="1040">
        <v>35.523058823529411</v>
      </c>
      <c r="AE17" s="915">
        <v>53.477313974591652</v>
      </c>
      <c r="AF17" s="915">
        <v>419.48301296320767</v>
      </c>
      <c r="AG17" s="915" t="s">
        <v>18</v>
      </c>
      <c r="AH17" s="915" t="s">
        <v>18</v>
      </c>
      <c r="AI17" s="915" t="s">
        <v>18</v>
      </c>
      <c r="AJ17" s="915">
        <v>58</v>
      </c>
      <c r="AK17" s="915">
        <v>120</v>
      </c>
      <c r="AL17" s="1041">
        <v>6.7120833333333332</v>
      </c>
      <c r="AM17" s="915">
        <v>492.97694117647058</v>
      </c>
      <c r="AN17" s="915">
        <v>28.83055740108594</v>
      </c>
      <c r="AO17" s="915">
        <v>-3</v>
      </c>
      <c r="AP17" s="915">
        <v>109.55043137254901</v>
      </c>
      <c r="AQ17" s="915">
        <v>690</v>
      </c>
      <c r="AR17" s="1041">
        <v>75.383341108832141</v>
      </c>
      <c r="AS17" s="913"/>
      <c r="AT17" s="915"/>
      <c r="AU17" s="1041">
        <v>7.9350078082191775</v>
      </c>
      <c r="AX17" s="1719"/>
      <c r="AY17" s="873"/>
      <c r="AZ17" s="873"/>
      <c r="BA17" s="912"/>
      <c r="BB17" s="913"/>
      <c r="BC17" s="913"/>
      <c r="BD17" s="1779"/>
      <c r="BE17" s="913"/>
      <c r="BF17" s="913"/>
      <c r="BG17" s="1767"/>
      <c r="BH17" s="1040">
        <v>6</v>
      </c>
      <c r="BI17" s="913">
        <v>1770</v>
      </c>
      <c r="BJ17" s="915">
        <v>10.62</v>
      </c>
      <c r="BK17" s="1768"/>
      <c r="BL17" s="914"/>
      <c r="BM17" s="915">
        <v>55.1</v>
      </c>
      <c r="BN17" s="914">
        <v>0.90909090909090917</v>
      </c>
      <c r="BO17" s="914">
        <v>12.477313974591651</v>
      </c>
      <c r="BP17" s="914">
        <v>0</v>
      </c>
      <c r="BQ17" s="914">
        <v>12.477313974591651</v>
      </c>
      <c r="BR17" s="915">
        <v>1630</v>
      </c>
      <c r="BS17" s="915">
        <v>0</v>
      </c>
      <c r="BT17" s="1041">
        <v>20.338021778584391</v>
      </c>
      <c r="BU17" s="914">
        <v>15</v>
      </c>
      <c r="BV17" s="914">
        <v>0</v>
      </c>
      <c r="BW17" s="915">
        <v>0</v>
      </c>
      <c r="BX17" s="1041">
        <v>0</v>
      </c>
      <c r="BY17" s="1040">
        <v>49.923058823529416</v>
      </c>
      <c r="BZ17" s="915">
        <v>53.477313974591652</v>
      </c>
      <c r="CA17" s="915">
        <v>419.48301296320767</v>
      </c>
      <c r="CB17" s="915" t="s">
        <v>18</v>
      </c>
      <c r="CC17" s="915" t="s">
        <v>18</v>
      </c>
      <c r="CD17" s="915" t="s">
        <v>18</v>
      </c>
      <c r="CE17" s="915">
        <v>58</v>
      </c>
      <c r="CF17" s="915">
        <v>120</v>
      </c>
      <c r="CG17" s="1041">
        <v>6.7120833333333332</v>
      </c>
      <c r="CH17" s="915">
        <v>838.57694117647065</v>
      </c>
      <c r="CI17" s="915">
        <v>16.948713113981334</v>
      </c>
      <c r="CJ17" s="915">
        <v>-3</v>
      </c>
      <c r="CK17" s="915">
        <v>186.35043137254902</v>
      </c>
      <c r="CL17" s="915">
        <v>800</v>
      </c>
      <c r="CM17" s="1041">
        <v>149.63399271807589</v>
      </c>
      <c r="CN17" s="913"/>
      <c r="CO17" s="915"/>
      <c r="CP17" s="1041">
        <v>7.9350078082191775</v>
      </c>
      <c r="CR17" s="1719">
        <f t="shared" si="1"/>
        <v>0</v>
      </c>
      <c r="CS17" s="873">
        <f t="shared" si="11"/>
        <v>0</v>
      </c>
      <c r="CT17" s="873">
        <f t="shared" si="12"/>
        <v>0</v>
      </c>
      <c r="CU17" s="912">
        <f t="shared" si="13"/>
        <v>0</v>
      </c>
      <c r="CV17" s="913">
        <f t="shared" si="14"/>
        <v>0</v>
      </c>
      <c r="CW17" s="913">
        <f t="shared" si="15"/>
        <v>0</v>
      </c>
      <c r="CX17" s="1779">
        <f t="shared" si="16"/>
        <v>0</v>
      </c>
      <c r="CY17" s="913">
        <f t="shared" si="17"/>
        <v>0</v>
      </c>
      <c r="CZ17" s="913">
        <f t="shared" si="18"/>
        <v>0</v>
      </c>
      <c r="DA17" s="1767">
        <f t="shared" si="19"/>
        <v>0</v>
      </c>
      <c r="DB17" s="1040">
        <f t="shared" si="20"/>
        <v>0</v>
      </c>
      <c r="DC17" s="913">
        <f t="shared" si="21"/>
        <v>0</v>
      </c>
      <c r="DD17" s="915">
        <f t="shared" si="22"/>
        <v>0</v>
      </c>
      <c r="DE17" s="1768">
        <f t="shared" si="23"/>
        <v>0</v>
      </c>
      <c r="DF17" s="914">
        <f t="shared" si="24"/>
        <v>0</v>
      </c>
      <c r="DG17" s="915">
        <f t="shared" si="25"/>
        <v>0</v>
      </c>
      <c r="DH17" s="914">
        <f t="shared" si="26"/>
        <v>0</v>
      </c>
      <c r="DI17" s="914">
        <f t="shared" si="27"/>
        <v>0</v>
      </c>
      <c r="DJ17" s="914">
        <f t="shared" si="28"/>
        <v>0</v>
      </c>
      <c r="DK17" s="914">
        <f t="shared" si="29"/>
        <v>0</v>
      </c>
      <c r="DL17" s="915">
        <f t="shared" si="30"/>
        <v>0</v>
      </c>
      <c r="DM17" s="915">
        <f t="shared" si="31"/>
        <v>0</v>
      </c>
      <c r="DN17" s="1041">
        <f t="shared" si="32"/>
        <v>0</v>
      </c>
      <c r="DO17" s="914">
        <f t="shared" si="33"/>
        <v>0</v>
      </c>
      <c r="DP17" s="914">
        <f t="shared" si="34"/>
        <v>13.65</v>
      </c>
      <c r="DQ17" s="915">
        <f t="shared" si="35"/>
        <v>1340</v>
      </c>
      <c r="DR17" s="1041">
        <f t="shared" si="36"/>
        <v>18.291</v>
      </c>
      <c r="DS17" s="1040">
        <f t="shared" si="37"/>
        <v>-14.400000000000006</v>
      </c>
      <c r="DT17" s="915">
        <f t="shared" si="38"/>
        <v>0</v>
      </c>
      <c r="DU17" s="915">
        <f t="shared" si="39"/>
        <v>0</v>
      </c>
      <c r="DV17" s="915" t="e">
        <f t="shared" si="40"/>
        <v>#VALUE!</v>
      </c>
      <c r="DW17" s="915" t="e">
        <f t="shared" si="41"/>
        <v>#VALUE!</v>
      </c>
      <c r="DX17" s="915" t="e">
        <f t="shared" si="42"/>
        <v>#VALUE!</v>
      </c>
      <c r="DY17" s="915">
        <f t="shared" si="43"/>
        <v>0</v>
      </c>
      <c r="DZ17" s="915">
        <f t="shared" si="44"/>
        <v>0</v>
      </c>
      <c r="EA17" s="1041">
        <f t="shared" si="45"/>
        <v>0</v>
      </c>
      <c r="EB17" s="915">
        <f t="shared" si="2"/>
        <v>-345.60000000000008</v>
      </c>
      <c r="EC17" s="915">
        <f t="shared" si="3"/>
        <v>11.881844287104606</v>
      </c>
      <c r="ED17" s="915">
        <f t="shared" si="4"/>
        <v>0</v>
      </c>
      <c r="EE17" s="915">
        <f t="shared" si="5"/>
        <v>-76.800000000000011</v>
      </c>
      <c r="EF17" s="915">
        <f t="shared" si="6"/>
        <v>-110</v>
      </c>
      <c r="EG17" s="1041">
        <f t="shared" si="7"/>
        <v>-74.250651609243747</v>
      </c>
      <c r="EH17" s="913">
        <f t="shared" si="8"/>
        <v>0</v>
      </c>
      <c r="EI17" s="915">
        <f t="shared" si="9"/>
        <v>0</v>
      </c>
      <c r="EJ17" s="1041">
        <f t="shared" si="10"/>
        <v>0</v>
      </c>
    </row>
    <row r="18" spans="1:140">
      <c r="A18" s="885">
        <f>Eingabedaten!A22</f>
        <v>4.5</v>
      </c>
      <c r="B18" s="1536" t="str">
        <f>Eingabedaten!C22</f>
        <v>Schulfachraum (Spezialraum)</v>
      </c>
      <c r="C18" s="1780"/>
      <c r="D18" s="886"/>
      <c r="E18" s="886"/>
      <c r="F18" s="1758"/>
      <c r="G18" s="1759"/>
      <c r="H18" s="1759"/>
      <c r="I18" s="1781"/>
      <c r="J18" s="1759"/>
      <c r="K18" s="1759"/>
      <c r="L18" s="1760"/>
      <c r="M18" s="1774">
        <v>9.5</v>
      </c>
      <c r="N18" s="1759">
        <v>1770</v>
      </c>
      <c r="O18" s="1762">
        <v>16.815000000000001</v>
      </c>
      <c r="P18" s="1775"/>
      <c r="Q18" s="1761"/>
      <c r="R18" s="1762">
        <v>55.1</v>
      </c>
      <c r="S18" s="1761">
        <v>0.80831408775981517</v>
      </c>
      <c r="T18" s="1761">
        <v>14.032927145449831</v>
      </c>
      <c r="U18" s="1761">
        <v>0</v>
      </c>
      <c r="V18" s="1761">
        <v>14.032927145449831</v>
      </c>
      <c r="W18" s="1762">
        <v>1180</v>
      </c>
      <c r="X18" s="1762">
        <v>0</v>
      </c>
      <c r="Y18" s="1776">
        <v>16.558854031630801</v>
      </c>
      <c r="Z18" s="1761">
        <v>6</v>
      </c>
      <c r="AA18" s="1761">
        <v>3.3000000000000003</v>
      </c>
      <c r="AB18" s="1762">
        <v>1340</v>
      </c>
      <c r="AC18" s="1776">
        <v>4.4219999999999997</v>
      </c>
      <c r="AD18" s="1774">
        <v>40.760873949579832</v>
      </c>
      <c r="AE18" s="1762">
        <v>37.532927145449833</v>
      </c>
      <c r="AF18" s="1762">
        <v>222.13902965911367</v>
      </c>
      <c r="AG18" s="1762" t="s">
        <v>18</v>
      </c>
      <c r="AH18" s="1762" t="s">
        <v>18</v>
      </c>
      <c r="AI18" s="1762" t="s">
        <v>18</v>
      </c>
      <c r="AJ18" s="1762">
        <v>48</v>
      </c>
      <c r="AK18" s="1762">
        <v>80</v>
      </c>
      <c r="AL18" s="1776">
        <v>3.7108571428571429</v>
      </c>
      <c r="AM18" s="1762">
        <v>175.89647058823533</v>
      </c>
      <c r="AN18" s="1762">
        <v>42.343089517898221</v>
      </c>
      <c r="AO18" s="1762">
        <v>-3</v>
      </c>
      <c r="AP18" s="1762">
        <v>80.409815126050432</v>
      </c>
      <c r="AQ18" s="1762">
        <v>1350</v>
      </c>
      <c r="AR18" s="1776">
        <v>108.53175748763066</v>
      </c>
      <c r="AS18" s="1759"/>
      <c r="AT18" s="1762"/>
      <c r="AU18" s="1776">
        <v>3.1740031232876711</v>
      </c>
      <c r="AX18" s="1780"/>
      <c r="AY18" s="886"/>
      <c r="AZ18" s="886"/>
      <c r="BA18" s="1758"/>
      <c r="BB18" s="1759"/>
      <c r="BC18" s="1759"/>
      <c r="BD18" s="1781"/>
      <c r="BE18" s="1759"/>
      <c r="BF18" s="1759"/>
      <c r="BG18" s="1760"/>
      <c r="BH18" s="1774">
        <v>9.5</v>
      </c>
      <c r="BI18" s="1759">
        <v>1770</v>
      </c>
      <c r="BJ18" s="1762">
        <v>16.815000000000001</v>
      </c>
      <c r="BK18" s="1775"/>
      <c r="BL18" s="1761"/>
      <c r="BM18" s="1762">
        <v>55.1</v>
      </c>
      <c r="BN18" s="1761">
        <v>0.80831408775981517</v>
      </c>
      <c r="BO18" s="1761">
        <v>14.032927145449831</v>
      </c>
      <c r="BP18" s="1761">
        <v>0</v>
      </c>
      <c r="BQ18" s="1761">
        <v>14.032927145449831</v>
      </c>
      <c r="BR18" s="1762">
        <v>1180</v>
      </c>
      <c r="BS18" s="1762">
        <v>0</v>
      </c>
      <c r="BT18" s="1776">
        <v>16.558854031630801</v>
      </c>
      <c r="BU18" s="1761">
        <v>6</v>
      </c>
      <c r="BV18" s="1761">
        <v>0</v>
      </c>
      <c r="BW18" s="1762">
        <v>0</v>
      </c>
      <c r="BX18" s="1776">
        <v>0</v>
      </c>
      <c r="BY18" s="1774">
        <v>46.520873949579837</v>
      </c>
      <c r="BZ18" s="1762">
        <v>37.532927145449833</v>
      </c>
      <c r="CA18" s="1762">
        <v>222.13902965911367</v>
      </c>
      <c r="CB18" s="1762" t="s">
        <v>18</v>
      </c>
      <c r="CC18" s="1762" t="s">
        <v>18</v>
      </c>
      <c r="CD18" s="1762" t="s">
        <v>18</v>
      </c>
      <c r="CE18" s="1762">
        <v>48</v>
      </c>
      <c r="CF18" s="1762">
        <v>80</v>
      </c>
      <c r="CG18" s="1776">
        <v>3.7108571428571429</v>
      </c>
      <c r="CH18" s="1762">
        <v>243.09647058823532</v>
      </c>
      <c r="CI18" s="1762">
        <v>30.638042510356573</v>
      </c>
      <c r="CJ18" s="1762">
        <v>-3</v>
      </c>
      <c r="CK18" s="1762">
        <v>111.12981512605043</v>
      </c>
      <c r="CL18" s="1762">
        <v>1360</v>
      </c>
      <c r="CM18" s="1776">
        <v>151.26286264300978</v>
      </c>
      <c r="CN18" s="1759"/>
      <c r="CO18" s="1762"/>
      <c r="CP18" s="1776">
        <v>3.1740031232876711</v>
      </c>
      <c r="CR18" s="1780">
        <f t="shared" si="1"/>
        <v>0</v>
      </c>
      <c r="CS18" s="886">
        <f t="shared" si="11"/>
        <v>0</v>
      </c>
      <c r="CT18" s="886">
        <f t="shared" si="12"/>
        <v>0</v>
      </c>
      <c r="CU18" s="1758">
        <f t="shared" si="13"/>
        <v>0</v>
      </c>
      <c r="CV18" s="1759">
        <f t="shared" si="14"/>
        <v>0</v>
      </c>
      <c r="CW18" s="1759">
        <f t="shared" si="15"/>
        <v>0</v>
      </c>
      <c r="CX18" s="1781">
        <f t="shared" si="16"/>
        <v>0</v>
      </c>
      <c r="CY18" s="1759">
        <f t="shared" si="17"/>
        <v>0</v>
      </c>
      <c r="CZ18" s="1759">
        <f t="shared" si="18"/>
        <v>0</v>
      </c>
      <c r="DA18" s="1760">
        <f t="shared" si="19"/>
        <v>0</v>
      </c>
      <c r="DB18" s="1774">
        <f t="shared" si="20"/>
        <v>0</v>
      </c>
      <c r="DC18" s="1759">
        <f t="shared" si="21"/>
        <v>0</v>
      </c>
      <c r="DD18" s="1762">
        <f t="shared" si="22"/>
        <v>0</v>
      </c>
      <c r="DE18" s="1775">
        <f t="shared" si="23"/>
        <v>0</v>
      </c>
      <c r="DF18" s="1761">
        <f t="shared" si="24"/>
        <v>0</v>
      </c>
      <c r="DG18" s="1762">
        <f t="shared" si="25"/>
        <v>0</v>
      </c>
      <c r="DH18" s="1761">
        <f t="shared" si="26"/>
        <v>0</v>
      </c>
      <c r="DI18" s="1761">
        <f t="shared" si="27"/>
        <v>0</v>
      </c>
      <c r="DJ18" s="1761">
        <f t="shared" si="28"/>
        <v>0</v>
      </c>
      <c r="DK18" s="1761">
        <f t="shared" si="29"/>
        <v>0</v>
      </c>
      <c r="DL18" s="1762">
        <f t="shared" si="30"/>
        <v>0</v>
      </c>
      <c r="DM18" s="1762">
        <f t="shared" si="31"/>
        <v>0</v>
      </c>
      <c r="DN18" s="1776">
        <f t="shared" si="32"/>
        <v>0</v>
      </c>
      <c r="DO18" s="1761">
        <f t="shared" si="33"/>
        <v>0</v>
      </c>
      <c r="DP18" s="1761">
        <f t="shared" si="34"/>
        <v>3.3000000000000003</v>
      </c>
      <c r="DQ18" s="1762">
        <f t="shared" si="35"/>
        <v>1340</v>
      </c>
      <c r="DR18" s="1776">
        <f t="shared" si="36"/>
        <v>4.4219999999999997</v>
      </c>
      <c r="DS18" s="1774">
        <f t="shared" si="37"/>
        <v>-5.7600000000000051</v>
      </c>
      <c r="DT18" s="1762">
        <f t="shared" si="38"/>
        <v>0</v>
      </c>
      <c r="DU18" s="1762">
        <f t="shared" si="39"/>
        <v>0</v>
      </c>
      <c r="DV18" s="1762" t="e">
        <f t="shared" si="40"/>
        <v>#VALUE!</v>
      </c>
      <c r="DW18" s="1762" t="e">
        <f t="shared" si="41"/>
        <v>#VALUE!</v>
      </c>
      <c r="DX18" s="1762" t="e">
        <f t="shared" si="42"/>
        <v>#VALUE!</v>
      </c>
      <c r="DY18" s="1762">
        <f t="shared" si="43"/>
        <v>0</v>
      </c>
      <c r="DZ18" s="1762">
        <f t="shared" si="44"/>
        <v>0</v>
      </c>
      <c r="EA18" s="1776">
        <f t="shared" si="45"/>
        <v>0</v>
      </c>
      <c r="EB18" s="1762">
        <f t="shared" si="2"/>
        <v>-67.199999999999989</v>
      </c>
      <c r="EC18" s="1762">
        <f t="shared" si="3"/>
        <v>11.705047007541648</v>
      </c>
      <c r="ED18" s="1762">
        <f t="shared" si="4"/>
        <v>0</v>
      </c>
      <c r="EE18" s="1762">
        <f t="shared" si="5"/>
        <v>-30.72</v>
      </c>
      <c r="EF18" s="1762">
        <f t="shared" si="6"/>
        <v>-10</v>
      </c>
      <c r="EG18" s="1776">
        <f t="shared" si="7"/>
        <v>-42.731105155379126</v>
      </c>
      <c r="EH18" s="1759">
        <f t="shared" si="8"/>
        <v>0</v>
      </c>
      <c r="EI18" s="1762">
        <f t="shared" si="9"/>
        <v>0</v>
      </c>
      <c r="EJ18" s="1776">
        <f t="shared" si="10"/>
        <v>0</v>
      </c>
    </row>
    <row r="19" spans="1:140">
      <c r="A19" s="887">
        <f>Eingabedaten!A23</f>
        <v>5.0999999999999996</v>
      </c>
      <c r="B19" s="1782" t="str">
        <f>Eingabedaten!C23</f>
        <v>Lebensmittelverkauf</v>
      </c>
      <c r="C19" s="1719"/>
      <c r="D19" s="873"/>
      <c r="E19" s="873"/>
      <c r="F19" s="912"/>
      <c r="G19" s="913"/>
      <c r="H19" s="913"/>
      <c r="I19" s="913"/>
      <c r="J19" s="913"/>
      <c r="K19" s="913"/>
      <c r="L19" s="1772"/>
      <c r="M19" s="1040">
        <v>120</v>
      </c>
      <c r="N19" s="913">
        <v>4010</v>
      </c>
      <c r="O19" s="1039">
        <v>481.2</v>
      </c>
      <c r="P19" s="1779"/>
      <c r="Q19" s="914"/>
      <c r="R19" s="915">
        <v>45.1</v>
      </c>
      <c r="S19" s="914">
        <v>0.89605734767025091</v>
      </c>
      <c r="T19" s="914">
        <v>9.2793791574279378</v>
      </c>
      <c r="U19" s="914">
        <v>12</v>
      </c>
      <c r="V19" s="914">
        <v>21.27937915742794</v>
      </c>
      <c r="W19" s="915">
        <v>2670</v>
      </c>
      <c r="X19" s="915">
        <v>3260</v>
      </c>
      <c r="Y19" s="1039">
        <v>63.895942350332589</v>
      </c>
      <c r="Z19" s="914">
        <v>3.75</v>
      </c>
      <c r="AA19" s="914">
        <v>3.4125000000000001</v>
      </c>
      <c r="AB19" s="915">
        <v>1400</v>
      </c>
      <c r="AC19" s="1039">
        <v>4.7774999999999999</v>
      </c>
      <c r="AD19" s="1040">
        <v>21.856000000000002</v>
      </c>
      <c r="AE19" s="915">
        <v>18.079379157427937</v>
      </c>
      <c r="AF19" s="915">
        <v>101.81454428368257</v>
      </c>
      <c r="AG19" s="915" t="s">
        <v>18</v>
      </c>
      <c r="AH19" s="915" t="s">
        <v>18</v>
      </c>
      <c r="AI19" s="915" t="s">
        <v>18</v>
      </c>
      <c r="AJ19" s="915">
        <v>28</v>
      </c>
      <c r="AK19" s="915">
        <v>190</v>
      </c>
      <c r="AL19" s="1039">
        <v>5.395975</v>
      </c>
      <c r="AM19" s="915">
        <v>658.00784313725489</v>
      </c>
      <c r="AN19" s="915">
        <v>58.905072947458763</v>
      </c>
      <c r="AO19" s="915">
        <v>-2</v>
      </c>
      <c r="AP19" s="915">
        <v>49.350588235294119</v>
      </c>
      <c r="AQ19" s="915">
        <v>20</v>
      </c>
      <c r="AR19" s="1039">
        <v>0.94840016904048463</v>
      </c>
      <c r="AS19" s="913"/>
      <c r="AT19" s="915"/>
      <c r="AU19" s="1039">
        <v>2.7231000000000005</v>
      </c>
      <c r="AX19" s="1719"/>
      <c r="AY19" s="873"/>
      <c r="AZ19" s="873"/>
      <c r="BA19" s="912"/>
      <c r="BB19" s="913"/>
      <c r="BC19" s="913"/>
      <c r="BD19" s="913"/>
      <c r="BE19" s="913"/>
      <c r="BF19" s="913"/>
      <c r="BG19" s="1772"/>
      <c r="BH19" s="1040">
        <v>60</v>
      </c>
      <c r="BI19" s="913">
        <v>3630</v>
      </c>
      <c r="BJ19" s="1039">
        <v>217.8</v>
      </c>
      <c r="BK19" s="1779"/>
      <c r="BL19" s="914"/>
      <c r="BM19" s="915">
        <v>45.1</v>
      </c>
      <c r="BN19" s="914">
        <v>0.89605734767025091</v>
      </c>
      <c r="BO19" s="914">
        <v>9.2793791574279378</v>
      </c>
      <c r="BP19" s="914">
        <v>12</v>
      </c>
      <c r="BQ19" s="914">
        <v>21.27937915742794</v>
      </c>
      <c r="BR19" s="915">
        <v>2670</v>
      </c>
      <c r="BS19" s="915">
        <v>3260</v>
      </c>
      <c r="BT19" s="1039">
        <v>63.895942350332589</v>
      </c>
      <c r="BU19" s="914">
        <v>3.75</v>
      </c>
      <c r="BV19" s="914">
        <v>0</v>
      </c>
      <c r="BW19" s="915">
        <v>0</v>
      </c>
      <c r="BX19" s="1039">
        <v>0</v>
      </c>
      <c r="BY19" s="1040">
        <v>25.456000000000003</v>
      </c>
      <c r="BZ19" s="915">
        <v>18.079379157427937</v>
      </c>
      <c r="CA19" s="915">
        <v>115.01454428368255</v>
      </c>
      <c r="CB19" s="915" t="s">
        <v>18</v>
      </c>
      <c r="CC19" s="915" t="s">
        <v>18</v>
      </c>
      <c r="CD19" s="915" t="s">
        <v>18</v>
      </c>
      <c r="CE19" s="915">
        <v>28</v>
      </c>
      <c r="CF19" s="915">
        <v>190</v>
      </c>
      <c r="CG19" s="1039">
        <v>5.395975</v>
      </c>
      <c r="CH19" s="915">
        <v>898.00784313725489</v>
      </c>
      <c r="CI19" s="915">
        <v>43.162206539966462</v>
      </c>
      <c r="CJ19" s="915">
        <v>-3</v>
      </c>
      <c r="CK19" s="915">
        <v>69.595607843137259</v>
      </c>
      <c r="CL19" s="915">
        <v>530</v>
      </c>
      <c r="CM19" s="1039">
        <v>36.629110536743916</v>
      </c>
      <c r="CN19" s="913"/>
      <c r="CO19" s="915"/>
      <c r="CP19" s="1039">
        <v>2.7231000000000005</v>
      </c>
      <c r="CR19" s="1719">
        <f t="shared" si="1"/>
        <v>0</v>
      </c>
      <c r="CS19" s="873">
        <f t="shared" si="11"/>
        <v>0</v>
      </c>
      <c r="CT19" s="873">
        <f t="shared" si="12"/>
        <v>0</v>
      </c>
      <c r="CU19" s="912">
        <f t="shared" si="13"/>
        <v>0</v>
      </c>
      <c r="CV19" s="913">
        <f t="shared" si="14"/>
        <v>0</v>
      </c>
      <c r="CW19" s="913">
        <f t="shared" si="15"/>
        <v>0</v>
      </c>
      <c r="CX19" s="913">
        <f t="shared" si="16"/>
        <v>0</v>
      </c>
      <c r="CY19" s="913">
        <f t="shared" si="17"/>
        <v>0</v>
      </c>
      <c r="CZ19" s="913">
        <f t="shared" si="18"/>
        <v>0</v>
      </c>
      <c r="DA19" s="1772">
        <f t="shared" si="19"/>
        <v>0</v>
      </c>
      <c r="DB19" s="1040">
        <f t="shared" si="20"/>
        <v>60</v>
      </c>
      <c r="DC19" s="913">
        <f t="shared" si="21"/>
        <v>380</v>
      </c>
      <c r="DD19" s="1039">
        <f t="shared" si="22"/>
        <v>263.39999999999998</v>
      </c>
      <c r="DE19" s="1779">
        <f t="shared" si="23"/>
        <v>0</v>
      </c>
      <c r="DF19" s="914">
        <f t="shared" si="24"/>
        <v>0</v>
      </c>
      <c r="DG19" s="915">
        <f t="shared" si="25"/>
        <v>0</v>
      </c>
      <c r="DH19" s="914">
        <f t="shared" si="26"/>
        <v>0</v>
      </c>
      <c r="DI19" s="914">
        <f t="shared" si="27"/>
        <v>0</v>
      </c>
      <c r="DJ19" s="914">
        <f t="shared" si="28"/>
        <v>0</v>
      </c>
      <c r="DK19" s="914">
        <f t="shared" si="29"/>
        <v>0</v>
      </c>
      <c r="DL19" s="915">
        <f t="shared" si="30"/>
        <v>0</v>
      </c>
      <c r="DM19" s="915">
        <f t="shared" si="31"/>
        <v>0</v>
      </c>
      <c r="DN19" s="1039">
        <f t="shared" si="32"/>
        <v>0</v>
      </c>
      <c r="DO19" s="914">
        <f t="shared" si="33"/>
        <v>0</v>
      </c>
      <c r="DP19" s="914">
        <f t="shared" si="34"/>
        <v>3.4125000000000001</v>
      </c>
      <c r="DQ19" s="915">
        <f t="shared" si="35"/>
        <v>1400</v>
      </c>
      <c r="DR19" s="1039">
        <f t="shared" si="36"/>
        <v>4.7774999999999999</v>
      </c>
      <c r="DS19" s="1040">
        <f t="shared" si="37"/>
        <v>-3.6000000000000014</v>
      </c>
      <c r="DT19" s="915">
        <f t="shared" si="38"/>
        <v>0</v>
      </c>
      <c r="DU19" s="915">
        <f t="shared" si="39"/>
        <v>-13.199999999999989</v>
      </c>
      <c r="DV19" s="915" t="e">
        <f t="shared" si="40"/>
        <v>#VALUE!</v>
      </c>
      <c r="DW19" s="915" t="e">
        <f t="shared" si="41"/>
        <v>#VALUE!</v>
      </c>
      <c r="DX19" s="915" t="e">
        <f t="shared" si="42"/>
        <v>#VALUE!</v>
      </c>
      <c r="DY19" s="915">
        <f t="shared" si="43"/>
        <v>0</v>
      </c>
      <c r="DZ19" s="915">
        <f t="shared" si="44"/>
        <v>0</v>
      </c>
      <c r="EA19" s="1039">
        <f t="shared" si="45"/>
        <v>0</v>
      </c>
      <c r="EB19" s="915">
        <f t="shared" si="2"/>
        <v>-240</v>
      </c>
      <c r="EC19" s="915">
        <f t="shared" si="3"/>
        <v>15.742866407492301</v>
      </c>
      <c r="ED19" s="915">
        <f t="shared" si="4"/>
        <v>1</v>
      </c>
      <c r="EE19" s="915">
        <f t="shared" si="5"/>
        <v>-20.24501960784314</v>
      </c>
      <c r="EF19" s="915">
        <f t="shared" si="6"/>
        <v>-510</v>
      </c>
      <c r="EG19" s="1039">
        <f t="shared" si="7"/>
        <v>-35.680710367703433</v>
      </c>
      <c r="EH19" s="913">
        <f t="shared" si="8"/>
        <v>0</v>
      </c>
      <c r="EI19" s="915">
        <f t="shared" si="9"/>
        <v>0</v>
      </c>
      <c r="EJ19" s="1039">
        <f t="shared" si="10"/>
        <v>0</v>
      </c>
    </row>
    <row r="20" spans="1:140">
      <c r="A20" s="882">
        <f>Eingabedaten!A24</f>
        <v>5.2</v>
      </c>
      <c r="B20" s="1013" t="str">
        <f>Eingabedaten!C24</f>
        <v>Fachgeschäft</v>
      </c>
      <c r="C20" s="1719"/>
      <c r="D20" s="873"/>
      <c r="E20" s="873"/>
      <c r="F20" s="912"/>
      <c r="G20" s="913"/>
      <c r="H20" s="913"/>
      <c r="I20" s="913"/>
      <c r="J20" s="913"/>
      <c r="K20" s="913"/>
      <c r="L20" s="1767"/>
      <c r="M20" s="1040">
        <v>3</v>
      </c>
      <c r="N20" s="913">
        <v>3630</v>
      </c>
      <c r="O20" s="915">
        <v>10.89</v>
      </c>
      <c r="P20" s="1768"/>
      <c r="Q20" s="914"/>
      <c r="R20" s="915">
        <v>45.1</v>
      </c>
      <c r="S20" s="914">
        <v>0.89605734767025091</v>
      </c>
      <c r="T20" s="914">
        <v>9.2793791574279378</v>
      </c>
      <c r="U20" s="914">
        <v>24</v>
      </c>
      <c r="V20" s="914">
        <v>33.27937915742794</v>
      </c>
      <c r="W20" s="915">
        <v>2670</v>
      </c>
      <c r="X20" s="915">
        <v>3260</v>
      </c>
      <c r="Y20" s="1041">
        <v>103.01594235033259</v>
      </c>
      <c r="Z20" s="914">
        <v>3.75</v>
      </c>
      <c r="AA20" s="914">
        <v>3.4125000000000001</v>
      </c>
      <c r="AB20" s="915">
        <v>1400</v>
      </c>
      <c r="AC20" s="1041">
        <v>4.7774999999999999</v>
      </c>
      <c r="AD20" s="1040">
        <v>21.856000000000002</v>
      </c>
      <c r="AE20" s="915">
        <v>45.079379157427937</v>
      </c>
      <c r="AF20" s="915">
        <v>482.51454428368254</v>
      </c>
      <c r="AG20" s="915" t="s">
        <v>18</v>
      </c>
      <c r="AH20" s="915" t="s">
        <v>18</v>
      </c>
      <c r="AI20" s="915" t="s">
        <v>18</v>
      </c>
      <c r="AJ20" s="915">
        <v>46</v>
      </c>
      <c r="AK20" s="915">
        <v>790</v>
      </c>
      <c r="AL20" s="1041">
        <v>36.260275</v>
      </c>
      <c r="AM20" s="915">
        <v>658.00784313725489</v>
      </c>
      <c r="AN20" s="915">
        <v>58.905072947458763</v>
      </c>
      <c r="AO20" s="915">
        <v>-2</v>
      </c>
      <c r="AP20" s="915">
        <v>49.350588235294119</v>
      </c>
      <c r="AQ20" s="915">
        <v>650</v>
      </c>
      <c r="AR20" s="1041">
        <v>32.2137745959458</v>
      </c>
      <c r="AS20" s="913"/>
      <c r="AT20" s="915"/>
      <c r="AU20" s="1041">
        <v>2.7231000000000005</v>
      </c>
      <c r="AX20" s="1719"/>
      <c r="AY20" s="873"/>
      <c r="AZ20" s="873"/>
      <c r="BA20" s="912"/>
      <c r="BB20" s="913"/>
      <c r="BC20" s="913"/>
      <c r="BD20" s="913"/>
      <c r="BE20" s="913"/>
      <c r="BF20" s="913"/>
      <c r="BG20" s="1767"/>
      <c r="BH20" s="1040">
        <v>3</v>
      </c>
      <c r="BI20" s="913">
        <v>3630</v>
      </c>
      <c r="BJ20" s="915">
        <v>10.89</v>
      </c>
      <c r="BK20" s="1768"/>
      <c r="BL20" s="914"/>
      <c r="BM20" s="915">
        <v>45.1</v>
      </c>
      <c r="BN20" s="914">
        <v>0.89605734767025091</v>
      </c>
      <c r="BO20" s="914">
        <v>9.2793791574279378</v>
      </c>
      <c r="BP20" s="914">
        <v>24</v>
      </c>
      <c r="BQ20" s="914">
        <v>33.27937915742794</v>
      </c>
      <c r="BR20" s="915">
        <v>2670</v>
      </c>
      <c r="BS20" s="915">
        <v>3260</v>
      </c>
      <c r="BT20" s="1041">
        <v>103.01594235033259</v>
      </c>
      <c r="BU20" s="914">
        <v>3.75</v>
      </c>
      <c r="BV20" s="914">
        <v>0</v>
      </c>
      <c r="BW20" s="915">
        <v>0</v>
      </c>
      <c r="BX20" s="1041">
        <v>0</v>
      </c>
      <c r="BY20" s="1040">
        <v>25.456000000000003</v>
      </c>
      <c r="BZ20" s="915">
        <v>45.079379157427937</v>
      </c>
      <c r="CA20" s="915">
        <v>482.51454428368254</v>
      </c>
      <c r="CB20" s="915" t="s">
        <v>18</v>
      </c>
      <c r="CC20" s="915" t="s">
        <v>18</v>
      </c>
      <c r="CD20" s="915" t="s">
        <v>18</v>
      </c>
      <c r="CE20" s="915">
        <v>46</v>
      </c>
      <c r="CF20" s="915">
        <v>790</v>
      </c>
      <c r="CG20" s="1041">
        <v>36.260275</v>
      </c>
      <c r="CH20" s="915">
        <v>898.00784313725489</v>
      </c>
      <c r="CI20" s="915">
        <v>43.162206539966462</v>
      </c>
      <c r="CJ20" s="915">
        <v>-3</v>
      </c>
      <c r="CK20" s="915">
        <v>69.595607843137259</v>
      </c>
      <c r="CL20" s="915">
        <v>1020</v>
      </c>
      <c r="CM20" s="1041">
        <v>71.055317211559327</v>
      </c>
      <c r="CN20" s="913"/>
      <c r="CO20" s="915"/>
      <c r="CP20" s="1041">
        <v>2.7231000000000005</v>
      </c>
      <c r="CR20" s="1719">
        <f t="shared" si="1"/>
        <v>0</v>
      </c>
      <c r="CS20" s="873">
        <f t="shared" si="11"/>
        <v>0</v>
      </c>
      <c r="CT20" s="873">
        <f t="shared" si="12"/>
        <v>0</v>
      </c>
      <c r="CU20" s="912">
        <f t="shared" si="13"/>
        <v>0</v>
      </c>
      <c r="CV20" s="913">
        <f t="shared" si="14"/>
        <v>0</v>
      </c>
      <c r="CW20" s="913">
        <f t="shared" si="15"/>
        <v>0</v>
      </c>
      <c r="CX20" s="913">
        <f t="shared" si="16"/>
        <v>0</v>
      </c>
      <c r="CY20" s="913">
        <f t="shared" si="17"/>
        <v>0</v>
      </c>
      <c r="CZ20" s="913">
        <f t="shared" si="18"/>
        <v>0</v>
      </c>
      <c r="DA20" s="1767">
        <f t="shared" si="19"/>
        <v>0</v>
      </c>
      <c r="DB20" s="1040">
        <f t="shared" si="20"/>
        <v>0</v>
      </c>
      <c r="DC20" s="913">
        <f t="shared" si="21"/>
        <v>0</v>
      </c>
      <c r="DD20" s="915">
        <f t="shared" si="22"/>
        <v>0</v>
      </c>
      <c r="DE20" s="1768">
        <f t="shared" si="23"/>
        <v>0</v>
      </c>
      <c r="DF20" s="914">
        <f t="shared" si="24"/>
        <v>0</v>
      </c>
      <c r="DG20" s="915">
        <f t="shared" si="25"/>
        <v>0</v>
      </c>
      <c r="DH20" s="914">
        <f t="shared" si="26"/>
        <v>0</v>
      </c>
      <c r="DI20" s="914">
        <f t="shared" si="27"/>
        <v>0</v>
      </c>
      <c r="DJ20" s="914">
        <f t="shared" si="28"/>
        <v>0</v>
      </c>
      <c r="DK20" s="914">
        <f t="shared" si="29"/>
        <v>0</v>
      </c>
      <c r="DL20" s="915">
        <f t="shared" si="30"/>
        <v>0</v>
      </c>
      <c r="DM20" s="915">
        <f t="shared" si="31"/>
        <v>0</v>
      </c>
      <c r="DN20" s="1041">
        <f t="shared" si="32"/>
        <v>0</v>
      </c>
      <c r="DO20" s="914">
        <f t="shared" si="33"/>
        <v>0</v>
      </c>
      <c r="DP20" s="914">
        <f t="shared" si="34"/>
        <v>3.4125000000000001</v>
      </c>
      <c r="DQ20" s="915">
        <f t="shared" si="35"/>
        <v>1400</v>
      </c>
      <c r="DR20" s="1041">
        <f t="shared" si="36"/>
        <v>4.7774999999999999</v>
      </c>
      <c r="DS20" s="1040">
        <f t="shared" si="37"/>
        <v>-3.6000000000000014</v>
      </c>
      <c r="DT20" s="915">
        <f t="shared" si="38"/>
        <v>0</v>
      </c>
      <c r="DU20" s="915">
        <f t="shared" si="39"/>
        <v>0</v>
      </c>
      <c r="DV20" s="915" t="e">
        <f t="shared" si="40"/>
        <v>#VALUE!</v>
      </c>
      <c r="DW20" s="915" t="e">
        <f t="shared" si="41"/>
        <v>#VALUE!</v>
      </c>
      <c r="DX20" s="915" t="e">
        <f t="shared" si="42"/>
        <v>#VALUE!</v>
      </c>
      <c r="DY20" s="915">
        <f t="shared" si="43"/>
        <v>0</v>
      </c>
      <c r="DZ20" s="915">
        <f t="shared" si="44"/>
        <v>0</v>
      </c>
      <c r="EA20" s="1041">
        <f t="shared" si="45"/>
        <v>0</v>
      </c>
      <c r="EB20" s="915">
        <f t="shared" si="2"/>
        <v>-240</v>
      </c>
      <c r="EC20" s="915">
        <f t="shared" si="3"/>
        <v>15.742866407492301</v>
      </c>
      <c r="ED20" s="915">
        <f t="shared" si="4"/>
        <v>1</v>
      </c>
      <c r="EE20" s="915">
        <f t="shared" si="5"/>
        <v>-20.24501960784314</v>
      </c>
      <c r="EF20" s="915">
        <f t="shared" si="6"/>
        <v>-370</v>
      </c>
      <c r="EG20" s="1041">
        <f t="shared" si="7"/>
        <v>-38.841542615613527</v>
      </c>
      <c r="EH20" s="913">
        <f t="shared" si="8"/>
        <v>0</v>
      </c>
      <c r="EI20" s="915">
        <f t="shared" si="9"/>
        <v>0</v>
      </c>
      <c r="EJ20" s="1041">
        <f t="shared" si="10"/>
        <v>0</v>
      </c>
    </row>
    <row r="21" spans="1:140">
      <c r="A21" s="889">
        <f>Eingabedaten!A25</f>
        <v>5.3</v>
      </c>
      <c r="B21" s="1013" t="str">
        <f>Eingabedaten!C25</f>
        <v>Verkauf Möbel, Bau, Garten</v>
      </c>
      <c r="C21" s="1719"/>
      <c r="D21" s="873"/>
      <c r="E21" s="873"/>
      <c r="F21" s="912"/>
      <c r="G21" s="913"/>
      <c r="H21" s="913"/>
      <c r="I21" s="913"/>
      <c r="J21" s="913"/>
      <c r="K21" s="913"/>
      <c r="L21" s="1767"/>
      <c r="M21" s="1040">
        <v>3</v>
      </c>
      <c r="N21" s="913">
        <v>3410</v>
      </c>
      <c r="O21" s="915">
        <v>10.23</v>
      </c>
      <c r="P21" s="1768"/>
      <c r="Q21" s="914"/>
      <c r="R21" s="915">
        <v>45.1</v>
      </c>
      <c r="S21" s="914">
        <v>0.89605734767025091</v>
      </c>
      <c r="T21" s="914">
        <v>9.2793791574279378</v>
      </c>
      <c r="U21" s="914">
        <v>12</v>
      </c>
      <c r="V21" s="914">
        <v>21.27937915742794</v>
      </c>
      <c r="W21" s="915">
        <v>2420</v>
      </c>
      <c r="X21" s="915">
        <v>3000</v>
      </c>
      <c r="Y21" s="1041">
        <v>58.456097560975607</v>
      </c>
      <c r="Z21" s="914">
        <v>2</v>
      </c>
      <c r="AA21" s="914">
        <v>1.82</v>
      </c>
      <c r="AB21" s="915">
        <v>1340</v>
      </c>
      <c r="AC21" s="1041">
        <v>2.4388000000000001</v>
      </c>
      <c r="AD21" s="1040">
        <v>20.176000000000002</v>
      </c>
      <c r="AE21" s="915">
        <v>28.979379157427939</v>
      </c>
      <c r="AF21" s="915">
        <v>282.87454428368255</v>
      </c>
      <c r="AG21" s="915" t="s">
        <v>18</v>
      </c>
      <c r="AH21" s="915" t="s">
        <v>18</v>
      </c>
      <c r="AI21" s="915" t="s">
        <v>18</v>
      </c>
      <c r="AJ21" s="915">
        <v>32</v>
      </c>
      <c r="AK21" s="915">
        <v>480</v>
      </c>
      <c r="AL21" s="1041">
        <v>15.251025</v>
      </c>
      <c r="AM21" s="915">
        <v>546.00784313725501</v>
      </c>
      <c r="AN21" s="915">
        <v>70.987991266375531</v>
      </c>
      <c r="AO21" s="915">
        <v>-2</v>
      </c>
      <c r="AP21" s="915">
        <v>40.950588235294127</v>
      </c>
      <c r="AQ21" s="915">
        <v>1150</v>
      </c>
      <c r="AR21" s="1041">
        <v>46.895940925343304</v>
      </c>
      <c r="AS21" s="913"/>
      <c r="AT21" s="915"/>
      <c r="AU21" s="1041">
        <v>1.4523200000000003</v>
      </c>
      <c r="AX21" s="1719"/>
      <c r="AY21" s="873"/>
      <c r="AZ21" s="873"/>
      <c r="BA21" s="912"/>
      <c r="BB21" s="913"/>
      <c r="BC21" s="913"/>
      <c r="BD21" s="913"/>
      <c r="BE21" s="913"/>
      <c r="BF21" s="913"/>
      <c r="BG21" s="1767"/>
      <c r="BH21" s="1040">
        <v>3</v>
      </c>
      <c r="BI21" s="913">
        <v>3410</v>
      </c>
      <c r="BJ21" s="915">
        <v>10.23</v>
      </c>
      <c r="BK21" s="1768"/>
      <c r="BL21" s="914"/>
      <c r="BM21" s="915">
        <v>45.1</v>
      </c>
      <c r="BN21" s="914">
        <v>0.89605734767025091</v>
      </c>
      <c r="BO21" s="914">
        <v>9.2793791574279378</v>
      </c>
      <c r="BP21" s="914">
        <v>12</v>
      </c>
      <c r="BQ21" s="914">
        <v>21.27937915742794</v>
      </c>
      <c r="BR21" s="915">
        <v>2420</v>
      </c>
      <c r="BS21" s="915">
        <v>3000</v>
      </c>
      <c r="BT21" s="1041">
        <v>58.456097560975607</v>
      </c>
      <c r="BU21" s="914">
        <v>2</v>
      </c>
      <c r="BV21" s="914">
        <v>0</v>
      </c>
      <c r="BW21" s="915">
        <v>0</v>
      </c>
      <c r="BX21" s="1041">
        <v>0</v>
      </c>
      <c r="BY21" s="1040">
        <v>22.096000000000004</v>
      </c>
      <c r="BZ21" s="915">
        <v>28.979379157427939</v>
      </c>
      <c r="CA21" s="915">
        <v>282.87454428368255</v>
      </c>
      <c r="CB21" s="915" t="s">
        <v>18</v>
      </c>
      <c r="CC21" s="915" t="s">
        <v>18</v>
      </c>
      <c r="CD21" s="915" t="s">
        <v>18</v>
      </c>
      <c r="CE21" s="915">
        <v>32</v>
      </c>
      <c r="CF21" s="915">
        <v>480</v>
      </c>
      <c r="CG21" s="1041">
        <v>15.251025</v>
      </c>
      <c r="CH21" s="915">
        <v>674.00784313725489</v>
      </c>
      <c r="CI21" s="915">
        <v>57.506749208713465</v>
      </c>
      <c r="CJ21" s="915">
        <v>-2</v>
      </c>
      <c r="CK21" s="915">
        <v>50.550588235294114</v>
      </c>
      <c r="CL21" s="915">
        <v>1320</v>
      </c>
      <c r="CM21" s="1041">
        <v>66.478029531274998</v>
      </c>
      <c r="CN21" s="913"/>
      <c r="CO21" s="915"/>
      <c r="CP21" s="1041">
        <v>1.4523200000000003</v>
      </c>
      <c r="CR21" s="1719">
        <f t="shared" si="1"/>
        <v>0</v>
      </c>
      <c r="CS21" s="873">
        <f t="shared" si="11"/>
        <v>0</v>
      </c>
      <c r="CT21" s="873">
        <f t="shared" si="12"/>
        <v>0</v>
      </c>
      <c r="CU21" s="912">
        <f t="shared" si="13"/>
        <v>0</v>
      </c>
      <c r="CV21" s="913">
        <f t="shared" si="14"/>
        <v>0</v>
      </c>
      <c r="CW21" s="913">
        <f t="shared" si="15"/>
        <v>0</v>
      </c>
      <c r="CX21" s="913">
        <f t="shared" si="16"/>
        <v>0</v>
      </c>
      <c r="CY21" s="913">
        <f t="shared" si="17"/>
        <v>0</v>
      </c>
      <c r="CZ21" s="913">
        <f t="shared" si="18"/>
        <v>0</v>
      </c>
      <c r="DA21" s="1767">
        <f t="shared" si="19"/>
        <v>0</v>
      </c>
      <c r="DB21" s="1040">
        <f t="shared" si="20"/>
        <v>0</v>
      </c>
      <c r="DC21" s="913">
        <f t="shared" si="21"/>
        <v>0</v>
      </c>
      <c r="DD21" s="915">
        <f t="shared" si="22"/>
        <v>0</v>
      </c>
      <c r="DE21" s="1768">
        <f t="shared" si="23"/>
        <v>0</v>
      </c>
      <c r="DF21" s="914">
        <f t="shared" si="24"/>
        <v>0</v>
      </c>
      <c r="DG21" s="915">
        <f t="shared" si="25"/>
        <v>0</v>
      </c>
      <c r="DH21" s="914">
        <f t="shared" si="26"/>
        <v>0</v>
      </c>
      <c r="DI21" s="914">
        <f t="shared" si="27"/>
        <v>0</v>
      </c>
      <c r="DJ21" s="914">
        <f t="shared" si="28"/>
        <v>0</v>
      </c>
      <c r="DK21" s="914">
        <f t="shared" si="29"/>
        <v>0</v>
      </c>
      <c r="DL21" s="915">
        <f t="shared" si="30"/>
        <v>0</v>
      </c>
      <c r="DM21" s="915">
        <f t="shared" si="31"/>
        <v>0</v>
      </c>
      <c r="DN21" s="1041">
        <f t="shared" si="32"/>
        <v>0</v>
      </c>
      <c r="DO21" s="914">
        <f t="shared" si="33"/>
        <v>0</v>
      </c>
      <c r="DP21" s="914">
        <f t="shared" si="34"/>
        <v>1.82</v>
      </c>
      <c r="DQ21" s="915">
        <f t="shared" si="35"/>
        <v>1340</v>
      </c>
      <c r="DR21" s="1041">
        <f t="shared" si="36"/>
        <v>2.4388000000000001</v>
      </c>
      <c r="DS21" s="1040">
        <f t="shared" si="37"/>
        <v>-1.9200000000000017</v>
      </c>
      <c r="DT21" s="915">
        <f t="shared" si="38"/>
        <v>0</v>
      </c>
      <c r="DU21" s="915">
        <f t="shared" si="39"/>
        <v>0</v>
      </c>
      <c r="DV21" s="915" t="e">
        <f t="shared" si="40"/>
        <v>#VALUE!</v>
      </c>
      <c r="DW21" s="915" t="e">
        <f t="shared" si="41"/>
        <v>#VALUE!</v>
      </c>
      <c r="DX21" s="915" t="e">
        <f t="shared" si="42"/>
        <v>#VALUE!</v>
      </c>
      <c r="DY21" s="915">
        <f t="shared" si="43"/>
        <v>0</v>
      </c>
      <c r="DZ21" s="915">
        <f t="shared" si="44"/>
        <v>0</v>
      </c>
      <c r="EA21" s="1041">
        <f t="shared" si="45"/>
        <v>0</v>
      </c>
      <c r="EB21" s="915">
        <f t="shared" si="2"/>
        <v>-127.99999999999989</v>
      </c>
      <c r="EC21" s="915">
        <f t="shared" si="3"/>
        <v>13.481242057662065</v>
      </c>
      <c r="ED21" s="915">
        <f t="shared" si="4"/>
        <v>0</v>
      </c>
      <c r="EE21" s="915">
        <f t="shared" si="5"/>
        <v>-9.5999999999999872</v>
      </c>
      <c r="EF21" s="915">
        <f t="shared" si="6"/>
        <v>-170</v>
      </c>
      <c r="EG21" s="1041">
        <f t="shared" si="7"/>
        <v>-19.582088605931695</v>
      </c>
      <c r="EH21" s="913">
        <f t="shared" si="8"/>
        <v>0</v>
      </c>
      <c r="EI21" s="915">
        <f t="shared" si="9"/>
        <v>0</v>
      </c>
      <c r="EJ21" s="1041">
        <f t="shared" si="10"/>
        <v>0</v>
      </c>
    </row>
    <row r="22" spans="1:140">
      <c r="A22" s="890">
        <f>Eingabedaten!A26</f>
        <v>6.1</v>
      </c>
      <c r="B22" s="888" t="str">
        <f>Eingabedaten!C26</f>
        <v>Restaurant</v>
      </c>
      <c r="C22" s="1777"/>
      <c r="D22" s="884"/>
      <c r="E22" s="884"/>
      <c r="F22" s="908"/>
      <c r="G22" s="909"/>
      <c r="H22" s="909"/>
      <c r="I22" s="909"/>
      <c r="J22" s="909"/>
      <c r="K22" s="909"/>
      <c r="L22" s="1772"/>
      <c r="M22" s="1038">
        <v>3</v>
      </c>
      <c r="N22" s="909">
        <v>2250</v>
      </c>
      <c r="O22" s="911">
        <v>6.75</v>
      </c>
      <c r="P22" s="1773"/>
      <c r="Q22" s="910"/>
      <c r="R22" s="911">
        <v>40.099999999999994</v>
      </c>
      <c r="S22" s="910">
        <v>0.90909090909090917</v>
      </c>
      <c r="T22" s="910">
        <v>6.8578553615960098</v>
      </c>
      <c r="U22" s="910">
        <v>0</v>
      </c>
      <c r="V22" s="910">
        <v>6.8578553615960098</v>
      </c>
      <c r="W22" s="911">
        <v>2430</v>
      </c>
      <c r="X22" s="911">
        <v>0</v>
      </c>
      <c r="Y22" s="1039">
        <v>16.664588528678305</v>
      </c>
      <c r="Z22" s="910">
        <v>18</v>
      </c>
      <c r="AA22" s="910">
        <v>16.38</v>
      </c>
      <c r="AB22" s="911">
        <v>1550</v>
      </c>
      <c r="AC22" s="1039">
        <v>25.388999999999999</v>
      </c>
      <c r="AD22" s="1038">
        <v>39.956000000000003</v>
      </c>
      <c r="AE22" s="911">
        <v>44.857855361596009</v>
      </c>
      <c r="AF22" s="911">
        <v>248.55634932444843</v>
      </c>
      <c r="AG22" s="911" t="s">
        <v>18</v>
      </c>
      <c r="AH22" s="911" t="s">
        <v>18</v>
      </c>
      <c r="AI22" s="911" t="s">
        <v>18</v>
      </c>
      <c r="AJ22" s="911">
        <v>41</v>
      </c>
      <c r="AK22" s="911">
        <v>60</v>
      </c>
      <c r="AL22" s="1039">
        <v>2.5955555555555554</v>
      </c>
      <c r="AM22" s="911">
        <v>599.36752941176474</v>
      </c>
      <c r="AN22" s="911">
        <v>24.265578774802613</v>
      </c>
      <c r="AO22" s="911">
        <v>-3</v>
      </c>
      <c r="AP22" s="911">
        <v>133.1927843137255</v>
      </c>
      <c r="AQ22" s="911">
        <v>1040</v>
      </c>
      <c r="AR22" s="1039">
        <v>138.0754893813052</v>
      </c>
      <c r="AS22" s="909"/>
      <c r="AT22" s="911"/>
      <c r="AU22" s="1039">
        <v>108.92400000000002</v>
      </c>
      <c r="AX22" s="1777"/>
      <c r="AY22" s="884"/>
      <c r="AZ22" s="884"/>
      <c r="BA22" s="908"/>
      <c r="BB22" s="909"/>
      <c r="BC22" s="909"/>
      <c r="BD22" s="909"/>
      <c r="BE22" s="909"/>
      <c r="BF22" s="909"/>
      <c r="BG22" s="1772"/>
      <c r="BH22" s="1038">
        <v>3</v>
      </c>
      <c r="BI22" s="909">
        <v>2250</v>
      </c>
      <c r="BJ22" s="911">
        <v>6.75</v>
      </c>
      <c r="BK22" s="1773"/>
      <c r="BL22" s="910"/>
      <c r="BM22" s="911">
        <v>40.099999999999994</v>
      </c>
      <c r="BN22" s="910">
        <v>0.90909090909090917</v>
      </c>
      <c r="BO22" s="910">
        <v>6.8578553615960098</v>
      </c>
      <c r="BP22" s="910">
        <v>0</v>
      </c>
      <c r="BQ22" s="910">
        <v>6.8578553615960098</v>
      </c>
      <c r="BR22" s="911">
        <v>2430</v>
      </c>
      <c r="BS22" s="911">
        <v>0</v>
      </c>
      <c r="BT22" s="1039">
        <v>16.664588528678305</v>
      </c>
      <c r="BU22" s="910">
        <v>18</v>
      </c>
      <c r="BV22" s="910">
        <v>16.38</v>
      </c>
      <c r="BW22" s="911">
        <v>1740</v>
      </c>
      <c r="BX22" s="1039">
        <v>28.501199999999997</v>
      </c>
      <c r="BY22" s="1038">
        <v>39.956000000000003</v>
      </c>
      <c r="BZ22" s="911">
        <v>44.857855361596009</v>
      </c>
      <c r="CA22" s="911">
        <v>248.55634932444843</v>
      </c>
      <c r="CB22" s="911" t="s">
        <v>18</v>
      </c>
      <c r="CC22" s="911" t="s">
        <v>18</v>
      </c>
      <c r="CD22" s="911" t="s">
        <v>18</v>
      </c>
      <c r="CE22" s="911">
        <v>41</v>
      </c>
      <c r="CF22" s="911">
        <v>60</v>
      </c>
      <c r="CG22" s="1039">
        <v>2.5955555555555554</v>
      </c>
      <c r="CH22" s="911">
        <v>599.36752941176474</v>
      </c>
      <c r="CI22" s="911">
        <v>24.265578774802613</v>
      </c>
      <c r="CJ22" s="911">
        <v>-3</v>
      </c>
      <c r="CK22" s="911">
        <v>133.1927843137255</v>
      </c>
      <c r="CL22" s="911">
        <v>1330</v>
      </c>
      <c r="CM22" s="1039">
        <v>177.04641462894276</v>
      </c>
      <c r="CN22" s="909"/>
      <c r="CO22" s="911"/>
      <c r="CP22" s="1039">
        <v>108.92400000000002</v>
      </c>
      <c r="CR22" s="1777">
        <f t="shared" si="1"/>
        <v>0</v>
      </c>
      <c r="CS22" s="884">
        <f t="shared" si="11"/>
        <v>0</v>
      </c>
      <c r="CT22" s="884">
        <f t="shared" si="12"/>
        <v>0</v>
      </c>
      <c r="CU22" s="908">
        <f t="shared" si="13"/>
        <v>0</v>
      </c>
      <c r="CV22" s="909">
        <f t="shared" si="14"/>
        <v>0</v>
      </c>
      <c r="CW22" s="909">
        <f t="shared" si="15"/>
        <v>0</v>
      </c>
      <c r="CX22" s="909">
        <f t="shared" si="16"/>
        <v>0</v>
      </c>
      <c r="CY22" s="909">
        <f t="shared" si="17"/>
        <v>0</v>
      </c>
      <c r="CZ22" s="909">
        <f t="shared" si="18"/>
        <v>0</v>
      </c>
      <c r="DA22" s="1772">
        <f t="shared" si="19"/>
        <v>0</v>
      </c>
      <c r="DB22" s="1038">
        <f t="shared" si="20"/>
        <v>0</v>
      </c>
      <c r="DC22" s="909">
        <f t="shared" si="21"/>
        <v>0</v>
      </c>
      <c r="DD22" s="911">
        <f t="shared" si="22"/>
        <v>0</v>
      </c>
      <c r="DE22" s="1773">
        <f t="shared" si="23"/>
        <v>0</v>
      </c>
      <c r="DF22" s="910">
        <f t="shared" si="24"/>
        <v>0</v>
      </c>
      <c r="DG22" s="911">
        <f t="shared" si="25"/>
        <v>0</v>
      </c>
      <c r="DH22" s="910">
        <f t="shared" si="26"/>
        <v>0</v>
      </c>
      <c r="DI22" s="910">
        <f t="shared" si="27"/>
        <v>0</v>
      </c>
      <c r="DJ22" s="910">
        <f t="shared" si="28"/>
        <v>0</v>
      </c>
      <c r="DK22" s="910">
        <f t="shared" si="29"/>
        <v>0</v>
      </c>
      <c r="DL22" s="911">
        <f t="shared" si="30"/>
        <v>0</v>
      </c>
      <c r="DM22" s="911">
        <f t="shared" si="31"/>
        <v>0</v>
      </c>
      <c r="DN22" s="1039">
        <f t="shared" si="32"/>
        <v>0</v>
      </c>
      <c r="DO22" s="910">
        <f t="shared" si="33"/>
        <v>0</v>
      </c>
      <c r="DP22" s="910">
        <f t="shared" si="34"/>
        <v>0</v>
      </c>
      <c r="DQ22" s="911">
        <f t="shared" si="35"/>
        <v>-190</v>
      </c>
      <c r="DR22" s="1039">
        <f t="shared" si="36"/>
        <v>-3.1121999999999979</v>
      </c>
      <c r="DS22" s="1038">
        <f t="shared" si="37"/>
        <v>0</v>
      </c>
      <c r="DT22" s="911">
        <f t="shared" si="38"/>
        <v>0</v>
      </c>
      <c r="DU22" s="911">
        <f t="shared" si="39"/>
        <v>0</v>
      </c>
      <c r="DV22" s="911" t="e">
        <f t="shared" si="40"/>
        <v>#VALUE!</v>
      </c>
      <c r="DW22" s="911" t="e">
        <f t="shared" si="41"/>
        <v>#VALUE!</v>
      </c>
      <c r="DX22" s="911" t="e">
        <f t="shared" si="42"/>
        <v>#VALUE!</v>
      </c>
      <c r="DY22" s="911">
        <f t="shared" si="43"/>
        <v>0</v>
      </c>
      <c r="DZ22" s="911">
        <f t="shared" si="44"/>
        <v>0</v>
      </c>
      <c r="EA22" s="1039">
        <f t="shared" si="45"/>
        <v>0</v>
      </c>
      <c r="EB22" s="911">
        <f t="shared" si="2"/>
        <v>0</v>
      </c>
      <c r="EC22" s="911">
        <f t="shared" si="3"/>
        <v>0</v>
      </c>
      <c r="ED22" s="911">
        <f t="shared" si="4"/>
        <v>0</v>
      </c>
      <c r="EE22" s="911">
        <f t="shared" si="5"/>
        <v>0</v>
      </c>
      <c r="EF22" s="911">
        <f t="shared" si="6"/>
        <v>-290</v>
      </c>
      <c r="EG22" s="1039">
        <f t="shared" si="7"/>
        <v>-38.970925247637553</v>
      </c>
      <c r="EH22" s="909">
        <f t="shared" si="8"/>
        <v>0</v>
      </c>
      <c r="EI22" s="911">
        <f t="shared" si="9"/>
        <v>0</v>
      </c>
      <c r="EJ22" s="1039">
        <f t="shared" si="10"/>
        <v>0</v>
      </c>
    </row>
    <row r="23" spans="1:140">
      <c r="A23" s="889">
        <f>Eingabedaten!A27</f>
        <v>6.2</v>
      </c>
      <c r="B23" s="1013" t="str">
        <f>Eingabedaten!C27</f>
        <v>Selbstbedienungsrestaurant</v>
      </c>
      <c r="C23" s="1719"/>
      <c r="D23" s="873"/>
      <c r="E23" s="873"/>
      <c r="F23" s="912"/>
      <c r="G23" s="913"/>
      <c r="H23" s="913"/>
      <c r="I23" s="913"/>
      <c r="J23" s="913"/>
      <c r="K23" s="913"/>
      <c r="L23" s="1767"/>
      <c r="M23" s="1040">
        <v>3</v>
      </c>
      <c r="N23" s="913">
        <v>1750</v>
      </c>
      <c r="O23" s="915">
        <v>5.25</v>
      </c>
      <c r="P23" s="1768"/>
      <c r="Q23" s="914"/>
      <c r="R23" s="915">
        <v>40.099999999999994</v>
      </c>
      <c r="S23" s="914">
        <v>1.0204081632653061</v>
      </c>
      <c r="T23" s="914">
        <v>6.1097256857855369</v>
      </c>
      <c r="U23" s="914">
        <v>0</v>
      </c>
      <c r="V23" s="914">
        <v>6.1097256857855369</v>
      </c>
      <c r="W23" s="915">
        <v>1440</v>
      </c>
      <c r="X23" s="915">
        <v>0</v>
      </c>
      <c r="Y23" s="1041">
        <v>8.7980049875311721</v>
      </c>
      <c r="Z23" s="914">
        <v>18</v>
      </c>
      <c r="AA23" s="914">
        <v>16.38</v>
      </c>
      <c r="AB23" s="915">
        <v>760</v>
      </c>
      <c r="AC23" s="1041">
        <v>12.448799999999999</v>
      </c>
      <c r="AD23" s="1040">
        <v>31.116000000000007</v>
      </c>
      <c r="AE23" s="915">
        <v>44.109725685785534</v>
      </c>
      <c r="AF23" s="915">
        <v>160.53006721064224</v>
      </c>
      <c r="AG23" s="915" t="s">
        <v>18</v>
      </c>
      <c r="AH23" s="915" t="s">
        <v>18</v>
      </c>
      <c r="AI23" s="915" t="s">
        <v>18</v>
      </c>
      <c r="AJ23" s="915">
        <v>33</v>
      </c>
      <c r="AK23" s="915">
        <v>70</v>
      </c>
      <c r="AL23" s="1041">
        <v>2.273825</v>
      </c>
      <c r="AM23" s="915">
        <v>1475.1058823529413</v>
      </c>
      <c r="AN23" s="915">
        <v>25.218528679895361</v>
      </c>
      <c r="AO23" s="915">
        <v>-3</v>
      </c>
      <c r="AP23" s="915">
        <v>118.0084705882353</v>
      </c>
      <c r="AQ23" s="915">
        <v>590</v>
      </c>
      <c r="AR23" s="1041">
        <v>69.565330990482934</v>
      </c>
      <c r="AS23" s="915"/>
      <c r="AT23" s="915"/>
      <c r="AU23" s="1041">
        <v>108.92400000000002</v>
      </c>
      <c r="AX23" s="1719"/>
      <c r="AY23" s="873"/>
      <c r="AZ23" s="873"/>
      <c r="BA23" s="912"/>
      <c r="BB23" s="913"/>
      <c r="BC23" s="913"/>
      <c r="BD23" s="913"/>
      <c r="BE23" s="913"/>
      <c r="BF23" s="913"/>
      <c r="BG23" s="1767"/>
      <c r="BH23" s="1040">
        <v>3</v>
      </c>
      <c r="BI23" s="913">
        <v>1750</v>
      </c>
      <c r="BJ23" s="915">
        <v>5.25</v>
      </c>
      <c r="BK23" s="1768"/>
      <c r="BL23" s="914"/>
      <c r="BM23" s="915">
        <v>40.099999999999994</v>
      </c>
      <c r="BN23" s="914">
        <v>1.0204081632653061</v>
      </c>
      <c r="BO23" s="914">
        <v>6.1097256857855369</v>
      </c>
      <c r="BP23" s="914">
        <v>0</v>
      </c>
      <c r="BQ23" s="914">
        <v>6.1097256857855369</v>
      </c>
      <c r="BR23" s="915">
        <v>1440</v>
      </c>
      <c r="BS23" s="915">
        <v>0</v>
      </c>
      <c r="BT23" s="1041">
        <v>8.7980049875311721</v>
      </c>
      <c r="BU23" s="914">
        <v>18</v>
      </c>
      <c r="BV23" s="914">
        <v>16.38</v>
      </c>
      <c r="BW23" s="915">
        <v>960</v>
      </c>
      <c r="BX23" s="1041">
        <v>15.7248</v>
      </c>
      <c r="BY23" s="1040">
        <v>31.116000000000007</v>
      </c>
      <c r="BZ23" s="915">
        <v>44.109725685785534</v>
      </c>
      <c r="CA23" s="915">
        <v>160.53006721064224</v>
      </c>
      <c r="CB23" s="915" t="s">
        <v>18</v>
      </c>
      <c r="CC23" s="915" t="s">
        <v>18</v>
      </c>
      <c r="CD23" s="915" t="s">
        <v>18</v>
      </c>
      <c r="CE23" s="915">
        <v>33</v>
      </c>
      <c r="CF23" s="915">
        <v>70</v>
      </c>
      <c r="CG23" s="1041">
        <v>2.273825</v>
      </c>
      <c r="CH23" s="915">
        <v>1475.1058823529413</v>
      </c>
      <c r="CI23" s="915">
        <v>25.218528679895361</v>
      </c>
      <c r="CJ23" s="915">
        <v>-3</v>
      </c>
      <c r="CK23" s="915">
        <v>118.0084705882353</v>
      </c>
      <c r="CL23" s="915">
        <v>840</v>
      </c>
      <c r="CM23" s="1041">
        <v>99.571049504367494</v>
      </c>
      <c r="CN23" s="915"/>
      <c r="CO23" s="915"/>
      <c r="CP23" s="1041">
        <v>108.92400000000002</v>
      </c>
      <c r="CR23" s="1719">
        <f t="shared" si="1"/>
        <v>0</v>
      </c>
      <c r="CS23" s="873">
        <f t="shared" si="11"/>
        <v>0</v>
      </c>
      <c r="CT23" s="873">
        <f t="shared" si="12"/>
        <v>0</v>
      </c>
      <c r="CU23" s="912">
        <f t="shared" si="13"/>
        <v>0</v>
      </c>
      <c r="CV23" s="913">
        <f t="shared" si="14"/>
        <v>0</v>
      </c>
      <c r="CW23" s="913">
        <f t="shared" si="15"/>
        <v>0</v>
      </c>
      <c r="CX23" s="913">
        <f t="shared" si="16"/>
        <v>0</v>
      </c>
      <c r="CY23" s="913">
        <f t="shared" si="17"/>
        <v>0</v>
      </c>
      <c r="CZ23" s="913">
        <f t="shared" si="18"/>
        <v>0</v>
      </c>
      <c r="DA23" s="1767">
        <f t="shared" si="19"/>
        <v>0</v>
      </c>
      <c r="DB23" s="1040">
        <f t="shared" si="20"/>
        <v>0</v>
      </c>
      <c r="DC23" s="913">
        <f t="shared" si="21"/>
        <v>0</v>
      </c>
      <c r="DD23" s="915">
        <f t="shared" si="22"/>
        <v>0</v>
      </c>
      <c r="DE23" s="1768">
        <f t="shared" si="23"/>
        <v>0</v>
      </c>
      <c r="DF23" s="914">
        <f t="shared" si="24"/>
        <v>0</v>
      </c>
      <c r="DG23" s="915">
        <f t="shared" si="25"/>
        <v>0</v>
      </c>
      <c r="DH23" s="914">
        <f t="shared" si="26"/>
        <v>0</v>
      </c>
      <c r="DI23" s="914">
        <f t="shared" si="27"/>
        <v>0</v>
      </c>
      <c r="DJ23" s="914">
        <f t="shared" si="28"/>
        <v>0</v>
      </c>
      <c r="DK23" s="914">
        <f t="shared" si="29"/>
        <v>0</v>
      </c>
      <c r="DL23" s="915">
        <f t="shared" si="30"/>
        <v>0</v>
      </c>
      <c r="DM23" s="915">
        <f t="shared" si="31"/>
        <v>0</v>
      </c>
      <c r="DN23" s="1041">
        <f t="shared" si="32"/>
        <v>0</v>
      </c>
      <c r="DO23" s="914">
        <f t="shared" si="33"/>
        <v>0</v>
      </c>
      <c r="DP23" s="914">
        <f t="shared" si="34"/>
        <v>0</v>
      </c>
      <c r="DQ23" s="915">
        <f t="shared" si="35"/>
        <v>-200</v>
      </c>
      <c r="DR23" s="1041">
        <f t="shared" si="36"/>
        <v>-3.2760000000000016</v>
      </c>
      <c r="DS23" s="1040">
        <f t="shared" si="37"/>
        <v>0</v>
      </c>
      <c r="DT23" s="915">
        <f t="shared" si="38"/>
        <v>0</v>
      </c>
      <c r="DU23" s="915">
        <f t="shared" si="39"/>
        <v>0</v>
      </c>
      <c r="DV23" s="915" t="e">
        <f t="shared" si="40"/>
        <v>#VALUE!</v>
      </c>
      <c r="DW23" s="915" t="e">
        <f t="shared" si="41"/>
        <v>#VALUE!</v>
      </c>
      <c r="DX23" s="915" t="e">
        <f t="shared" si="42"/>
        <v>#VALUE!</v>
      </c>
      <c r="DY23" s="915">
        <f t="shared" si="43"/>
        <v>0</v>
      </c>
      <c r="DZ23" s="915">
        <f t="shared" si="44"/>
        <v>0</v>
      </c>
      <c r="EA23" s="1041">
        <f t="shared" si="45"/>
        <v>0</v>
      </c>
      <c r="EB23" s="915">
        <f t="shared" si="2"/>
        <v>0</v>
      </c>
      <c r="EC23" s="915">
        <f t="shared" si="3"/>
        <v>0</v>
      </c>
      <c r="ED23" s="915">
        <f t="shared" si="4"/>
        <v>0</v>
      </c>
      <c r="EE23" s="915">
        <f t="shared" si="5"/>
        <v>0</v>
      </c>
      <c r="EF23" s="915">
        <f t="shared" si="6"/>
        <v>-250</v>
      </c>
      <c r="EG23" s="1041">
        <f t="shared" si="7"/>
        <v>-30.00571851388456</v>
      </c>
      <c r="EH23" s="915">
        <f t="shared" si="8"/>
        <v>0</v>
      </c>
      <c r="EI23" s="915">
        <f t="shared" si="9"/>
        <v>0</v>
      </c>
      <c r="EJ23" s="1041">
        <f t="shared" si="10"/>
        <v>0</v>
      </c>
    </row>
    <row r="24" spans="1:140">
      <c r="A24" s="889">
        <f>Eingabedaten!A28</f>
        <v>6.3</v>
      </c>
      <c r="B24" s="1013" t="str">
        <f>Eingabedaten!C28</f>
        <v>Küche zu Restaurant</v>
      </c>
      <c r="C24" s="1719"/>
      <c r="D24" s="873"/>
      <c r="E24" s="873"/>
      <c r="F24" s="912"/>
      <c r="G24" s="913"/>
      <c r="H24" s="913"/>
      <c r="I24" s="913"/>
      <c r="J24" s="913"/>
      <c r="K24" s="913"/>
      <c r="L24" s="1767"/>
      <c r="M24" s="1040">
        <v>250</v>
      </c>
      <c r="N24" s="913">
        <v>2530</v>
      </c>
      <c r="O24" s="915">
        <v>632.5</v>
      </c>
      <c r="P24" s="1768"/>
      <c r="Q24" s="914"/>
      <c r="R24" s="915">
        <v>55.1</v>
      </c>
      <c r="S24" s="914">
        <v>0.71428571428571419</v>
      </c>
      <c r="T24" s="914">
        <v>15.880217785843922</v>
      </c>
      <c r="U24" s="914">
        <v>0</v>
      </c>
      <c r="V24" s="914">
        <v>15.880217785843922</v>
      </c>
      <c r="W24" s="915">
        <v>2310</v>
      </c>
      <c r="X24" s="915">
        <v>0</v>
      </c>
      <c r="Y24" s="1041">
        <v>36.683303085299464</v>
      </c>
      <c r="Z24" s="914">
        <v>20</v>
      </c>
      <c r="AA24" s="914">
        <v>18.2</v>
      </c>
      <c r="AB24" s="915">
        <v>2160</v>
      </c>
      <c r="AC24" s="1041">
        <v>39.311999999999998</v>
      </c>
      <c r="AD24" s="1040">
        <v>50.568313725490199</v>
      </c>
      <c r="AE24" s="915">
        <v>283.88021778584391</v>
      </c>
      <c r="AF24" s="915">
        <v>2637.2728414590251</v>
      </c>
      <c r="AG24" s="915" t="s">
        <v>18</v>
      </c>
      <c r="AH24" s="915" t="s">
        <v>18</v>
      </c>
      <c r="AI24" s="915" t="s">
        <v>18</v>
      </c>
      <c r="AJ24" s="915">
        <v>195</v>
      </c>
      <c r="AK24" s="915">
        <v>890</v>
      </c>
      <c r="AL24" s="1041">
        <v>173.52527777777777</v>
      </c>
      <c r="AM24" s="915">
        <v>185.4324705882353</v>
      </c>
      <c r="AN24" s="915">
        <v>22.597983981484305</v>
      </c>
      <c r="AO24" s="915">
        <v>-3</v>
      </c>
      <c r="AP24" s="915">
        <v>159.67796078431374</v>
      </c>
      <c r="AQ24" s="915">
        <v>260</v>
      </c>
      <c r="AR24" s="1041">
        <v>41.177300392150642</v>
      </c>
      <c r="AS24" s="913"/>
      <c r="AT24" s="915"/>
      <c r="AU24" s="1041">
        <v>0</v>
      </c>
      <c r="AX24" s="1719"/>
      <c r="AY24" s="873"/>
      <c r="AZ24" s="873"/>
      <c r="BA24" s="912"/>
      <c r="BB24" s="913"/>
      <c r="BC24" s="913"/>
      <c r="BD24" s="913"/>
      <c r="BE24" s="913"/>
      <c r="BF24" s="913"/>
      <c r="BG24" s="1767"/>
      <c r="BH24" s="1040">
        <v>250</v>
      </c>
      <c r="BI24" s="913">
        <v>2530</v>
      </c>
      <c r="BJ24" s="915">
        <v>632.5</v>
      </c>
      <c r="BK24" s="1768"/>
      <c r="BL24" s="914"/>
      <c r="BM24" s="915">
        <v>55.1</v>
      </c>
      <c r="BN24" s="914">
        <v>0.71428571428571419</v>
      </c>
      <c r="BO24" s="914">
        <v>15.880217785843922</v>
      </c>
      <c r="BP24" s="914">
        <v>0</v>
      </c>
      <c r="BQ24" s="914">
        <v>15.880217785843922</v>
      </c>
      <c r="BR24" s="915">
        <v>2310</v>
      </c>
      <c r="BS24" s="915">
        <v>0</v>
      </c>
      <c r="BT24" s="1041">
        <v>36.683303085299464</v>
      </c>
      <c r="BU24" s="914">
        <v>20</v>
      </c>
      <c r="BV24" s="914">
        <v>18.2</v>
      </c>
      <c r="BW24" s="915">
        <v>2480</v>
      </c>
      <c r="BX24" s="1041">
        <v>45.136000000000003</v>
      </c>
      <c r="BY24" s="1040">
        <v>50.568313725490199</v>
      </c>
      <c r="BZ24" s="915">
        <v>283.88021778584391</v>
      </c>
      <c r="CA24" s="915">
        <v>2637.2728414590251</v>
      </c>
      <c r="CB24" s="915" t="s">
        <v>18</v>
      </c>
      <c r="CC24" s="915" t="s">
        <v>18</v>
      </c>
      <c r="CD24" s="915" t="s">
        <v>18</v>
      </c>
      <c r="CE24" s="915">
        <v>195</v>
      </c>
      <c r="CF24" s="915">
        <v>890</v>
      </c>
      <c r="CG24" s="1041">
        <v>173.52527777777777</v>
      </c>
      <c r="CH24" s="915">
        <v>185.4324705882353</v>
      </c>
      <c r="CI24" s="915">
        <v>22.597983981484305</v>
      </c>
      <c r="CJ24" s="915">
        <v>-3</v>
      </c>
      <c r="CK24" s="915">
        <v>159.67796078431374</v>
      </c>
      <c r="CL24" s="915">
        <v>620</v>
      </c>
      <c r="CM24" s="1041">
        <v>98.348367200118815</v>
      </c>
      <c r="CN24" s="913"/>
      <c r="CO24" s="915"/>
      <c r="CP24" s="1041">
        <v>0</v>
      </c>
      <c r="CR24" s="1719">
        <f t="shared" si="1"/>
        <v>0</v>
      </c>
      <c r="CS24" s="873">
        <f t="shared" si="11"/>
        <v>0</v>
      </c>
      <c r="CT24" s="873">
        <f t="shared" si="12"/>
        <v>0</v>
      </c>
      <c r="CU24" s="912">
        <f t="shared" si="13"/>
        <v>0</v>
      </c>
      <c r="CV24" s="913">
        <f t="shared" si="14"/>
        <v>0</v>
      </c>
      <c r="CW24" s="913">
        <f t="shared" si="15"/>
        <v>0</v>
      </c>
      <c r="CX24" s="913">
        <f t="shared" si="16"/>
        <v>0</v>
      </c>
      <c r="CY24" s="913">
        <f t="shared" si="17"/>
        <v>0</v>
      </c>
      <c r="CZ24" s="913">
        <f t="shared" si="18"/>
        <v>0</v>
      </c>
      <c r="DA24" s="1767">
        <f t="shared" si="19"/>
        <v>0</v>
      </c>
      <c r="DB24" s="1040">
        <f t="shared" si="20"/>
        <v>0</v>
      </c>
      <c r="DC24" s="913">
        <f t="shared" si="21"/>
        <v>0</v>
      </c>
      <c r="DD24" s="915">
        <f t="shared" si="22"/>
        <v>0</v>
      </c>
      <c r="DE24" s="1768">
        <f t="shared" si="23"/>
        <v>0</v>
      </c>
      <c r="DF24" s="914">
        <f t="shared" si="24"/>
        <v>0</v>
      </c>
      <c r="DG24" s="915">
        <f t="shared" si="25"/>
        <v>0</v>
      </c>
      <c r="DH24" s="914">
        <f t="shared" si="26"/>
        <v>0</v>
      </c>
      <c r="DI24" s="914">
        <f t="shared" si="27"/>
        <v>0</v>
      </c>
      <c r="DJ24" s="914">
        <f t="shared" si="28"/>
        <v>0</v>
      </c>
      <c r="DK24" s="914">
        <f t="shared" si="29"/>
        <v>0</v>
      </c>
      <c r="DL24" s="915">
        <f t="shared" si="30"/>
        <v>0</v>
      </c>
      <c r="DM24" s="915">
        <f t="shared" si="31"/>
        <v>0</v>
      </c>
      <c r="DN24" s="1041">
        <f t="shared" si="32"/>
        <v>0</v>
      </c>
      <c r="DO24" s="914">
        <f t="shared" si="33"/>
        <v>0</v>
      </c>
      <c r="DP24" s="914">
        <f t="shared" si="34"/>
        <v>0</v>
      </c>
      <c r="DQ24" s="915">
        <f t="shared" si="35"/>
        <v>-320</v>
      </c>
      <c r="DR24" s="1041">
        <f t="shared" si="36"/>
        <v>-5.8240000000000052</v>
      </c>
      <c r="DS24" s="1040">
        <f t="shared" si="37"/>
        <v>0</v>
      </c>
      <c r="DT24" s="915">
        <f t="shared" si="38"/>
        <v>0</v>
      </c>
      <c r="DU24" s="915">
        <f t="shared" si="39"/>
        <v>0</v>
      </c>
      <c r="DV24" s="915" t="e">
        <f t="shared" si="40"/>
        <v>#VALUE!</v>
      </c>
      <c r="DW24" s="915" t="e">
        <f t="shared" si="41"/>
        <v>#VALUE!</v>
      </c>
      <c r="DX24" s="915" t="e">
        <f t="shared" si="42"/>
        <v>#VALUE!</v>
      </c>
      <c r="DY24" s="915">
        <f t="shared" si="43"/>
        <v>0</v>
      </c>
      <c r="DZ24" s="915">
        <f t="shared" si="44"/>
        <v>0</v>
      </c>
      <c r="EA24" s="1041">
        <f t="shared" si="45"/>
        <v>0</v>
      </c>
      <c r="EB24" s="915">
        <f t="shared" si="2"/>
        <v>0</v>
      </c>
      <c r="EC24" s="915">
        <f t="shared" si="3"/>
        <v>0</v>
      </c>
      <c r="ED24" s="915">
        <f t="shared" si="4"/>
        <v>0</v>
      </c>
      <c r="EE24" s="915">
        <f t="shared" si="5"/>
        <v>0</v>
      </c>
      <c r="EF24" s="915">
        <f t="shared" si="6"/>
        <v>-360</v>
      </c>
      <c r="EG24" s="1041">
        <f t="shared" si="7"/>
        <v>-57.171066807968174</v>
      </c>
      <c r="EH24" s="913">
        <f t="shared" si="8"/>
        <v>0</v>
      </c>
      <c r="EI24" s="915">
        <f t="shared" si="9"/>
        <v>0</v>
      </c>
      <c r="EJ24" s="1041">
        <f t="shared" si="10"/>
        <v>0</v>
      </c>
    </row>
    <row r="25" spans="1:140">
      <c r="A25" s="891">
        <f>Eingabedaten!A29</f>
        <v>6.4</v>
      </c>
      <c r="B25" s="1536" t="str">
        <f>Eingabedaten!C29</f>
        <v>Küche zu Selbstbedienungsrest.</v>
      </c>
      <c r="C25" s="1780"/>
      <c r="D25" s="886"/>
      <c r="E25" s="886"/>
      <c r="F25" s="1758"/>
      <c r="G25" s="1759"/>
      <c r="H25" s="1759"/>
      <c r="I25" s="1759"/>
      <c r="J25" s="1759"/>
      <c r="K25" s="1759"/>
      <c r="L25" s="1760"/>
      <c r="M25" s="1774">
        <v>250</v>
      </c>
      <c r="N25" s="1759">
        <v>1730</v>
      </c>
      <c r="O25" s="1762">
        <v>432.5</v>
      </c>
      <c r="P25" s="1775"/>
      <c r="Q25" s="1761"/>
      <c r="R25" s="1762">
        <v>55.1</v>
      </c>
      <c r="S25" s="1761">
        <v>0.90909090909090917</v>
      </c>
      <c r="T25" s="1761">
        <v>12.477313974591651</v>
      </c>
      <c r="U25" s="1761">
        <v>0</v>
      </c>
      <c r="V25" s="1761">
        <v>12.477313974591651</v>
      </c>
      <c r="W25" s="1762">
        <v>1830</v>
      </c>
      <c r="X25" s="1762">
        <v>0</v>
      </c>
      <c r="Y25" s="1776">
        <v>22.833484573502719</v>
      </c>
      <c r="Z25" s="1761">
        <v>20</v>
      </c>
      <c r="AA25" s="1761">
        <v>18.2</v>
      </c>
      <c r="AB25" s="1762">
        <v>1240</v>
      </c>
      <c r="AC25" s="1776">
        <v>22.568000000000001</v>
      </c>
      <c r="AD25" s="1774">
        <v>31.876156862745102</v>
      </c>
      <c r="AE25" s="1762">
        <v>280.47731397459165</v>
      </c>
      <c r="AF25" s="1762">
        <v>1800.7010109688674</v>
      </c>
      <c r="AG25" s="1762" t="s">
        <v>18</v>
      </c>
      <c r="AH25" s="1762" t="s">
        <v>18</v>
      </c>
      <c r="AI25" s="1762" t="s">
        <v>18</v>
      </c>
      <c r="AJ25" s="1762">
        <v>173</v>
      </c>
      <c r="AK25" s="1762">
        <v>910</v>
      </c>
      <c r="AL25" s="1776">
        <v>157.74972222222223</v>
      </c>
      <c r="AM25" s="1762">
        <v>608.17694117647056</v>
      </c>
      <c r="AN25" s="1762">
        <v>23.369514754220138</v>
      </c>
      <c r="AO25" s="1762">
        <v>-3</v>
      </c>
      <c r="AP25" s="1762">
        <v>130.92698039215688</v>
      </c>
      <c r="AQ25" s="1762">
        <v>70</v>
      </c>
      <c r="AR25" s="1776">
        <v>9.4382971118516217</v>
      </c>
      <c r="AS25" s="1759"/>
      <c r="AT25" s="1762"/>
      <c r="AU25" s="1776">
        <v>0</v>
      </c>
      <c r="AX25" s="1780"/>
      <c r="AY25" s="886"/>
      <c r="AZ25" s="886"/>
      <c r="BA25" s="1758"/>
      <c r="BB25" s="1759"/>
      <c r="BC25" s="1759"/>
      <c r="BD25" s="1759"/>
      <c r="BE25" s="1759"/>
      <c r="BF25" s="1759"/>
      <c r="BG25" s="1760"/>
      <c r="BH25" s="1774">
        <v>250</v>
      </c>
      <c r="BI25" s="1759">
        <v>1730</v>
      </c>
      <c r="BJ25" s="1762">
        <v>432.5</v>
      </c>
      <c r="BK25" s="1775"/>
      <c r="BL25" s="1761"/>
      <c r="BM25" s="1762">
        <v>55.1</v>
      </c>
      <c r="BN25" s="1761">
        <v>0.90909090909090917</v>
      </c>
      <c r="BO25" s="1761">
        <v>12.477313974591651</v>
      </c>
      <c r="BP25" s="1761">
        <v>0</v>
      </c>
      <c r="BQ25" s="1761">
        <v>12.477313974591651</v>
      </c>
      <c r="BR25" s="1762">
        <v>1830</v>
      </c>
      <c r="BS25" s="1762">
        <v>0</v>
      </c>
      <c r="BT25" s="1776">
        <v>22.833484573502719</v>
      </c>
      <c r="BU25" s="1761">
        <v>20</v>
      </c>
      <c r="BV25" s="1761">
        <v>18.2</v>
      </c>
      <c r="BW25" s="1762">
        <v>1460</v>
      </c>
      <c r="BX25" s="1776">
        <v>26.571999999999999</v>
      </c>
      <c r="BY25" s="1774">
        <v>31.876156862745102</v>
      </c>
      <c r="BZ25" s="1762">
        <v>280.47731397459165</v>
      </c>
      <c r="CA25" s="1762">
        <v>1800.7010109688674</v>
      </c>
      <c r="CB25" s="1762" t="s">
        <v>18</v>
      </c>
      <c r="CC25" s="1762" t="s">
        <v>18</v>
      </c>
      <c r="CD25" s="1762" t="s">
        <v>18</v>
      </c>
      <c r="CE25" s="1762">
        <v>173</v>
      </c>
      <c r="CF25" s="1762">
        <v>910</v>
      </c>
      <c r="CG25" s="1776">
        <v>157.74972222222223</v>
      </c>
      <c r="CH25" s="1762">
        <v>608.17694117647056</v>
      </c>
      <c r="CI25" s="1762">
        <v>23.369514754220138</v>
      </c>
      <c r="CJ25" s="1762">
        <v>-3</v>
      </c>
      <c r="CK25" s="1762">
        <v>130.92698039215688</v>
      </c>
      <c r="CL25" s="1762">
        <v>370</v>
      </c>
      <c r="CM25" s="1776">
        <v>47.837206785633377</v>
      </c>
      <c r="CN25" s="1759"/>
      <c r="CO25" s="1762"/>
      <c r="CP25" s="1776">
        <v>0</v>
      </c>
      <c r="CR25" s="1780">
        <f t="shared" si="1"/>
        <v>0</v>
      </c>
      <c r="CS25" s="886">
        <f t="shared" si="11"/>
        <v>0</v>
      </c>
      <c r="CT25" s="886">
        <f t="shared" si="12"/>
        <v>0</v>
      </c>
      <c r="CU25" s="1758">
        <f t="shared" si="13"/>
        <v>0</v>
      </c>
      <c r="CV25" s="1759">
        <f t="shared" si="14"/>
        <v>0</v>
      </c>
      <c r="CW25" s="1759">
        <f t="shared" si="15"/>
        <v>0</v>
      </c>
      <c r="CX25" s="1759">
        <f t="shared" si="16"/>
        <v>0</v>
      </c>
      <c r="CY25" s="1759">
        <f t="shared" si="17"/>
        <v>0</v>
      </c>
      <c r="CZ25" s="1759">
        <f t="shared" si="18"/>
        <v>0</v>
      </c>
      <c r="DA25" s="1760">
        <f t="shared" si="19"/>
        <v>0</v>
      </c>
      <c r="DB25" s="1774">
        <f t="shared" si="20"/>
        <v>0</v>
      </c>
      <c r="DC25" s="1759">
        <f t="shared" si="21"/>
        <v>0</v>
      </c>
      <c r="DD25" s="1762">
        <f t="shared" si="22"/>
        <v>0</v>
      </c>
      <c r="DE25" s="1775">
        <f t="shared" si="23"/>
        <v>0</v>
      </c>
      <c r="DF25" s="1761">
        <f t="shared" si="24"/>
        <v>0</v>
      </c>
      <c r="DG25" s="1762">
        <f t="shared" si="25"/>
        <v>0</v>
      </c>
      <c r="DH25" s="1761">
        <f t="shared" si="26"/>
        <v>0</v>
      </c>
      <c r="DI25" s="1761">
        <f t="shared" si="27"/>
        <v>0</v>
      </c>
      <c r="DJ25" s="1761">
        <f t="shared" si="28"/>
        <v>0</v>
      </c>
      <c r="DK25" s="1761">
        <f t="shared" si="29"/>
        <v>0</v>
      </c>
      <c r="DL25" s="1762">
        <f t="shared" si="30"/>
        <v>0</v>
      </c>
      <c r="DM25" s="1762">
        <f t="shared" si="31"/>
        <v>0</v>
      </c>
      <c r="DN25" s="1776">
        <f t="shared" si="32"/>
        <v>0</v>
      </c>
      <c r="DO25" s="1761">
        <f t="shared" si="33"/>
        <v>0</v>
      </c>
      <c r="DP25" s="1761">
        <f t="shared" si="34"/>
        <v>0</v>
      </c>
      <c r="DQ25" s="1762">
        <f t="shared" si="35"/>
        <v>-220</v>
      </c>
      <c r="DR25" s="1776">
        <f t="shared" si="36"/>
        <v>-4.0039999999999978</v>
      </c>
      <c r="DS25" s="1774">
        <f t="shared" si="37"/>
        <v>0</v>
      </c>
      <c r="DT25" s="1762">
        <f t="shared" si="38"/>
        <v>0</v>
      </c>
      <c r="DU25" s="1762">
        <f t="shared" si="39"/>
        <v>0</v>
      </c>
      <c r="DV25" s="1762" t="e">
        <f t="shared" si="40"/>
        <v>#VALUE!</v>
      </c>
      <c r="DW25" s="1762" t="e">
        <f t="shared" si="41"/>
        <v>#VALUE!</v>
      </c>
      <c r="DX25" s="1762" t="e">
        <f t="shared" si="42"/>
        <v>#VALUE!</v>
      </c>
      <c r="DY25" s="1762">
        <f t="shared" si="43"/>
        <v>0</v>
      </c>
      <c r="DZ25" s="1762">
        <f t="shared" si="44"/>
        <v>0</v>
      </c>
      <c r="EA25" s="1776">
        <f t="shared" si="45"/>
        <v>0</v>
      </c>
      <c r="EB25" s="1762">
        <f t="shared" si="2"/>
        <v>0</v>
      </c>
      <c r="EC25" s="1762">
        <f t="shared" si="3"/>
        <v>0</v>
      </c>
      <c r="ED25" s="1762">
        <f t="shared" si="4"/>
        <v>0</v>
      </c>
      <c r="EE25" s="1762">
        <f t="shared" si="5"/>
        <v>0</v>
      </c>
      <c r="EF25" s="1762">
        <f t="shared" si="6"/>
        <v>-300</v>
      </c>
      <c r="EG25" s="1776">
        <f t="shared" si="7"/>
        <v>-38.398909673781759</v>
      </c>
      <c r="EH25" s="1759">
        <f t="shared" si="8"/>
        <v>0</v>
      </c>
      <c r="EI25" s="1762">
        <f t="shared" si="9"/>
        <v>0</v>
      </c>
      <c r="EJ25" s="1776">
        <f t="shared" si="10"/>
        <v>0</v>
      </c>
    </row>
    <row r="26" spans="1:140">
      <c r="A26" s="889">
        <f>Eingabedaten!A30</f>
        <v>7.1</v>
      </c>
      <c r="B26" s="1013" t="str">
        <f>Eingabedaten!C30</f>
        <v>Vorstellungsraum</v>
      </c>
      <c r="C26" s="1719"/>
      <c r="D26" s="873"/>
      <c r="E26" s="873"/>
      <c r="F26" s="912"/>
      <c r="G26" s="913"/>
      <c r="H26" s="913"/>
      <c r="I26" s="913"/>
      <c r="J26" s="913"/>
      <c r="K26" s="913"/>
      <c r="L26" s="1767"/>
      <c r="M26" s="1040">
        <v>3</v>
      </c>
      <c r="N26" s="913">
        <v>2300</v>
      </c>
      <c r="O26" s="915">
        <v>6.9</v>
      </c>
      <c r="P26" s="1768"/>
      <c r="Q26" s="914"/>
      <c r="R26" s="915">
        <v>45.1</v>
      </c>
      <c r="S26" s="914">
        <v>0.76923076923076927</v>
      </c>
      <c r="T26" s="914">
        <v>10.809312638580931</v>
      </c>
      <c r="U26" s="914">
        <v>0</v>
      </c>
      <c r="V26" s="914">
        <v>10.809312638580931</v>
      </c>
      <c r="W26" s="915">
        <v>3000</v>
      </c>
      <c r="X26" s="915">
        <v>0</v>
      </c>
      <c r="Y26" s="1041">
        <v>32.427937915742795</v>
      </c>
      <c r="Z26" s="914">
        <v>12</v>
      </c>
      <c r="AA26" s="914">
        <v>10.92</v>
      </c>
      <c r="AB26" s="915">
        <v>1820</v>
      </c>
      <c r="AC26" s="1041">
        <v>19.874400000000001</v>
      </c>
      <c r="AD26" s="1040">
        <v>18.618352941176468</v>
      </c>
      <c r="AE26" s="915">
        <v>37.109312638580931</v>
      </c>
      <c r="AF26" s="915">
        <v>333.19175166297117</v>
      </c>
      <c r="AG26" s="915" t="s">
        <v>18</v>
      </c>
      <c r="AH26" s="915" t="s">
        <v>18</v>
      </c>
      <c r="AI26" s="915" t="s">
        <v>18</v>
      </c>
      <c r="AJ26" s="915">
        <v>42</v>
      </c>
      <c r="AK26" s="915">
        <v>50</v>
      </c>
      <c r="AL26" s="1041">
        <v>1.9337</v>
      </c>
      <c r="AM26" s="915">
        <v>1241.2235294117647</v>
      </c>
      <c r="AN26" s="915">
        <v>35.900060661207156</v>
      </c>
      <c r="AO26" s="915">
        <v>-3</v>
      </c>
      <c r="AP26" s="915">
        <v>99.297882352941173</v>
      </c>
      <c r="AQ26" s="915">
        <v>1430</v>
      </c>
      <c r="AR26" s="1041">
        <v>141.51370359135711</v>
      </c>
      <c r="AS26" s="913"/>
      <c r="AT26" s="915"/>
      <c r="AU26" s="1041">
        <v>7.2616000000000014</v>
      </c>
      <c r="AX26" s="1719"/>
      <c r="AY26" s="873"/>
      <c r="AZ26" s="873"/>
      <c r="BA26" s="912"/>
      <c r="BB26" s="913"/>
      <c r="BC26" s="913"/>
      <c r="BD26" s="913"/>
      <c r="BE26" s="913"/>
      <c r="BF26" s="913"/>
      <c r="BG26" s="1767"/>
      <c r="BH26" s="1040">
        <v>3</v>
      </c>
      <c r="BI26" s="913">
        <v>2300</v>
      </c>
      <c r="BJ26" s="915">
        <v>6.9</v>
      </c>
      <c r="BK26" s="1768"/>
      <c r="BL26" s="914"/>
      <c r="BM26" s="915">
        <v>45.1</v>
      </c>
      <c r="BN26" s="914">
        <v>0.76923076923076927</v>
      </c>
      <c r="BO26" s="914">
        <v>10.809312638580931</v>
      </c>
      <c r="BP26" s="914">
        <v>0</v>
      </c>
      <c r="BQ26" s="914">
        <v>10.809312638580931</v>
      </c>
      <c r="BR26" s="915">
        <v>3000</v>
      </c>
      <c r="BS26" s="915">
        <v>0</v>
      </c>
      <c r="BT26" s="1041">
        <v>32.427937915742795</v>
      </c>
      <c r="BU26" s="914">
        <v>12</v>
      </c>
      <c r="BV26" s="914">
        <v>10.92</v>
      </c>
      <c r="BW26" s="915">
        <v>1730</v>
      </c>
      <c r="BX26" s="1041">
        <v>18.891599999999997</v>
      </c>
      <c r="BY26" s="1040">
        <v>18.618352941176468</v>
      </c>
      <c r="BZ26" s="915">
        <v>37.109312638580931</v>
      </c>
      <c r="CA26" s="915">
        <v>333.19175166297117</v>
      </c>
      <c r="CB26" s="915" t="s">
        <v>18</v>
      </c>
      <c r="CC26" s="915" t="s">
        <v>18</v>
      </c>
      <c r="CD26" s="915" t="s">
        <v>18</v>
      </c>
      <c r="CE26" s="915">
        <v>42</v>
      </c>
      <c r="CF26" s="915">
        <v>50</v>
      </c>
      <c r="CG26" s="1041">
        <v>1.9337</v>
      </c>
      <c r="CH26" s="915">
        <v>1241.2235294117647</v>
      </c>
      <c r="CI26" s="915">
        <v>35.900060661207156</v>
      </c>
      <c r="CJ26" s="915">
        <v>-3</v>
      </c>
      <c r="CK26" s="915">
        <v>99.297882352941173</v>
      </c>
      <c r="CL26" s="915">
        <v>1600</v>
      </c>
      <c r="CM26" s="1041">
        <v>158.66937928988193</v>
      </c>
      <c r="CN26" s="913"/>
      <c r="CO26" s="915"/>
      <c r="CP26" s="1041">
        <v>7.2616000000000014</v>
      </c>
      <c r="CR26" s="1719">
        <f t="shared" si="1"/>
        <v>0</v>
      </c>
      <c r="CS26" s="873">
        <f t="shared" si="11"/>
        <v>0</v>
      </c>
      <c r="CT26" s="873">
        <f t="shared" si="12"/>
        <v>0</v>
      </c>
      <c r="CU26" s="912">
        <f t="shared" si="13"/>
        <v>0</v>
      </c>
      <c r="CV26" s="913">
        <f t="shared" si="14"/>
        <v>0</v>
      </c>
      <c r="CW26" s="913">
        <f t="shared" si="15"/>
        <v>0</v>
      </c>
      <c r="CX26" s="913">
        <f t="shared" si="16"/>
        <v>0</v>
      </c>
      <c r="CY26" s="913">
        <f t="shared" si="17"/>
        <v>0</v>
      </c>
      <c r="CZ26" s="913">
        <f t="shared" si="18"/>
        <v>0</v>
      </c>
      <c r="DA26" s="1767">
        <f t="shared" si="19"/>
        <v>0</v>
      </c>
      <c r="DB26" s="1040">
        <f t="shared" si="20"/>
        <v>0</v>
      </c>
      <c r="DC26" s="913">
        <f t="shared" si="21"/>
        <v>0</v>
      </c>
      <c r="DD26" s="915">
        <f t="shared" si="22"/>
        <v>0</v>
      </c>
      <c r="DE26" s="1768">
        <f t="shared" si="23"/>
        <v>0</v>
      </c>
      <c r="DF26" s="914">
        <f t="shared" si="24"/>
        <v>0</v>
      </c>
      <c r="DG26" s="915">
        <f t="shared" si="25"/>
        <v>0</v>
      </c>
      <c r="DH26" s="914">
        <f t="shared" si="26"/>
        <v>0</v>
      </c>
      <c r="DI26" s="914">
        <f t="shared" si="27"/>
        <v>0</v>
      </c>
      <c r="DJ26" s="914">
        <f t="shared" si="28"/>
        <v>0</v>
      </c>
      <c r="DK26" s="914">
        <f t="shared" si="29"/>
        <v>0</v>
      </c>
      <c r="DL26" s="915">
        <f t="shared" si="30"/>
        <v>0</v>
      </c>
      <c r="DM26" s="915">
        <f t="shared" si="31"/>
        <v>0</v>
      </c>
      <c r="DN26" s="1041">
        <f t="shared" si="32"/>
        <v>0</v>
      </c>
      <c r="DO26" s="914">
        <f t="shared" si="33"/>
        <v>0</v>
      </c>
      <c r="DP26" s="914">
        <f t="shared" si="34"/>
        <v>0</v>
      </c>
      <c r="DQ26" s="915">
        <f t="shared" si="35"/>
        <v>90</v>
      </c>
      <c r="DR26" s="1041">
        <f t="shared" si="36"/>
        <v>0.98280000000000456</v>
      </c>
      <c r="DS26" s="1040">
        <f t="shared" si="37"/>
        <v>0</v>
      </c>
      <c r="DT26" s="915">
        <f t="shared" si="38"/>
        <v>0</v>
      </c>
      <c r="DU26" s="915">
        <f t="shared" si="39"/>
        <v>0</v>
      </c>
      <c r="DV26" s="915" t="e">
        <f t="shared" si="40"/>
        <v>#VALUE!</v>
      </c>
      <c r="DW26" s="915" t="e">
        <f t="shared" si="41"/>
        <v>#VALUE!</v>
      </c>
      <c r="DX26" s="915" t="e">
        <f t="shared" si="42"/>
        <v>#VALUE!</v>
      </c>
      <c r="DY26" s="915">
        <f t="shared" si="43"/>
        <v>0</v>
      </c>
      <c r="DZ26" s="915">
        <f t="shared" si="44"/>
        <v>0</v>
      </c>
      <c r="EA26" s="1041">
        <f t="shared" si="45"/>
        <v>0</v>
      </c>
      <c r="EB26" s="915">
        <f t="shared" si="2"/>
        <v>0</v>
      </c>
      <c r="EC26" s="915">
        <f t="shared" si="3"/>
        <v>0</v>
      </c>
      <c r="ED26" s="915">
        <f t="shared" si="4"/>
        <v>0</v>
      </c>
      <c r="EE26" s="915">
        <f t="shared" si="5"/>
        <v>0</v>
      </c>
      <c r="EF26" s="915">
        <f t="shared" si="6"/>
        <v>-170</v>
      </c>
      <c r="EG26" s="1041">
        <f t="shared" si="7"/>
        <v>-17.155675698524817</v>
      </c>
      <c r="EH26" s="913">
        <f t="shared" si="8"/>
        <v>0</v>
      </c>
      <c r="EI26" s="915">
        <f t="shared" si="9"/>
        <v>0</v>
      </c>
      <c r="EJ26" s="1041">
        <f t="shared" si="10"/>
        <v>0</v>
      </c>
    </row>
    <row r="27" spans="1:140">
      <c r="A27" s="889">
        <f>Eingabedaten!A31</f>
        <v>7.2</v>
      </c>
      <c r="B27" s="1013" t="str">
        <f>Eingabedaten!C31</f>
        <v>Mehrzweckhalle</v>
      </c>
      <c r="C27" s="1719"/>
      <c r="D27" s="873"/>
      <c r="E27" s="873"/>
      <c r="F27" s="912"/>
      <c r="G27" s="913"/>
      <c r="H27" s="913"/>
      <c r="I27" s="913"/>
      <c r="J27" s="913"/>
      <c r="K27" s="913"/>
      <c r="L27" s="1767"/>
      <c r="M27" s="1040">
        <v>6</v>
      </c>
      <c r="N27" s="913">
        <v>2900</v>
      </c>
      <c r="O27" s="915">
        <v>17.399999999999999</v>
      </c>
      <c r="P27" s="1768"/>
      <c r="Q27" s="914"/>
      <c r="R27" s="915">
        <v>45.1</v>
      </c>
      <c r="S27" s="914">
        <v>0.76923076923076927</v>
      </c>
      <c r="T27" s="914">
        <v>10.809312638580931</v>
      </c>
      <c r="U27" s="914">
        <v>0</v>
      </c>
      <c r="V27" s="914">
        <v>10.809312638580931</v>
      </c>
      <c r="W27" s="915">
        <v>2770</v>
      </c>
      <c r="X27" s="915">
        <v>0</v>
      </c>
      <c r="Y27" s="1041">
        <v>29.941796008869179</v>
      </c>
      <c r="Z27" s="914">
        <v>12</v>
      </c>
      <c r="AA27" s="914">
        <v>10.92</v>
      </c>
      <c r="AB27" s="915">
        <v>2580</v>
      </c>
      <c r="AC27" s="1041">
        <v>28.173599999999997</v>
      </c>
      <c r="AD27" s="1040">
        <v>40.86188235294118</v>
      </c>
      <c r="AE27" s="915">
        <v>40.109312638580931</v>
      </c>
      <c r="AF27" s="915">
        <v>357.52491912551994</v>
      </c>
      <c r="AG27" s="915" t="s">
        <v>18</v>
      </c>
      <c r="AH27" s="915" t="s">
        <v>18</v>
      </c>
      <c r="AI27" s="915" t="s">
        <v>18</v>
      </c>
      <c r="AJ27" s="915">
        <v>52</v>
      </c>
      <c r="AK27" s="915">
        <v>140</v>
      </c>
      <c r="AL27" s="1041">
        <v>7.0721249999999998</v>
      </c>
      <c r="AM27" s="915">
        <v>1325.7725490196081</v>
      </c>
      <c r="AN27" s="915">
        <v>31.921010908918806</v>
      </c>
      <c r="AO27" s="915">
        <v>-3</v>
      </c>
      <c r="AP27" s="915">
        <v>106.06180392156864</v>
      </c>
      <c r="AQ27" s="915">
        <v>1240</v>
      </c>
      <c r="AR27" s="1041">
        <v>131.04298757965375</v>
      </c>
      <c r="AS27" s="913"/>
      <c r="AT27" s="915"/>
      <c r="AU27" s="1041">
        <v>7.2616000000000014</v>
      </c>
      <c r="AX27" s="1719"/>
      <c r="AY27" s="873"/>
      <c r="AZ27" s="873"/>
      <c r="BA27" s="912"/>
      <c r="BB27" s="913"/>
      <c r="BC27" s="913"/>
      <c r="BD27" s="913"/>
      <c r="BE27" s="913"/>
      <c r="BF27" s="913"/>
      <c r="BG27" s="1767"/>
      <c r="BH27" s="1040">
        <v>6</v>
      </c>
      <c r="BI27" s="913">
        <v>2900</v>
      </c>
      <c r="BJ27" s="915">
        <v>17.399999999999999</v>
      </c>
      <c r="BK27" s="1768"/>
      <c r="BL27" s="914"/>
      <c r="BM27" s="915">
        <v>45.1</v>
      </c>
      <c r="BN27" s="914">
        <v>0.76923076923076927</v>
      </c>
      <c r="BO27" s="914">
        <v>10.809312638580931</v>
      </c>
      <c r="BP27" s="914">
        <v>0</v>
      </c>
      <c r="BQ27" s="914">
        <v>10.809312638580931</v>
      </c>
      <c r="BR27" s="915">
        <v>2770</v>
      </c>
      <c r="BS27" s="915">
        <v>0</v>
      </c>
      <c r="BT27" s="1041">
        <v>29.941796008869179</v>
      </c>
      <c r="BU27" s="914">
        <v>12</v>
      </c>
      <c r="BV27" s="914">
        <v>10.92</v>
      </c>
      <c r="BW27" s="915">
        <v>2570</v>
      </c>
      <c r="BX27" s="1041">
        <v>28.064400000000003</v>
      </c>
      <c r="BY27" s="1040">
        <v>40.86188235294118</v>
      </c>
      <c r="BZ27" s="915">
        <v>40.109312638580931</v>
      </c>
      <c r="CA27" s="915">
        <v>357.52491912551994</v>
      </c>
      <c r="CB27" s="915" t="s">
        <v>18</v>
      </c>
      <c r="CC27" s="915" t="s">
        <v>18</v>
      </c>
      <c r="CD27" s="915" t="s">
        <v>18</v>
      </c>
      <c r="CE27" s="915">
        <v>52</v>
      </c>
      <c r="CF27" s="915">
        <v>140</v>
      </c>
      <c r="CG27" s="1041">
        <v>7.0721249999999998</v>
      </c>
      <c r="CH27" s="915">
        <v>1325.7725490196081</v>
      </c>
      <c r="CI27" s="915">
        <v>31.921010908918806</v>
      </c>
      <c r="CJ27" s="915">
        <v>-3</v>
      </c>
      <c r="CK27" s="915">
        <v>106.06180392156864</v>
      </c>
      <c r="CL27" s="915">
        <v>1480</v>
      </c>
      <c r="CM27" s="1041">
        <v>157.29049107610962</v>
      </c>
      <c r="CN27" s="913"/>
      <c r="CO27" s="915"/>
      <c r="CP27" s="1041">
        <v>7.2616000000000014</v>
      </c>
      <c r="CR27" s="1719">
        <f t="shared" si="1"/>
        <v>0</v>
      </c>
      <c r="CS27" s="873">
        <f t="shared" si="11"/>
        <v>0</v>
      </c>
      <c r="CT27" s="873">
        <f t="shared" si="12"/>
        <v>0</v>
      </c>
      <c r="CU27" s="912">
        <f t="shared" si="13"/>
        <v>0</v>
      </c>
      <c r="CV27" s="913">
        <f t="shared" si="14"/>
        <v>0</v>
      </c>
      <c r="CW27" s="913">
        <f t="shared" si="15"/>
        <v>0</v>
      </c>
      <c r="CX27" s="913">
        <f t="shared" si="16"/>
        <v>0</v>
      </c>
      <c r="CY27" s="913">
        <f t="shared" si="17"/>
        <v>0</v>
      </c>
      <c r="CZ27" s="913">
        <f t="shared" si="18"/>
        <v>0</v>
      </c>
      <c r="DA27" s="1767">
        <f t="shared" si="19"/>
        <v>0</v>
      </c>
      <c r="DB27" s="1040">
        <f t="shared" si="20"/>
        <v>0</v>
      </c>
      <c r="DC27" s="913">
        <f t="shared" si="21"/>
        <v>0</v>
      </c>
      <c r="DD27" s="915">
        <f t="shared" si="22"/>
        <v>0</v>
      </c>
      <c r="DE27" s="1768">
        <f t="shared" si="23"/>
        <v>0</v>
      </c>
      <c r="DF27" s="914">
        <f t="shared" si="24"/>
        <v>0</v>
      </c>
      <c r="DG27" s="915">
        <f t="shared" si="25"/>
        <v>0</v>
      </c>
      <c r="DH27" s="914">
        <f t="shared" si="26"/>
        <v>0</v>
      </c>
      <c r="DI27" s="914">
        <f t="shared" si="27"/>
        <v>0</v>
      </c>
      <c r="DJ27" s="914">
        <f t="shared" si="28"/>
        <v>0</v>
      </c>
      <c r="DK27" s="914">
        <f t="shared" si="29"/>
        <v>0</v>
      </c>
      <c r="DL27" s="915">
        <f t="shared" si="30"/>
        <v>0</v>
      </c>
      <c r="DM27" s="915">
        <f t="shared" si="31"/>
        <v>0</v>
      </c>
      <c r="DN27" s="1041">
        <f t="shared" si="32"/>
        <v>0</v>
      </c>
      <c r="DO27" s="914">
        <f t="shared" si="33"/>
        <v>0</v>
      </c>
      <c r="DP27" s="914">
        <f t="shared" si="34"/>
        <v>0</v>
      </c>
      <c r="DQ27" s="915">
        <f t="shared" si="35"/>
        <v>10</v>
      </c>
      <c r="DR27" s="1041">
        <f t="shared" si="36"/>
        <v>0.10919999999999419</v>
      </c>
      <c r="DS27" s="1040">
        <f t="shared" si="37"/>
        <v>0</v>
      </c>
      <c r="DT27" s="915">
        <f t="shared" si="38"/>
        <v>0</v>
      </c>
      <c r="DU27" s="915">
        <f t="shared" si="39"/>
        <v>0</v>
      </c>
      <c r="DV27" s="915" t="e">
        <f t="shared" si="40"/>
        <v>#VALUE!</v>
      </c>
      <c r="DW27" s="915" t="e">
        <f t="shared" si="41"/>
        <v>#VALUE!</v>
      </c>
      <c r="DX27" s="915" t="e">
        <f t="shared" si="42"/>
        <v>#VALUE!</v>
      </c>
      <c r="DY27" s="915">
        <f t="shared" si="43"/>
        <v>0</v>
      </c>
      <c r="DZ27" s="915">
        <f t="shared" si="44"/>
        <v>0</v>
      </c>
      <c r="EA27" s="1041">
        <f t="shared" si="45"/>
        <v>0</v>
      </c>
      <c r="EB27" s="915">
        <f t="shared" si="2"/>
        <v>0</v>
      </c>
      <c r="EC27" s="915">
        <f t="shared" si="3"/>
        <v>0</v>
      </c>
      <c r="ED27" s="915">
        <f t="shared" si="4"/>
        <v>0</v>
      </c>
      <c r="EE27" s="915">
        <f t="shared" si="5"/>
        <v>0</v>
      </c>
      <c r="EF27" s="915">
        <f t="shared" si="6"/>
        <v>-240</v>
      </c>
      <c r="EG27" s="1041">
        <f t="shared" si="7"/>
        <v>-26.247503496455863</v>
      </c>
      <c r="EH27" s="913">
        <f t="shared" si="8"/>
        <v>0</v>
      </c>
      <c r="EI27" s="915">
        <f t="shared" si="9"/>
        <v>0</v>
      </c>
      <c r="EJ27" s="1041">
        <f t="shared" si="10"/>
        <v>0</v>
      </c>
    </row>
    <row r="28" spans="1:140">
      <c r="A28" s="889">
        <f>Eingabedaten!A32</f>
        <v>7.3</v>
      </c>
      <c r="B28" s="1013" t="str">
        <f>Eingabedaten!C32</f>
        <v>Ausstellungshalle</v>
      </c>
      <c r="C28" s="1719"/>
      <c r="D28" s="873"/>
      <c r="E28" s="873"/>
      <c r="F28" s="912"/>
      <c r="G28" s="913"/>
      <c r="H28" s="913"/>
      <c r="I28" s="913"/>
      <c r="J28" s="913"/>
      <c r="K28" s="913"/>
      <c r="L28" s="1767"/>
      <c r="M28" s="1040">
        <v>15</v>
      </c>
      <c r="N28" s="913">
        <v>2900</v>
      </c>
      <c r="O28" s="915">
        <v>43.5</v>
      </c>
      <c r="P28" s="1768"/>
      <c r="Q28" s="914"/>
      <c r="R28" s="915">
        <v>45.1</v>
      </c>
      <c r="S28" s="914">
        <v>0.76923076923076927</v>
      </c>
      <c r="T28" s="914">
        <v>10.809312638580931</v>
      </c>
      <c r="U28" s="914">
        <v>0</v>
      </c>
      <c r="V28" s="914">
        <v>10.809312638580931</v>
      </c>
      <c r="W28" s="915">
        <v>2770</v>
      </c>
      <c r="X28" s="915">
        <v>0</v>
      </c>
      <c r="Y28" s="1041">
        <v>29.941796008869179</v>
      </c>
      <c r="Z28" s="914">
        <v>12</v>
      </c>
      <c r="AA28" s="914">
        <v>10.92</v>
      </c>
      <c r="AB28" s="915">
        <v>2580</v>
      </c>
      <c r="AC28" s="1041">
        <v>28.173599999999997</v>
      </c>
      <c r="AD28" s="1040">
        <v>40.86188235294118</v>
      </c>
      <c r="AE28" s="915">
        <v>49.109312638580931</v>
      </c>
      <c r="AF28" s="915">
        <v>458.32491912551995</v>
      </c>
      <c r="AG28" s="915" t="s">
        <v>18</v>
      </c>
      <c r="AH28" s="915" t="s">
        <v>18</v>
      </c>
      <c r="AI28" s="915" t="s">
        <v>18</v>
      </c>
      <c r="AJ28" s="915">
        <v>60</v>
      </c>
      <c r="AK28" s="915">
        <v>200</v>
      </c>
      <c r="AL28" s="1041">
        <v>12.175750000000001</v>
      </c>
      <c r="AM28" s="915">
        <v>1325.7725490196081</v>
      </c>
      <c r="AN28" s="915">
        <v>31.921010908918806</v>
      </c>
      <c r="AO28" s="915">
        <v>-3</v>
      </c>
      <c r="AP28" s="915">
        <v>106.06180392156864</v>
      </c>
      <c r="AQ28" s="915">
        <v>1110</v>
      </c>
      <c r="AR28" s="1041">
        <v>117.60867912177237</v>
      </c>
      <c r="AS28" s="913"/>
      <c r="AT28" s="915"/>
      <c r="AU28" s="1041">
        <v>7.2616000000000014</v>
      </c>
      <c r="AX28" s="1719"/>
      <c r="AY28" s="873"/>
      <c r="AZ28" s="873"/>
      <c r="BA28" s="912"/>
      <c r="BB28" s="913"/>
      <c r="BC28" s="913"/>
      <c r="BD28" s="913"/>
      <c r="BE28" s="913"/>
      <c r="BF28" s="913"/>
      <c r="BG28" s="1767"/>
      <c r="BH28" s="1040">
        <v>15</v>
      </c>
      <c r="BI28" s="913">
        <v>2900</v>
      </c>
      <c r="BJ28" s="915">
        <v>43.5</v>
      </c>
      <c r="BK28" s="1768"/>
      <c r="BL28" s="914"/>
      <c r="BM28" s="915">
        <v>45.1</v>
      </c>
      <c r="BN28" s="914">
        <v>0.76923076923076927</v>
      </c>
      <c r="BO28" s="914">
        <v>10.809312638580931</v>
      </c>
      <c r="BP28" s="914">
        <v>0</v>
      </c>
      <c r="BQ28" s="914">
        <v>10.809312638580931</v>
      </c>
      <c r="BR28" s="915">
        <v>2770</v>
      </c>
      <c r="BS28" s="915">
        <v>0</v>
      </c>
      <c r="BT28" s="1041">
        <v>29.941796008869179</v>
      </c>
      <c r="BU28" s="914">
        <v>12</v>
      </c>
      <c r="BV28" s="914">
        <v>10.92</v>
      </c>
      <c r="BW28" s="915">
        <v>2570</v>
      </c>
      <c r="BX28" s="1041">
        <v>28.064400000000003</v>
      </c>
      <c r="BY28" s="1040">
        <v>40.86188235294118</v>
      </c>
      <c r="BZ28" s="915">
        <v>49.109312638580931</v>
      </c>
      <c r="CA28" s="915">
        <v>458.32491912551995</v>
      </c>
      <c r="CB28" s="915" t="s">
        <v>18</v>
      </c>
      <c r="CC28" s="915" t="s">
        <v>18</v>
      </c>
      <c r="CD28" s="915" t="s">
        <v>18</v>
      </c>
      <c r="CE28" s="915">
        <v>60</v>
      </c>
      <c r="CF28" s="915">
        <v>200</v>
      </c>
      <c r="CG28" s="1041">
        <v>12.175750000000001</v>
      </c>
      <c r="CH28" s="915">
        <v>1325.7725490196081</v>
      </c>
      <c r="CI28" s="915">
        <v>31.921010908918806</v>
      </c>
      <c r="CJ28" s="915">
        <v>-3</v>
      </c>
      <c r="CK28" s="915">
        <v>106.06180392156864</v>
      </c>
      <c r="CL28" s="915">
        <v>1380</v>
      </c>
      <c r="CM28" s="1041">
        <v>146.61948555537373</v>
      </c>
      <c r="CN28" s="913"/>
      <c r="CO28" s="915"/>
      <c r="CP28" s="1041">
        <v>7.2616000000000014</v>
      </c>
      <c r="CR28" s="1719">
        <f t="shared" si="1"/>
        <v>0</v>
      </c>
      <c r="CS28" s="873">
        <f t="shared" si="11"/>
        <v>0</v>
      </c>
      <c r="CT28" s="873">
        <f t="shared" si="12"/>
        <v>0</v>
      </c>
      <c r="CU28" s="912">
        <f t="shared" si="13"/>
        <v>0</v>
      </c>
      <c r="CV28" s="913">
        <f t="shared" si="14"/>
        <v>0</v>
      </c>
      <c r="CW28" s="913">
        <f t="shared" si="15"/>
        <v>0</v>
      </c>
      <c r="CX28" s="913">
        <f t="shared" si="16"/>
        <v>0</v>
      </c>
      <c r="CY28" s="913">
        <f t="shared" si="17"/>
        <v>0</v>
      </c>
      <c r="CZ28" s="913">
        <f t="shared" si="18"/>
        <v>0</v>
      </c>
      <c r="DA28" s="1767">
        <f t="shared" si="19"/>
        <v>0</v>
      </c>
      <c r="DB28" s="1040">
        <f t="shared" si="20"/>
        <v>0</v>
      </c>
      <c r="DC28" s="913">
        <f t="shared" si="21"/>
        <v>0</v>
      </c>
      <c r="DD28" s="915">
        <f t="shared" si="22"/>
        <v>0</v>
      </c>
      <c r="DE28" s="1768">
        <f t="shared" si="23"/>
        <v>0</v>
      </c>
      <c r="DF28" s="914">
        <f t="shared" si="24"/>
        <v>0</v>
      </c>
      <c r="DG28" s="915">
        <f t="shared" si="25"/>
        <v>0</v>
      </c>
      <c r="DH28" s="914">
        <f t="shared" si="26"/>
        <v>0</v>
      </c>
      <c r="DI28" s="914">
        <f t="shared" si="27"/>
        <v>0</v>
      </c>
      <c r="DJ28" s="914">
        <f t="shared" si="28"/>
        <v>0</v>
      </c>
      <c r="DK28" s="914">
        <f t="shared" si="29"/>
        <v>0</v>
      </c>
      <c r="DL28" s="915">
        <f t="shared" si="30"/>
        <v>0</v>
      </c>
      <c r="DM28" s="915">
        <f t="shared" si="31"/>
        <v>0</v>
      </c>
      <c r="DN28" s="1041">
        <f t="shared" si="32"/>
        <v>0</v>
      </c>
      <c r="DO28" s="914">
        <f t="shared" si="33"/>
        <v>0</v>
      </c>
      <c r="DP28" s="914">
        <f t="shared" si="34"/>
        <v>0</v>
      </c>
      <c r="DQ28" s="915">
        <f t="shared" si="35"/>
        <v>10</v>
      </c>
      <c r="DR28" s="1041">
        <f t="shared" si="36"/>
        <v>0.10919999999999419</v>
      </c>
      <c r="DS28" s="1040">
        <f t="shared" si="37"/>
        <v>0</v>
      </c>
      <c r="DT28" s="915">
        <f t="shared" si="38"/>
        <v>0</v>
      </c>
      <c r="DU28" s="915">
        <f t="shared" si="39"/>
        <v>0</v>
      </c>
      <c r="DV28" s="915" t="e">
        <f t="shared" si="40"/>
        <v>#VALUE!</v>
      </c>
      <c r="DW28" s="915" t="e">
        <f t="shared" si="41"/>
        <v>#VALUE!</v>
      </c>
      <c r="DX28" s="915" t="e">
        <f t="shared" si="42"/>
        <v>#VALUE!</v>
      </c>
      <c r="DY28" s="915">
        <f t="shared" si="43"/>
        <v>0</v>
      </c>
      <c r="DZ28" s="915">
        <f t="shared" si="44"/>
        <v>0</v>
      </c>
      <c r="EA28" s="1041">
        <f t="shared" si="45"/>
        <v>0</v>
      </c>
      <c r="EB28" s="915">
        <f t="shared" si="2"/>
        <v>0</v>
      </c>
      <c r="EC28" s="915">
        <f t="shared" si="3"/>
        <v>0</v>
      </c>
      <c r="ED28" s="915">
        <f t="shared" si="4"/>
        <v>0</v>
      </c>
      <c r="EE28" s="915">
        <f t="shared" si="5"/>
        <v>0</v>
      </c>
      <c r="EF28" s="915">
        <f t="shared" si="6"/>
        <v>-270</v>
      </c>
      <c r="EG28" s="1041">
        <f t="shared" si="7"/>
        <v>-29.01080643360136</v>
      </c>
      <c r="EH28" s="913">
        <f t="shared" si="8"/>
        <v>0</v>
      </c>
      <c r="EI28" s="915">
        <f t="shared" si="9"/>
        <v>0</v>
      </c>
      <c r="EJ28" s="1041">
        <f t="shared" si="10"/>
        <v>0</v>
      </c>
    </row>
    <row r="29" spans="1:140">
      <c r="A29" s="883">
        <f>Eingabedaten!A33</f>
        <v>8.1</v>
      </c>
      <c r="B29" s="888" t="str">
        <f>Eingabedaten!C33</f>
        <v xml:space="preserve">Bettenzimmer </v>
      </c>
      <c r="C29" s="1777"/>
      <c r="D29" s="884"/>
      <c r="E29" s="884"/>
      <c r="F29" s="908"/>
      <c r="G29" s="909"/>
      <c r="H29" s="909"/>
      <c r="I29" s="909"/>
      <c r="J29" s="909"/>
      <c r="K29" s="909"/>
      <c r="L29" s="1772"/>
      <c r="M29" s="1038">
        <v>6</v>
      </c>
      <c r="N29" s="909">
        <v>1750</v>
      </c>
      <c r="O29" s="911">
        <v>10.5</v>
      </c>
      <c r="P29" s="1773"/>
      <c r="Q29" s="910"/>
      <c r="R29" s="911">
        <v>35.1</v>
      </c>
      <c r="S29" s="910">
        <v>0.78947368421052633</v>
      </c>
      <c r="T29" s="910">
        <v>4.5109211775878437</v>
      </c>
      <c r="U29" s="910">
        <v>0</v>
      </c>
      <c r="V29" s="910">
        <v>4.5109211775878437</v>
      </c>
      <c r="W29" s="911">
        <v>3020</v>
      </c>
      <c r="X29" s="911">
        <v>0</v>
      </c>
      <c r="Y29" s="1039">
        <v>13.622981956315289</v>
      </c>
      <c r="Z29" s="910">
        <v>2.4</v>
      </c>
      <c r="AA29" s="910">
        <v>0</v>
      </c>
      <c r="AB29" s="911">
        <v>0</v>
      </c>
      <c r="AC29" s="1039">
        <v>0</v>
      </c>
      <c r="AD29" s="1038">
        <v>36.840862745098043</v>
      </c>
      <c r="AE29" s="911">
        <v>15.210921177587842</v>
      </c>
      <c r="AF29" s="911">
        <v>173.55810292900239</v>
      </c>
      <c r="AG29" s="911" t="s">
        <v>18</v>
      </c>
      <c r="AH29" s="911" t="s">
        <v>18</v>
      </c>
      <c r="AI29" s="911" t="s">
        <v>18</v>
      </c>
      <c r="AJ29" s="911">
        <v>30</v>
      </c>
      <c r="AK29" s="911">
        <v>230</v>
      </c>
      <c r="AL29" s="1039">
        <v>6.9675000000000002</v>
      </c>
      <c r="AM29" s="911">
        <v>71.221647058823521</v>
      </c>
      <c r="AN29" s="911">
        <v>53.933040846801376</v>
      </c>
      <c r="AO29" s="911">
        <v>-2</v>
      </c>
      <c r="AP29" s="911">
        <v>63.308130718954239</v>
      </c>
      <c r="AQ29" s="911">
        <v>1700</v>
      </c>
      <c r="AR29" s="1039">
        <v>107.47312858915127</v>
      </c>
      <c r="AS29" s="909"/>
      <c r="AT29" s="911"/>
      <c r="AU29" s="1039">
        <v>67.744000000000014</v>
      </c>
      <c r="AX29" s="1777"/>
      <c r="AY29" s="884"/>
      <c r="AZ29" s="884"/>
      <c r="BA29" s="908"/>
      <c r="BB29" s="909"/>
      <c r="BC29" s="909"/>
      <c r="BD29" s="909"/>
      <c r="BE29" s="909"/>
      <c r="BF29" s="909"/>
      <c r="BG29" s="1772"/>
      <c r="BH29" s="1038">
        <v>6</v>
      </c>
      <c r="BI29" s="909">
        <v>1750</v>
      </c>
      <c r="BJ29" s="911">
        <v>10.5</v>
      </c>
      <c r="BK29" s="1773"/>
      <c r="BL29" s="910"/>
      <c r="BM29" s="911">
        <v>35.1</v>
      </c>
      <c r="BN29" s="910">
        <v>0.78947368421052633</v>
      </c>
      <c r="BO29" s="910">
        <v>4.5109211775878437</v>
      </c>
      <c r="BP29" s="910">
        <v>0</v>
      </c>
      <c r="BQ29" s="910">
        <v>4.5109211775878437</v>
      </c>
      <c r="BR29" s="911">
        <v>3020</v>
      </c>
      <c r="BS29" s="911">
        <v>0</v>
      </c>
      <c r="BT29" s="1039">
        <v>13.622981956315289</v>
      </c>
      <c r="BU29" s="910">
        <v>2.4</v>
      </c>
      <c r="BV29" s="910">
        <v>0</v>
      </c>
      <c r="BW29" s="911">
        <v>0</v>
      </c>
      <c r="BX29" s="1039">
        <v>0</v>
      </c>
      <c r="BY29" s="1038">
        <v>36.840862745098043</v>
      </c>
      <c r="BZ29" s="911">
        <v>15.210921177587842</v>
      </c>
      <c r="CA29" s="911">
        <v>173.55810292900239</v>
      </c>
      <c r="CB29" s="911" t="s">
        <v>18</v>
      </c>
      <c r="CC29" s="911" t="s">
        <v>18</v>
      </c>
      <c r="CD29" s="911" t="s">
        <v>18</v>
      </c>
      <c r="CE29" s="911">
        <v>30</v>
      </c>
      <c r="CF29" s="911">
        <v>230</v>
      </c>
      <c r="CG29" s="1039">
        <v>6.9675000000000002</v>
      </c>
      <c r="CH29" s="911">
        <v>71.221647058823521</v>
      </c>
      <c r="CI29" s="911">
        <v>53.933040846801376</v>
      </c>
      <c r="CJ29" s="911">
        <v>-2</v>
      </c>
      <c r="CK29" s="911">
        <v>63.308130718954239</v>
      </c>
      <c r="CL29" s="911">
        <v>1730</v>
      </c>
      <c r="CM29" s="1039">
        <v>109.26804724374223</v>
      </c>
      <c r="CN29" s="909"/>
      <c r="CO29" s="911"/>
      <c r="CP29" s="1039">
        <v>67.744000000000014</v>
      </c>
      <c r="CR29" s="1777">
        <f t="shared" si="1"/>
        <v>0</v>
      </c>
      <c r="CS29" s="884">
        <f t="shared" si="11"/>
        <v>0</v>
      </c>
      <c r="CT29" s="884">
        <f t="shared" si="12"/>
        <v>0</v>
      </c>
      <c r="CU29" s="908">
        <f t="shared" si="13"/>
        <v>0</v>
      </c>
      <c r="CV29" s="909">
        <f t="shared" si="14"/>
        <v>0</v>
      </c>
      <c r="CW29" s="909">
        <f t="shared" si="15"/>
        <v>0</v>
      </c>
      <c r="CX29" s="909">
        <f t="shared" si="16"/>
        <v>0</v>
      </c>
      <c r="CY29" s="909">
        <f t="shared" si="17"/>
        <v>0</v>
      </c>
      <c r="CZ29" s="909">
        <f t="shared" si="18"/>
        <v>0</v>
      </c>
      <c r="DA29" s="1772">
        <f t="shared" si="19"/>
        <v>0</v>
      </c>
      <c r="DB29" s="1038">
        <f t="shared" si="20"/>
        <v>0</v>
      </c>
      <c r="DC29" s="909">
        <f t="shared" si="21"/>
        <v>0</v>
      </c>
      <c r="DD29" s="911">
        <f t="shared" si="22"/>
        <v>0</v>
      </c>
      <c r="DE29" s="1773">
        <f t="shared" si="23"/>
        <v>0</v>
      </c>
      <c r="DF29" s="910">
        <f t="shared" si="24"/>
        <v>0</v>
      </c>
      <c r="DG29" s="911">
        <f t="shared" si="25"/>
        <v>0</v>
      </c>
      <c r="DH29" s="910">
        <f t="shared" si="26"/>
        <v>0</v>
      </c>
      <c r="DI29" s="910">
        <f t="shared" si="27"/>
        <v>0</v>
      </c>
      <c r="DJ29" s="910">
        <f t="shared" si="28"/>
        <v>0</v>
      </c>
      <c r="DK29" s="910">
        <f t="shared" si="29"/>
        <v>0</v>
      </c>
      <c r="DL29" s="911">
        <f t="shared" si="30"/>
        <v>0</v>
      </c>
      <c r="DM29" s="911">
        <f t="shared" si="31"/>
        <v>0</v>
      </c>
      <c r="DN29" s="1039">
        <f t="shared" si="32"/>
        <v>0</v>
      </c>
      <c r="DO29" s="910">
        <f t="shared" si="33"/>
        <v>0</v>
      </c>
      <c r="DP29" s="910">
        <f t="shared" si="34"/>
        <v>0</v>
      </c>
      <c r="DQ29" s="911">
        <f t="shared" si="35"/>
        <v>0</v>
      </c>
      <c r="DR29" s="1039">
        <f t="shared" si="36"/>
        <v>0</v>
      </c>
      <c r="DS29" s="1038">
        <f t="shared" si="37"/>
        <v>0</v>
      </c>
      <c r="DT29" s="911">
        <f t="shared" si="38"/>
        <v>0</v>
      </c>
      <c r="DU29" s="911">
        <f t="shared" si="39"/>
        <v>0</v>
      </c>
      <c r="DV29" s="911" t="e">
        <f t="shared" si="40"/>
        <v>#VALUE!</v>
      </c>
      <c r="DW29" s="911" t="e">
        <f t="shared" si="41"/>
        <v>#VALUE!</v>
      </c>
      <c r="DX29" s="911" t="e">
        <f t="shared" si="42"/>
        <v>#VALUE!</v>
      </c>
      <c r="DY29" s="911">
        <f t="shared" si="43"/>
        <v>0</v>
      </c>
      <c r="DZ29" s="911">
        <f t="shared" si="44"/>
        <v>0</v>
      </c>
      <c r="EA29" s="1039">
        <f t="shared" si="45"/>
        <v>0</v>
      </c>
      <c r="EB29" s="911">
        <f t="shared" si="2"/>
        <v>0</v>
      </c>
      <c r="EC29" s="911">
        <f t="shared" si="3"/>
        <v>0</v>
      </c>
      <c r="ED29" s="911">
        <f t="shared" si="4"/>
        <v>0</v>
      </c>
      <c r="EE29" s="911">
        <f t="shared" si="5"/>
        <v>0</v>
      </c>
      <c r="EF29" s="911">
        <f t="shared" si="6"/>
        <v>-30</v>
      </c>
      <c r="EG29" s="1039">
        <f t="shared" si="7"/>
        <v>-1.7949186545909583</v>
      </c>
      <c r="EH29" s="909">
        <f t="shared" si="8"/>
        <v>0</v>
      </c>
      <c r="EI29" s="911">
        <f t="shared" si="9"/>
        <v>0</v>
      </c>
      <c r="EJ29" s="1039">
        <f t="shared" si="10"/>
        <v>0</v>
      </c>
    </row>
    <row r="30" spans="1:140">
      <c r="A30" s="889">
        <f>Eingabedaten!A34</f>
        <v>8.1999999999999993</v>
      </c>
      <c r="B30" s="1013" t="str">
        <f>Eingabedaten!C34</f>
        <v xml:space="preserve">Stationszimmer </v>
      </c>
      <c r="C30" s="1719"/>
      <c r="D30" s="873"/>
      <c r="E30" s="873"/>
      <c r="F30" s="912"/>
      <c r="G30" s="913"/>
      <c r="H30" s="913"/>
      <c r="I30" s="913"/>
      <c r="J30" s="913"/>
      <c r="K30" s="913"/>
      <c r="L30" s="1767"/>
      <c r="M30" s="1040">
        <v>15</v>
      </c>
      <c r="N30" s="913">
        <v>3150</v>
      </c>
      <c r="O30" s="915">
        <v>47.25</v>
      </c>
      <c r="P30" s="1768"/>
      <c r="Q30" s="914"/>
      <c r="R30" s="915">
        <v>55.1</v>
      </c>
      <c r="S30" s="914">
        <v>0.71428571428571419</v>
      </c>
      <c r="T30" s="914">
        <v>15.880217785843922</v>
      </c>
      <c r="U30" s="914">
        <v>0</v>
      </c>
      <c r="V30" s="914">
        <v>15.880217785843922</v>
      </c>
      <c r="W30" s="915">
        <v>5480</v>
      </c>
      <c r="X30" s="915">
        <v>0</v>
      </c>
      <c r="Y30" s="1041">
        <v>87.0235934664247</v>
      </c>
      <c r="Z30" s="914">
        <v>12</v>
      </c>
      <c r="AA30" s="914">
        <v>0</v>
      </c>
      <c r="AB30" s="915">
        <v>0</v>
      </c>
      <c r="AC30" s="1041">
        <v>0</v>
      </c>
      <c r="AD30" s="1040">
        <v>58.498352941176478</v>
      </c>
      <c r="AE30" s="915">
        <v>54.180217785843922</v>
      </c>
      <c r="AF30" s="915">
        <v>601.10424017622427</v>
      </c>
      <c r="AG30" s="915" t="s">
        <v>18</v>
      </c>
      <c r="AH30" s="915" t="s">
        <v>18</v>
      </c>
      <c r="AI30" s="915" t="s">
        <v>18</v>
      </c>
      <c r="AJ30" s="915">
        <v>65</v>
      </c>
      <c r="AK30" s="915">
        <v>400</v>
      </c>
      <c r="AL30" s="1041">
        <v>25.998333333333335</v>
      </c>
      <c r="AM30" s="915">
        <v>171.2018823529412</v>
      </c>
      <c r="AN30" s="915">
        <v>22.583863838770323</v>
      </c>
      <c r="AO30" s="915">
        <v>-3</v>
      </c>
      <c r="AP30" s="915">
        <v>152.17945098039218</v>
      </c>
      <c r="AQ30" s="915">
        <v>300</v>
      </c>
      <c r="AR30" s="1041">
        <v>44.968805821616463</v>
      </c>
      <c r="AS30" s="913"/>
      <c r="AT30" s="915"/>
      <c r="AU30" s="1041">
        <v>0</v>
      </c>
      <c r="AX30" s="1719"/>
      <c r="AY30" s="873"/>
      <c r="AZ30" s="873"/>
      <c r="BA30" s="912"/>
      <c r="BB30" s="913"/>
      <c r="BC30" s="913"/>
      <c r="BD30" s="913"/>
      <c r="BE30" s="913"/>
      <c r="BF30" s="913"/>
      <c r="BG30" s="1767"/>
      <c r="BH30" s="1040">
        <v>15</v>
      </c>
      <c r="BI30" s="913">
        <v>3150</v>
      </c>
      <c r="BJ30" s="915">
        <v>47.25</v>
      </c>
      <c r="BK30" s="1768"/>
      <c r="BL30" s="914"/>
      <c r="BM30" s="915">
        <v>55.1</v>
      </c>
      <c r="BN30" s="914">
        <v>0.71428571428571419</v>
      </c>
      <c r="BO30" s="914">
        <v>15.880217785843922</v>
      </c>
      <c r="BP30" s="914">
        <v>0</v>
      </c>
      <c r="BQ30" s="914">
        <v>15.880217785843922</v>
      </c>
      <c r="BR30" s="915">
        <v>5480</v>
      </c>
      <c r="BS30" s="915">
        <v>0</v>
      </c>
      <c r="BT30" s="1041">
        <v>87.0235934664247</v>
      </c>
      <c r="BU30" s="914">
        <v>12</v>
      </c>
      <c r="BV30" s="914">
        <v>0</v>
      </c>
      <c r="BW30" s="915">
        <v>0</v>
      </c>
      <c r="BX30" s="1041">
        <v>0</v>
      </c>
      <c r="BY30" s="1040">
        <v>58.498352941176478</v>
      </c>
      <c r="BZ30" s="915">
        <v>54.180217785843922</v>
      </c>
      <c r="CA30" s="915">
        <v>601.10424017622427</v>
      </c>
      <c r="CB30" s="915" t="s">
        <v>18</v>
      </c>
      <c r="CC30" s="915" t="s">
        <v>18</v>
      </c>
      <c r="CD30" s="915" t="s">
        <v>18</v>
      </c>
      <c r="CE30" s="915">
        <v>65</v>
      </c>
      <c r="CF30" s="915">
        <v>400</v>
      </c>
      <c r="CG30" s="1041">
        <v>25.998333333333335</v>
      </c>
      <c r="CH30" s="915">
        <v>171.2018823529412</v>
      </c>
      <c r="CI30" s="915">
        <v>22.583863838770323</v>
      </c>
      <c r="CJ30" s="915">
        <v>-3</v>
      </c>
      <c r="CK30" s="915">
        <v>152.17945098039218</v>
      </c>
      <c r="CL30" s="915">
        <v>490</v>
      </c>
      <c r="CM30" s="1041">
        <v>74.653654031774451</v>
      </c>
      <c r="CN30" s="913"/>
      <c r="CO30" s="915"/>
      <c r="CP30" s="1041">
        <v>0</v>
      </c>
      <c r="CR30" s="1719">
        <f t="shared" si="1"/>
        <v>0</v>
      </c>
      <c r="CS30" s="873">
        <f t="shared" si="11"/>
        <v>0</v>
      </c>
      <c r="CT30" s="873">
        <f t="shared" si="12"/>
        <v>0</v>
      </c>
      <c r="CU30" s="912">
        <f t="shared" si="13"/>
        <v>0</v>
      </c>
      <c r="CV30" s="913">
        <f t="shared" si="14"/>
        <v>0</v>
      </c>
      <c r="CW30" s="913">
        <f t="shared" si="15"/>
        <v>0</v>
      </c>
      <c r="CX30" s="913">
        <f t="shared" si="16"/>
        <v>0</v>
      </c>
      <c r="CY30" s="913">
        <f t="shared" si="17"/>
        <v>0</v>
      </c>
      <c r="CZ30" s="913">
        <f t="shared" si="18"/>
        <v>0</v>
      </c>
      <c r="DA30" s="1767">
        <f t="shared" si="19"/>
        <v>0</v>
      </c>
      <c r="DB30" s="1040">
        <f t="shared" si="20"/>
        <v>0</v>
      </c>
      <c r="DC30" s="913">
        <f t="shared" si="21"/>
        <v>0</v>
      </c>
      <c r="DD30" s="915">
        <f t="shared" si="22"/>
        <v>0</v>
      </c>
      <c r="DE30" s="1768">
        <f t="shared" si="23"/>
        <v>0</v>
      </c>
      <c r="DF30" s="914">
        <f t="shared" si="24"/>
        <v>0</v>
      </c>
      <c r="DG30" s="915">
        <f t="shared" si="25"/>
        <v>0</v>
      </c>
      <c r="DH30" s="914">
        <f t="shared" si="26"/>
        <v>0</v>
      </c>
      <c r="DI30" s="914">
        <f t="shared" si="27"/>
        <v>0</v>
      </c>
      <c r="DJ30" s="914">
        <f t="shared" si="28"/>
        <v>0</v>
      </c>
      <c r="DK30" s="914">
        <f t="shared" si="29"/>
        <v>0</v>
      </c>
      <c r="DL30" s="915">
        <f t="shared" si="30"/>
        <v>0</v>
      </c>
      <c r="DM30" s="915">
        <f t="shared" si="31"/>
        <v>0</v>
      </c>
      <c r="DN30" s="1041">
        <f t="shared" si="32"/>
        <v>0</v>
      </c>
      <c r="DO30" s="914">
        <f t="shared" si="33"/>
        <v>0</v>
      </c>
      <c r="DP30" s="914">
        <f t="shared" si="34"/>
        <v>0</v>
      </c>
      <c r="DQ30" s="915">
        <f t="shared" si="35"/>
        <v>0</v>
      </c>
      <c r="DR30" s="1041">
        <f t="shared" si="36"/>
        <v>0</v>
      </c>
      <c r="DS30" s="1040">
        <f t="shared" si="37"/>
        <v>0</v>
      </c>
      <c r="DT30" s="915">
        <f t="shared" si="38"/>
        <v>0</v>
      </c>
      <c r="DU30" s="915">
        <f t="shared" si="39"/>
        <v>0</v>
      </c>
      <c r="DV30" s="915" t="e">
        <f t="shared" si="40"/>
        <v>#VALUE!</v>
      </c>
      <c r="DW30" s="915" t="e">
        <f t="shared" si="41"/>
        <v>#VALUE!</v>
      </c>
      <c r="DX30" s="915" t="e">
        <f t="shared" si="42"/>
        <v>#VALUE!</v>
      </c>
      <c r="DY30" s="915">
        <f t="shared" si="43"/>
        <v>0</v>
      </c>
      <c r="DZ30" s="915">
        <f t="shared" si="44"/>
        <v>0</v>
      </c>
      <c r="EA30" s="1041">
        <f t="shared" si="45"/>
        <v>0</v>
      </c>
      <c r="EB30" s="915">
        <f t="shared" si="2"/>
        <v>0</v>
      </c>
      <c r="EC30" s="915">
        <f t="shared" si="3"/>
        <v>0</v>
      </c>
      <c r="ED30" s="915">
        <f t="shared" si="4"/>
        <v>0</v>
      </c>
      <c r="EE30" s="915">
        <f t="shared" si="5"/>
        <v>0</v>
      </c>
      <c r="EF30" s="915">
        <f t="shared" si="6"/>
        <v>-190</v>
      </c>
      <c r="EG30" s="1041">
        <f t="shared" si="7"/>
        <v>-29.684848210157988</v>
      </c>
      <c r="EH30" s="913">
        <f t="shared" si="8"/>
        <v>0</v>
      </c>
      <c r="EI30" s="915">
        <f t="shared" si="9"/>
        <v>0</v>
      </c>
      <c r="EJ30" s="1041">
        <f t="shared" si="10"/>
        <v>0</v>
      </c>
    </row>
    <row r="31" spans="1:140">
      <c r="A31" s="891">
        <f>Eingabedaten!A35</f>
        <v>8.3000000000000007</v>
      </c>
      <c r="B31" s="1536" t="str">
        <f>Eingabedaten!C35</f>
        <v>Behandlungsraum</v>
      </c>
      <c r="C31" s="1780"/>
      <c r="D31" s="886"/>
      <c r="E31" s="886"/>
      <c r="F31" s="1758"/>
      <c r="G31" s="1759"/>
      <c r="H31" s="1759"/>
      <c r="I31" s="1759"/>
      <c r="J31" s="1759"/>
      <c r="K31" s="1759"/>
      <c r="L31" s="1760"/>
      <c r="M31" s="1774">
        <v>30</v>
      </c>
      <c r="N31" s="1759">
        <v>2180</v>
      </c>
      <c r="O31" s="1762">
        <v>65.400000000000006</v>
      </c>
      <c r="P31" s="1775"/>
      <c r="Q31" s="1761"/>
      <c r="R31" s="1762">
        <v>55.1</v>
      </c>
      <c r="S31" s="1761">
        <v>0.71428571428571419</v>
      </c>
      <c r="T31" s="1761">
        <v>15.880217785843922</v>
      </c>
      <c r="U31" s="1761">
        <v>0</v>
      </c>
      <c r="V31" s="1761">
        <v>15.880217785843922</v>
      </c>
      <c r="W31" s="1762">
        <v>1450</v>
      </c>
      <c r="X31" s="1762">
        <v>0</v>
      </c>
      <c r="Y31" s="1776">
        <v>23.026315789473689</v>
      </c>
      <c r="Z31" s="1761">
        <v>7.2</v>
      </c>
      <c r="AA31" s="1761">
        <v>0</v>
      </c>
      <c r="AB31" s="1762">
        <v>0</v>
      </c>
      <c r="AC31" s="1776">
        <v>0</v>
      </c>
      <c r="AD31" s="1774">
        <v>52.388235294117649</v>
      </c>
      <c r="AE31" s="1762">
        <v>59.880217785843925</v>
      </c>
      <c r="AF31" s="1762">
        <v>362.58184453194121</v>
      </c>
      <c r="AG31" s="1762" t="s">
        <v>18</v>
      </c>
      <c r="AH31" s="1762" t="s">
        <v>18</v>
      </c>
      <c r="AI31" s="1762" t="s">
        <v>18</v>
      </c>
      <c r="AJ31" s="1762">
        <v>57</v>
      </c>
      <c r="AK31" s="1762">
        <v>320</v>
      </c>
      <c r="AL31" s="1776">
        <v>18.392499999999998</v>
      </c>
      <c r="AM31" s="1762">
        <v>134.54117647058823</v>
      </c>
      <c r="AN31" s="1762">
        <v>29.941762854144809</v>
      </c>
      <c r="AO31" s="1762">
        <v>-3</v>
      </c>
      <c r="AP31" s="1762">
        <v>123.32941176470588</v>
      </c>
      <c r="AQ31" s="1762">
        <v>490</v>
      </c>
      <c r="AR31" s="1776">
        <v>60.790595923626384</v>
      </c>
      <c r="AS31" s="1759"/>
      <c r="AT31" s="1762"/>
      <c r="AU31" s="1776">
        <v>0</v>
      </c>
      <c r="AX31" s="1780"/>
      <c r="AY31" s="886"/>
      <c r="AZ31" s="886"/>
      <c r="BA31" s="1758"/>
      <c r="BB31" s="1759"/>
      <c r="BC31" s="1759"/>
      <c r="BD31" s="1759"/>
      <c r="BE31" s="1759"/>
      <c r="BF31" s="1759"/>
      <c r="BG31" s="1760"/>
      <c r="BH31" s="1774">
        <v>30</v>
      </c>
      <c r="BI31" s="1759">
        <v>2180</v>
      </c>
      <c r="BJ31" s="1762">
        <v>65.400000000000006</v>
      </c>
      <c r="BK31" s="1775"/>
      <c r="BL31" s="1761"/>
      <c r="BM31" s="1762">
        <v>55.1</v>
      </c>
      <c r="BN31" s="1761">
        <v>0.71428571428571419</v>
      </c>
      <c r="BO31" s="1761">
        <v>15.880217785843922</v>
      </c>
      <c r="BP31" s="1761">
        <v>0</v>
      </c>
      <c r="BQ31" s="1761">
        <v>15.880217785843922</v>
      </c>
      <c r="BR31" s="1762">
        <v>1450</v>
      </c>
      <c r="BS31" s="1762">
        <v>0</v>
      </c>
      <c r="BT31" s="1776">
        <v>23.026315789473689</v>
      </c>
      <c r="BU31" s="1761">
        <v>7.2</v>
      </c>
      <c r="BV31" s="1761">
        <v>0</v>
      </c>
      <c r="BW31" s="1762">
        <v>0</v>
      </c>
      <c r="BX31" s="1776">
        <v>0</v>
      </c>
      <c r="BY31" s="1774">
        <v>52.388235294117649</v>
      </c>
      <c r="BZ31" s="1762">
        <v>59.880217785843925</v>
      </c>
      <c r="CA31" s="1762">
        <v>362.58184453194121</v>
      </c>
      <c r="CB31" s="1762" t="s">
        <v>18</v>
      </c>
      <c r="CC31" s="1762" t="s">
        <v>18</v>
      </c>
      <c r="CD31" s="1762" t="s">
        <v>18</v>
      </c>
      <c r="CE31" s="1762">
        <v>57</v>
      </c>
      <c r="CF31" s="1762">
        <v>320</v>
      </c>
      <c r="CG31" s="1776">
        <v>18.392499999999998</v>
      </c>
      <c r="CH31" s="1762">
        <v>134.54117647058823</v>
      </c>
      <c r="CI31" s="1762">
        <v>29.941762854144809</v>
      </c>
      <c r="CJ31" s="1762">
        <v>-3</v>
      </c>
      <c r="CK31" s="1762">
        <v>123.32941176470588</v>
      </c>
      <c r="CL31" s="1762">
        <v>610</v>
      </c>
      <c r="CM31" s="1776">
        <v>75.743536726688376</v>
      </c>
      <c r="CN31" s="1759"/>
      <c r="CO31" s="1762"/>
      <c r="CP31" s="1776">
        <v>0</v>
      </c>
      <c r="CR31" s="1780">
        <f t="shared" si="1"/>
        <v>0</v>
      </c>
      <c r="CS31" s="886">
        <f t="shared" si="11"/>
        <v>0</v>
      </c>
      <c r="CT31" s="886">
        <f t="shared" si="12"/>
        <v>0</v>
      </c>
      <c r="CU31" s="1758">
        <f t="shared" si="13"/>
        <v>0</v>
      </c>
      <c r="CV31" s="1759">
        <f t="shared" si="14"/>
        <v>0</v>
      </c>
      <c r="CW31" s="1759">
        <f t="shared" si="15"/>
        <v>0</v>
      </c>
      <c r="CX31" s="1759">
        <f t="shared" si="16"/>
        <v>0</v>
      </c>
      <c r="CY31" s="1759">
        <f t="shared" si="17"/>
        <v>0</v>
      </c>
      <c r="CZ31" s="1759">
        <f t="shared" si="18"/>
        <v>0</v>
      </c>
      <c r="DA31" s="1760">
        <f t="shared" si="19"/>
        <v>0</v>
      </c>
      <c r="DB31" s="1774">
        <f t="shared" si="20"/>
        <v>0</v>
      </c>
      <c r="DC31" s="1759">
        <f t="shared" si="21"/>
        <v>0</v>
      </c>
      <c r="DD31" s="1762">
        <f t="shared" si="22"/>
        <v>0</v>
      </c>
      <c r="DE31" s="1775">
        <f t="shared" si="23"/>
        <v>0</v>
      </c>
      <c r="DF31" s="1761">
        <f t="shared" si="24"/>
        <v>0</v>
      </c>
      <c r="DG31" s="1762">
        <f t="shared" si="25"/>
        <v>0</v>
      </c>
      <c r="DH31" s="1761">
        <f t="shared" si="26"/>
        <v>0</v>
      </c>
      <c r="DI31" s="1761">
        <f t="shared" si="27"/>
        <v>0</v>
      </c>
      <c r="DJ31" s="1761">
        <f t="shared" si="28"/>
        <v>0</v>
      </c>
      <c r="DK31" s="1761">
        <f t="shared" si="29"/>
        <v>0</v>
      </c>
      <c r="DL31" s="1762">
        <f t="shared" si="30"/>
        <v>0</v>
      </c>
      <c r="DM31" s="1762">
        <f t="shared" si="31"/>
        <v>0</v>
      </c>
      <c r="DN31" s="1776">
        <f t="shared" si="32"/>
        <v>0</v>
      </c>
      <c r="DO31" s="1761">
        <f t="shared" si="33"/>
        <v>0</v>
      </c>
      <c r="DP31" s="1761">
        <f t="shared" si="34"/>
        <v>0</v>
      </c>
      <c r="DQ31" s="1762">
        <f t="shared" si="35"/>
        <v>0</v>
      </c>
      <c r="DR31" s="1776">
        <f t="shared" si="36"/>
        <v>0</v>
      </c>
      <c r="DS31" s="1774">
        <f t="shared" si="37"/>
        <v>0</v>
      </c>
      <c r="DT31" s="1762">
        <f t="shared" si="38"/>
        <v>0</v>
      </c>
      <c r="DU31" s="1762">
        <f t="shared" si="39"/>
        <v>0</v>
      </c>
      <c r="DV31" s="1762" t="e">
        <f t="shared" si="40"/>
        <v>#VALUE!</v>
      </c>
      <c r="DW31" s="1762" t="e">
        <f t="shared" si="41"/>
        <v>#VALUE!</v>
      </c>
      <c r="DX31" s="1762" t="e">
        <f t="shared" si="42"/>
        <v>#VALUE!</v>
      </c>
      <c r="DY31" s="1762">
        <f t="shared" si="43"/>
        <v>0</v>
      </c>
      <c r="DZ31" s="1762">
        <f t="shared" si="44"/>
        <v>0</v>
      </c>
      <c r="EA31" s="1776">
        <f t="shared" si="45"/>
        <v>0</v>
      </c>
      <c r="EB31" s="1762">
        <f t="shared" si="2"/>
        <v>0</v>
      </c>
      <c r="EC31" s="1762">
        <f t="shared" si="3"/>
        <v>0</v>
      </c>
      <c r="ED31" s="1762">
        <f t="shared" si="4"/>
        <v>0</v>
      </c>
      <c r="EE31" s="1762">
        <f t="shared" si="5"/>
        <v>0</v>
      </c>
      <c r="EF31" s="1762">
        <f t="shared" si="6"/>
        <v>-120</v>
      </c>
      <c r="EG31" s="1776">
        <f t="shared" si="7"/>
        <v>-14.952940803061992</v>
      </c>
      <c r="EH31" s="1759">
        <f t="shared" si="8"/>
        <v>0</v>
      </c>
      <c r="EI31" s="1762">
        <f t="shared" si="9"/>
        <v>0</v>
      </c>
      <c r="EJ31" s="1776">
        <f t="shared" si="10"/>
        <v>0</v>
      </c>
    </row>
    <row r="32" spans="1:140">
      <c r="A32" s="890">
        <f>Eingabedaten!A36</f>
        <v>9.1</v>
      </c>
      <c r="B32" s="888" t="str">
        <f>Eingabedaten!C36</f>
        <v>Produktion (grobe Arbeit)</v>
      </c>
      <c r="C32" s="1777"/>
      <c r="D32" s="884"/>
      <c r="E32" s="884"/>
      <c r="F32" s="908"/>
      <c r="G32" s="909"/>
      <c r="H32" s="909"/>
      <c r="I32" s="909"/>
      <c r="J32" s="909"/>
      <c r="K32" s="909"/>
      <c r="L32" s="1772"/>
      <c r="M32" s="1038">
        <v>15</v>
      </c>
      <c r="N32" s="909">
        <v>3360</v>
      </c>
      <c r="O32" s="911">
        <v>50.4</v>
      </c>
      <c r="P32" s="1773"/>
      <c r="Q32" s="910"/>
      <c r="R32" s="911">
        <v>45.1</v>
      </c>
      <c r="S32" s="910">
        <v>0.76923076923076927</v>
      </c>
      <c r="T32" s="910">
        <v>10.809312638580931</v>
      </c>
      <c r="U32" s="910">
        <v>0</v>
      </c>
      <c r="V32" s="910">
        <v>10.809312638580931</v>
      </c>
      <c r="W32" s="911">
        <v>3980</v>
      </c>
      <c r="X32" s="911">
        <v>0</v>
      </c>
      <c r="Y32" s="1039">
        <v>43.021064301552109</v>
      </c>
      <c r="Z32" s="910">
        <v>10</v>
      </c>
      <c r="AA32" s="910">
        <v>9.1</v>
      </c>
      <c r="AB32" s="911">
        <v>2740</v>
      </c>
      <c r="AC32" s="1039">
        <v>24.934000000000001</v>
      </c>
      <c r="AD32" s="1038">
        <v>26.964156862745103</v>
      </c>
      <c r="AE32" s="911">
        <v>31.809312638580931</v>
      </c>
      <c r="AF32" s="911">
        <v>432.67942023416742</v>
      </c>
      <c r="AG32" s="911" t="s">
        <v>18</v>
      </c>
      <c r="AH32" s="911" t="s">
        <v>18</v>
      </c>
      <c r="AI32" s="911" t="s">
        <v>18</v>
      </c>
      <c r="AJ32" s="911">
        <v>28</v>
      </c>
      <c r="AK32" s="911">
        <v>0</v>
      </c>
      <c r="AL32" s="1039">
        <v>0.12565000000000001</v>
      </c>
      <c r="AM32" s="911">
        <v>1197.7725490196081</v>
      </c>
      <c r="AN32" s="911">
        <v>35.33225071374315</v>
      </c>
      <c r="AO32" s="911">
        <v>-3</v>
      </c>
      <c r="AP32" s="911">
        <v>86.838509803921582</v>
      </c>
      <c r="AQ32" s="911">
        <v>880</v>
      </c>
      <c r="AR32" s="1039">
        <v>76.57501911213518</v>
      </c>
      <c r="AS32" s="909"/>
      <c r="AT32" s="911"/>
      <c r="AU32" s="1039">
        <v>2.4220800000000007</v>
      </c>
      <c r="AX32" s="1777"/>
      <c r="AY32" s="884"/>
      <c r="AZ32" s="884"/>
      <c r="BA32" s="908"/>
      <c r="BB32" s="909"/>
      <c r="BC32" s="909"/>
      <c r="BD32" s="909"/>
      <c r="BE32" s="909"/>
      <c r="BF32" s="909"/>
      <c r="BG32" s="1772"/>
      <c r="BH32" s="1038">
        <v>15</v>
      </c>
      <c r="BI32" s="909">
        <v>3360</v>
      </c>
      <c r="BJ32" s="911">
        <v>50.4</v>
      </c>
      <c r="BK32" s="1773"/>
      <c r="BL32" s="910"/>
      <c r="BM32" s="911">
        <v>45.1</v>
      </c>
      <c r="BN32" s="910">
        <v>0.76923076923076927</v>
      </c>
      <c r="BO32" s="910">
        <v>10.809312638580931</v>
      </c>
      <c r="BP32" s="910">
        <v>0</v>
      </c>
      <c r="BQ32" s="910">
        <v>10.809312638580931</v>
      </c>
      <c r="BR32" s="911">
        <v>3980</v>
      </c>
      <c r="BS32" s="911">
        <v>0</v>
      </c>
      <c r="BT32" s="1039">
        <v>43.021064301552109</v>
      </c>
      <c r="BU32" s="910">
        <v>10</v>
      </c>
      <c r="BV32" s="910">
        <v>9.1</v>
      </c>
      <c r="BW32" s="911">
        <v>4990</v>
      </c>
      <c r="BX32" s="1039">
        <v>45.408999999999999</v>
      </c>
      <c r="BY32" s="1038">
        <v>26.964156862745103</v>
      </c>
      <c r="BZ32" s="911">
        <v>31.809312638580931</v>
      </c>
      <c r="CA32" s="911">
        <v>432.67942023416742</v>
      </c>
      <c r="CB32" s="911" t="s">
        <v>18</v>
      </c>
      <c r="CC32" s="911" t="s">
        <v>18</v>
      </c>
      <c r="CD32" s="911" t="s">
        <v>18</v>
      </c>
      <c r="CE32" s="911">
        <v>28</v>
      </c>
      <c r="CF32" s="911">
        <v>0</v>
      </c>
      <c r="CG32" s="1039">
        <v>0.12565000000000001</v>
      </c>
      <c r="CH32" s="911">
        <v>1197.7725490196081</v>
      </c>
      <c r="CI32" s="911">
        <v>35.33225071374315</v>
      </c>
      <c r="CJ32" s="911">
        <v>-3</v>
      </c>
      <c r="CK32" s="911">
        <v>86.838509803921582</v>
      </c>
      <c r="CL32" s="911">
        <v>1290</v>
      </c>
      <c r="CM32" s="1039">
        <v>111.71323198443056</v>
      </c>
      <c r="CN32" s="909"/>
      <c r="CO32" s="911"/>
      <c r="CP32" s="1039">
        <v>2.4220800000000007</v>
      </c>
      <c r="CR32" s="1777">
        <f t="shared" si="1"/>
        <v>0</v>
      </c>
      <c r="CS32" s="884">
        <f t="shared" si="11"/>
        <v>0</v>
      </c>
      <c r="CT32" s="884">
        <f t="shared" si="12"/>
        <v>0</v>
      </c>
      <c r="CU32" s="908">
        <f t="shared" si="13"/>
        <v>0</v>
      </c>
      <c r="CV32" s="909">
        <f t="shared" si="14"/>
        <v>0</v>
      </c>
      <c r="CW32" s="909">
        <f t="shared" si="15"/>
        <v>0</v>
      </c>
      <c r="CX32" s="909">
        <f t="shared" si="16"/>
        <v>0</v>
      </c>
      <c r="CY32" s="909">
        <f t="shared" si="17"/>
        <v>0</v>
      </c>
      <c r="CZ32" s="909">
        <f t="shared" si="18"/>
        <v>0</v>
      </c>
      <c r="DA32" s="1772">
        <f t="shared" si="19"/>
        <v>0</v>
      </c>
      <c r="DB32" s="1038">
        <f t="shared" si="20"/>
        <v>0</v>
      </c>
      <c r="DC32" s="909">
        <f t="shared" si="21"/>
        <v>0</v>
      </c>
      <c r="DD32" s="911">
        <f t="shared" si="22"/>
        <v>0</v>
      </c>
      <c r="DE32" s="1773">
        <f t="shared" si="23"/>
        <v>0</v>
      </c>
      <c r="DF32" s="910">
        <f t="shared" si="24"/>
        <v>0</v>
      </c>
      <c r="DG32" s="911">
        <f t="shared" si="25"/>
        <v>0</v>
      </c>
      <c r="DH32" s="910">
        <f t="shared" si="26"/>
        <v>0</v>
      </c>
      <c r="DI32" s="910">
        <f t="shared" si="27"/>
        <v>0</v>
      </c>
      <c r="DJ32" s="910">
        <f t="shared" si="28"/>
        <v>0</v>
      </c>
      <c r="DK32" s="910">
        <f t="shared" si="29"/>
        <v>0</v>
      </c>
      <c r="DL32" s="911">
        <f t="shared" si="30"/>
        <v>0</v>
      </c>
      <c r="DM32" s="911">
        <f t="shared" si="31"/>
        <v>0</v>
      </c>
      <c r="DN32" s="1039">
        <f t="shared" si="32"/>
        <v>0</v>
      </c>
      <c r="DO32" s="910">
        <f t="shared" si="33"/>
        <v>0</v>
      </c>
      <c r="DP32" s="910">
        <f t="shared" si="34"/>
        <v>0</v>
      </c>
      <c r="DQ32" s="911">
        <f t="shared" si="35"/>
        <v>-2250</v>
      </c>
      <c r="DR32" s="1039">
        <f t="shared" si="36"/>
        <v>-20.474999999999998</v>
      </c>
      <c r="DS32" s="1038">
        <f t="shared" si="37"/>
        <v>0</v>
      </c>
      <c r="DT32" s="911">
        <f t="shared" si="38"/>
        <v>0</v>
      </c>
      <c r="DU32" s="911">
        <f t="shared" si="39"/>
        <v>0</v>
      </c>
      <c r="DV32" s="911" t="e">
        <f t="shared" si="40"/>
        <v>#VALUE!</v>
      </c>
      <c r="DW32" s="911" t="e">
        <f t="shared" si="41"/>
        <v>#VALUE!</v>
      </c>
      <c r="DX32" s="911" t="e">
        <f t="shared" si="42"/>
        <v>#VALUE!</v>
      </c>
      <c r="DY32" s="911">
        <f t="shared" si="43"/>
        <v>0</v>
      </c>
      <c r="DZ32" s="911">
        <f t="shared" si="44"/>
        <v>0</v>
      </c>
      <c r="EA32" s="1039">
        <f t="shared" si="45"/>
        <v>0</v>
      </c>
      <c r="EB32" s="911">
        <f t="shared" si="2"/>
        <v>0</v>
      </c>
      <c r="EC32" s="911">
        <f t="shared" si="3"/>
        <v>0</v>
      </c>
      <c r="ED32" s="911">
        <f t="shared" si="4"/>
        <v>0</v>
      </c>
      <c r="EE32" s="911">
        <f t="shared" si="5"/>
        <v>0</v>
      </c>
      <c r="EF32" s="911">
        <f t="shared" si="6"/>
        <v>-410</v>
      </c>
      <c r="EG32" s="1039">
        <f t="shared" si="7"/>
        <v>-35.138212872295384</v>
      </c>
      <c r="EH32" s="909">
        <f t="shared" si="8"/>
        <v>0</v>
      </c>
      <c r="EI32" s="911">
        <f t="shared" si="9"/>
        <v>0</v>
      </c>
      <c r="EJ32" s="1039">
        <f t="shared" si="10"/>
        <v>0</v>
      </c>
    </row>
    <row r="33" spans="1:140">
      <c r="A33" s="889">
        <f>Eingabedaten!A37</f>
        <v>9.1999999999999993</v>
      </c>
      <c r="B33" s="1013" t="str">
        <f>Eingabedaten!C37</f>
        <v>Produktion (feine Arbeit)</v>
      </c>
      <c r="C33" s="1719"/>
      <c r="D33" s="873"/>
      <c r="E33" s="873"/>
      <c r="F33" s="912"/>
      <c r="G33" s="913"/>
      <c r="H33" s="913"/>
      <c r="I33" s="913"/>
      <c r="J33" s="913"/>
      <c r="K33" s="913"/>
      <c r="L33" s="1767"/>
      <c r="M33" s="1040">
        <v>15</v>
      </c>
      <c r="N33" s="913">
        <v>2440</v>
      </c>
      <c r="O33" s="915">
        <v>36.6</v>
      </c>
      <c r="P33" s="1768"/>
      <c r="Q33" s="914"/>
      <c r="R33" s="915">
        <v>55.1</v>
      </c>
      <c r="S33" s="914">
        <v>0.76923076923076927</v>
      </c>
      <c r="T33" s="914">
        <v>14.745916515426497</v>
      </c>
      <c r="U33" s="914">
        <v>0</v>
      </c>
      <c r="V33" s="914">
        <v>14.745916515426497</v>
      </c>
      <c r="W33" s="915">
        <v>1560</v>
      </c>
      <c r="X33" s="915">
        <v>0</v>
      </c>
      <c r="Y33" s="1041">
        <v>23.003629764065337</v>
      </c>
      <c r="Z33" s="914">
        <v>10</v>
      </c>
      <c r="AA33" s="914">
        <v>9.1</v>
      </c>
      <c r="AB33" s="915">
        <v>1470</v>
      </c>
      <c r="AC33" s="1041">
        <v>13.377000000000001</v>
      </c>
      <c r="AD33" s="1040">
        <v>38.941882352941178</v>
      </c>
      <c r="AE33" s="915">
        <v>34.445916515426497</v>
      </c>
      <c r="AF33" s="915">
        <v>250.54466161921198</v>
      </c>
      <c r="AG33" s="915" t="s">
        <v>18</v>
      </c>
      <c r="AH33" s="915" t="s">
        <v>18</v>
      </c>
      <c r="AI33" s="915" t="s">
        <v>18</v>
      </c>
      <c r="AJ33" s="915">
        <v>42</v>
      </c>
      <c r="AK33" s="915">
        <v>80</v>
      </c>
      <c r="AL33" s="1041">
        <v>3.2949000000000002</v>
      </c>
      <c r="AM33" s="915">
        <v>1197.7725490196081</v>
      </c>
      <c r="AN33" s="915">
        <v>35.33225071374315</v>
      </c>
      <c r="AO33" s="915">
        <v>-3</v>
      </c>
      <c r="AP33" s="915">
        <v>92.827372549019614</v>
      </c>
      <c r="AQ33" s="915">
        <v>1000</v>
      </c>
      <c r="AR33" s="1041">
        <v>92.693222244668391</v>
      </c>
      <c r="AS33" s="913"/>
      <c r="AT33" s="915"/>
      <c r="AU33" s="1041">
        <v>2.4220800000000007</v>
      </c>
      <c r="AX33" s="1719"/>
      <c r="AY33" s="873"/>
      <c r="AZ33" s="873"/>
      <c r="BA33" s="912"/>
      <c r="BB33" s="913"/>
      <c r="BC33" s="913"/>
      <c r="BD33" s="913"/>
      <c r="BE33" s="913"/>
      <c r="BF33" s="913"/>
      <c r="BG33" s="1767"/>
      <c r="BH33" s="1040">
        <v>15</v>
      </c>
      <c r="BI33" s="913">
        <v>2440</v>
      </c>
      <c r="BJ33" s="915">
        <v>36.6</v>
      </c>
      <c r="BK33" s="1768"/>
      <c r="BL33" s="914"/>
      <c r="BM33" s="915">
        <v>55.1</v>
      </c>
      <c r="BN33" s="914">
        <v>0.76923076923076927</v>
      </c>
      <c r="BO33" s="914">
        <v>14.745916515426497</v>
      </c>
      <c r="BP33" s="914">
        <v>0</v>
      </c>
      <c r="BQ33" s="914">
        <v>14.745916515426497</v>
      </c>
      <c r="BR33" s="915">
        <v>1560</v>
      </c>
      <c r="BS33" s="915">
        <v>0</v>
      </c>
      <c r="BT33" s="1041">
        <v>23.003629764065337</v>
      </c>
      <c r="BU33" s="914">
        <v>10</v>
      </c>
      <c r="BV33" s="914">
        <v>9.1</v>
      </c>
      <c r="BW33" s="915">
        <v>2700</v>
      </c>
      <c r="BX33" s="1041">
        <v>24.57</v>
      </c>
      <c r="BY33" s="1040">
        <v>38.941882352941178</v>
      </c>
      <c r="BZ33" s="915">
        <v>34.445916515426497</v>
      </c>
      <c r="CA33" s="915">
        <v>250.54466161921198</v>
      </c>
      <c r="CB33" s="915" t="s">
        <v>18</v>
      </c>
      <c r="CC33" s="915" t="s">
        <v>18</v>
      </c>
      <c r="CD33" s="915" t="s">
        <v>18</v>
      </c>
      <c r="CE33" s="915">
        <v>42</v>
      </c>
      <c r="CF33" s="915">
        <v>80</v>
      </c>
      <c r="CG33" s="1041">
        <v>3.2949000000000002</v>
      </c>
      <c r="CH33" s="915">
        <v>1197.7725490196081</v>
      </c>
      <c r="CI33" s="915">
        <v>35.33225071374315</v>
      </c>
      <c r="CJ33" s="915">
        <v>-3</v>
      </c>
      <c r="CK33" s="915">
        <v>92.827372549019614</v>
      </c>
      <c r="CL33" s="915">
        <v>1310</v>
      </c>
      <c r="CM33" s="1041">
        <v>122.04290245724094</v>
      </c>
      <c r="CN33" s="913"/>
      <c r="CO33" s="915"/>
      <c r="CP33" s="1041">
        <v>2.4220800000000007</v>
      </c>
      <c r="CR33" s="1719">
        <f t="shared" si="1"/>
        <v>0</v>
      </c>
      <c r="CS33" s="873">
        <f t="shared" si="11"/>
        <v>0</v>
      </c>
      <c r="CT33" s="873">
        <f t="shared" si="12"/>
        <v>0</v>
      </c>
      <c r="CU33" s="912">
        <f t="shared" si="13"/>
        <v>0</v>
      </c>
      <c r="CV33" s="913">
        <f t="shared" si="14"/>
        <v>0</v>
      </c>
      <c r="CW33" s="913">
        <f t="shared" si="15"/>
        <v>0</v>
      </c>
      <c r="CX33" s="913">
        <f t="shared" si="16"/>
        <v>0</v>
      </c>
      <c r="CY33" s="913">
        <f t="shared" si="17"/>
        <v>0</v>
      </c>
      <c r="CZ33" s="913">
        <f t="shared" si="18"/>
        <v>0</v>
      </c>
      <c r="DA33" s="1767">
        <f t="shared" si="19"/>
        <v>0</v>
      </c>
      <c r="DB33" s="1040">
        <f t="shared" si="20"/>
        <v>0</v>
      </c>
      <c r="DC33" s="913">
        <f t="shared" si="21"/>
        <v>0</v>
      </c>
      <c r="DD33" s="915">
        <f t="shared" si="22"/>
        <v>0</v>
      </c>
      <c r="DE33" s="1768">
        <f t="shared" si="23"/>
        <v>0</v>
      </c>
      <c r="DF33" s="914">
        <f t="shared" si="24"/>
        <v>0</v>
      </c>
      <c r="DG33" s="915">
        <f t="shared" si="25"/>
        <v>0</v>
      </c>
      <c r="DH33" s="914">
        <f t="shared" si="26"/>
        <v>0</v>
      </c>
      <c r="DI33" s="914">
        <f t="shared" si="27"/>
        <v>0</v>
      </c>
      <c r="DJ33" s="914">
        <f t="shared" si="28"/>
        <v>0</v>
      </c>
      <c r="DK33" s="914">
        <f t="shared" si="29"/>
        <v>0</v>
      </c>
      <c r="DL33" s="915">
        <f t="shared" si="30"/>
        <v>0</v>
      </c>
      <c r="DM33" s="915">
        <f t="shared" si="31"/>
        <v>0</v>
      </c>
      <c r="DN33" s="1041">
        <f t="shared" si="32"/>
        <v>0</v>
      </c>
      <c r="DO33" s="914">
        <f t="shared" si="33"/>
        <v>0</v>
      </c>
      <c r="DP33" s="914">
        <f t="shared" si="34"/>
        <v>0</v>
      </c>
      <c r="DQ33" s="915">
        <f t="shared" si="35"/>
        <v>-1230</v>
      </c>
      <c r="DR33" s="1041">
        <f t="shared" si="36"/>
        <v>-11.193</v>
      </c>
      <c r="DS33" s="1040">
        <f t="shared" si="37"/>
        <v>0</v>
      </c>
      <c r="DT33" s="915">
        <f t="shared" si="38"/>
        <v>0</v>
      </c>
      <c r="DU33" s="915">
        <f t="shared" si="39"/>
        <v>0</v>
      </c>
      <c r="DV33" s="915" t="e">
        <f t="shared" si="40"/>
        <v>#VALUE!</v>
      </c>
      <c r="DW33" s="915" t="e">
        <f t="shared" si="41"/>
        <v>#VALUE!</v>
      </c>
      <c r="DX33" s="915" t="e">
        <f t="shared" si="42"/>
        <v>#VALUE!</v>
      </c>
      <c r="DY33" s="915">
        <f t="shared" si="43"/>
        <v>0</v>
      </c>
      <c r="DZ33" s="915">
        <f t="shared" si="44"/>
        <v>0</v>
      </c>
      <c r="EA33" s="1041">
        <f t="shared" si="45"/>
        <v>0</v>
      </c>
      <c r="EB33" s="915">
        <f t="shared" si="2"/>
        <v>0</v>
      </c>
      <c r="EC33" s="915">
        <f t="shared" si="3"/>
        <v>0</v>
      </c>
      <c r="ED33" s="915">
        <f t="shared" si="4"/>
        <v>0</v>
      </c>
      <c r="EE33" s="915">
        <f t="shared" si="5"/>
        <v>0</v>
      </c>
      <c r="EF33" s="915">
        <f t="shared" si="6"/>
        <v>-310</v>
      </c>
      <c r="EG33" s="1041">
        <f t="shared" si="7"/>
        <v>-29.349680212572551</v>
      </c>
      <c r="EH33" s="913">
        <f t="shared" si="8"/>
        <v>0</v>
      </c>
      <c r="EI33" s="915">
        <f t="shared" si="9"/>
        <v>0</v>
      </c>
      <c r="EJ33" s="1041">
        <f t="shared" si="10"/>
        <v>0</v>
      </c>
    </row>
    <row r="34" spans="1:140">
      <c r="A34" s="891">
        <f>Eingabedaten!A38</f>
        <v>9.3000000000000007</v>
      </c>
      <c r="B34" s="1536" t="str">
        <f>Eingabedaten!C38</f>
        <v>Laborraum</v>
      </c>
      <c r="C34" s="1780"/>
      <c r="D34" s="886"/>
      <c r="E34" s="886"/>
      <c r="F34" s="1758"/>
      <c r="G34" s="1759"/>
      <c r="H34" s="1759"/>
      <c r="I34" s="1759"/>
      <c r="J34" s="1759"/>
      <c r="K34" s="1759"/>
      <c r="L34" s="1760"/>
      <c r="M34" s="1774">
        <v>25</v>
      </c>
      <c r="N34" s="1759">
        <v>2440</v>
      </c>
      <c r="O34" s="1762">
        <v>61</v>
      </c>
      <c r="P34" s="1775"/>
      <c r="Q34" s="1761"/>
      <c r="R34" s="1762">
        <v>55.1</v>
      </c>
      <c r="S34" s="1761">
        <v>0.69860279441117767</v>
      </c>
      <c r="T34" s="1761">
        <v>16.236712470832252</v>
      </c>
      <c r="U34" s="1761">
        <v>0</v>
      </c>
      <c r="V34" s="1761">
        <v>16.236712470832252</v>
      </c>
      <c r="W34" s="1762">
        <v>1140</v>
      </c>
      <c r="X34" s="1762">
        <v>0</v>
      </c>
      <c r="Y34" s="1776">
        <v>18.509852216748769</v>
      </c>
      <c r="Z34" s="1761">
        <v>20</v>
      </c>
      <c r="AA34" s="1761">
        <v>18.2</v>
      </c>
      <c r="AB34" s="1762">
        <v>1470</v>
      </c>
      <c r="AC34" s="1776">
        <v>26.754000000000001</v>
      </c>
      <c r="AD34" s="1774">
        <v>65.675831932773121</v>
      </c>
      <c r="AE34" s="1762">
        <v>45.936712470832248</v>
      </c>
      <c r="AF34" s="1762">
        <v>279.6764776597193</v>
      </c>
      <c r="AG34" s="1762" t="s">
        <v>18</v>
      </c>
      <c r="AH34" s="1762" t="s">
        <v>18</v>
      </c>
      <c r="AI34" s="1762" t="s">
        <v>18</v>
      </c>
      <c r="AJ34" s="1762">
        <v>65</v>
      </c>
      <c r="AK34" s="1762">
        <v>100</v>
      </c>
      <c r="AL34" s="1776">
        <v>6.4029999999999996</v>
      </c>
      <c r="AM34" s="1762">
        <v>366.68862745098045</v>
      </c>
      <c r="AN34" s="1762">
        <v>21.915051077154732</v>
      </c>
      <c r="AO34" s="1762">
        <v>-3</v>
      </c>
      <c r="AP34" s="1762">
        <v>167.62908683473393</v>
      </c>
      <c r="AQ34" s="1762">
        <v>1030</v>
      </c>
      <c r="AR34" s="1776">
        <v>173.47908265630707</v>
      </c>
      <c r="AS34" s="1759"/>
      <c r="AT34" s="1762"/>
      <c r="AU34" s="1776">
        <v>2.4220800000000007</v>
      </c>
      <c r="AX34" s="1780"/>
      <c r="AY34" s="886"/>
      <c r="AZ34" s="886"/>
      <c r="BA34" s="1758"/>
      <c r="BB34" s="1759"/>
      <c r="BC34" s="1759"/>
      <c r="BD34" s="1759"/>
      <c r="BE34" s="1759"/>
      <c r="BF34" s="1759"/>
      <c r="BG34" s="1760"/>
      <c r="BH34" s="1774">
        <v>25</v>
      </c>
      <c r="BI34" s="1759">
        <v>2440</v>
      </c>
      <c r="BJ34" s="1762">
        <v>61</v>
      </c>
      <c r="BK34" s="1775"/>
      <c r="BL34" s="1761"/>
      <c r="BM34" s="1762">
        <v>55.1</v>
      </c>
      <c r="BN34" s="1761">
        <v>0.69860279441117767</v>
      </c>
      <c r="BO34" s="1761">
        <v>16.236712470832252</v>
      </c>
      <c r="BP34" s="1761">
        <v>0</v>
      </c>
      <c r="BQ34" s="1761">
        <v>16.236712470832252</v>
      </c>
      <c r="BR34" s="1762">
        <v>1140</v>
      </c>
      <c r="BS34" s="1762">
        <v>0</v>
      </c>
      <c r="BT34" s="1776">
        <v>18.509852216748769</v>
      </c>
      <c r="BU34" s="1761">
        <v>20</v>
      </c>
      <c r="BV34" s="1761">
        <v>18.2</v>
      </c>
      <c r="BW34" s="1762">
        <v>1630</v>
      </c>
      <c r="BX34" s="1776">
        <v>29.666</v>
      </c>
      <c r="BY34" s="1774">
        <v>65.675831932773121</v>
      </c>
      <c r="BZ34" s="1762">
        <v>45.936712470832248</v>
      </c>
      <c r="CA34" s="1762">
        <v>279.6764776597193</v>
      </c>
      <c r="CB34" s="1762" t="s">
        <v>18</v>
      </c>
      <c r="CC34" s="1762" t="s">
        <v>18</v>
      </c>
      <c r="CD34" s="1762" t="s">
        <v>18</v>
      </c>
      <c r="CE34" s="1762">
        <v>65</v>
      </c>
      <c r="CF34" s="1762">
        <v>100</v>
      </c>
      <c r="CG34" s="1776">
        <v>6.4029999999999996</v>
      </c>
      <c r="CH34" s="1762">
        <v>366.68862745098045</v>
      </c>
      <c r="CI34" s="1762">
        <v>21.915051077154732</v>
      </c>
      <c r="CJ34" s="1762">
        <v>-3</v>
      </c>
      <c r="CK34" s="1762">
        <v>167.62908683473393</v>
      </c>
      <c r="CL34" s="1762">
        <v>1260</v>
      </c>
      <c r="CM34" s="1776">
        <v>210.53423854034915</v>
      </c>
      <c r="CN34" s="1759"/>
      <c r="CO34" s="1762"/>
      <c r="CP34" s="1776">
        <v>2.4220800000000007</v>
      </c>
      <c r="CR34" s="1780">
        <f t="shared" si="1"/>
        <v>0</v>
      </c>
      <c r="CS34" s="886">
        <f t="shared" si="11"/>
        <v>0</v>
      </c>
      <c r="CT34" s="886">
        <f t="shared" si="12"/>
        <v>0</v>
      </c>
      <c r="CU34" s="1758">
        <f t="shared" si="13"/>
        <v>0</v>
      </c>
      <c r="CV34" s="1759">
        <f t="shared" si="14"/>
        <v>0</v>
      </c>
      <c r="CW34" s="1759">
        <f t="shared" si="15"/>
        <v>0</v>
      </c>
      <c r="CX34" s="1759">
        <f t="shared" si="16"/>
        <v>0</v>
      </c>
      <c r="CY34" s="1759">
        <f t="shared" si="17"/>
        <v>0</v>
      </c>
      <c r="CZ34" s="1759">
        <f t="shared" si="18"/>
        <v>0</v>
      </c>
      <c r="DA34" s="1760">
        <f t="shared" si="19"/>
        <v>0</v>
      </c>
      <c r="DB34" s="1774">
        <f t="shared" si="20"/>
        <v>0</v>
      </c>
      <c r="DC34" s="1759">
        <f t="shared" si="21"/>
        <v>0</v>
      </c>
      <c r="DD34" s="1762">
        <f t="shared" si="22"/>
        <v>0</v>
      </c>
      <c r="DE34" s="1775">
        <f t="shared" si="23"/>
        <v>0</v>
      </c>
      <c r="DF34" s="1761">
        <f t="shared" si="24"/>
        <v>0</v>
      </c>
      <c r="DG34" s="1762">
        <f t="shared" si="25"/>
        <v>0</v>
      </c>
      <c r="DH34" s="1761">
        <f t="shared" si="26"/>
        <v>0</v>
      </c>
      <c r="DI34" s="1761">
        <f t="shared" si="27"/>
        <v>0</v>
      </c>
      <c r="DJ34" s="1761">
        <f t="shared" si="28"/>
        <v>0</v>
      </c>
      <c r="DK34" s="1761">
        <f t="shared" si="29"/>
        <v>0</v>
      </c>
      <c r="DL34" s="1762">
        <f t="shared" si="30"/>
        <v>0</v>
      </c>
      <c r="DM34" s="1762">
        <f t="shared" si="31"/>
        <v>0</v>
      </c>
      <c r="DN34" s="1776">
        <f t="shared" si="32"/>
        <v>0</v>
      </c>
      <c r="DO34" s="1761">
        <f t="shared" si="33"/>
        <v>0</v>
      </c>
      <c r="DP34" s="1761">
        <f t="shared" si="34"/>
        <v>0</v>
      </c>
      <c r="DQ34" s="1762">
        <f t="shared" si="35"/>
        <v>-160</v>
      </c>
      <c r="DR34" s="1776">
        <f t="shared" si="36"/>
        <v>-2.911999999999999</v>
      </c>
      <c r="DS34" s="1774">
        <f t="shared" si="37"/>
        <v>0</v>
      </c>
      <c r="DT34" s="1762">
        <f t="shared" si="38"/>
        <v>0</v>
      </c>
      <c r="DU34" s="1762">
        <f t="shared" si="39"/>
        <v>0</v>
      </c>
      <c r="DV34" s="1762" t="e">
        <f t="shared" si="40"/>
        <v>#VALUE!</v>
      </c>
      <c r="DW34" s="1762" t="e">
        <f t="shared" si="41"/>
        <v>#VALUE!</v>
      </c>
      <c r="DX34" s="1762" t="e">
        <f t="shared" si="42"/>
        <v>#VALUE!</v>
      </c>
      <c r="DY34" s="1762">
        <f t="shared" si="43"/>
        <v>0</v>
      </c>
      <c r="DZ34" s="1762">
        <f t="shared" si="44"/>
        <v>0</v>
      </c>
      <c r="EA34" s="1776">
        <f t="shared" si="45"/>
        <v>0</v>
      </c>
      <c r="EB34" s="1762">
        <f t="shared" si="2"/>
        <v>0</v>
      </c>
      <c r="EC34" s="1762">
        <f t="shared" si="3"/>
        <v>0</v>
      </c>
      <c r="ED34" s="1762">
        <f t="shared" si="4"/>
        <v>0</v>
      </c>
      <c r="EE34" s="1762">
        <f t="shared" si="5"/>
        <v>0</v>
      </c>
      <c r="EF34" s="1762">
        <f t="shared" si="6"/>
        <v>-230</v>
      </c>
      <c r="EG34" s="1776">
        <f t="shared" si="7"/>
        <v>-37.05515588404208</v>
      </c>
      <c r="EH34" s="1759">
        <f t="shared" si="8"/>
        <v>0</v>
      </c>
      <c r="EI34" s="1762">
        <f t="shared" si="9"/>
        <v>0</v>
      </c>
      <c r="EJ34" s="1776">
        <f t="shared" si="10"/>
        <v>0</v>
      </c>
    </row>
    <row r="35" spans="1:140">
      <c r="A35" s="889">
        <f>Eingabedaten!A39</f>
        <v>10.1</v>
      </c>
      <c r="B35" s="1013" t="str">
        <f>Eingabedaten!C39</f>
        <v>Lagerhalle</v>
      </c>
      <c r="C35" s="1719"/>
      <c r="D35" s="873"/>
      <c r="E35" s="873"/>
      <c r="F35" s="912"/>
      <c r="G35" s="913"/>
      <c r="H35" s="913"/>
      <c r="I35" s="913"/>
      <c r="J35" s="913"/>
      <c r="K35" s="913"/>
      <c r="L35" s="1767"/>
      <c r="M35" s="1040">
        <v>0</v>
      </c>
      <c r="N35" s="913">
        <v>3160</v>
      </c>
      <c r="O35" s="915">
        <v>0</v>
      </c>
      <c r="P35" s="1768"/>
      <c r="Q35" s="914"/>
      <c r="R35" s="915">
        <v>35.1</v>
      </c>
      <c r="S35" s="914">
        <v>0.73746312684365778</v>
      </c>
      <c r="T35" s="914">
        <v>4.8290598290598297</v>
      </c>
      <c r="U35" s="914">
        <v>0</v>
      </c>
      <c r="V35" s="914">
        <v>4.8290598290598297</v>
      </c>
      <c r="W35" s="915">
        <v>3940</v>
      </c>
      <c r="X35" s="915">
        <v>0</v>
      </c>
      <c r="Y35" s="1041">
        <v>19.026495726495728</v>
      </c>
      <c r="Z35" s="914">
        <v>1.5</v>
      </c>
      <c r="AA35" s="914">
        <v>0</v>
      </c>
      <c r="AB35" s="915">
        <v>0</v>
      </c>
      <c r="AC35" s="1041">
        <v>0</v>
      </c>
      <c r="AD35" s="1040">
        <v>20.975294117647064</v>
      </c>
      <c r="AE35" s="915">
        <v>7.1290598290598295</v>
      </c>
      <c r="AF35" s="915">
        <v>90.450261256793098</v>
      </c>
      <c r="AG35" s="915" t="s">
        <v>18</v>
      </c>
      <c r="AH35" s="915" t="s">
        <v>18</v>
      </c>
      <c r="AI35" s="915" t="s">
        <v>18</v>
      </c>
      <c r="AJ35" s="915">
        <v>0</v>
      </c>
      <c r="AK35" s="915">
        <v>0</v>
      </c>
      <c r="AL35" s="1041">
        <v>0</v>
      </c>
      <c r="AM35" s="915">
        <v>749.77254901960805</v>
      </c>
      <c r="AN35" s="915">
        <v>56.443784258755578</v>
      </c>
      <c r="AO35" s="915">
        <v>-2</v>
      </c>
      <c r="AP35" s="915">
        <v>52.484078431372566</v>
      </c>
      <c r="AQ35" s="915">
        <v>1620</v>
      </c>
      <c r="AR35" s="1041">
        <v>84.909262680428199</v>
      </c>
      <c r="AS35" s="913"/>
      <c r="AT35" s="915"/>
      <c r="AU35" s="1041">
        <v>0.9082800000000002</v>
      </c>
      <c r="AX35" s="1719"/>
      <c r="AY35" s="873"/>
      <c r="AZ35" s="873"/>
      <c r="BA35" s="912"/>
      <c r="BB35" s="913"/>
      <c r="BC35" s="913"/>
      <c r="BD35" s="913"/>
      <c r="BE35" s="913"/>
      <c r="BF35" s="913"/>
      <c r="BG35" s="1767"/>
      <c r="BH35" s="1040">
        <v>0</v>
      </c>
      <c r="BI35" s="913">
        <v>3160</v>
      </c>
      <c r="BJ35" s="915">
        <v>0</v>
      </c>
      <c r="BK35" s="1768"/>
      <c r="BL35" s="914"/>
      <c r="BM35" s="915">
        <v>35.1</v>
      </c>
      <c r="BN35" s="914">
        <v>0.73746312684365778</v>
      </c>
      <c r="BO35" s="914">
        <v>4.8290598290598297</v>
      </c>
      <c r="BP35" s="914">
        <v>0</v>
      </c>
      <c r="BQ35" s="914">
        <v>4.8290598290598297</v>
      </c>
      <c r="BR35" s="915">
        <v>3940</v>
      </c>
      <c r="BS35" s="915">
        <v>0</v>
      </c>
      <c r="BT35" s="1041">
        <v>19.026495726495728</v>
      </c>
      <c r="BU35" s="914">
        <v>1.5</v>
      </c>
      <c r="BV35" s="914">
        <v>0</v>
      </c>
      <c r="BW35" s="915">
        <v>0</v>
      </c>
      <c r="BX35" s="1041">
        <v>0</v>
      </c>
      <c r="BY35" s="1040">
        <v>20.975294117647064</v>
      </c>
      <c r="BZ35" s="915">
        <v>7.1290598290598295</v>
      </c>
      <c r="CA35" s="915">
        <v>90.450261256793098</v>
      </c>
      <c r="CB35" s="915" t="s">
        <v>18</v>
      </c>
      <c r="CC35" s="915" t="s">
        <v>18</v>
      </c>
      <c r="CD35" s="915" t="s">
        <v>18</v>
      </c>
      <c r="CE35" s="915">
        <v>0</v>
      </c>
      <c r="CF35" s="915">
        <v>0</v>
      </c>
      <c r="CG35" s="1041">
        <v>0</v>
      </c>
      <c r="CH35" s="915">
        <v>749.77254901960805</v>
      </c>
      <c r="CI35" s="915">
        <v>56.443784258755578</v>
      </c>
      <c r="CJ35" s="915">
        <v>-2</v>
      </c>
      <c r="CK35" s="915">
        <v>52.484078431372566</v>
      </c>
      <c r="CL35" s="915">
        <v>1670</v>
      </c>
      <c r="CM35" s="1041">
        <v>87.657328201426523</v>
      </c>
      <c r="CN35" s="913"/>
      <c r="CO35" s="915"/>
      <c r="CP35" s="1041">
        <v>0.9082800000000002</v>
      </c>
      <c r="CR35" s="1719">
        <f t="shared" si="1"/>
        <v>0</v>
      </c>
      <c r="CS35" s="873">
        <f t="shared" si="11"/>
        <v>0</v>
      </c>
      <c r="CT35" s="873">
        <f t="shared" si="12"/>
        <v>0</v>
      </c>
      <c r="CU35" s="912">
        <f t="shared" si="13"/>
        <v>0</v>
      </c>
      <c r="CV35" s="913">
        <f t="shared" si="14"/>
        <v>0</v>
      </c>
      <c r="CW35" s="913">
        <f t="shared" si="15"/>
        <v>0</v>
      </c>
      <c r="CX35" s="913">
        <f t="shared" si="16"/>
        <v>0</v>
      </c>
      <c r="CY35" s="913">
        <f t="shared" si="17"/>
        <v>0</v>
      </c>
      <c r="CZ35" s="913">
        <f t="shared" si="18"/>
        <v>0</v>
      </c>
      <c r="DA35" s="1767">
        <f t="shared" si="19"/>
        <v>0</v>
      </c>
      <c r="DB35" s="1040">
        <f t="shared" si="20"/>
        <v>0</v>
      </c>
      <c r="DC35" s="913">
        <f t="shared" si="21"/>
        <v>0</v>
      </c>
      <c r="DD35" s="915">
        <f t="shared" si="22"/>
        <v>0</v>
      </c>
      <c r="DE35" s="1768">
        <f t="shared" si="23"/>
        <v>0</v>
      </c>
      <c r="DF35" s="914">
        <f t="shared" si="24"/>
        <v>0</v>
      </c>
      <c r="DG35" s="915">
        <f t="shared" si="25"/>
        <v>0</v>
      </c>
      <c r="DH35" s="914">
        <f t="shared" si="26"/>
        <v>0</v>
      </c>
      <c r="DI35" s="914">
        <f t="shared" si="27"/>
        <v>0</v>
      </c>
      <c r="DJ35" s="914">
        <f t="shared" si="28"/>
        <v>0</v>
      </c>
      <c r="DK35" s="914">
        <f t="shared" si="29"/>
        <v>0</v>
      </c>
      <c r="DL35" s="915">
        <f t="shared" si="30"/>
        <v>0</v>
      </c>
      <c r="DM35" s="915">
        <f t="shared" si="31"/>
        <v>0</v>
      </c>
      <c r="DN35" s="1041">
        <f t="shared" si="32"/>
        <v>0</v>
      </c>
      <c r="DO35" s="914">
        <f t="shared" si="33"/>
        <v>0</v>
      </c>
      <c r="DP35" s="914">
        <f t="shared" si="34"/>
        <v>0</v>
      </c>
      <c r="DQ35" s="915">
        <f t="shared" si="35"/>
        <v>0</v>
      </c>
      <c r="DR35" s="1041">
        <f t="shared" si="36"/>
        <v>0</v>
      </c>
      <c r="DS35" s="1040">
        <f t="shared" si="37"/>
        <v>0</v>
      </c>
      <c r="DT35" s="915">
        <f t="shared" si="38"/>
        <v>0</v>
      </c>
      <c r="DU35" s="915">
        <f t="shared" si="39"/>
        <v>0</v>
      </c>
      <c r="DV35" s="915" t="e">
        <f t="shared" si="40"/>
        <v>#VALUE!</v>
      </c>
      <c r="DW35" s="915" t="e">
        <f t="shared" si="41"/>
        <v>#VALUE!</v>
      </c>
      <c r="DX35" s="915" t="e">
        <f t="shared" si="42"/>
        <v>#VALUE!</v>
      </c>
      <c r="DY35" s="915">
        <f t="shared" si="43"/>
        <v>0</v>
      </c>
      <c r="DZ35" s="915">
        <f t="shared" si="44"/>
        <v>0</v>
      </c>
      <c r="EA35" s="1041">
        <f t="shared" si="45"/>
        <v>0</v>
      </c>
      <c r="EB35" s="915">
        <f t="shared" si="2"/>
        <v>0</v>
      </c>
      <c r="EC35" s="915">
        <f t="shared" si="3"/>
        <v>0</v>
      </c>
      <c r="ED35" s="915">
        <f t="shared" si="4"/>
        <v>0</v>
      </c>
      <c r="EE35" s="915">
        <f t="shared" si="5"/>
        <v>0</v>
      </c>
      <c r="EF35" s="915">
        <f t="shared" si="6"/>
        <v>-50</v>
      </c>
      <c r="EG35" s="1041">
        <f t="shared" si="7"/>
        <v>-2.748065520998324</v>
      </c>
      <c r="EH35" s="913">
        <f t="shared" si="8"/>
        <v>0</v>
      </c>
      <c r="EI35" s="915">
        <f t="shared" si="9"/>
        <v>0</v>
      </c>
      <c r="EJ35" s="1041">
        <f t="shared" si="10"/>
        <v>0</v>
      </c>
    </row>
    <row r="36" spans="1:140">
      <c r="A36" s="890">
        <f>Eingabedaten!A40</f>
        <v>11.1</v>
      </c>
      <c r="B36" s="888" t="str">
        <f>Eingabedaten!C40</f>
        <v>Turnhalle</v>
      </c>
      <c r="C36" s="1777"/>
      <c r="D36" s="884"/>
      <c r="E36" s="884"/>
      <c r="F36" s="908"/>
      <c r="G36" s="909"/>
      <c r="H36" s="909"/>
      <c r="I36" s="1778"/>
      <c r="J36" s="909"/>
      <c r="K36" s="909"/>
      <c r="L36" s="1772"/>
      <c r="M36" s="1038">
        <v>0</v>
      </c>
      <c r="N36" s="909">
        <v>4270</v>
      </c>
      <c r="O36" s="911">
        <v>0</v>
      </c>
      <c r="P36" s="1773"/>
      <c r="Q36" s="910"/>
      <c r="R36" s="911">
        <v>45.1</v>
      </c>
      <c r="S36" s="910">
        <v>0.79155672823219003</v>
      </c>
      <c r="T36" s="910">
        <v>10.504434589800443</v>
      </c>
      <c r="U36" s="910">
        <v>0</v>
      </c>
      <c r="V36" s="910">
        <v>10.504434589800443</v>
      </c>
      <c r="W36" s="911">
        <v>1920</v>
      </c>
      <c r="X36" s="911">
        <v>0</v>
      </c>
      <c r="Y36" s="1039">
        <v>20.168514412416851</v>
      </c>
      <c r="Z36" s="910">
        <v>4.5</v>
      </c>
      <c r="AA36" s="910">
        <v>0</v>
      </c>
      <c r="AB36" s="911">
        <v>0</v>
      </c>
      <c r="AC36" s="1039">
        <v>0</v>
      </c>
      <c r="AD36" s="1038">
        <v>20.97529411764706</v>
      </c>
      <c r="AE36" s="911">
        <v>16.504434589800443</v>
      </c>
      <c r="AF36" s="911">
        <v>115.08650111497667</v>
      </c>
      <c r="AG36" s="911" t="s">
        <v>18</v>
      </c>
      <c r="AH36" s="911" t="s">
        <v>18</v>
      </c>
      <c r="AI36" s="911" t="s">
        <v>18</v>
      </c>
      <c r="AJ36" s="911">
        <v>0</v>
      </c>
      <c r="AK36" s="911">
        <v>0</v>
      </c>
      <c r="AL36" s="1039">
        <v>0</v>
      </c>
      <c r="AM36" s="911">
        <v>1628.1882352941177</v>
      </c>
      <c r="AN36" s="911">
        <v>37.292985346397295</v>
      </c>
      <c r="AO36" s="911">
        <v>-3</v>
      </c>
      <c r="AP36" s="911">
        <v>78.695764705882354</v>
      </c>
      <c r="AQ36" s="911">
        <v>1070</v>
      </c>
      <c r="AR36" s="1039">
        <v>84.324976768742061</v>
      </c>
      <c r="AS36" s="909"/>
      <c r="AT36" s="911"/>
      <c r="AU36" s="1039">
        <v>52.900052054794521</v>
      </c>
      <c r="AX36" s="1777"/>
      <c r="AY36" s="884"/>
      <c r="AZ36" s="884"/>
      <c r="BA36" s="908"/>
      <c r="BB36" s="909"/>
      <c r="BC36" s="909"/>
      <c r="BD36" s="1778"/>
      <c r="BE36" s="909"/>
      <c r="BF36" s="909"/>
      <c r="BG36" s="1772"/>
      <c r="BH36" s="1038">
        <v>0</v>
      </c>
      <c r="BI36" s="909">
        <v>4270</v>
      </c>
      <c r="BJ36" s="911">
        <v>0</v>
      </c>
      <c r="BK36" s="1773"/>
      <c r="BL36" s="910"/>
      <c r="BM36" s="911">
        <v>45.1</v>
      </c>
      <c r="BN36" s="910">
        <v>0.79155672823219003</v>
      </c>
      <c r="BO36" s="910">
        <v>10.504434589800443</v>
      </c>
      <c r="BP36" s="910">
        <v>0</v>
      </c>
      <c r="BQ36" s="910">
        <v>10.504434589800443</v>
      </c>
      <c r="BR36" s="911">
        <v>1920</v>
      </c>
      <c r="BS36" s="911">
        <v>0</v>
      </c>
      <c r="BT36" s="1039">
        <v>20.168514412416851</v>
      </c>
      <c r="BU36" s="910">
        <v>4.5</v>
      </c>
      <c r="BV36" s="910">
        <v>0</v>
      </c>
      <c r="BW36" s="911">
        <v>0</v>
      </c>
      <c r="BX36" s="1039">
        <v>0</v>
      </c>
      <c r="BY36" s="1038">
        <v>20.97529411764706</v>
      </c>
      <c r="BZ36" s="911">
        <v>16.504434589800443</v>
      </c>
      <c r="CA36" s="911">
        <v>115.08650111497667</v>
      </c>
      <c r="CB36" s="911" t="s">
        <v>18</v>
      </c>
      <c r="CC36" s="911" t="s">
        <v>18</v>
      </c>
      <c r="CD36" s="911" t="s">
        <v>18</v>
      </c>
      <c r="CE36" s="911">
        <v>0</v>
      </c>
      <c r="CF36" s="911">
        <v>0</v>
      </c>
      <c r="CG36" s="1039">
        <v>0</v>
      </c>
      <c r="CH36" s="911">
        <v>1628.1882352941177</v>
      </c>
      <c r="CI36" s="911">
        <v>37.292985346397295</v>
      </c>
      <c r="CJ36" s="911">
        <v>-3</v>
      </c>
      <c r="CK36" s="911">
        <v>78.695764705882354</v>
      </c>
      <c r="CL36" s="911">
        <v>1160</v>
      </c>
      <c r="CM36" s="1039">
        <v>91.503538398056492</v>
      </c>
      <c r="CN36" s="909"/>
      <c r="CO36" s="911"/>
      <c r="CP36" s="1039">
        <v>52.900052054794521</v>
      </c>
      <c r="CR36" s="1777">
        <f t="shared" si="1"/>
        <v>0</v>
      </c>
      <c r="CS36" s="884">
        <f t="shared" si="11"/>
        <v>0</v>
      </c>
      <c r="CT36" s="884">
        <f t="shared" si="12"/>
        <v>0</v>
      </c>
      <c r="CU36" s="908">
        <f t="shared" si="13"/>
        <v>0</v>
      </c>
      <c r="CV36" s="909">
        <f t="shared" si="14"/>
        <v>0</v>
      </c>
      <c r="CW36" s="909">
        <f t="shared" si="15"/>
        <v>0</v>
      </c>
      <c r="CX36" s="1778">
        <f t="shared" si="16"/>
        <v>0</v>
      </c>
      <c r="CY36" s="909">
        <f t="shared" si="17"/>
        <v>0</v>
      </c>
      <c r="CZ36" s="909">
        <f t="shared" si="18"/>
        <v>0</v>
      </c>
      <c r="DA36" s="1772">
        <f t="shared" si="19"/>
        <v>0</v>
      </c>
      <c r="DB36" s="1038">
        <f t="shared" si="20"/>
        <v>0</v>
      </c>
      <c r="DC36" s="909">
        <f t="shared" si="21"/>
        <v>0</v>
      </c>
      <c r="DD36" s="911">
        <f t="shared" si="22"/>
        <v>0</v>
      </c>
      <c r="DE36" s="1773">
        <f t="shared" si="23"/>
        <v>0</v>
      </c>
      <c r="DF36" s="910">
        <f t="shared" si="24"/>
        <v>0</v>
      </c>
      <c r="DG36" s="911">
        <f t="shared" si="25"/>
        <v>0</v>
      </c>
      <c r="DH36" s="910">
        <f t="shared" si="26"/>
        <v>0</v>
      </c>
      <c r="DI36" s="910">
        <f t="shared" si="27"/>
        <v>0</v>
      </c>
      <c r="DJ36" s="910">
        <f t="shared" si="28"/>
        <v>0</v>
      </c>
      <c r="DK36" s="910">
        <f t="shared" si="29"/>
        <v>0</v>
      </c>
      <c r="DL36" s="911">
        <f t="shared" si="30"/>
        <v>0</v>
      </c>
      <c r="DM36" s="911">
        <f t="shared" si="31"/>
        <v>0</v>
      </c>
      <c r="DN36" s="1039">
        <f t="shared" si="32"/>
        <v>0</v>
      </c>
      <c r="DO36" s="910">
        <f t="shared" si="33"/>
        <v>0</v>
      </c>
      <c r="DP36" s="910">
        <f t="shared" si="34"/>
        <v>0</v>
      </c>
      <c r="DQ36" s="911">
        <f t="shared" si="35"/>
        <v>0</v>
      </c>
      <c r="DR36" s="1039">
        <f t="shared" si="36"/>
        <v>0</v>
      </c>
      <c r="DS36" s="1038">
        <f t="shared" si="37"/>
        <v>0</v>
      </c>
      <c r="DT36" s="911">
        <f t="shared" si="38"/>
        <v>0</v>
      </c>
      <c r="DU36" s="911">
        <f t="shared" si="39"/>
        <v>0</v>
      </c>
      <c r="DV36" s="911" t="e">
        <f t="shared" si="40"/>
        <v>#VALUE!</v>
      </c>
      <c r="DW36" s="911" t="e">
        <f t="shared" si="41"/>
        <v>#VALUE!</v>
      </c>
      <c r="DX36" s="911" t="e">
        <f t="shared" si="42"/>
        <v>#VALUE!</v>
      </c>
      <c r="DY36" s="911">
        <f t="shared" si="43"/>
        <v>0</v>
      </c>
      <c r="DZ36" s="911">
        <f t="shared" si="44"/>
        <v>0</v>
      </c>
      <c r="EA36" s="1039">
        <f t="shared" si="45"/>
        <v>0</v>
      </c>
      <c r="EB36" s="911">
        <f t="shared" si="2"/>
        <v>0</v>
      </c>
      <c r="EC36" s="911">
        <f t="shared" si="3"/>
        <v>0</v>
      </c>
      <c r="ED36" s="911">
        <f t="shared" si="4"/>
        <v>0</v>
      </c>
      <c r="EE36" s="911">
        <f t="shared" si="5"/>
        <v>0</v>
      </c>
      <c r="EF36" s="911">
        <f t="shared" si="6"/>
        <v>-90</v>
      </c>
      <c r="EG36" s="1039">
        <f t="shared" si="7"/>
        <v>-7.1785616293144301</v>
      </c>
      <c r="EH36" s="909">
        <f t="shared" si="8"/>
        <v>0</v>
      </c>
      <c r="EI36" s="911">
        <f t="shared" si="9"/>
        <v>0</v>
      </c>
      <c r="EJ36" s="1039">
        <f t="shared" si="10"/>
        <v>0</v>
      </c>
    </row>
    <row r="37" spans="1:140">
      <c r="A37" s="889">
        <f>Eingabedaten!A41</f>
        <v>11.2</v>
      </c>
      <c r="B37" s="1013" t="str">
        <f>Eingabedaten!C41</f>
        <v>Fitnessraum</v>
      </c>
      <c r="C37" s="1719"/>
      <c r="D37" s="873"/>
      <c r="E37" s="873"/>
      <c r="F37" s="912"/>
      <c r="G37" s="913"/>
      <c r="H37" s="913"/>
      <c r="I37" s="913"/>
      <c r="J37" s="913"/>
      <c r="K37" s="913"/>
      <c r="L37" s="1767"/>
      <c r="M37" s="1040">
        <v>3</v>
      </c>
      <c r="N37" s="913">
        <v>5710</v>
      </c>
      <c r="O37" s="915">
        <v>17.13</v>
      </c>
      <c r="P37" s="1768"/>
      <c r="Q37" s="914"/>
      <c r="R37" s="915">
        <v>45.1</v>
      </c>
      <c r="S37" s="914">
        <v>0.83798882681564235</v>
      </c>
      <c r="T37" s="914">
        <v>9.9223946784922408</v>
      </c>
      <c r="U37" s="914">
        <v>0</v>
      </c>
      <c r="V37" s="914">
        <v>9.9223946784922408</v>
      </c>
      <c r="W37" s="915">
        <v>3000</v>
      </c>
      <c r="X37" s="915">
        <v>0</v>
      </c>
      <c r="Y37" s="1041">
        <v>29.767184035476724</v>
      </c>
      <c r="Z37" s="914">
        <v>9</v>
      </c>
      <c r="AA37" s="914">
        <v>8.19</v>
      </c>
      <c r="AB37" s="915">
        <v>2800</v>
      </c>
      <c r="AC37" s="1041">
        <v>22.931999999999999</v>
      </c>
      <c r="AD37" s="1040">
        <v>29.763058823529416</v>
      </c>
      <c r="AE37" s="915">
        <v>24.922394678492239</v>
      </c>
      <c r="AF37" s="915">
        <v>284.55693266525736</v>
      </c>
      <c r="AG37" s="915" t="s">
        <v>18</v>
      </c>
      <c r="AH37" s="915" t="s">
        <v>18</v>
      </c>
      <c r="AI37" s="915" t="s">
        <v>18</v>
      </c>
      <c r="AJ37" s="915">
        <v>32</v>
      </c>
      <c r="AK37" s="915">
        <v>30</v>
      </c>
      <c r="AL37" s="1041">
        <v>0.91506944444444449</v>
      </c>
      <c r="AM37" s="915">
        <v>354.73694117647062</v>
      </c>
      <c r="AN37" s="915">
        <v>40.065745486962335</v>
      </c>
      <c r="AO37" s="915">
        <v>-3</v>
      </c>
      <c r="AP37" s="915">
        <v>71.440078431372555</v>
      </c>
      <c r="AQ37" s="915">
        <v>870</v>
      </c>
      <c r="AR37" s="1041">
        <v>61.797704702238882</v>
      </c>
      <c r="AS37" s="913"/>
      <c r="AT37" s="915"/>
      <c r="AU37" s="1041">
        <v>87.139200000000017</v>
      </c>
      <c r="AX37" s="1719"/>
      <c r="AY37" s="873"/>
      <c r="AZ37" s="873"/>
      <c r="BA37" s="912"/>
      <c r="BB37" s="913"/>
      <c r="BC37" s="913"/>
      <c r="BD37" s="913"/>
      <c r="BE37" s="913"/>
      <c r="BF37" s="913"/>
      <c r="BG37" s="1767"/>
      <c r="BH37" s="1040">
        <v>3</v>
      </c>
      <c r="BI37" s="913">
        <v>5710</v>
      </c>
      <c r="BJ37" s="915">
        <v>17.13</v>
      </c>
      <c r="BK37" s="1768"/>
      <c r="BL37" s="914"/>
      <c r="BM37" s="915">
        <v>45.1</v>
      </c>
      <c r="BN37" s="914">
        <v>0.83798882681564235</v>
      </c>
      <c r="BO37" s="914">
        <v>9.9223946784922408</v>
      </c>
      <c r="BP37" s="914">
        <v>0</v>
      </c>
      <c r="BQ37" s="914">
        <v>9.9223946784922408</v>
      </c>
      <c r="BR37" s="915">
        <v>3000</v>
      </c>
      <c r="BS37" s="915">
        <v>0</v>
      </c>
      <c r="BT37" s="1041">
        <v>29.767184035476724</v>
      </c>
      <c r="BU37" s="914">
        <v>9</v>
      </c>
      <c r="BV37" s="914">
        <v>0</v>
      </c>
      <c r="BW37" s="915">
        <v>0</v>
      </c>
      <c r="BX37" s="1041">
        <v>0</v>
      </c>
      <c r="BY37" s="1040">
        <v>38.40305882352942</v>
      </c>
      <c r="BZ37" s="915">
        <v>24.922394678492239</v>
      </c>
      <c r="CA37" s="915">
        <v>284.55693266525736</v>
      </c>
      <c r="CB37" s="915" t="s">
        <v>18</v>
      </c>
      <c r="CC37" s="915" t="s">
        <v>18</v>
      </c>
      <c r="CD37" s="915" t="s">
        <v>18</v>
      </c>
      <c r="CE37" s="915">
        <v>32</v>
      </c>
      <c r="CF37" s="915">
        <v>30</v>
      </c>
      <c r="CG37" s="1041">
        <v>0.91506944444444449</v>
      </c>
      <c r="CH37" s="915">
        <v>562.09694117647064</v>
      </c>
      <c r="CI37" s="915">
        <v>25.285318169945146</v>
      </c>
      <c r="CJ37" s="915">
        <v>-3</v>
      </c>
      <c r="CK37" s="915">
        <v>113.20007843137256</v>
      </c>
      <c r="CL37" s="915">
        <v>960</v>
      </c>
      <c r="CM37" s="1041">
        <v>108.29644633200176</v>
      </c>
      <c r="CN37" s="913"/>
      <c r="CO37" s="915"/>
      <c r="CP37" s="1041">
        <v>87.139200000000017</v>
      </c>
      <c r="CR37" s="1719">
        <f t="shared" si="1"/>
        <v>0</v>
      </c>
      <c r="CS37" s="873">
        <f t="shared" si="11"/>
        <v>0</v>
      </c>
      <c r="CT37" s="873">
        <f t="shared" si="12"/>
        <v>0</v>
      </c>
      <c r="CU37" s="912">
        <f t="shared" si="13"/>
        <v>0</v>
      </c>
      <c r="CV37" s="913">
        <f t="shared" si="14"/>
        <v>0</v>
      </c>
      <c r="CW37" s="913">
        <f t="shared" si="15"/>
        <v>0</v>
      </c>
      <c r="CX37" s="913">
        <f t="shared" si="16"/>
        <v>0</v>
      </c>
      <c r="CY37" s="913">
        <f t="shared" si="17"/>
        <v>0</v>
      </c>
      <c r="CZ37" s="913">
        <f t="shared" si="18"/>
        <v>0</v>
      </c>
      <c r="DA37" s="1767">
        <f t="shared" si="19"/>
        <v>0</v>
      </c>
      <c r="DB37" s="1040">
        <f t="shared" si="20"/>
        <v>0</v>
      </c>
      <c r="DC37" s="913">
        <f t="shared" si="21"/>
        <v>0</v>
      </c>
      <c r="DD37" s="915">
        <f t="shared" si="22"/>
        <v>0</v>
      </c>
      <c r="DE37" s="1768">
        <f t="shared" si="23"/>
        <v>0</v>
      </c>
      <c r="DF37" s="914">
        <f t="shared" si="24"/>
        <v>0</v>
      </c>
      <c r="DG37" s="915">
        <f t="shared" si="25"/>
        <v>0</v>
      </c>
      <c r="DH37" s="914">
        <f t="shared" si="26"/>
        <v>0</v>
      </c>
      <c r="DI37" s="914">
        <f t="shared" si="27"/>
        <v>0</v>
      </c>
      <c r="DJ37" s="914">
        <f t="shared" si="28"/>
        <v>0</v>
      </c>
      <c r="DK37" s="914">
        <f t="shared" si="29"/>
        <v>0</v>
      </c>
      <c r="DL37" s="915">
        <f t="shared" si="30"/>
        <v>0</v>
      </c>
      <c r="DM37" s="915">
        <f t="shared" si="31"/>
        <v>0</v>
      </c>
      <c r="DN37" s="1041">
        <f t="shared" si="32"/>
        <v>0</v>
      </c>
      <c r="DO37" s="914">
        <f t="shared" si="33"/>
        <v>0</v>
      </c>
      <c r="DP37" s="914">
        <f t="shared" si="34"/>
        <v>8.19</v>
      </c>
      <c r="DQ37" s="915">
        <f t="shared" si="35"/>
        <v>2800</v>
      </c>
      <c r="DR37" s="1041">
        <f t="shared" si="36"/>
        <v>22.931999999999999</v>
      </c>
      <c r="DS37" s="1040">
        <f t="shared" si="37"/>
        <v>-8.6400000000000041</v>
      </c>
      <c r="DT37" s="915">
        <f t="shared" si="38"/>
        <v>0</v>
      </c>
      <c r="DU37" s="915">
        <f t="shared" si="39"/>
        <v>0</v>
      </c>
      <c r="DV37" s="915" t="e">
        <f t="shared" si="40"/>
        <v>#VALUE!</v>
      </c>
      <c r="DW37" s="915" t="e">
        <f t="shared" si="41"/>
        <v>#VALUE!</v>
      </c>
      <c r="DX37" s="915" t="e">
        <f t="shared" si="42"/>
        <v>#VALUE!</v>
      </c>
      <c r="DY37" s="915">
        <f t="shared" si="43"/>
        <v>0</v>
      </c>
      <c r="DZ37" s="915">
        <f t="shared" si="44"/>
        <v>0</v>
      </c>
      <c r="EA37" s="1041">
        <f t="shared" si="45"/>
        <v>0</v>
      </c>
      <c r="EB37" s="915">
        <f t="shared" si="2"/>
        <v>-207.36</v>
      </c>
      <c r="EC37" s="915">
        <f t="shared" si="3"/>
        <v>14.780427317017189</v>
      </c>
      <c r="ED37" s="915">
        <f t="shared" si="4"/>
        <v>0</v>
      </c>
      <c r="EE37" s="915">
        <f t="shared" si="5"/>
        <v>-41.760000000000005</v>
      </c>
      <c r="EF37" s="915">
        <f t="shared" si="6"/>
        <v>-90</v>
      </c>
      <c r="EG37" s="1041">
        <f t="shared" si="7"/>
        <v>-46.498741629762883</v>
      </c>
      <c r="EH37" s="913">
        <f t="shared" si="8"/>
        <v>0</v>
      </c>
      <c r="EI37" s="915">
        <f t="shared" si="9"/>
        <v>0</v>
      </c>
      <c r="EJ37" s="1041">
        <f t="shared" si="10"/>
        <v>0</v>
      </c>
    </row>
    <row r="38" spans="1:140">
      <c r="A38" s="891">
        <f>Eingabedaten!A42</f>
        <v>11.3</v>
      </c>
      <c r="B38" s="1536" t="str">
        <f>Eingabedaten!C42</f>
        <v>Schwimmhalle</v>
      </c>
      <c r="C38" s="1780"/>
      <c r="D38" s="886"/>
      <c r="E38" s="886"/>
      <c r="F38" s="1758"/>
      <c r="G38" s="1759"/>
      <c r="H38" s="1759"/>
      <c r="I38" s="1759"/>
      <c r="J38" s="1759"/>
      <c r="K38" s="1759"/>
      <c r="L38" s="1760"/>
      <c r="M38" s="1774">
        <v>3</v>
      </c>
      <c r="N38" s="1759">
        <v>5710</v>
      </c>
      <c r="O38" s="1762">
        <v>17.13</v>
      </c>
      <c r="P38" s="1775"/>
      <c r="Q38" s="1761"/>
      <c r="R38" s="1762">
        <v>45.1</v>
      </c>
      <c r="S38" s="1761">
        <v>0.73746312684365778</v>
      </c>
      <c r="T38" s="1761">
        <v>11.274944567627495</v>
      </c>
      <c r="U38" s="1761">
        <v>0</v>
      </c>
      <c r="V38" s="1761">
        <v>11.274944567627495</v>
      </c>
      <c r="W38" s="1762">
        <v>2630</v>
      </c>
      <c r="X38" s="1762">
        <v>0</v>
      </c>
      <c r="Y38" s="1776">
        <v>29.653104212860313</v>
      </c>
      <c r="Z38" s="1761">
        <v>3.6</v>
      </c>
      <c r="AA38" s="1761">
        <v>3.2760000000000002</v>
      </c>
      <c r="AB38" s="1762">
        <v>2800</v>
      </c>
      <c r="AC38" s="1776">
        <v>9.1728000000000005</v>
      </c>
      <c r="AD38" s="1774">
        <v>24.916156862745105</v>
      </c>
      <c r="AE38" s="1762">
        <v>21.274944567627493</v>
      </c>
      <c r="AF38" s="1762">
        <v>197.22297797776389</v>
      </c>
      <c r="AG38" s="1762" t="s">
        <v>18</v>
      </c>
      <c r="AH38" s="1762" t="s">
        <v>18</v>
      </c>
      <c r="AI38" s="1762" t="s">
        <v>18</v>
      </c>
      <c r="AJ38" s="1762">
        <v>0</v>
      </c>
      <c r="AK38" s="1762">
        <v>0</v>
      </c>
      <c r="AL38" s="1776">
        <v>2.0125000000000001E-2</v>
      </c>
      <c r="AM38" s="1762">
        <v>788.17254901960791</v>
      </c>
      <c r="AN38" s="1762">
        <v>53.693826374238739</v>
      </c>
      <c r="AO38" s="1762">
        <v>-2</v>
      </c>
      <c r="AP38" s="1762">
        <v>66.994666666666674</v>
      </c>
      <c r="AQ38" s="1762">
        <v>1930</v>
      </c>
      <c r="AR38" s="1776">
        <v>129.54690474674157</v>
      </c>
      <c r="AS38" s="1759"/>
      <c r="AT38" s="1762"/>
      <c r="AU38" s="1776">
        <v>174.27840000000003</v>
      </c>
      <c r="AX38" s="1780"/>
      <c r="AY38" s="886"/>
      <c r="AZ38" s="886"/>
      <c r="BA38" s="1758"/>
      <c r="BB38" s="1759"/>
      <c r="BC38" s="1759"/>
      <c r="BD38" s="1759"/>
      <c r="BE38" s="1759"/>
      <c r="BF38" s="1759"/>
      <c r="BG38" s="1760"/>
      <c r="BH38" s="1774">
        <v>3</v>
      </c>
      <c r="BI38" s="1759">
        <v>5710</v>
      </c>
      <c r="BJ38" s="1762">
        <v>17.13</v>
      </c>
      <c r="BK38" s="1775"/>
      <c r="BL38" s="1761"/>
      <c r="BM38" s="1762">
        <v>45.1</v>
      </c>
      <c r="BN38" s="1761">
        <v>0.73746312684365778</v>
      </c>
      <c r="BO38" s="1761">
        <v>11.274944567627495</v>
      </c>
      <c r="BP38" s="1761">
        <v>0</v>
      </c>
      <c r="BQ38" s="1761">
        <v>11.274944567627495</v>
      </c>
      <c r="BR38" s="1762">
        <v>2630</v>
      </c>
      <c r="BS38" s="1762">
        <v>0</v>
      </c>
      <c r="BT38" s="1776">
        <v>29.653104212860313</v>
      </c>
      <c r="BU38" s="1761">
        <v>3.6</v>
      </c>
      <c r="BV38" s="1761">
        <v>3.2760000000000002</v>
      </c>
      <c r="BW38" s="1762">
        <v>4510</v>
      </c>
      <c r="BX38" s="1776">
        <v>14.774760000000001</v>
      </c>
      <c r="BY38" s="1774">
        <v>24.916156862745105</v>
      </c>
      <c r="BZ38" s="1762">
        <v>21.274944567627493</v>
      </c>
      <c r="CA38" s="1762">
        <v>197.22297797776389</v>
      </c>
      <c r="CB38" s="1762" t="s">
        <v>18</v>
      </c>
      <c r="CC38" s="1762" t="s">
        <v>18</v>
      </c>
      <c r="CD38" s="1762" t="s">
        <v>18</v>
      </c>
      <c r="CE38" s="1762">
        <v>0</v>
      </c>
      <c r="CF38" s="1762">
        <v>0</v>
      </c>
      <c r="CG38" s="1776">
        <v>2.0125000000000001E-2</v>
      </c>
      <c r="CH38" s="1762">
        <v>788.17254901960791</v>
      </c>
      <c r="CI38" s="1762">
        <v>53.693826374238739</v>
      </c>
      <c r="CJ38" s="1762">
        <v>-2</v>
      </c>
      <c r="CK38" s="1762">
        <v>66.994666666666674</v>
      </c>
      <c r="CL38" s="1762">
        <v>2220</v>
      </c>
      <c r="CM38" s="1776">
        <v>148.46762183849592</v>
      </c>
      <c r="CN38" s="1759"/>
      <c r="CO38" s="1762"/>
      <c r="CP38" s="1776">
        <v>174.27840000000003</v>
      </c>
      <c r="CR38" s="1780">
        <f t="shared" si="1"/>
        <v>0</v>
      </c>
      <c r="CS38" s="886">
        <f t="shared" si="11"/>
        <v>0</v>
      </c>
      <c r="CT38" s="886">
        <f t="shared" si="12"/>
        <v>0</v>
      </c>
      <c r="CU38" s="1758">
        <f t="shared" si="13"/>
        <v>0</v>
      </c>
      <c r="CV38" s="1759">
        <f t="shared" si="14"/>
        <v>0</v>
      </c>
      <c r="CW38" s="1759">
        <f t="shared" si="15"/>
        <v>0</v>
      </c>
      <c r="CX38" s="1759">
        <f t="shared" si="16"/>
        <v>0</v>
      </c>
      <c r="CY38" s="1759">
        <f t="shared" si="17"/>
        <v>0</v>
      </c>
      <c r="CZ38" s="1759">
        <f t="shared" si="18"/>
        <v>0</v>
      </c>
      <c r="DA38" s="1760">
        <f t="shared" si="19"/>
        <v>0</v>
      </c>
      <c r="DB38" s="1774">
        <f t="shared" si="20"/>
        <v>0</v>
      </c>
      <c r="DC38" s="1759">
        <f t="shared" si="21"/>
        <v>0</v>
      </c>
      <c r="DD38" s="1762">
        <f t="shared" si="22"/>
        <v>0</v>
      </c>
      <c r="DE38" s="1775">
        <f t="shared" si="23"/>
        <v>0</v>
      </c>
      <c r="DF38" s="1761">
        <f t="shared" si="24"/>
        <v>0</v>
      </c>
      <c r="DG38" s="1762">
        <f t="shared" si="25"/>
        <v>0</v>
      </c>
      <c r="DH38" s="1761">
        <f t="shared" si="26"/>
        <v>0</v>
      </c>
      <c r="DI38" s="1761">
        <f t="shared" si="27"/>
        <v>0</v>
      </c>
      <c r="DJ38" s="1761">
        <f t="shared" si="28"/>
        <v>0</v>
      </c>
      <c r="DK38" s="1761">
        <f t="shared" si="29"/>
        <v>0</v>
      </c>
      <c r="DL38" s="1762">
        <f t="shared" si="30"/>
        <v>0</v>
      </c>
      <c r="DM38" s="1762">
        <f t="shared" si="31"/>
        <v>0</v>
      </c>
      <c r="DN38" s="1776">
        <f t="shared" si="32"/>
        <v>0</v>
      </c>
      <c r="DO38" s="1761">
        <f t="shared" si="33"/>
        <v>0</v>
      </c>
      <c r="DP38" s="1761">
        <f t="shared" si="34"/>
        <v>0</v>
      </c>
      <c r="DQ38" s="1762">
        <f t="shared" si="35"/>
        <v>-1710</v>
      </c>
      <c r="DR38" s="1776">
        <f t="shared" si="36"/>
        <v>-5.6019600000000001</v>
      </c>
      <c r="DS38" s="1774">
        <f t="shared" si="37"/>
        <v>0</v>
      </c>
      <c r="DT38" s="1762">
        <f t="shared" si="38"/>
        <v>0</v>
      </c>
      <c r="DU38" s="1762">
        <f t="shared" si="39"/>
        <v>0</v>
      </c>
      <c r="DV38" s="1762" t="e">
        <f t="shared" si="40"/>
        <v>#VALUE!</v>
      </c>
      <c r="DW38" s="1762" t="e">
        <f t="shared" si="41"/>
        <v>#VALUE!</v>
      </c>
      <c r="DX38" s="1762" t="e">
        <f t="shared" si="42"/>
        <v>#VALUE!</v>
      </c>
      <c r="DY38" s="1762">
        <f t="shared" si="43"/>
        <v>0</v>
      </c>
      <c r="DZ38" s="1762">
        <f t="shared" si="44"/>
        <v>0</v>
      </c>
      <c r="EA38" s="1776">
        <f t="shared" si="45"/>
        <v>0</v>
      </c>
      <c r="EB38" s="1762">
        <f t="shared" si="2"/>
        <v>0</v>
      </c>
      <c r="EC38" s="1762">
        <f t="shared" si="3"/>
        <v>0</v>
      </c>
      <c r="ED38" s="1762">
        <f t="shared" si="4"/>
        <v>0</v>
      </c>
      <c r="EE38" s="1762">
        <f t="shared" si="5"/>
        <v>0</v>
      </c>
      <c r="EF38" s="1762">
        <f t="shared" si="6"/>
        <v>-290</v>
      </c>
      <c r="EG38" s="1776">
        <f t="shared" si="7"/>
        <v>-18.920717091754341</v>
      </c>
      <c r="EH38" s="1759">
        <f t="shared" si="8"/>
        <v>0</v>
      </c>
      <c r="EI38" s="1762">
        <f t="shared" si="9"/>
        <v>0</v>
      </c>
      <c r="EJ38" s="1776">
        <f t="shared" si="10"/>
        <v>0</v>
      </c>
    </row>
    <row r="39" spans="1:140">
      <c r="A39" s="890">
        <f>Eingabedaten!A43</f>
        <v>12.1</v>
      </c>
      <c r="B39" s="888" t="str">
        <f>Eingabedaten!C43</f>
        <v>Verkehrsfläche</v>
      </c>
      <c r="C39" s="1777"/>
      <c r="D39" s="884"/>
      <c r="E39" s="884"/>
      <c r="F39" s="908"/>
      <c r="G39" s="909"/>
      <c r="H39" s="909"/>
      <c r="I39" s="909"/>
      <c r="J39" s="909"/>
      <c r="K39" s="909"/>
      <c r="L39" s="1772"/>
      <c r="M39" s="1038">
        <v>0</v>
      </c>
      <c r="N39" s="909">
        <v>0</v>
      </c>
      <c r="O39" s="911">
        <v>0</v>
      </c>
      <c r="P39" s="1773"/>
      <c r="Q39" s="910"/>
      <c r="R39" s="911">
        <v>35.1</v>
      </c>
      <c r="S39" s="910">
        <v>0.50607287449392702</v>
      </c>
      <c r="T39" s="910">
        <v>7.0370370370370381</v>
      </c>
      <c r="U39" s="910">
        <v>0</v>
      </c>
      <c r="V39" s="910">
        <v>7.0370370370370381</v>
      </c>
      <c r="W39" s="911">
        <v>2970</v>
      </c>
      <c r="X39" s="911">
        <v>0</v>
      </c>
      <c r="Y39" s="1039">
        <v>20.900000000000002</v>
      </c>
      <c r="Z39" s="910">
        <v>2</v>
      </c>
      <c r="AA39" s="910">
        <v>0</v>
      </c>
      <c r="AB39" s="911">
        <v>0</v>
      </c>
      <c r="AC39" s="1039">
        <v>0</v>
      </c>
      <c r="AD39" s="1038">
        <v>8.9894117647058831</v>
      </c>
      <c r="AE39" s="911">
        <v>7.0370370370370381</v>
      </c>
      <c r="AF39" s="911">
        <v>45.173709565444362</v>
      </c>
      <c r="AG39" s="911" t="s">
        <v>18</v>
      </c>
      <c r="AH39" s="911" t="s">
        <v>18</v>
      </c>
      <c r="AI39" s="911" t="s">
        <v>18</v>
      </c>
      <c r="AJ39" s="911">
        <v>0</v>
      </c>
      <c r="AK39" s="911">
        <v>0</v>
      </c>
      <c r="AL39" s="1039">
        <v>0</v>
      </c>
      <c r="AM39" s="911">
        <v>21.708235294117646</v>
      </c>
      <c r="AN39" s="911">
        <v>115.90071536960764</v>
      </c>
      <c r="AO39" s="911">
        <v>-1</v>
      </c>
      <c r="AP39" s="911">
        <v>29.306117647058823</v>
      </c>
      <c r="AQ39" s="911">
        <v>570</v>
      </c>
      <c r="AR39" s="1039">
        <v>16.755132996280281</v>
      </c>
      <c r="AS39" s="909"/>
      <c r="AT39" s="911"/>
      <c r="AU39" s="1039">
        <v>0</v>
      </c>
      <c r="AX39" s="1777"/>
      <c r="AY39" s="884"/>
      <c r="AZ39" s="884"/>
      <c r="BA39" s="908"/>
      <c r="BB39" s="909"/>
      <c r="BC39" s="909"/>
      <c r="BD39" s="909"/>
      <c r="BE39" s="909"/>
      <c r="BF39" s="909"/>
      <c r="BG39" s="1772"/>
      <c r="BH39" s="1038">
        <v>0</v>
      </c>
      <c r="BI39" s="909">
        <v>0</v>
      </c>
      <c r="BJ39" s="911">
        <v>0</v>
      </c>
      <c r="BK39" s="1773"/>
      <c r="BL39" s="910"/>
      <c r="BM39" s="911">
        <v>35.1</v>
      </c>
      <c r="BN39" s="910">
        <v>0.50607287449392702</v>
      </c>
      <c r="BO39" s="910">
        <v>7.0370370370370381</v>
      </c>
      <c r="BP39" s="910">
        <v>0</v>
      </c>
      <c r="BQ39" s="910">
        <v>7.0370370370370381</v>
      </c>
      <c r="BR39" s="911">
        <v>2970</v>
      </c>
      <c r="BS39" s="911">
        <v>0</v>
      </c>
      <c r="BT39" s="1039">
        <v>20.900000000000002</v>
      </c>
      <c r="BU39" s="910">
        <v>2</v>
      </c>
      <c r="BV39" s="910">
        <v>0</v>
      </c>
      <c r="BW39" s="911">
        <v>0</v>
      </c>
      <c r="BX39" s="1039">
        <v>0</v>
      </c>
      <c r="BY39" s="1038">
        <v>8.9894117647058831</v>
      </c>
      <c r="BZ39" s="911">
        <v>7.0370370370370381</v>
      </c>
      <c r="CA39" s="911">
        <v>45.173709565444362</v>
      </c>
      <c r="CB39" s="911" t="s">
        <v>18</v>
      </c>
      <c r="CC39" s="911" t="s">
        <v>18</v>
      </c>
      <c r="CD39" s="911" t="s">
        <v>18</v>
      </c>
      <c r="CE39" s="911">
        <v>0</v>
      </c>
      <c r="CF39" s="911">
        <v>0</v>
      </c>
      <c r="CG39" s="1039">
        <v>0</v>
      </c>
      <c r="CH39" s="911">
        <v>21.708235294117646</v>
      </c>
      <c r="CI39" s="911">
        <v>115.90071536960764</v>
      </c>
      <c r="CJ39" s="911">
        <v>-1</v>
      </c>
      <c r="CK39" s="911">
        <v>29.306117647058823</v>
      </c>
      <c r="CL39" s="911">
        <v>650</v>
      </c>
      <c r="CM39" s="1039">
        <v>19.008204939284418</v>
      </c>
      <c r="CN39" s="909"/>
      <c r="CO39" s="911"/>
      <c r="CP39" s="1039">
        <v>0</v>
      </c>
      <c r="CR39" s="1777">
        <f t="shared" si="1"/>
        <v>0</v>
      </c>
      <c r="CS39" s="884">
        <f t="shared" si="11"/>
        <v>0</v>
      </c>
      <c r="CT39" s="884">
        <f t="shared" si="12"/>
        <v>0</v>
      </c>
      <c r="CU39" s="908">
        <f t="shared" si="13"/>
        <v>0</v>
      </c>
      <c r="CV39" s="909">
        <f t="shared" si="14"/>
        <v>0</v>
      </c>
      <c r="CW39" s="909">
        <f t="shared" si="15"/>
        <v>0</v>
      </c>
      <c r="CX39" s="909">
        <f t="shared" si="16"/>
        <v>0</v>
      </c>
      <c r="CY39" s="909">
        <f t="shared" si="17"/>
        <v>0</v>
      </c>
      <c r="CZ39" s="909">
        <f t="shared" si="18"/>
        <v>0</v>
      </c>
      <c r="DA39" s="1772">
        <f t="shared" si="19"/>
        <v>0</v>
      </c>
      <c r="DB39" s="1038">
        <f t="shared" si="20"/>
        <v>0</v>
      </c>
      <c r="DC39" s="909">
        <f t="shared" si="21"/>
        <v>0</v>
      </c>
      <c r="DD39" s="911">
        <f t="shared" si="22"/>
        <v>0</v>
      </c>
      <c r="DE39" s="1773">
        <f t="shared" si="23"/>
        <v>0</v>
      </c>
      <c r="DF39" s="910">
        <f t="shared" si="24"/>
        <v>0</v>
      </c>
      <c r="DG39" s="911">
        <f t="shared" si="25"/>
        <v>0</v>
      </c>
      <c r="DH39" s="910">
        <f t="shared" si="26"/>
        <v>0</v>
      </c>
      <c r="DI39" s="910">
        <f t="shared" si="27"/>
        <v>0</v>
      </c>
      <c r="DJ39" s="910">
        <f t="shared" si="28"/>
        <v>0</v>
      </c>
      <c r="DK39" s="910">
        <f t="shared" si="29"/>
        <v>0</v>
      </c>
      <c r="DL39" s="911">
        <f t="shared" si="30"/>
        <v>0</v>
      </c>
      <c r="DM39" s="911">
        <f t="shared" si="31"/>
        <v>0</v>
      </c>
      <c r="DN39" s="1039">
        <f t="shared" si="32"/>
        <v>0</v>
      </c>
      <c r="DO39" s="910">
        <f t="shared" si="33"/>
        <v>0</v>
      </c>
      <c r="DP39" s="910">
        <f t="shared" si="34"/>
        <v>0</v>
      </c>
      <c r="DQ39" s="911">
        <f t="shared" si="35"/>
        <v>0</v>
      </c>
      <c r="DR39" s="1039">
        <f t="shared" si="36"/>
        <v>0</v>
      </c>
      <c r="DS39" s="1038">
        <f t="shared" si="37"/>
        <v>0</v>
      </c>
      <c r="DT39" s="911">
        <f t="shared" si="38"/>
        <v>0</v>
      </c>
      <c r="DU39" s="911">
        <f t="shared" si="39"/>
        <v>0</v>
      </c>
      <c r="DV39" s="911" t="e">
        <f t="shared" si="40"/>
        <v>#VALUE!</v>
      </c>
      <c r="DW39" s="911" t="e">
        <f t="shared" si="41"/>
        <v>#VALUE!</v>
      </c>
      <c r="DX39" s="911" t="e">
        <f t="shared" si="42"/>
        <v>#VALUE!</v>
      </c>
      <c r="DY39" s="911">
        <f t="shared" si="43"/>
        <v>0</v>
      </c>
      <c r="DZ39" s="911">
        <f t="shared" si="44"/>
        <v>0</v>
      </c>
      <c r="EA39" s="1039">
        <f t="shared" si="45"/>
        <v>0</v>
      </c>
      <c r="EB39" s="911">
        <f t="shared" si="2"/>
        <v>0</v>
      </c>
      <c r="EC39" s="911">
        <f t="shared" si="3"/>
        <v>0</v>
      </c>
      <c r="ED39" s="911">
        <f t="shared" si="4"/>
        <v>0</v>
      </c>
      <c r="EE39" s="911">
        <f t="shared" si="5"/>
        <v>0</v>
      </c>
      <c r="EF39" s="911">
        <f t="shared" si="6"/>
        <v>-80</v>
      </c>
      <c r="EG39" s="1039">
        <f t="shared" si="7"/>
        <v>-2.2530719430041373</v>
      </c>
      <c r="EH39" s="909">
        <f t="shared" si="8"/>
        <v>0</v>
      </c>
      <c r="EI39" s="911">
        <f t="shared" si="9"/>
        <v>0</v>
      </c>
      <c r="EJ39" s="1039">
        <f t="shared" si="10"/>
        <v>0</v>
      </c>
    </row>
    <row r="40" spans="1:140">
      <c r="A40" s="889">
        <f>Eingabedaten!A44</f>
        <v>12.2</v>
      </c>
      <c r="B40" s="1013" t="str">
        <f>Eingabedaten!C44</f>
        <v>Verkehrsfläche 24 h</v>
      </c>
      <c r="C40" s="1719"/>
      <c r="D40" s="873"/>
      <c r="E40" s="873"/>
      <c r="F40" s="912"/>
      <c r="G40" s="913"/>
      <c r="H40" s="913"/>
      <c r="I40" s="913"/>
      <c r="J40" s="913"/>
      <c r="K40" s="913"/>
      <c r="L40" s="1767"/>
      <c r="M40" s="1040">
        <v>0</v>
      </c>
      <c r="N40" s="913">
        <v>0</v>
      </c>
      <c r="O40" s="915">
        <v>0</v>
      </c>
      <c r="P40" s="1768"/>
      <c r="Q40" s="914"/>
      <c r="R40" s="915">
        <v>40.099999999999994</v>
      </c>
      <c r="S40" s="914">
        <v>0.50607287449392702</v>
      </c>
      <c r="T40" s="914">
        <v>12.319201995012474</v>
      </c>
      <c r="U40" s="914">
        <v>0</v>
      </c>
      <c r="V40" s="914">
        <v>12.319201995012474</v>
      </c>
      <c r="W40" s="915">
        <v>6440</v>
      </c>
      <c r="X40" s="915">
        <v>0</v>
      </c>
      <c r="Y40" s="1041">
        <v>79.335660847880334</v>
      </c>
      <c r="Z40" s="914">
        <v>2</v>
      </c>
      <c r="AA40" s="914">
        <v>0</v>
      </c>
      <c r="AB40" s="915">
        <v>0</v>
      </c>
      <c r="AC40" s="1041">
        <v>0</v>
      </c>
      <c r="AD40" s="1040">
        <v>15.501882352941177</v>
      </c>
      <c r="AE40" s="915">
        <v>12.319201995012474</v>
      </c>
      <c r="AF40" s="915">
        <v>239.57402993912567</v>
      </c>
      <c r="AG40" s="915" t="s">
        <v>18</v>
      </c>
      <c r="AH40" s="915" t="s">
        <v>18</v>
      </c>
      <c r="AI40" s="915" t="s">
        <v>18</v>
      </c>
      <c r="AJ40" s="915">
        <v>20</v>
      </c>
      <c r="AK40" s="915">
        <v>810</v>
      </c>
      <c r="AL40" s="1041">
        <v>16.142499999999998</v>
      </c>
      <c r="AM40" s="915">
        <v>21.708235294117646</v>
      </c>
      <c r="AN40" s="915">
        <v>115.90071536960764</v>
      </c>
      <c r="AO40" s="915">
        <v>-1</v>
      </c>
      <c r="AP40" s="915">
        <v>29.306117647058823</v>
      </c>
      <c r="AQ40" s="915">
        <v>90</v>
      </c>
      <c r="AR40" s="1041">
        <v>2.7248504233944923</v>
      </c>
      <c r="AS40" s="913"/>
      <c r="AT40" s="915"/>
      <c r="AU40" s="1041">
        <v>0</v>
      </c>
      <c r="AX40" s="1719"/>
      <c r="AY40" s="873"/>
      <c r="AZ40" s="873"/>
      <c r="BA40" s="912"/>
      <c r="BB40" s="913"/>
      <c r="BC40" s="913"/>
      <c r="BD40" s="913"/>
      <c r="BE40" s="913"/>
      <c r="BF40" s="913"/>
      <c r="BG40" s="1767"/>
      <c r="BH40" s="1040">
        <v>0</v>
      </c>
      <c r="BI40" s="913">
        <v>0</v>
      </c>
      <c r="BJ40" s="915">
        <v>0</v>
      </c>
      <c r="BK40" s="1768"/>
      <c r="BL40" s="914"/>
      <c r="BM40" s="915">
        <v>40.099999999999994</v>
      </c>
      <c r="BN40" s="914">
        <v>0.50607287449392702</v>
      </c>
      <c r="BO40" s="914">
        <v>12.319201995012474</v>
      </c>
      <c r="BP40" s="914">
        <v>0</v>
      </c>
      <c r="BQ40" s="914">
        <v>12.319201995012474</v>
      </c>
      <c r="BR40" s="915">
        <v>6440</v>
      </c>
      <c r="BS40" s="915">
        <v>0</v>
      </c>
      <c r="BT40" s="1041">
        <v>79.335660847880334</v>
      </c>
      <c r="BU40" s="914">
        <v>2</v>
      </c>
      <c r="BV40" s="914">
        <v>0</v>
      </c>
      <c r="BW40" s="915">
        <v>0</v>
      </c>
      <c r="BX40" s="1041">
        <v>0</v>
      </c>
      <c r="BY40" s="1040">
        <v>15.501882352941177</v>
      </c>
      <c r="BZ40" s="915">
        <v>12.319201995012474</v>
      </c>
      <c r="CA40" s="915">
        <v>239.57402993912567</v>
      </c>
      <c r="CB40" s="915" t="s">
        <v>18</v>
      </c>
      <c r="CC40" s="915" t="s">
        <v>18</v>
      </c>
      <c r="CD40" s="915" t="s">
        <v>18</v>
      </c>
      <c r="CE40" s="915">
        <v>20</v>
      </c>
      <c r="CF40" s="915">
        <v>810</v>
      </c>
      <c r="CG40" s="1041">
        <v>16.142499999999998</v>
      </c>
      <c r="CH40" s="915">
        <v>21.708235294117646</v>
      </c>
      <c r="CI40" s="915">
        <v>115.90071536960764</v>
      </c>
      <c r="CJ40" s="915">
        <v>-1</v>
      </c>
      <c r="CK40" s="915">
        <v>29.306117647058823</v>
      </c>
      <c r="CL40" s="915">
        <v>250</v>
      </c>
      <c r="CM40" s="1041">
        <v>7.2821950718818762</v>
      </c>
      <c r="CN40" s="913"/>
      <c r="CO40" s="915"/>
      <c r="CP40" s="1041">
        <v>0</v>
      </c>
      <c r="CR40" s="1719">
        <f t="shared" si="1"/>
        <v>0</v>
      </c>
      <c r="CS40" s="873">
        <f t="shared" si="11"/>
        <v>0</v>
      </c>
      <c r="CT40" s="873">
        <f t="shared" si="12"/>
        <v>0</v>
      </c>
      <c r="CU40" s="912">
        <f t="shared" si="13"/>
        <v>0</v>
      </c>
      <c r="CV40" s="913">
        <f t="shared" si="14"/>
        <v>0</v>
      </c>
      <c r="CW40" s="913">
        <f t="shared" si="15"/>
        <v>0</v>
      </c>
      <c r="CX40" s="913">
        <f t="shared" si="16"/>
        <v>0</v>
      </c>
      <c r="CY40" s="913">
        <f t="shared" si="17"/>
        <v>0</v>
      </c>
      <c r="CZ40" s="913">
        <f t="shared" si="18"/>
        <v>0</v>
      </c>
      <c r="DA40" s="1767">
        <f t="shared" si="19"/>
        <v>0</v>
      </c>
      <c r="DB40" s="1040">
        <f t="shared" si="20"/>
        <v>0</v>
      </c>
      <c r="DC40" s="913">
        <f t="shared" si="21"/>
        <v>0</v>
      </c>
      <c r="DD40" s="915">
        <f t="shared" si="22"/>
        <v>0</v>
      </c>
      <c r="DE40" s="1768">
        <f t="shared" si="23"/>
        <v>0</v>
      </c>
      <c r="DF40" s="914">
        <f t="shared" si="24"/>
        <v>0</v>
      </c>
      <c r="DG40" s="915">
        <f t="shared" si="25"/>
        <v>0</v>
      </c>
      <c r="DH40" s="914">
        <f t="shared" si="26"/>
        <v>0</v>
      </c>
      <c r="DI40" s="914">
        <f t="shared" si="27"/>
        <v>0</v>
      </c>
      <c r="DJ40" s="914">
        <f t="shared" si="28"/>
        <v>0</v>
      </c>
      <c r="DK40" s="914">
        <f t="shared" si="29"/>
        <v>0</v>
      </c>
      <c r="DL40" s="915">
        <f t="shared" si="30"/>
        <v>0</v>
      </c>
      <c r="DM40" s="915">
        <f t="shared" si="31"/>
        <v>0</v>
      </c>
      <c r="DN40" s="1041">
        <f t="shared" si="32"/>
        <v>0</v>
      </c>
      <c r="DO40" s="914">
        <f t="shared" si="33"/>
        <v>0</v>
      </c>
      <c r="DP40" s="914">
        <f t="shared" si="34"/>
        <v>0</v>
      </c>
      <c r="DQ40" s="915">
        <f t="shared" si="35"/>
        <v>0</v>
      </c>
      <c r="DR40" s="1041">
        <f t="shared" si="36"/>
        <v>0</v>
      </c>
      <c r="DS40" s="1040">
        <f t="shared" si="37"/>
        <v>0</v>
      </c>
      <c r="DT40" s="915">
        <f t="shared" si="38"/>
        <v>0</v>
      </c>
      <c r="DU40" s="915">
        <f t="shared" si="39"/>
        <v>0</v>
      </c>
      <c r="DV40" s="915" t="e">
        <f t="shared" si="40"/>
        <v>#VALUE!</v>
      </c>
      <c r="DW40" s="915" t="e">
        <f t="shared" si="41"/>
        <v>#VALUE!</v>
      </c>
      <c r="DX40" s="915" t="e">
        <f t="shared" si="42"/>
        <v>#VALUE!</v>
      </c>
      <c r="DY40" s="915">
        <f t="shared" si="43"/>
        <v>0</v>
      </c>
      <c r="DZ40" s="915">
        <f t="shared" si="44"/>
        <v>0</v>
      </c>
      <c r="EA40" s="1041">
        <f t="shared" si="45"/>
        <v>0</v>
      </c>
      <c r="EB40" s="915">
        <f t="shared" si="2"/>
        <v>0</v>
      </c>
      <c r="EC40" s="915">
        <f t="shared" si="3"/>
        <v>0</v>
      </c>
      <c r="ED40" s="915">
        <f t="shared" si="4"/>
        <v>0</v>
      </c>
      <c r="EE40" s="915">
        <f t="shared" si="5"/>
        <v>0</v>
      </c>
      <c r="EF40" s="915">
        <f t="shared" si="6"/>
        <v>-160</v>
      </c>
      <c r="EG40" s="1041">
        <f t="shared" si="7"/>
        <v>-4.5573446484873834</v>
      </c>
      <c r="EH40" s="913">
        <f t="shared" si="8"/>
        <v>0</v>
      </c>
      <c r="EI40" s="915">
        <f t="shared" si="9"/>
        <v>0</v>
      </c>
      <c r="EJ40" s="1041">
        <f t="shared" si="10"/>
        <v>0</v>
      </c>
    </row>
    <row r="41" spans="1:140">
      <c r="A41" s="889">
        <f>Eingabedaten!A45</f>
        <v>12.3</v>
      </c>
      <c r="B41" s="1013" t="str">
        <f>Eingabedaten!C45</f>
        <v>Treppenhaus</v>
      </c>
      <c r="C41" s="1719"/>
      <c r="D41" s="873"/>
      <c r="E41" s="873"/>
      <c r="F41" s="912"/>
      <c r="G41" s="913"/>
      <c r="H41" s="913"/>
      <c r="I41" s="913"/>
      <c r="J41" s="913"/>
      <c r="K41" s="913"/>
      <c r="L41" s="1767"/>
      <c r="M41" s="1040">
        <v>0</v>
      </c>
      <c r="N41" s="913">
        <v>0</v>
      </c>
      <c r="O41" s="915">
        <v>0</v>
      </c>
      <c r="P41" s="1768"/>
      <c r="Q41" s="914"/>
      <c r="R41" s="915">
        <v>35.1</v>
      </c>
      <c r="S41" s="914">
        <v>0.50607287449392702</v>
      </c>
      <c r="T41" s="914">
        <v>7.0370370370370381</v>
      </c>
      <c r="U41" s="914">
        <v>0</v>
      </c>
      <c r="V41" s="914">
        <v>7.0370370370370381</v>
      </c>
      <c r="W41" s="915">
        <v>2970</v>
      </c>
      <c r="X41" s="915">
        <v>0</v>
      </c>
      <c r="Y41" s="1041">
        <v>20.900000000000002</v>
      </c>
      <c r="Z41" s="914">
        <v>2</v>
      </c>
      <c r="AA41" s="914">
        <v>0</v>
      </c>
      <c r="AB41" s="915">
        <v>0</v>
      </c>
      <c r="AC41" s="1041">
        <v>0</v>
      </c>
      <c r="AD41" s="1040">
        <v>8.9894117647058831</v>
      </c>
      <c r="AE41" s="915">
        <v>7.0370370370370381</v>
      </c>
      <c r="AF41" s="915">
        <v>45.173709565444362</v>
      </c>
      <c r="AG41" s="915" t="s">
        <v>18</v>
      </c>
      <c r="AH41" s="915" t="s">
        <v>18</v>
      </c>
      <c r="AI41" s="915" t="s">
        <v>18</v>
      </c>
      <c r="AJ41" s="915">
        <v>0</v>
      </c>
      <c r="AK41" s="915">
        <v>0</v>
      </c>
      <c r="AL41" s="1041">
        <v>0</v>
      </c>
      <c r="AM41" s="915">
        <v>21.708235294117646</v>
      </c>
      <c r="AN41" s="915">
        <v>115.90071536960764</v>
      </c>
      <c r="AO41" s="915">
        <v>-1</v>
      </c>
      <c r="AP41" s="915">
        <v>29.306117647058823</v>
      </c>
      <c r="AQ41" s="915">
        <v>580</v>
      </c>
      <c r="AR41" s="1041">
        <v>17.03897362905623</v>
      </c>
      <c r="AS41" s="913"/>
      <c r="AT41" s="915"/>
      <c r="AU41" s="1041">
        <v>0</v>
      </c>
      <c r="AX41" s="1719"/>
      <c r="AY41" s="873"/>
      <c r="AZ41" s="873"/>
      <c r="BA41" s="912"/>
      <c r="BB41" s="913"/>
      <c r="BC41" s="913"/>
      <c r="BD41" s="913"/>
      <c r="BE41" s="913"/>
      <c r="BF41" s="913"/>
      <c r="BG41" s="1767"/>
      <c r="BH41" s="1040">
        <v>0</v>
      </c>
      <c r="BI41" s="913">
        <v>0</v>
      </c>
      <c r="BJ41" s="915">
        <v>0</v>
      </c>
      <c r="BK41" s="1768"/>
      <c r="BL41" s="914"/>
      <c r="BM41" s="915">
        <v>35.1</v>
      </c>
      <c r="BN41" s="914">
        <v>0.50607287449392702</v>
      </c>
      <c r="BO41" s="914">
        <v>7.0370370370370381</v>
      </c>
      <c r="BP41" s="914">
        <v>0</v>
      </c>
      <c r="BQ41" s="914">
        <v>7.0370370370370381</v>
      </c>
      <c r="BR41" s="915">
        <v>2970</v>
      </c>
      <c r="BS41" s="915">
        <v>0</v>
      </c>
      <c r="BT41" s="1041">
        <v>20.900000000000002</v>
      </c>
      <c r="BU41" s="914">
        <v>2</v>
      </c>
      <c r="BV41" s="914">
        <v>0</v>
      </c>
      <c r="BW41" s="915">
        <v>0</v>
      </c>
      <c r="BX41" s="1041">
        <v>0</v>
      </c>
      <c r="BY41" s="1040">
        <v>8.9894117647058831</v>
      </c>
      <c r="BZ41" s="915">
        <v>7.0370370370370381</v>
      </c>
      <c r="CA41" s="915">
        <v>45.173709565444362</v>
      </c>
      <c r="CB41" s="915" t="s">
        <v>18</v>
      </c>
      <c r="CC41" s="915" t="s">
        <v>18</v>
      </c>
      <c r="CD41" s="915" t="s">
        <v>18</v>
      </c>
      <c r="CE41" s="915">
        <v>0</v>
      </c>
      <c r="CF41" s="915">
        <v>0</v>
      </c>
      <c r="CG41" s="1041">
        <v>0</v>
      </c>
      <c r="CH41" s="915">
        <v>21.708235294117646</v>
      </c>
      <c r="CI41" s="915">
        <v>115.90071536960764</v>
      </c>
      <c r="CJ41" s="915">
        <v>-1</v>
      </c>
      <c r="CK41" s="915">
        <v>29.306117647058823</v>
      </c>
      <c r="CL41" s="915">
        <v>650</v>
      </c>
      <c r="CM41" s="1041">
        <v>19.008204939284418</v>
      </c>
      <c r="CN41" s="913"/>
      <c r="CO41" s="915"/>
      <c r="CP41" s="1041">
        <v>0</v>
      </c>
      <c r="CR41" s="1719">
        <f t="shared" si="1"/>
        <v>0</v>
      </c>
      <c r="CS41" s="873">
        <f t="shared" si="11"/>
        <v>0</v>
      </c>
      <c r="CT41" s="873">
        <f t="shared" si="12"/>
        <v>0</v>
      </c>
      <c r="CU41" s="912">
        <f t="shared" si="13"/>
        <v>0</v>
      </c>
      <c r="CV41" s="913">
        <f t="shared" si="14"/>
        <v>0</v>
      </c>
      <c r="CW41" s="913">
        <f t="shared" si="15"/>
        <v>0</v>
      </c>
      <c r="CX41" s="913">
        <f t="shared" si="16"/>
        <v>0</v>
      </c>
      <c r="CY41" s="913">
        <f t="shared" si="17"/>
        <v>0</v>
      </c>
      <c r="CZ41" s="913">
        <f t="shared" si="18"/>
        <v>0</v>
      </c>
      <c r="DA41" s="1767">
        <f t="shared" si="19"/>
        <v>0</v>
      </c>
      <c r="DB41" s="1040">
        <f t="shared" si="20"/>
        <v>0</v>
      </c>
      <c r="DC41" s="913">
        <f t="shared" si="21"/>
        <v>0</v>
      </c>
      <c r="DD41" s="915">
        <f t="shared" si="22"/>
        <v>0</v>
      </c>
      <c r="DE41" s="1768">
        <f t="shared" si="23"/>
        <v>0</v>
      </c>
      <c r="DF41" s="914">
        <f t="shared" si="24"/>
        <v>0</v>
      </c>
      <c r="DG41" s="915">
        <f t="shared" si="25"/>
        <v>0</v>
      </c>
      <c r="DH41" s="914">
        <f t="shared" si="26"/>
        <v>0</v>
      </c>
      <c r="DI41" s="914">
        <f t="shared" si="27"/>
        <v>0</v>
      </c>
      <c r="DJ41" s="914">
        <f t="shared" si="28"/>
        <v>0</v>
      </c>
      <c r="DK41" s="914">
        <f t="shared" si="29"/>
        <v>0</v>
      </c>
      <c r="DL41" s="915">
        <f t="shared" si="30"/>
        <v>0</v>
      </c>
      <c r="DM41" s="915">
        <f t="shared" si="31"/>
        <v>0</v>
      </c>
      <c r="DN41" s="1041">
        <f t="shared" si="32"/>
        <v>0</v>
      </c>
      <c r="DO41" s="914">
        <f t="shared" si="33"/>
        <v>0</v>
      </c>
      <c r="DP41" s="914">
        <f t="shared" si="34"/>
        <v>0</v>
      </c>
      <c r="DQ41" s="915">
        <f t="shared" si="35"/>
        <v>0</v>
      </c>
      <c r="DR41" s="1041">
        <f t="shared" si="36"/>
        <v>0</v>
      </c>
      <c r="DS41" s="1040">
        <f t="shared" si="37"/>
        <v>0</v>
      </c>
      <c r="DT41" s="915">
        <f t="shared" si="38"/>
        <v>0</v>
      </c>
      <c r="DU41" s="915">
        <f t="shared" si="39"/>
        <v>0</v>
      </c>
      <c r="DV41" s="915" t="e">
        <f t="shared" si="40"/>
        <v>#VALUE!</v>
      </c>
      <c r="DW41" s="915" t="e">
        <f t="shared" si="41"/>
        <v>#VALUE!</v>
      </c>
      <c r="DX41" s="915" t="e">
        <f t="shared" si="42"/>
        <v>#VALUE!</v>
      </c>
      <c r="DY41" s="915">
        <f t="shared" si="43"/>
        <v>0</v>
      </c>
      <c r="DZ41" s="915">
        <f t="shared" si="44"/>
        <v>0</v>
      </c>
      <c r="EA41" s="1041">
        <f t="shared" si="45"/>
        <v>0</v>
      </c>
      <c r="EB41" s="915">
        <f t="shared" si="2"/>
        <v>0</v>
      </c>
      <c r="EC41" s="915">
        <f t="shared" si="3"/>
        <v>0</v>
      </c>
      <c r="ED41" s="915">
        <f t="shared" si="4"/>
        <v>0</v>
      </c>
      <c r="EE41" s="915">
        <f t="shared" si="5"/>
        <v>0</v>
      </c>
      <c r="EF41" s="915">
        <f t="shared" si="6"/>
        <v>-70</v>
      </c>
      <c r="EG41" s="1041">
        <f t="shared" si="7"/>
        <v>-1.9692313102281886</v>
      </c>
      <c r="EH41" s="913">
        <f t="shared" si="8"/>
        <v>0</v>
      </c>
      <c r="EI41" s="915">
        <f t="shared" si="9"/>
        <v>0</v>
      </c>
      <c r="EJ41" s="1041">
        <f t="shared" si="10"/>
        <v>0</v>
      </c>
    </row>
    <row r="42" spans="1:140">
      <c r="A42" s="889">
        <f>Eingabedaten!A46</f>
        <v>12.4</v>
      </c>
      <c r="B42" s="1013" t="str">
        <f>Eingabedaten!C46</f>
        <v>Nebenraum</v>
      </c>
      <c r="C42" s="1719"/>
      <c r="D42" s="873"/>
      <c r="E42" s="873"/>
      <c r="F42" s="912"/>
      <c r="G42" s="913"/>
      <c r="H42" s="913"/>
      <c r="I42" s="913"/>
      <c r="J42" s="913"/>
      <c r="K42" s="913"/>
      <c r="L42" s="1767"/>
      <c r="M42" s="1040">
        <v>0</v>
      </c>
      <c r="N42" s="913">
        <v>0</v>
      </c>
      <c r="O42" s="915">
        <v>0</v>
      </c>
      <c r="P42" s="1768"/>
      <c r="Q42" s="914"/>
      <c r="R42" s="915">
        <v>35.1</v>
      </c>
      <c r="S42" s="914">
        <v>0.59453032104637327</v>
      </c>
      <c r="T42" s="914">
        <v>5.9900284900284912</v>
      </c>
      <c r="U42" s="914">
        <v>0</v>
      </c>
      <c r="V42" s="914">
        <v>5.9900284900284912</v>
      </c>
      <c r="W42" s="915">
        <v>2170</v>
      </c>
      <c r="X42" s="915">
        <v>0</v>
      </c>
      <c r="Y42" s="1041">
        <v>12.998361823361826</v>
      </c>
      <c r="Z42" s="914">
        <v>0.5</v>
      </c>
      <c r="AA42" s="914">
        <v>0</v>
      </c>
      <c r="AB42" s="915">
        <v>0</v>
      </c>
      <c r="AC42" s="1041">
        <v>0</v>
      </c>
      <c r="AD42" s="1040">
        <v>17.978823529411766</v>
      </c>
      <c r="AE42" s="915">
        <v>5.9900284900284912</v>
      </c>
      <c r="AF42" s="915">
        <v>1.1966846696036487E-2</v>
      </c>
      <c r="AG42" s="915" t="s">
        <v>18</v>
      </c>
      <c r="AH42" s="915" t="s">
        <v>18</v>
      </c>
      <c r="AI42" s="915" t="s">
        <v>18</v>
      </c>
      <c r="AJ42" s="915">
        <v>0</v>
      </c>
      <c r="AK42" s="915">
        <v>0</v>
      </c>
      <c r="AL42" s="1041">
        <v>0</v>
      </c>
      <c r="AM42" s="915">
        <v>19.096470588235295</v>
      </c>
      <c r="AN42" s="915">
        <v>119.81271562345982</v>
      </c>
      <c r="AO42" s="915">
        <v>-1</v>
      </c>
      <c r="AP42" s="915">
        <v>25.780235294117649</v>
      </c>
      <c r="AQ42" s="915">
        <v>1300</v>
      </c>
      <c r="AR42" s="1041">
        <v>33.480697119228658</v>
      </c>
      <c r="AS42" s="913"/>
      <c r="AT42" s="915"/>
      <c r="AU42" s="1041">
        <v>0</v>
      </c>
      <c r="AX42" s="1719"/>
      <c r="AY42" s="873"/>
      <c r="AZ42" s="873"/>
      <c r="BA42" s="912"/>
      <c r="BB42" s="913"/>
      <c r="BC42" s="913"/>
      <c r="BD42" s="913"/>
      <c r="BE42" s="913"/>
      <c r="BF42" s="913"/>
      <c r="BG42" s="1767"/>
      <c r="BH42" s="1040">
        <v>0</v>
      </c>
      <c r="BI42" s="913">
        <v>0</v>
      </c>
      <c r="BJ42" s="915">
        <v>0</v>
      </c>
      <c r="BK42" s="1768"/>
      <c r="BL42" s="914"/>
      <c r="BM42" s="915">
        <v>35.1</v>
      </c>
      <c r="BN42" s="914">
        <v>0.59453032104637327</v>
      </c>
      <c r="BO42" s="914">
        <v>5.9900284900284912</v>
      </c>
      <c r="BP42" s="914">
        <v>0</v>
      </c>
      <c r="BQ42" s="914">
        <v>5.9900284900284912</v>
      </c>
      <c r="BR42" s="915">
        <v>2170</v>
      </c>
      <c r="BS42" s="915">
        <v>0</v>
      </c>
      <c r="BT42" s="1041">
        <v>12.998361823361826</v>
      </c>
      <c r="BU42" s="914">
        <v>0.5</v>
      </c>
      <c r="BV42" s="914">
        <v>0</v>
      </c>
      <c r="BW42" s="915">
        <v>0</v>
      </c>
      <c r="BX42" s="1041">
        <v>0</v>
      </c>
      <c r="BY42" s="1040">
        <v>17.978823529411766</v>
      </c>
      <c r="BZ42" s="915">
        <v>5.9900284900284912</v>
      </c>
      <c r="CA42" s="915">
        <v>1.1966846696036487E-2</v>
      </c>
      <c r="CB42" s="915" t="s">
        <v>18</v>
      </c>
      <c r="CC42" s="915" t="s">
        <v>18</v>
      </c>
      <c r="CD42" s="915" t="s">
        <v>18</v>
      </c>
      <c r="CE42" s="915">
        <v>0</v>
      </c>
      <c r="CF42" s="915">
        <v>0</v>
      </c>
      <c r="CG42" s="1041">
        <v>0</v>
      </c>
      <c r="CH42" s="915">
        <v>19.096470588235295</v>
      </c>
      <c r="CI42" s="915">
        <v>119.81271562345982</v>
      </c>
      <c r="CJ42" s="915">
        <v>-1</v>
      </c>
      <c r="CK42" s="915">
        <v>25.780235294117649</v>
      </c>
      <c r="CL42" s="915">
        <v>1320</v>
      </c>
      <c r="CM42" s="1041">
        <v>34.126284261026164</v>
      </c>
      <c r="CN42" s="913"/>
      <c r="CO42" s="915"/>
      <c r="CP42" s="1041">
        <v>0</v>
      </c>
      <c r="CR42" s="1719">
        <f t="shared" si="1"/>
        <v>0</v>
      </c>
      <c r="CS42" s="873">
        <f t="shared" si="11"/>
        <v>0</v>
      </c>
      <c r="CT42" s="873">
        <f t="shared" si="12"/>
        <v>0</v>
      </c>
      <c r="CU42" s="912">
        <f t="shared" si="13"/>
        <v>0</v>
      </c>
      <c r="CV42" s="913">
        <f t="shared" si="14"/>
        <v>0</v>
      </c>
      <c r="CW42" s="913">
        <f t="shared" si="15"/>
        <v>0</v>
      </c>
      <c r="CX42" s="913">
        <f t="shared" si="16"/>
        <v>0</v>
      </c>
      <c r="CY42" s="913">
        <f t="shared" si="17"/>
        <v>0</v>
      </c>
      <c r="CZ42" s="913">
        <f t="shared" si="18"/>
        <v>0</v>
      </c>
      <c r="DA42" s="1767">
        <f t="shared" si="19"/>
        <v>0</v>
      </c>
      <c r="DB42" s="1040">
        <f t="shared" si="20"/>
        <v>0</v>
      </c>
      <c r="DC42" s="913">
        <f t="shared" si="21"/>
        <v>0</v>
      </c>
      <c r="DD42" s="915">
        <f t="shared" si="22"/>
        <v>0</v>
      </c>
      <c r="DE42" s="1768">
        <f t="shared" si="23"/>
        <v>0</v>
      </c>
      <c r="DF42" s="914">
        <f t="shared" si="24"/>
        <v>0</v>
      </c>
      <c r="DG42" s="915">
        <f t="shared" si="25"/>
        <v>0</v>
      </c>
      <c r="DH42" s="914">
        <f t="shared" si="26"/>
        <v>0</v>
      </c>
      <c r="DI42" s="914">
        <f t="shared" si="27"/>
        <v>0</v>
      </c>
      <c r="DJ42" s="914">
        <f t="shared" si="28"/>
        <v>0</v>
      </c>
      <c r="DK42" s="914">
        <f t="shared" si="29"/>
        <v>0</v>
      </c>
      <c r="DL42" s="915">
        <f t="shared" si="30"/>
        <v>0</v>
      </c>
      <c r="DM42" s="915">
        <f t="shared" si="31"/>
        <v>0</v>
      </c>
      <c r="DN42" s="1041">
        <f t="shared" si="32"/>
        <v>0</v>
      </c>
      <c r="DO42" s="914">
        <f t="shared" si="33"/>
        <v>0</v>
      </c>
      <c r="DP42" s="914">
        <f t="shared" si="34"/>
        <v>0</v>
      </c>
      <c r="DQ42" s="915">
        <f t="shared" si="35"/>
        <v>0</v>
      </c>
      <c r="DR42" s="1041">
        <f t="shared" si="36"/>
        <v>0</v>
      </c>
      <c r="DS42" s="1040">
        <f t="shared" si="37"/>
        <v>0</v>
      </c>
      <c r="DT42" s="915">
        <f t="shared" si="38"/>
        <v>0</v>
      </c>
      <c r="DU42" s="915">
        <f t="shared" si="39"/>
        <v>0</v>
      </c>
      <c r="DV42" s="915" t="e">
        <f t="shared" si="40"/>
        <v>#VALUE!</v>
      </c>
      <c r="DW42" s="915" t="e">
        <f t="shared" si="41"/>
        <v>#VALUE!</v>
      </c>
      <c r="DX42" s="915" t="e">
        <f t="shared" si="42"/>
        <v>#VALUE!</v>
      </c>
      <c r="DY42" s="915">
        <f t="shared" si="43"/>
        <v>0</v>
      </c>
      <c r="DZ42" s="915">
        <f t="shared" si="44"/>
        <v>0</v>
      </c>
      <c r="EA42" s="1041">
        <f t="shared" si="45"/>
        <v>0</v>
      </c>
      <c r="EB42" s="915">
        <f t="shared" si="2"/>
        <v>0</v>
      </c>
      <c r="EC42" s="915">
        <f t="shared" si="3"/>
        <v>0</v>
      </c>
      <c r="ED42" s="915">
        <f t="shared" si="4"/>
        <v>0</v>
      </c>
      <c r="EE42" s="915">
        <f t="shared" si="5"/>
        <v>0</v>
      </c>
      <c r="EF42" s="915">
        <f t="shared" si="6"/>
        <v>-20</v>
      </c>
      <c r="EG42" s="1041">
        <f t="shared" si="7"/>
        <v>-0.64558714179750609</v>
      </c>
      <c r="EH42" s="913">
        <f t="shared" si="8"/>
        <v>0</v>
      </c>
      <c r="EI42" s="915">
        <f t="shared" si="9"/>
        <v>0</v>
      </c>
      <c r="EJ42" s="1041">
        <f t="shared" si="10"/>
        <v>0</v>
      </c>
    </row>
    <row r="43" spans="1:140">
      <c r="A43" s="889">
        <f>Eingabedaten!A47</f>
        <v>12.5</v>
      </c>
      <c r="B43" s="1013" t="str">
        <f>Eingabedaten!C47</f>
        <v>Küche, Teeküche</v>
      </c>
      <c r="C43" s="1719"/>
      <c r="D43" s="873"/>
      <c r="E43" s="873"/>
      <c r="F43" s="912"/>
      <c r="G43" s="913"/>
      <c r="H43" s="913"/>
      <c r="I43" s="913"/>
      <c r="J43" s="913"/>
      <c r="K43" s="913"/>
      <c r="L43" s="1767"/>
      <c r="M43" s="1040">
        <v>50</v>
      </c>
      <c r="N43" s="913">
        <v>1430</v>
      </c>
      <c r="O43" s="915">
        <v>71.5</v>
      </c>
      <c r="P43" s="1768"/>
      <c r="Q43" s="914"/>
      <c r="R43" s="915">
        <v>40.099999999999994</v>
      </c>
      <c r="S43" s="914">
        <v>0.69930069930069916</v>
      </c>
      <c r="T43" s="914">
        <v>8.9152119700748163</v>
      </c>
      <c r="U43" s="914">
        <v>0</v>
      </c>
      <c r="V43" s="914">
        <v>8.9152119700748163</v>
      </c>
      <c r="W43" s="915">
        <v>1240</v>
      </c>
      <c r="X43" s="915">
        <v>0</v>
      </c>
      <c r="Y43" s="1041">
        <v>11.054862842892772</v>
      </c>
      <c r="Z43" s="914">
        <v>20</v>
      </c>
      <c r="AA43" s="914">
        <v>18.2</v>
      </c>
      <c r="AB43" s="915">
        <v>1030</v>
      </c>
      <c r="AC43" s="1041">
        <v>18.745999999999999</v>
      </c>
      <c r="AD43" s="1040">
        <v>17.978823529411766</v>
      </c>
      <c r="AE43" s="915">
        <v>93.915211970074822</v>
      </c>
      <c r="AF43" s="915">
        <v>466.40090333664625</v>
      </c>
      <c r="AG43" s="915" t="s">
        <v>18</v>
      </c>
      <c r="AH43" s="915" t="s">
        <v>18</v>
      </c>
      <c r="AI43" s="915" t="s">
        <v>18</v>
      </c>
      <c r="AJ43" s="915">
        <v>0</v>
      </c>
      <c r="AK43" s="915">
        <v>0</v>
      </c>
      <c r="AL43" s="1041">
        <v>0</v>
      </c>
      <c r="AM43" s="915">
        <v>143.8964705882353</v>
      </c>
      <c r="AN43" s="915">
        <v>15.90032049185689</v>
      </c>
      <c r="AO43" s="915">
        <v>-3</v>
      </c>
      <c r="AP43" s="915">
        <v>223.0395294117647</v>
      </c>
      <c r="AQ43" s="915">
        <v>230</v>
      </c>
      <c r="AR43" s="1041">
        <v>52.071753152400177</v>
      </c>
      <c r="AS43" s="913"/>
      <c r="AT43" s="915"/>
      <c r="AU43" s="1041">
        <v>0</v>
      </c>
      <c r="AX43" s="1719"/>
      <c r="AY43" s="873"/>
      <c r="AZ43" s="873"/>
      <c r="BA43" s="912"/>
      <c r="BB43" s="913"/>
      <c r="BC43" s="913"/>
      <c r="BD43" s="913"/>
      <c r="BE43" s="913"/>
      <c r="BF43" s="913"/>
      <c r="BG43" s="1767"/>
      <c r="BH43" s="1040">
        <v>50</v>
      </c>
      <c r="BI43" s="913">
        <v>1430</v>
      </c>
      <c r="BJ43" s="915">
        <v>71.5</v>
      </c>
      <c r="BK43" s="1768"/>
      <c r="BL43" s="914"/>
      <c r="BM43" s="915">
        <v>40.099999999999994</v>
      </c>
      <c r="BN43" s="914">
        <v>0.69930069930069916</v>
      </c>
      <c r="BO43" s="914">
        <v>8.9152119700748163</v>
      </c>
      <c r="BP43" s="914">
        <v>0</v>
      </c>
      <c r="BQ43" s="914">
        <v>8.9152119700748163</v>
      </c>
      <c r="BR43" s="915">
        <v>1240</v>
      </c>
      <c r="BS43" s="915">
        <v>0</v>
      </c>
      <c r="BT43" s="1041">
        <v>11.054862842892772</v>
      </c>
      <c r="BU43" s="914">
        <v>20</v>
      </c>
      <c r="BV43" s="914">
        <v>0</v>
      </c>
      <c r="BW43" s="915">
        <v>0</v>
      </c>
      <c r="BX43" s="1041">
        <v>0</v>
      </c>
      <c r="BY43" s="1040">
        <v>17.978823529411766</v>
      </c>
      <c r="BZ43" s="915">
        <v>93.915211970074822</v>
      </c>
      <c r="CA43" s="915">
        <v>466.40090333664625</v>
      </c>
      <c r="CB43" s="915" t="s">
        <v>18</v>
      </c>
      <c r="CC43" s="915" t="s">
        <v>18</v>
      </c>
      <c r="CD43" s="915" t="s">
        <v>18</v>
      </c>
      <c r="CE43" s="915">
        <v>0</v>
      </c>
      <c r="CF43" s="915">
        <v>0</v>
      </c>
      <c r="CG43" s="1041">
        <v>0</v>
      </c>
      <c r="CH43" s="915">
        <v>143.8964705882353</v>
      </c>
      <c r="CI43" s="915">
        <v>15.90032049185689</v>
      </c>
      <c r="CJ43" s="915">
        <v>-3</v>
      </c>
      <c r="CK43" s="915">
        <v>223.0395294117647</v>
      </c>
      <c r="CL43" s="915">
        <v>510</v>
      </c>
      <c r="CM43" s="1041">
        <v>114.40941766095507</v>
      </c>
      <c r="CN43" s="913"/>
      <c r="CO43" s="915"/>
      <c r="CP43" s="1041">
        <v>0</v>
      </c>
      <c r="CR43" s="1719">
        <f t="shared" si="1"/>
        <v>0</v>
      </c>
      <c r="CS43" s="873">
        <f t="shared" si="11"/>
        <v>0</v>
      </c>
      <c r="CT43" s="873">
        <f t="shared" si="12"/>
        <v>0</v>
      </c>
      <c r="CU43" s="912">
        <f t="shared" si="13"/>
        <v>0</v>
      </c>
      <c r="CV43" s="913">
        <f t="shared" si="14"/>
        <v>0</v>
      </c>
      <c r="CW43" s="913">
        <f t="shared" si="15"/>
        <v>0</v>
      </c>
      <c r="CX43" s="913">
        <f t="shared" si="16"/>
        <v>0</v>
      </c>
      <c r="CY43" s="913">
        <f t="shared" si="17"/>
        <v>0</v>
      </c>
      <c r="CZ43" s="913">
        <f t="shared" si="18"/>
        <v>0</v>
      </c>
      <c r="DA43" s="1767">
        <f t="shared" si="19"/>
        <v>0</v>
      </c>
      <c r="DB43" s="1040">
        <f t="shared" si="20"/>
        <v>0</v>
      </c>
      <c r="DC43" s="913">
        <f t="shared" si="21"/>
        <v>0</v>
      </c>
      <c r="DD43" s="915">
        <f t="shared" si="22"/>
        <v>0</v>
      </c>
      <c r="DE43" s="1768">
        <f t="shared" si="23"/>
        <v>0</v>
      </c>
      <c r="DF43" s="914">
        <f t="shared" si="24"/>
        <v>0</v>
      </c>
      <c r="DG43" s="915">
        <f t="shared" si="25"/>
        <v>0</v>
      </c>
      <c r="DH43" s="914">
        <f t="shared" si="26"/>
        <v>0</v>
      </c>
      <c r="DI43" s="914">
        <f t="shared" si="27"/>
        <v>0</v>
      </c>
      <c r="DJ43" s="914">
        <f t="shared" si="28"/>
        <v>0</v>
      </c>
      <c r="DK43" s="914">
        <f t="shared" si="29"/>
        <v>0</v>
      </c>
      <c r="DL43" s="915">
        <f t="shared" si="30"/>
        <v>0</v>
      </c>
      <c r="DM43" s="915">
        <f t="shared" si="31"/>
        <v>0</v>
      </c>
      <c r="DN43" s="1041">
        <f t="shared" si="32"/>
        <v>0</v>
      </c>
      <c r="DO43" s="914">
        <f t="shared" si="33"/>
        <v>0</v>
      </c>
      <c r="DP43" s="914">
        <f t="shared" si="34"/>
        <v>18.2</v>
      </c>
      <c r="DQ43" s="915">
        <f t="shared" si="35"/>
        <v>1030</v>
      </c>
      <c r="DR43" s="1041">
        <f t="shared" si="36"/>
        <v>18.745999999999999</v>
      </c>
      <c r="DS43" s="1040">
        <f t="shared" si="37"/>
        <v>0</v>
      </c>
      <c r="DT43" s="915">
        <f t="shared" si="38"/>
        <v>0</v>
      </c>
      <c r="DU43" s="915">
        <f t="shared" si="39"/>
        <v>0</v>
      </c>
      <c r="DV43" s="915" t="e">
        <f t="shared" si="40"/>
        <v>#VALUE!</v>
      </c>
      <c r="DW43" s="915" t="e">
        <f t="shared" si="41"/>
        <v>#VALUE!</v>
      </c>
      <c r="DX43" s="915" t="e">
        <f t="shared" si="42"/>
        <v>#VALUE!</v>
      </c>
      <c r="DY43" s="915">
        <f t="shared" si="43"/>
        <v>0</v>
      </c>
      <c r="DZ43" s="915">
        <f t="shared" si="44"/>
        <v>0</v>
      </c>
      <c r="EA43" s="1041">
        <f t="shared" si="45"/>
        <v>0</v>
      </c>
      <c r="EB43" s="915">
        <f t="shared" si="2"/>
        <v>0</v>
      </c>
      <c r="EC43" s="915">
        <f t="shared" si="3"/>
        <v>0</v>
      </c>
      <c r="ED43" s="915">
        <f t="shared" si="4"/>
        <v>0</v>
      </c>
      <c r="EE43" s="915">
        <f t="shared" si="5"/>
        <v>0</v>
      </c>
      <c r="EF43" s="915">
        <f t="shared" si="6"/>
        <v>-280</v>
      </c>
      <c r="EG43" s="1041">
        <f t="shared" si="7"/>
        <v>-62.337664508554894</v>
      </c>
      <c r="EH43" s="913">
        <f t="shared" si="8"/>
        <v>0</v>
      </c>
      <c r="EI43" s="915">
        <f t="shared" si="9"/>
        <v>0</v>
      </c>
      <c r="EJ43" s="1041">
        <f t="shared" si="10"/>
        <v>0</v>
      </c>
    </row>
    <row r="44" spans="1:140">
      <c r="A44" s="889">
        <f>Eingabedaten!A48</f>
        <v>12.6</v>
      </c>
      <c r="B44" s="1013" t="str">
        <f>Eingabedaten!C48</f>
        <v xml:space="preserve">WC, Bad, Dusche </v>
      </c>
      <c r="C44" s="1719"/>
      <c r="D44" s="873"/>
      <c r="E44" s="873"/>
      <c r="F44" s="912"/>
      <c r="G44" s="913"/>
      <c r="H44" s="913"/>
      <c r="I44" s="913"/>
      <c r="J44" s="913"/>
      <c r="K44" s="913"/>
      <c r="L44" s="1767"/>
      <c r="M44" s="1040">
        <v>0</v>
      </c>
      <c r="N44" s="913">
        <v>0</v>
      </c>
      <c r="O44" s="915">
        <v>0</v>
      </c>
      <c r="P44" s="1768"/>
      <c r="Q44" s="914"/>
      <c r="R44" s="915">
        <v>40.099999999999994</v>
      </c>
      <c r="S44" s="914">
        <v>0.59453032104637327</v>
      </c>
      <c r="T44" s="914">
        <v>10.48628428927681</v>
      </c>
      <c r="U44" s="914">
        <v>0</v>
      </c>
      <c r="V44" s="914">
        <v>10.48628428927681</v>
      </c>
      <c r="W44" s="915">
        <v>1240</v>
      </c>
      <c r="X44" s="915">
        <v>0</v>
      </c>
      <c r="Y44" s="1041">
        <v>13.002992518703243</v>
      </c>
      <c r="Z44" s="914">
        <v>16</v>
      </c>
      <c r="AA44" s="914">
        <v>6.4</v>
      </c>
      <c r="AB44" s="915">
        <v>1160</v>
      </c>
      <c r="AC44" s="1041">
        <v>7.4240000000000004</v>
      </c>
      <c r="AD44" s="1040">
        <v>17.978823529411766</v>
      </c>
      <c r="AE44" s="915">
        <v>10.48628428927681</v>
      </c>
      <c r="AF44" s="915">
        <v>12.233789798768562</v>
      </c>
      <c r="AG44" s="915" t="s">
        <v>18</v>
      </c>
      <c r="AH44" s="915" t="s">
        <v>18</v>
      </c>
      <c r="AI44" s="915" t="s">
        <v>18</v>
      </c>
      <c r="AJ44" s="915">
        <v>0</v>
      </c>
      <c r="AK44" s="915">
        <v>0</v>
      </c>
      <c r="AL44" s="1041">
        <v>0</v>
      </c>
      <c r="AM44" s="915">
        <v>118.29647058823531</v>
      </c>
      <c r="AN44" s="915">
        <v>19.341236375208844</v>
      </c>
      <c r="AO44" s="915">
        <v>-3</v>
      </c>
      <c r="AP44" s="915">
        <v>189.27435294117649</v>
      </c>
      <c r="AQ44" s="915">
        <v>640</v>
      </c>
      <c r="AR44" s="1041">
        <v>120.96619675597793</v>
      </c>
      <c r="AS44" s="913"/>
      <c r="AT44" s="915"/>
      <c r="AU44" s="1041">
        <v>0</v>
      </c>
      <c r="AX44" s="1719"/>
      <c r="AY44" s="873"/>
      <c r="AZ44" s="873"/>
      <c r="BA44" s="912"/>
      <c r="BB44" s="913"/>
      <c r="BC44" s="913"/>
      <c r="BD44" s="913"/>
      <c r="BE44" s="913"/>
      <c r="BF44" s="913"/>
      <c r="BG44" s="1767"/>
      <c r="BH44" s="1040">
        <v>0</v>
      </c>
      <c r="BI44" s="913">
        <v>0</v>
      </c>
      <c r="BJ44" s="915">
        <v>0</v>
      </c>
      <c r="BK44" s="1768"/>
      <c r="BL44" s="914"/>
      <c r="BM44" s="915">
        <v>40.099999999999994</v>
      </c>
      <c r="BN44" s="914">
        <v>0.59453032104637327</v>
      </c>
      <c r="BO44" s="914">
        <v>10.48628428927681</v>
      </c>
      <c r="BP44" s="914">
        <v>0</v>
      </c>
      <c r="BQ44" s="914">
        <v>10.48628428927681</v>
      </c>
      <c r="BR44" s="915">
        <v>1240</v>
      </c>
      <c r="BS44" s="915">
        <v>0</v>
      </c>
      <c r="BT44" s="1041">
        <v>13.002992518703243</v>
      </c>
      <c r="BU44" s="914">
        <v>16</v>
      </c>
      <c r="BV44" s="914">
        <v>0</v>
      </c>
      <c r="BW44" s="915">
        <v>0</v>
      </c>
      <c r="BX44" s="1041">
        <v>0</v>
      </c>
      <c r="BY44" s="1040">
        <v>17.978823529411766</v>
      </c>
      <c r="BZ44" s="915">
        <v>10.48628428927681</v>
      </c>
      <c r="CA44" s="915">
        <v>12.233789798768562</v>
      </c>
      <c r="CB44" s="915" t="s">
        <v>18</v>
      </c>
      <c r="CC44" s="915" t="s">
        <v>18</v>
      </c>
      <c r="CD44" s="915" t="s">
        <v>18</v>
      </c>
      <c r="CE44" s="915">
        <v>0</v>
      </c>
      <c r="CF44" s="915">
        <v>0</v>
      </c>
      <c r="CG44" s="1041">
        <v>0</v>
      </c>
      <c r="CH44" s="915">
        <v>118.29647058823531</v>
      </c>
      <c r="CI44" s="915">
        <v>19.341236375208844</v>
      </c>
      <c r="CJ44" s="915">
        <v>-3</v>
      </c>
      <c r="CK44" s="915">
        <v>189.27435294117649</v>
      </c>
      <c r="CL44" s="915">
        <v>700</v>
      </c>
      <c r="CM44" s="1041">
        <v>132.32107161073881</v>
      </c>
      <c r="CN44" s="913"/>
      <c r="CO44" s="915"/>
      <c r="CP44" s="1041">
        <v>0</v>
      </c>
      <c r="CR44" s="1719">
        <f t="shared" si="1"/>
        <v>0</v>
      </c>
      <c r="CS44" s="873">
        <f t="shared" si="11"/>
        <v>0</v>
      </c>
      <c r="CT44" s="873">
        <f t="shared" si="12"/>
        <v>0</v>
      </c>
      <c r="CU44" s="912">
        <f t="shared" si="13"/>
        <v>0</v>
      </c>
      <c r="CV44" s="913">
        <f t="shared" si="14"/>
        <v>0</v>
      </c>
      <c r="CW44" s="913">
        <f t="shared" si="15"/>
        <v>0</v>
      </c>
      <c r="CX44" s="913">
        <f t="shared" si="16"/>
        <v>0</v>
      </c>
      <c r="CY44" s="913">
        <f t="shared" si="17"/>
        <v>0</v>
      </c>
      <c r="CZ44" s="913">
        <f t="shared" si="18"/>
        <v>0</v>
      </c>
      <c r="DA44" s="1767">
        <f t="shared" si="19"/>
        <v>0</v>
      </c>
      <c r="DB44" s="1040">
        <f t="shared" si="20"/>
        <v>0</v>
      </c>
      <c r="DC44" s="913">
        <f t="shared" si="21"/>
        <v>0</v>
      </c>
      <c r="DD44" s="915">
        <f t="shared" si="22"/>
        <v>0</v>
      </c>
      <c r="DE44" s="1768">
        <f t="shared" si="23"/>
        <v>0</v>
      </c>
      <c r="DF44" s="914">
        <f t="shared" si="24"/>
        <v>0</v>
      </c>
      <c r="DG44" s="915">
        <f t="shared" si="25"/>
        <v>0</v>
      </c>
      <c r="DH44" s="914">
        <f t="shared" si="26"/>
        <v>0</v>
      </c>
      <c r="DI44" s="914">
        <f t="shared" si="27"/>
        <v>0</v>
      </c>
      <c r="DJ44" s="914">
        <f t="shared" si="28"/>
        <v>0</v>
      </c>
      <c r="DK44" s="914">
        <f t="shared" si="29"/>
        <v>0</v>
      </c>
      <c r="DL44" s="915">
        <f t="shared" si="30"/>
        <v>0</v>
      </c>
      <c r="DM44" s="915">
        <f t="shared" si="31"/>
        <v>0</v>
      </c>
      <c r="DN44" s="1041">
        <f t="shared" si="32"/>
        <v>0</v>
      </c>
      <c r="DO44" s="914">
        <f t="shared" si="33"/>
        <v>0</v>
      </c>
      <c r="DP44" s="914">
        <f t="shared" si="34"/>
        <v>6.4</v>
      </c>
      <c r="DQ44" s="915">
        <f t="shared" si="35"/>
        <v>1160</v>
      </c>
      <c r="DR44" s="1041">
        <f t="shared" si="36"/>
        <v>7.4240000000000004</v>
      </c>
      <c r="DS44" s="1040">
        <f t="shared" si="37"/>
        <v>0</v>
      </c>
      <c r="DT44" s="915">
        <f t="shared" si="38"/>
        <v>0</v>
      </c>
      <c r="DU44" s="915">
        <f t="shared" si="39"/>
        <v>0</v>
      </c>
      <c r="DV44" s="915" t="e">
        <f t="shared" si="40"/>
        <v>#VALUE!</v>
      </c>
      <c r="DW44" s="915" t="e">
        <f t="shared" si="41"/>
        <v>#VALUE!</v>
      </c>
      <c r="DX44" s="915" t="e">
        <f t="shared" si="42"/>
        <v>#VALUE!</v>
      </c>
      <c r="DY44" s="915">
        <f t="shared" si="43"/>
        <v>0</v>
      </c>
      <c r="DZ44" s="915">
        <f t="shared" si="44"/>
        <v>0</v>
      </c>
      <c r="EA44" s="1041">
        <f t="shared" si="45"/>
        <v>0</v>
      </c>
      <c r="EB44" s="915">
        <f t="shared" si="2"/>
        <v>0</v>
      </c>
      <c r="EC44" s="915">
        <f t="shared" si="3"/>
        <v>0</v>
      </c>
      <c r="ED44" s="915">
        <f t="shared" si="4"/>
        <v>0</v>
      </c>
      <c r="EE44" s="915">
        <f t="shared" si="5"/>
        <v>0</v>
      </c>
      <c r="EF44" s="915">
        <f t="shared" si="6"/>
        <v>-60</v>
      </c>
      <c r="EG44" s="1041">
        <f t="shared" si="7"/>
        <v>-11.35487485476088</v>
      </c>
      <c r="EH44" s="913">
        <f t="shared" si="8"/>
        <v>0</v>
      </c>
      <c r="EI44" s="915">
        <f t="shared" si="9"/>
        <v>0</v>
      </c>
      <c r="EJ44" s="1041">
        <f t="shared" si="10"/>
        <v>0</v>
      </c>
    </row>
    <row r="45" spans="1:140">
      <c r="A45" s="882">
        <f>Eingabedaten!A49</f>
        <v>12.7</v>
      </c>
      <c r="B45" s="1013" t="str">
        <f>Eingabedaten!C49</f>
        <v>WC</v>
      </c>
      <c r="C45" s="1719"/>
      <c r="D45" s="873"/>
      <c r="E45" s="873"/>
      <c r="F45" s="912"/>
      <c r="G45" s="913"/>
      <c r="H45" s="913"/>
      <c r="I45" s="913"/>
      <c r="J45" s="913"/>
      <c r="K45" s="913"/>
      <c r="L45" s="1767"/>
      <c r="M45" s="1040">
        <v>0</v>
      </c>
      <c r="N45" s="913">
        <v>0</v>
      </c>
      <c r="O45" s="915">
        <v>0</v>
      </c>
      <c r="P45" s="1768"/>
      <c r="Q45" s="914"/>
      <c r="R45" s="915">
        <v>40.099999999999994</v>
      </c>
      <c r="S45" s="914">
        <v>0.36231884057971009</v>
      </c>
      <c r="T45" s="914">
        <v>17.206982543640905</v>
      </c>
      <c r="U45" s="914">
        <v>0</v>
      </c>
      <c r="V45" s="914">
        <v>17.206982543640905</v>
      </c>
      <c r="W45" s="915">
        <v>2300</v>
      </c>
      <c r="X45" s="915">
        <v>0</v>
      </c>
      <c r="Y45" s="1041">
        <v>39.576059850374087</v>
      </c>
      <c r="Z45" s="914">
        <v>8</v>
      </c>
      <c r="AA45" s="914">
        <v>3.2</v>
      </c>
      <c r="AB45" s="915">
        <v>1160</v>
      </c>
      <c r="AC45" s="1041">
        <v>3.7120000000000002</v>
      </c>
      <c r="AD45" s="1040">
        <v>44.947058823529417</v>
      </c>
      <c r="AE45" s="915">
        <v>17.206982543640905</v>
      </c>
      <c r="AF45" s="915">
        <v>223.55329012981105</v>
      </c>
      <c r="AG45" s="915" t="s">
        <v>18</v>
      </c>
      <c r="AH45" s="915" t="s">
        <v>18</v>
      </c>
      <c r="AI45" s="915" t="s">
        <v>18</v>
      </c>
      <c r="AJ45" s="915">
        <v>0</v>
      </c>
      <c r="AK45" s="915">
        <v>0</v>
      </c>
      <c r="AL45" s="1041">
        <v>0</v>
      </c>
      <c r="AM45" s="915">
        <v>17.612235294117649</v>
      </c>
      <c r="AN45" s="915">
        <v>35.134665740394368</v>
      </c>
      <c r="AO45" s="915">
        <v>-3</v>
      </c>
      <c r="AP45" s="915">
        <v>136.49482352941178</v>
      </c>
      <c r="AQ45" s="915">
        <v>920</v>
      </c>
      <c r="AR45" s="1041">
        <v>125.12521418077199</v>
      </c>
      <c r="AS45" s="913"/>
      <c r="AT45" s="915"/>
      <c r="AU45" s="1041">
        <v>0</v>
      </c>
      <c r="AX45" s="1719"/>
      <c r="AY45" s="873"/>
      <c r="AZ45" s="873"/>
      <c r="BA45" s="912"/>
      <c r="BB45" s="913"/>
      <c r="BC45" s="913"/>
      <c r="BD45" s="913"/>
      <c r="BE45" s="913"/>
      <c r="BF45" s="913"/>
      <c r="BG45" s="1767"/>
      <c r="BH45" s="1040">
        <v>0</v>
      </c>
      <c r="BI45" s="913">
        <v>0</v>
      </c>
      <c r="BJ45" s="915">
        <v>0</v>
      </c>
      <c r="BK45" s="1768"/>
      <c r="BL45" s="914"/>
      <c r="BM45" s="915">
        <v>40.099999999999994</v>
      </c>
      <c r="BN45" s="914">
        <v>0.36231884057971009</v>
      </c>
      <c r="BO45" s="914">
        <v>17.206982543640905</v>
      </c>
      <c r="BP45" s="914">
        <v>0</v>
      </c>
      <c r="BQ45" s="914">
        <v>17.206982543640905</v>
      </c>
      <c r="BR45" s="915">
        <v>2300</v>
      </c>
      <c r="BS45" s="915">
        <v>0</v>
      </c>
      <c r="BT45" s="1041">
        <v>39.576059850374087</v>
      </c>
      <c r="BU45" s="914">
        <v>8</v>
      </c>
      <c r="BV45" s="914">
        <v>0</v>
      </c>
      <c r="BW45" s="915">
        <v>0</v>
      </c>
      <c r="BX45" s="1041">
        <v>0</v>
      </c>
      <c r="BY45" s="1040">
        <v>44.947058823529417</v>
      </c>
      <c r="BZ45" s="915">
        <v>17.206982543640905</v>
      </c>
      <c r="CA45" s="915">
        <v>223.55329012981105</v>
      </c>
      <c r="CB45" s="915" t="s">
        <v>18</v>
      </c>
      <c r="CC45" s="915" t="s">
        <v>18</v>
      </c>
      <c r="CD45" s="915" t="s">
        <v>18</v>
      </c>
      <c r="CE45" s="915">
        <v>0</v>
      </c>
      <c r="CF45" s="915">
        <v>0</v>
      </c>
      <c r="CG45" s="1041">
        <v>0</v>
      </c>
      <c r="CH45" s="915">
        <v>17.612235294117649</v>
      </c>
      <c r="CI45" s="915">
        <v>35.134665740394368</v>
      </c>
      <c r="CJ45" s="915">
        <v>-3</v>
      </c>
      <c r="CK45" s="915">
        <v>136.49482352941178</v>
      </c>
      <c r="CL45" s="915">
        <v>1020</v>
      </c>
      <c r="CM45" s="1041">
        <v>139.82305633681014</v>
      </c>
      <c r="CN45" s="913"/>
      <c r="CO45" s="915"/>
      <c r="CP45" s="1041">
        <v>0</v>
      </c>
      <c r="CR45" s="1719">
        <f t="shared" si="1"/>
        <v>0</v>
      </c>
      <c r="CS45" s="873">
        <f t="shared" si="11"/>
        <v>0</v>
      </c>
      <c r="CT45" s="873">
        <f t="shared" si="12"/>
        <v>0</v>
      </c>
      <c r="CU45" s="912">
        <f t="shared" si="13"/>
        <v>0</v>
      </c>
      <c r="CV45" s="913">
        <f t="shared" si="14"/>
        <v>0</v>
      </c>
      <c r="CW45" s="913">
        <f t="shared" si="15"/>
        <v>0</v>
      </c>
      <c r="CX45" s="913">
        <f t="shared" si="16"/>
        <v>0</v>
      </c>
      <c r="CY45" s="913">
        <f t="shared" si="17"/>
        <v>0</v>
      </c>
      <c r="CZ45" s="913">
        <f t="shared" si="18"/>
        <v>0</v>
      </c>
      <c r="DA45" s="1767">
        <f t="shared" si="19"/>
        <v>0</v>
      </c>
      <c r="DB45" s="1040">
        <f t="shared" si="20"/>
        <v>0</v>
      </c>
      <c r="DC45" s="913">
        <f t="shared" si="21"/>
        <v>0</v>
      </c>
      <c r="DD45" s="915">
        <f t="shared" si="22"/>
        <v>0</v>
      </c>
      <c r="DE45" s="1768">
        <f t="shared" si="23"/>
        <v>0</v>
      </c>
      <c r="DF45" s="914">
        <f t="shared" si="24"/>
        <v>0</v>
      </c>
      <c r="DG45" s="915">
        <f t="shared" si="25"/>
        <v>0</v>
      </c>
      <c r="DH45" s="914">
        <f t="shared" si="26"/>
        <v>0</v>
      </c>
      <c r="DI45" s="914">
        <f t="shared" si="27"/>
        <v>0</v>
      </c>
      <c r="DJ45" s="914">
        <f t="shared" si="28"/>
        <v>0</v>
      </c>
      <c r="DK45" s="914">
        <f t="shared" si="29"/>
        <v>0</v>
      </c>
      <c r="DL45" s="915">
        <f t="shared" si="30"/>
        <v>0</v>
      </c>
      <c r="DM45" s="915">
        <f t="shared" si="31"/>
        <v>0</v>
      </c>
      <c r="DN45" s="1041">
        <f t="shared" si="32"/>
        <v>0</v>
      </c>
      <c r="DO45" s="914">
        <f t="shared" si="33"/>
        <v>0</v>
      </c>
      <c r="DP45" s="914">
        <f t="shared" si="34"/>
        <v>3.2</v>
      </c>
      <c r="DQ45" s="915">
        <f t="shared" si="35"/>
        <v>1160</v>
      </c>
      <c r="DR45" s="1041">
        <f t="shared" si="36"/>
        <v>3.7120000000000002</v>
      </c>
      <c r="DS45" s="1040">
        <f t="shared" si="37"/>
        <v>0</v>
      </c>
      <c r="DT45" s="915">
        <f t="shared" si="38"/>
        <v>0</v>
      </c>
      <c r="DU45" s="915">
        <f t="shared" si="39"/>
        <v>0</v>
      </c>
      <c r="DV45" s="915" t="e">
        <f t="shared" si="40"/>
        <v>#VALUE!</v>
      </c>
      <c r="DW45" s="915" t="e">
        <f t="shared" si="41"/>
        <v>#VALUE!</v>
      </c>
      <c r="DX45" s="915" t="e">
        <f t="shared" si="42"/>
        <v>#VALUE!</v>
      </c>
      <c r="DY45" s="915">
        <f t="shared" si="43"/>
        <v>0</v>
      </c>
      <c r="DZ45" s="915">
        <f t="shared" si="44"/>
        <v>0</v>
      </c>
      <c r="EA45" s="1041">
        <f t="shared" si="45"/>
        <v>0</v>
      </c>
      <c r="EB45" s="915">
        <f t="shared" si="2"/>
        <v>0</v>
      </c>
      <c r="EC45" s="915">
        <f t="shared" si="3"/>
        <v>0</v>
      </c>
      <c r="ED45" s="915">
        <f t="shared" si="4"/>
        <v>0</v>
      </c>
      <c r="EE45" s="915">
        <f t="shared" si="5"/>
        <v>0</v>
      </c>
      <c r="EF45" s="915">
        <f t="shared" si="6"/>
        <v>-100</v>
      </c>
      <c r="EG45" s="1041">
        <f t="shared" si="7"/>
        <v>-14.697842156038149</v>
      </c>
      <c r="EH45" s="913">
        <f t="shared" si="8"/>
        <v>0</v>
      </c>
      <c r="EI45" s="915">
        <f t="shared" si="9"/>
        <v>0</v>
      </c>
      <c r="EJ45" s="1041">
        <f t="shared" si="10"/>
        <v>0</v>
      </c>
    </row>
    <row r="46" spans="1:140">
      <c r="A46" s="889">
        <f>Eingabedaten!A50</f>
        <v>12.8</v>
      </c>
      <c r="B46" s="1013" t="str">
        <f>Eingabedaten!C50</f>
        <v>Garderobe, Dusche</v>
      </c>
      <c r="C46" s="1719"/>
      <c r="D46" s="873"/>
      <c r="E46" s="873"/>
      <c r="F46" s="912"/>
      <c r="G46" s="913"/>
      <c r="H46" s="913"/>
      <c r="I46" s="913"/>
      <c r="J46" s="913"/>
      <c r="K46" s="913"/>
      <c r="L46" s="1767"/>
      <c r="M46" s="1040">
        <v>0</v>
      </c>
      <c r="N46" s="913">
        <v>0</v>
      </c>
      <c r="O46" s="915">
        <v>0</v>
      </c>
      <c r="P46" s="1768"/>
      <c r="Q46" s="914"/>
      <c r="R46" s="915">
        <v>40.099999999999994</v>
      </c>
      <c r="S46" s="914">
        <v>0.63025210084033612</v>
      </c>
      <c r="T46" s="914">
        <v>9.8919368246051551</v>
      </c>
      <c r="U46" s="914">
        <v>0</v>
      </c>
      <c r="V46" s="914">
        <v>9.8919368246051551</v>
      </c>
      <c r="W46" s="915">
        <v>1490</v>
      </c>
      <c r="X46" s="915">
        <v>0</v>
      </c>
      <c r="Y46" s="1041">
        <v>14.738985868661681</v>
      </c>
      <c r="Z46" s="914">
        <v>20</v>
      </c>
      <c r="AA46" s="914">
        <v>0</v>
      </c>
      <c r="AB46" s="915">
        <v>0</v>
      </c>
      <c r="AC46" s="1041">
        <v>0</v>
      </c>
      <c r="AD46" s="1040">
        <v>17.978823529411766</v>
      </c>
      <c r="AE46" s="915">
        <v>9.8919368246051551</v>
      </c>
      <c r="AF46" s="915">
        <v>11.540396242992143</v>
      </c>
      <c r="AG46" s="915" t="s">
        <v>18</v>
      </c>
      <c r="AH46" s="915" t="s">
        <v>18</v>
      </c>
      <c r="AI46" s="915" t="s">
        <v>18</v>
      </c>
      <c r="AJ46" s="915">
        <v>0</v>
      </c>
      <c r="AK46" s="915">
        <v>0</v>
      </c>
      <c r="AL46" s="1041">
        <v>0</v>
      </c>
      <c r="AM46" s="915">
        <v>259.01364705882355</v>
      </c>
      <c r="AN46" s="915">
        <v>15.386061874550331</v>
      </c>
      <c r="AO46" s="915">
        <v>-3</v>
      </c>
      <c r="AP46" s="915">
        <v>230.2343529411765</v>
      </c>
      <c r="AQ46" s="915">
        <v>610</v>
      </c>
      <c r="AR46" s="1041">
        <v>140.41992716242089</v>
      </c>
      <c r="AS46" s="913"/>
      <c r="AT46" s="915"/>
      <c r="AU46" s="1041">
        <v>0</v>
      </c>
      <c r="AX46" s="1719"/>
      <c r="AY46" s="873"/>
      <c r="AZ46" s="873"/>
      <c r="BA46" s="912"/>
      <c r="BB46" s="913"/>
      <c r="BC46" s="913"/>
      <c r="BD46" s="913"/>
      <c r="BE46" s="913"/>
      <c r="BF46" s="913"/>
      <c r="BG46" s="1767"/>
      <c r="BH46" s="1040">
        <v>0</v>
      </c>
      <c r="BI46" s="913">
        <v>0</v>
      </c>
      <c r="BJ46" s="915">
        <v>0</v>
      </c>
      <c r="BK46" s="1768"/>
      <c r="BL46" s="914"/>
      <c r="BM46" s="915">
        <v>40.099999999999994</v>
      </c>
      <c r="BN46" s="914">
        <v>0.63025210084033612</v>
      </c>
      <c r="BO46" s="914">
        <v>9.8919368246051551</v>
      </c>
      <c r="BP46" s="914">
        <v>0</v>
      </c>
      <c r="BQ46" s="914">
        <v>9.8919368246051551</v>
      </c>
      <c r="BR46" s="915">
        <v>1490</v>
      </c>
      <c r="BS46" s="915">
        <v>0</v>
      </c>
      <c r="BT46" s="1041">
        <v>14.738985868661681</v>
      </c>
      <c r="BU46" s="914">
        <v>20</v>
      </c>
      <c r="BV46" s="914">
        <v>0</v>
      </c>
      <c r="BW46" s="915">
        <v>0</v>
      </c>
      <c r="BX46" s="1041">
        <v>0</v>
      </c>
      <c r="BY46" s="1040">
        <v>17.978823529411766</v>
      </c>
      <c r="BZ46" s="915">
        <v>9.8919368246051551</v>
      </c>
      <c r="CA46" s="915">
        <v>11.540396242992143</v>
      </c>
      <c r="CB46" s="915" t="s">
        <v>18</v>
      </c>
      <c r="CC46" s="915" t="s">
        <v>18</v>
      </c>
      <c r="CD46" s="915" t="s">
        <v>18</v>
      </c>
      <c r="CE46" s="915">
        <v>0</v>
      </c>
      <c r="CF46" s="915">
        <v>0</v>
      </c>
      <c r="CG46" s="1041">
        <v>0</v>
      </c>
      <c r="CH46" s="915">
        <v>259.01364705882355</v>
      </c>
      <c r="CI46" s="915">
        <v>15.386061874550331</v>
      </c>
      <c r="CJ46" s="915">
        <v>-3</v>
      </c>
      <c r="CK46" s="915">
        <v>230.2343529411765</v>
      </c>
      <c r="CL46" s="915">
        <v>660</v>
      </c>
      <c r="CM46" s="1041">
        <v>152.46954204666341</v>
      </c>
      <c r="CN46" s="913"/>
      <c r="CO46" s="915"/>
      <c r="CP46" s="1041">
        <v>0</v>
      </c>
      <c r="CR46" s="1719">
        <f t="shared" si="1"/>
        <v>0</v>
      </c>
      <c r="CS46" s="873">
        <f t="shared" si="11"/>
        <v>0</v>
      </c>
      <c r="CT46" s="873">
        <f t="shared" si="12"/>
        <v>0</v>
      </c>
      <c r="CU46" s="912">
        <f t="shared" si="13"/>
        <v>0</v>
      </c>
      <c r="CV46" s="913">
        <f t="shared" si="14"/>
        <v>0</v>
      </c>
      <c r="CW46" s="913">
        <f t="shared" si="15"/>
        <v>0</v>
      </c>
      <c r="CX46" s="913">
        <f t="shared" si="16"/>
        <v>0</v>
      </c>
      <c r="CY46" s="913">
        <f t="shared" si="17"/>
        <v>0</v>
      </c>
      <c r="CZ46" s="913">
        <f t="shared" si="18"/>
        <v>0</v>
      </c>
      <c r="DA46" s="1767">
        <f t="shared" si="19"/>
        <v>0</v>
      </c>
      <c r="DB46" s="1040">
        <f t="shared" si="20"/>
        <v>0</v>
      </c>
      <c r="DC46" s="913">
        <f t="shared" si="21"/>
        <v>0</v>
      </c>
      <c r="DD46" s="915">
        <f t="shared" si="22"/>
        <v>0</v>
      </c>
      <c r="DE46" s="1768">
        <f t="shared" si="23"/>
        <v>0</v>
      </c>
      <c r="DF46" s="914">
        <f t="shared" si="24"/>
        <v>0</v>
      </c>
      <c r="DG46" s="915">
        <f t="shared" si="25"/>
        <v>0</v>
      </c>
      <c r="DH46" s="914">
        <f t="shared" si="26"/>
        <v>0</v>
      </c>
      <c r="DI46" s="914">
        <f t="shared" si="27"/>
        <v>0</v>
      </c>
      <c r="DJ46" s="914">
        <f t="shared" si="28"/>
        <v>0</v>
      </c>
      <c r="DK46" s="914">
        <f t="shared" si="29"/>
        <v>0</v>
      </c>
      <c r="DL46" s="915">
        <f t="shared" si="30"/>
        <v>0</v>
      </c>
      <c r="DM46" s="915">
        <f t="shared" si="31"/>
        <v>0</v>
      </c>
      <c r="DN46" s="1041">
        <f t="shared" si="32"/>
        <v>0</v>
      </c>
      <c r="DO46" s="914">
        <f t="shared" si="33"/>
        <v>0</v>
      </c>
      <c r="DP46" s="914">
        <f t="shared" si="34"/>
        <v>0</v>
      </c>
      <c r="DQ46" s="915">
        <f t="shared" si="35"/>
        <v>0</v>
      </c>
      <c r="DR46" s="1041">
        <f t="shared" si="36"/>
        <v>0</v>
      </c>
      <c r="DS46" s="1040">
        <f t="shared" si="37"/>
        <v>0</v>
      </c>
      <c r="DT46" s="915">
        <f t="shared" si="38"/>
        <v>0</v>
      </c>
      <c r="DU46" s="915">
        <f t="shared" si="39"/>
        <v>0</v>
      </c>
      <c r="DV46" s="915" t="e">
        <f t="shared" si="40"/>
        <v>#VALUE!</v>
      </c>
      <c r="DW46" s="915" t="e">
        <f t="shared" si="41"/>
        <v>#VALUE!</v>
      </c>
      <c r="DX46" s="915" t="e">
        <f t="shared" si="42"/>
        <v>#VALUE!</v>
      </c>
      <c r="DY46" s="915">
        <f t="shared" si="43"/>
        <v>0</v>
      </c>
      <c r="DZ46" s="915">
        <f t="shared" si="44"/>
        <v>0</v>
      </c>
      <c r="EA46" s="1041">
        <f t="shared" si="45"/>
        <v>0</v>
      </c>
      <c r="EB46" s="915">
        <f t="shared" si="2"/>
        <v>0</v>
      </c>
      <c r="EC46" s="915">
        <f t="shared" si="3"/>
        <v>0</v>
      </c>
      <c r="ED46" s="915">
        <f t="shared" si="4"/>
        <v>0</v>
      </c>
      <c r="EE46" s="915">
        <f t="shared" si="5"/>
        <v>0</v>
      </c>
      <c r="EF46" s="915">
        <f t="shared" si="6"/>
        <v>-50</v>
      </c>
      <c r="EG46" s="1041">
        <f t="shared" si="7"/>
        <v>-12.049614884242516</v>
      </c>
      <c r="EH46" s="913">
        <f t="shared" si="8"/>
        <v>0</v>
      </c>
      <c r="EI46" s="915">
        <f t="shared" si="9"/>
        <v>0</v>
      </c>
      <c r="EJ46" s="1041">
        <f t="shared" si="10"/>
        <v>0</v>
      </c>
    </row>
    <row r="47" spans="1:140">
      <c r="A47" s="889">
        <f>Eingabedaten!A51</f>
        <v>12.9</v>
      </c>
      <c r="B47" s="1013" t="str">
        <f>Eingabedaten!C51</f>
        <v>Parkhaus</v>
      </c>
      <c r="C47" s="1719"/>
      <c r="D47" s="873"/>
      <c r="E47" s="873"/>
      <c r="F47" s="912"/>
      <c r="G47" s="913"/>
      <c r="H47" s="913"/>
      <c r="I47" s="913"/>
      <c r="J47" s="913"/>
      <c r="K47" s="913"/>
      <c r="L47" s="1767"/>
      <c r="M47" s="1040">
        <v>2</v>
      </c>
      <c r="N47" s="913">
        <v>2130</v>
      </c>
      <c r="O47" s="915">
        <v>4.26</v>
      </c>
      <c r="P47" s="1768"/>
      <c r="Q47" s="914"/>
      <c r="R47" s="915">
        <v>33.849999999999994</v>
      </c>
      <c r="S47" s="914">
        <v>0.96525096525096532</v>
      </c>
      <c r="T47" s="914">
        <v>2.8692762186115219</v>
      </c>
      <c r="U47" s="914">
        <v>0</v>
      </c>
      <c r="V47" s="914">
        <v>2.8692762186115219</v>
      </c>
      <c r="W47" s="915">
        <v>3210</v>
      </c>
      <c r="X47" s="915">
        <v>0</v>
      </c>
      <c r="Y47" s="1041">
        <v>9.2103766617429859</v>
      </c>
      <c r="Z47" s="914">
        <v>2</v>
      </c>
      <c r="AA47" s="914">
        <v>0.28000000000000003</v>
      </c>
      <c r="AB47" s="915">
        <v>1620</v>
      </c>
      <c r="AC47" s="1041">
        <v>0.4536</v>
      </c>
      <c r="AD47" s="1040">
        <v>0</v>
      </c>
      <c r="AE47" s="915">
        <v>4.8692762186115219</v>
      </c>
      <c r="AF47" s="915">
        <v>51.900590841949779</v>
      </c>
      <c r="AG47" s="915" t="s">
        <v>18</v>
      </c>
      <c r="AH47" s="915" t="s">
        <v>18</v>
      </c>
      <c r="AI47" s="915" t="s">
        <v>18</v>
      </c>
      <c r="AJ47" s="915">
        <v>0</v>
      </c>
      <c r="AK47" s="915">
        <v>0</v>
      </c>
      <c r="AL47" s="1041">
        <v>0</v>
      </c>
      <c r="AM47" s="915">
        <v>294.39999999999998</v>
      </c>
      <c r="AN47" s="915">
        <v>122.28260869565219</v>
      </c>
      <c r="AO47" s="915">
        <v>-1</v>
      </c>
      <c r="AP47" s="915">
        <v>0</v>
      </c>
      <c r="AQ47" s="915">
        <v>0</v>
      </c>
      <c r="AR47" s="1041">
        <v>0</v>
      </c>
      <c r="AS47" s="913"/>
      <c r="AT47" s="915"/>
      <c r="AU47" s="1041">
        <v>0</v>
      </c>
      <c r="AX47" s="1719"/>
      <c r="AY47" s="873"/>
      <c r="AZ47" s="873"/>
      <c r="BA47" s="912"/>
      <c r="BB47" s="913"/>
      <c r="BC47" s="913"/>
      <c r="BD47" s="913"/>
      <c r="BE47" s="913"/>
      <c r="BF47" s="913"/>
      <c r="BG47" s="1767"/>
      <c r="BH47" s="1040">
        <v>2</v>
      </c>
      <c r="BI47" s="913">
        <v>2130</v>
      </c>
      <c r="BJ47" s="915">
        <v>4.26</v>
      </c>
      <c r="BK47" s="1768"/>
      <c r="BL47" s="914"/>
      <c r="BM47" s="915">
        <v>33.849999999999994</v>
      </c>
      <c r="BN47" s="914">
        <v>0.96525096525096532</v>
      </c>
      <c r="BO47" s="914">
        <v>2.8692762186115219</v>
      </c>
      <c r="BP47" s="914">
        <v>0</v>
      </c>
      <c r="BQ47" s="914">
        <v>2.8692762186115219</v>
      </c>
      <c r="BR47" s="915">
        <v>3210</v>
      </c>
      <c r="BS47" s="915">
        <v>0</v>
      </c>
      <c r="BT47" s="1041">
        <v>9.2103766617429859</v>
      </c>
      <c r="BU47" s="914">
        <v>2</v>
      </c>
      <c r="BV47" s="914">
        <v>0</v>
      </c>
      <c r="BW47" s="915">
        <v>0</v>
      </c>
      <c r="BX47" s="1041">
        <v>0</v>
      </c>
      <c r="BY47" s="1040">
        <v>0</v>
      </c>
      <c r="BZ47" s="915">
        <v>4.8692762186115219</v>
      </c>
      <c r="CA47" s="915">
        <v>51.900590841949779</v>
      </c>
      <c r="CB47" s="915" t="s">
        <v>18</v>
      </c>
      <c r="CC47" s="915" t="s">
        <v>18</v>
      </c>
      <c r="CD47" s="915" t="s">
        <v>18</v>
      </c>
      <c r="CE47" s="915">
        <v>0</v>
      </c>
      <c r="CF47" s="915">
        <v>0</v>
      </c>
      <c r="CG47" s="1041">
        <v>0</v>
      </c>
      <c r="CH47" s="915">
        <v>294.39999999999998</v>
      </c>
      <c r="CI47" s="915">
        <v>122.28260869565219</v>
      </c>
      <c r="CJ47" s="915">
        <v>-1</v>
      </c>
      <c r="CK47" s="915">
        <v>0</v>
      </c>
      <c r="CL47" s="915">
        <v>0</v>
      </c>
      <c r="CM47" s="1041">
        <v>0</v>
      </c>
      <c r="CN47" s="913"/>
      <c r="CO47" s="915"/>
      <c r="CP47" s="1041">
        <v>0</v>
      </c>
      <c r="CR47" s="1719">
        <f t="shared" si="1"/>
        <v>0</v>
      </c>
      <c r="CS47" s="873">
        <f t="shared" si="11"/>
        <v>0</v>
      </c>
      <c r="CT47" s="873">
        <f t="shared" si="12"/>
        <v>0</v>
      </c>
      <c r="CU47" s="912">
        <f t="shared" si="13"/>
        <v>0</v>
      </c>
      <c r="CV47" s="913">
        <f t="shared" si="14"/>
        <v>0</v>
      </c>
      <c r="CW47" s="913">
        <f t="shared" si="15"/>
        <v>0</v>
      </c>
      <c r="CX47" s="913">
        <f t="shared" si="16"/>
        <v>0</v>
      </c>
      <c r="CY47" s="913">
        <f t="shared" si="17"/>
        <v>0</v>
      </c>
      <c r="CZ47" s="913">
        <f t="shared" si="18"/>
        <v>0</v>
      </c>
      <c r="DA47" s="1767">
        <f t="shared" si="19"/>
        <v>0</v>
      </c>
      <c r="DB47" s="1040">
        <f t="shared" si="20"/>
        <v>0</v>
      </c>
      <c r="DC47" s="913">
        <f t="shared" si="21"/>
        <v>0</v>
      </c>
      <c r="DD47" s="915">
        <f t="shared" si="22"/>
        <v>0</v>
      </c>
      <c r="DE47" s="1768">
        <f t="shared" si="23"/>
        <v>0</v>
      </c>
      <c r="DF47" s="914">
        <f t="shared" si="24"/>
        <v>0</v>
      </c>
      <c r="DG47" s="915">
        <f t="shared" si="25"/>
        <v>0</v>
      </c>
      <c r="DH47" s="914">
        <f t="shared" si="26"/>
        <v>0</v>
      </c>
      <c r="DI47" s="914">
        <f t="shared" si="27"/>
        <v>0</v>
      </c>
      <c r="DJ47" s="914">
        <f t="shared" si="28"/>
        <v>0</v>
      </c>
      <c r="DK47" s="914">
        <f t="shared" si="29"/>
        <v>0</v>
      </c>
      <c r="DL47" s="915">
        <f t="shared" si="30"/>
        <v>0</v>
      </c>
      <c r="DM47" s="915">
        <f t="shared" si="31"/>
        <v>0</v>
      </c>
      <c r="DN47" s="1041">
        <f t="shared" si="32"/>
        <v>0</v>
      </c>
      <c r="DO47" s="914">
        <f t="shared" si="33"/>
        <v>0</v>
      </c>
      <c r="DP47" s="914">
        <f t="shared" si="34"/>
        <v>0.28000000000000003</v>
      </c>
      <c r="DQ47" s="915">
        <f t="shared" si="35"/>
        <v>1620</v>
      </c>
      <c r="DR47" s="1041">
        <f t="shared" si="36"/>
        <v>0.4536</v>
      </c>
      <c r="DS47" s="1040">
        <f t="shared" si="37"/>
        <v>0</v>
      </c>
      <c r="DT47" s="915">
        <f t="shared" si="38"/>
        <v>0</v>
      </c>
      <c r="DU47" s="915">
        <f t="shared" si="39"/>
        <v>0</v>
      </c>
      <c r="DV47" s="915" t="e">
        <f t="shared" si="40"/>
        <v>#VALUE!</v>
      </c>
      <c r="DW47" s="915" t="e">
        <f t="shared" si="41"/>
        <v>#VALUE!</v>
      </c>
      <c r="DX47" s="915" t="e">
        <f t="shared" si="42"/>
        <v>#VALUE!</v>
      </c>
      <c r="DY47" s="915">
        <f t="shared" si="43"/>
        <v>0</v>
      </c>
      <c r="DZ47" s="915">
        <f t="shared" si="44"/>
        <v>0</v>
      </c>
      <c r="EA47" s="1041">
        <f t="shared" si="45"/>
        <v>0</v>
      </c>
      <c r="EB47" s="915">
        <f t="shared" si="2"/>
        <v>0</v>
      </c>
      <c r="EC47" s="915">
        <f t="shared" si="3"/>
        <v>0</v>
      </c>
      <c r="ED47" s="915">
        <f t="shared" si="4"/>
        <v>0</v>
      </c>
      <c r="EE47" s="915">
        <f t="shared" si="5"/>
        <v>0</v>
      </c>
      <c r="EF47" s="915">
        <f t="shared" si="6"/>
        <v>0</v>
      </c>
      <c r="EG47" s="1041">
        <f t="shared" si="7"/>
        <v>0</v>
      </c>
      <c r="EH47" s="913">
        <f t="shared" si="8"/>
        <v>0</v>
      </c>
      <c r="EI47" s="915">
        <f t="shared" si="9"/>
        <v>0</v>
      </c>
      <c r="EJ47" s="1041">
        <f t="shared" si="10"/>
        <v>0</v>
      </c>
    </row>
    <row r="48" spans="1:140">
      <c r="A48" s="1713" t="str">
        <f>Eingabedaten!A52</f>
        <v>12.10</v>
      </c>
      <c r="B48" s="1013" t="str">
        <f>Eingabedaten!C52</f>
        <v>Wasch- und Trockenraum</v>
      </c>
      <c r="C48" s="1719"/>
      <c r="D48" s="873"/>
      <c r="E48" s="873"/>
      <c r="F48" s="912"/>
      <c r="G48" s="913"/>
      <c r="H48" s="913"/>
      <c r="I48" s="913"/>
      <c r="J48" s="913"/>
      <c r="K48" s="913"/>
      <c r="L48" s="1767"/>
      <c r="M48" s="1040">
        <v>25</v>
      </c>
      <c r="N48" s="913">
        <v>1720</v>
      </c>
      <c r="O48" s="915">
        <v>43</v>
      </c>
      <c r="P48" s="1768"/>
      <c r="Q48" s="914"/>
      <c r="R48" s="915">
        <v>40.099999999999994</v>
      </c>
      <c r="S48" s="914">
        <v>0.63025210084033612</v>
      </c>
      <c r="T48" s="914">
        <v>9.8919368246051551</v>
      </c>
      <c r="U48" s="914">
        <v>0</v>
      </c>
      <c r="V48" s="914">
        <v>9.8919368246051551</v>
      </c>
      <c r="W48" s="915">
        <v>1730</v>
      </c>
      <c r="X48" s="915">
        <v>0</v>
      </c>
      <c r="Y48" s="1041">
        <v>17.11305070656692</v>
      </c>
      <c r="Z48" s="914">
        <v>4</v>
      </c>
      <c r="AA48" s="914">
        <v>0</v>
      </c>
      <c r="AB48" s="915">
        <v>0</v>
      </c>
      <c r="AC48" s="1041">
        <v>0</v>
      </c>
      <c r="AD48" s="1040">
        <v>17.978823529411766</v>
      </c>
      <c r="AE48" s="915">
        <v>34.891936824605153</v>
      </c>
      <c r="AF48" s="915">
        <v>194.04039624299207</v>
      </c>
      <c r="AG48" s="915" t="s">
        <v>18</v>
      </c>
      <c r="AH48" s="915" t="s">
        <v>18</v>
      </c>
      <c r="AI48" s="915" t="s">
        <v>18</v>
      </c>
      <c r="AJ48" s="915">
        <v>0</v>
      </c>
      <c r="AK48" s="915">
        <v>0</v>
      </c>
      <c r="AL48" s="1041">
        <v>0</v>
      </c>
      <c r="AM48" s="915">
        <v>74.69364705882353</v>
      </c>
      <c r="AN48" s="915">
        <v>53.353935132683155</v>
      </c>
      <c r="AO48" s="915">
        <v>-2</v>
      </c>
      <c r="AP48" s="915">
        <v>0</v>
      </c>
      <c r="AQ48" s="915">
        <v>0</v>
      </c>
      <c r="AR48" s="1041">
        <v>0</v>
      </c>
      <c r="AS48" s="913"/>
      <c r="AT48" s="915"/>
      <c r="AU48" s="1041">
        <v>0</v>
      </c>
      <c r="AX48" s="1719"/>
      <c r="AY48" s="873"/>
      <c r="AZ48" s="873"/>
      <c r="BA48" s="912"/>
      <c r="BB48" s="913"/>
      <c r="BC48" s="913"/>
      <c r="BD48" s="913"/>
      <c r="BE48" s="913"/>
      <c r="BF48" s="913"/>
      <c r="BG48" s="1767"/>
      <c r="BH48" s="1040">
        <v>25</v>
      </c>
      <c r="BI48" s="913">
        <v>1720</v>
      </c>
      <c r="BJ48" s="915">
        <v>43</v>
      </c>
      <c r="BK48" s="1768"/>
      <c r="BL48" s="914"/>
      <c r="BM48" s="915">
        <v>40.099999999999994</v>
      </c>
      <c r="BN48" s="914">
        <v>0.63025210084033612</v>
      </c>
      <c r="BO48" s="914">
        <v>9.8919368246051551</v>
      </c>
      <c r="BP48" s="914">
        <v>0</v>
      </c>
      <c r="BQ48" s="914">
        <v>9.8919368246051551</v>
      </c>
      <c r="BR48" s="915">
        <v>1730</v>
      </c>
      <c r="BS48" s="915">
        <v>0</v>
      </c>
      <c r="BT48" s="1041">
        <v>17.11305070656692</v>
      </c>
      <c r="BU48" s="914">
        <v>4</v>
      </c>
      <c r="BV48" s="914">
        <v>0</v>
      </c>
      <c r="BW48" s="915">
        <v>0</v>
      </c>
      <c r="BX48" s="1041">
        <v>0</v>
      </c>
      <c r="BY48" s="1040">
        <v>17.978823529411766</v>
      </c>
      <c r="BZ48" s="915">
        <v>34.891936824605153</v>
      </c>
      <c r="CA48" s="915">
        <v>194.04039624299207</v>
      </c>
      <c r="CB48" s="915" t="s">
        <v>18</v>
      </c>
      <c r="CC48" s="915" t="s">
        <v>18</v>
      </c>
      <c r="CD48" s="915" t="s">
        <v>18</v>
      </c>
      <c r="CE48" s="915">
        <v>0</v>
      </c>
      <c r="CF48" s="915">
        <v>0</v>
      </c>
      <c r="CG48" s="1041">
        <v>0</v>
      </c>
      <c r="CH48" s="915">
        <v>74.69364705882353</v>
      </c>
      <c r="CI48" s="915">
        <v>53.353935132683155</v>
      </c>
      <c r="CJ48" s="915">
        <v>-2</v>
      </c>
      <c r="CK48" s="915">
        <v>0</v>
      </c>
      <c r="CL48" s="915">
        <v>0</v>
      </c>
      <c r="CM48" s="1041">
        <v>0</v>
      </c>
      <c r="CN48" s="913"/>
      <c r="CO48" s="915"/>
      <c r="CP48" s="1041">
        <v>0</v>
      </c>
      <c r="CR48" s="1719">
        <f t="shared" si="1"/>
        <v>0</v>
      </c>
      <c r="CS48" s="873">
        <f t="shared" si="11"/>
        <v>0</v>
      </c>
      <c r="CT48" s="873">
        <f t="shared" si="12"/>
        <v>0</v>
      </c>
      <c r="CU48" s="912">
        <f t="shared" si="13"/>
        <v>0</v>
      </c>
      <c r="CV48" s="913">
        <f t="shared" si="14"/>
        <v>0</v>
      </c>
      <c r="CW48" s="913">
        <f t="shared" si="15"/>
        <v>0</v>
      </c>
      <c r="CX48" s="913">
        <f t="shared" si="16"/>
        <v>0</v>
      </c>
      <c r="CY48" s="913">
        <f t="shared" si="17"/>
        <v>0</v>
      </c>
      <c r="CZ48" s="913">
        <f t="shared" si="18"/>
        <v>0</v>
      </c>
      <c r="DA48" s="1767">
        <f t="shared" si="19"/>
        <v>0</v>
      </c>
      <c r="DB48" s="1040">
        <f t="shared" si="20"/>
        <v>0</v>
      </c>
      <c r="DC48" s="913">
        <f t="shared" si="21"/>
        <v>0</v>
      </c>
      <c r="DD48" s="915">
        <f t="shared" si="22"/>
        <v>0</v>
      </c>
      <c r="DE48" s="1768">
        <f t="shared" si="23"/>
        <v>0</v>
      </c>
      <c r="DF48" s="914">
        <f t="shared" si="24"/>
        <v>0</v>
      </c>
      <c r="DG48" s="915">
        <f t="shared" si="25"/>
        <v>0</v>
      </c>
      <c r="DH48" s="914">
        <f t="shared" si="26"/>
        <v>0</v>
      </c>
      <c r="DI48" s="914">
        <f t="shared" si="27"/>
        <v>0</v>
      </c>
      <c r="DJ48" s="914">
        <f t="shared" si="28"/>
        <v>0</v>
      </c>
      <c r="DK48" s="914">
        <f t="shared" si="29"/>
        <v>0</v>
      </c>
      <c r="DL48" s="915">
        <f t="shared" si="30"/>
        <v>0</v>
      </c>
      <c r="DM48" s="915">
        <f t="shared" si="31"/>
        <v>0</v>
      </c>
      <c r="DN48" s="1041">
        <f t="shared" si="32"/>
        <v>0</v>
      </c>
      <c r="DO48" s="914">
        <f t="shared" si="33"/>
        <v>0</v>
      </c>
      <c r="DP48" s="914">
        <f t="shared" si="34"/>
        <v>0</v>
      </c>
      <c r="DQ48" s="915">
        <f t="shared" si="35"/>
        <v>0</v>
      </c>
      <c r="DR48" s="1041">
        <f t="shared" si="36"/>
        <v>0</v>
      </c>
      <c r="DS48" s="1040">
        <f t="shared" si="37"/>
        <v>0</v>
      </c>
      <c r="DT48" s="915">
        <f t="shared" si="38"/>
        <v>0</v>
      </c>
      <c r="DU48" s="915">
        <f t="shared" si="39"/>
        <v>0</v>
      </c>
      <c r="DV48" s="915" t="e">
        <f t="shared" si="40"/>
        <v>#VALUE!</v>
      </c>
      <c r="DW48" s="915" t="e">
        <f t="shared" si="41"/>
        <v>#VALUE!</v>
      </c>
      <c r="DX48" s="915" t="e">
        <f t="shared" si="42"/>
        <v>#VALUE!</v>
      </c>
      <c r="DY48" s="915">
        <f t="shared" si="43"/>
        <v>0</v>
      </c>
      <c r="DZ48" s="915">
        <f t="shared" si="44"/>
        <v>0</v>
      </c>
      <c r="EA48" s="1041">
        <f t="shared" si="45"/>
        <v>0</v>
      </c>
      <c r="EB48" s="915">
        <f t="shared" si="2"/>
        <v>0</v>
      </c>
      <c r="EC48" s="915">
        <f t="shared" si="3"/>
        <v>0</v>
      </c>
      <c r="ED48" s="915">
        <f t="shared" si="4"/>
        <v>0</v>
      </c>
      <c r="EE48" s="915">
        <f t="shared" si="5"/>
        <v>0</v>
      </c>
      <c r="EF48" s="915">
        <f t="shared" si="6"/>
        <v>0</v>
      </c>
      <c r="EG48" s="1041">
        <f t="shared" si="7"/>
        <v>0</v>
      </c>
      <c r="EH48" s="913">
        <f t="shared" si="8"/>
        <v>0</v>
      </c>
      <c r="EI48" s="915">
        <f t="shared" si="9"/>
        <v>0</v>
      </c>
      <c r="EJ48" s="1041">
        <f t="shared" si="10"/>
        <v>0</v>
      </c>
    </row>
    <row r="49" spans="1:140">
      <c r="A49" s="1783">
        <f>Eingabedaten!A53</f>
        <v>12.11</v>
      </c>
      <c r="B49" s="1013" t="str">
        <f>Eingabedaten!C53</f>
        <v>Kühlraum</v>
      </c>
      <c r="C49" s="1719"/>
      <c r="D49" s="873"/>
      <c r="E49" s="873"/>
      <c r="F49" s="912"/>
      <c r="G49" s="913"/>
      <c r="H49" s="913"/>
      <c r="I49" s="913"/>
      <c r="J49" s="913"/>
      <c r="K49" s="913"/>
      <c r="L49" s="1767"/>
      <c r="M49" s="1040">
        <v>120</v>
      </c>
      <c r="N49" s="913">
        <v>3180</v>
      </c>
      <c r="O49" s="915">
        <v>381.6</v>
      </c>
      <c r="P49" s="1768"/>
      <c r="Q49" s="914"/>
      <c r="R49" s="915">
        <v>35.1</v>
      </c>
      <c r="S49" s="914">
        <v>0.63025210084033612</v>
      </c>
      <c r="T49" s="914">
        <v>5.6505223171889831</v>
      </c>
      <c r="U49" s="914">
        <v>0</v>
      </c>
      <c r="V49" s="914">
        <v>5.6505223171889831</v>
      </c>
      <c r="W49" s="915">
        <v>0</v>
      </c>
      <c r="X49" s="915">
        <v>0</v>
      </c>
      <c r="Y49" s="1041">
        <v>0</v>
      </c>
      <c r="Z49" s="914">
        <v>0</v>
      </c>
      <c r="AA49" s="914">
        <v>0</v>
      </c>
      <c r="AB49" s="915">
        <v>0</v>
      </c>
      <c r="AC49" s="1041">
        <v>0</v>
      </c>
      <c r="AD49" s="1040">
        <v>18.409411764705883</v>
      </c>
      <c r="AE49" s="915">
        <v>5.6505223171889831</v>
      </c>
      <c r="AF49" s="915">
        <v>11.301044634377966</v>
      </c>
      <c r="AG49" s="915" t="s">
        <v>18</v>
      </c>
      <c r="AH49" s="915" t="s">
        <v>18</v>
      </c>
      <c r="AI49" s="915" t="s">
        <v>18</v>
      </c>
      <c r="AJ49" s="915">
        <v>0</v>
      </c>
      <c r="AK49" s="915">
        <v>0</v>
      </c>
      <c r="AL49" s="1041">
        <v>0</v>
      </c>
      <c r="AM49" s="915">
        <v>22.09129411764706</v>
      </c>
      <c r="AN49" s="915">
        <v>197.67062883435582</v>
      </c>
      <c r="AO49" s="915">
        <v>-1</v>
      </c>
      <c r="AP49" s="915">
        <v>0</v>
      </c>
      <c r="AQ49" s="915">
        <v>0</v>
      </c>
      <c r="AR49" s="1041">
        <v>0</v>
      </c>
      <c r="AS49" s="913"/>
      <c r="AT49" s="915"/>
      <c r="AU49" s="1041">
        <v>0</v>
      </c>
      <c r="AX49" s="1719"/>
      <c r="AY49" s="873"/>
      <c r="AZ49" s="873"/>
      <c r="BA49" s="912"/>
      <c r="BB49" s="913"/>
      <c r="BC49" s="913"/>
      <c r="BD49" s="913"/>
      <c r="BE49" s="913"/>
      <c r="BF49" s="913"/>
      <c r="BG49" s="1767"/>
      <c r="BH49" s="1040">
        <v>120</v>
      </c>
      <c r="BI49" s="913">
        <v>3730</v>
      </c>
      <c r="BJ49" s="915">
        <v>447.6</v>
      </c>
      <c r="BK49" s="1768"/>
      <c r="BL49" s="914"/>
      <c r="BM49" s="915">
        <v>35.1</v>
      </c>
      <c r="BN49" s="914">
        <v>0.63025210084033612</v>
      </c>
      <c r="BO49" s="914">
        <v>5.6505223171889831</v>
      </c>
      <c r="BP49" s="914">
        <v>0</v>
      </c>
      <c r="BQ49" s="914">
        <v>5.6505223171889831</v>
      </c>
      <c r="BR49" s="915">
        <v>0</v>
      </c>
      <c r="BS49" s="915">
        <v>0</v>
      </c>
      <c r="BT49" s="1041">
        <v>0</v>
      </c>
      <c r="BU49" s="914">
        <v>0</v>
      </c>
      <c r="BV49" s="914">
        <v>0</v>
      </c>
      <c r="BW49" s="915">
        <v>0</v>
      </c>
      <c r="BX49" s="1041">
        <v>0</v>
      </c>
      <c r="BY49" s="1040">
        <v>18.409411764705883</v>
      </c>
      <c r="BZ49" s="915">
        <v>5.6505223171889831</v>
      </c>
      <c r="CA49" s="915">
        <v>11.301044634377966</v>
      </c>
      <c r="CB49" s="915" t="s">
        <v>18</v>
      </c>
      <c r="CC49" s="915" t="s">
        <v>18</v>
      </c>
      <c r="CD49" s="915" t="s">
        <v>18</v>
      </c>
      <c r="CE49" s="915">
        <v>0</v>
      </c>
      <c r="CF49" s="915">
        <v>0</v>
      </c>
      <c r="CG49" s="1041">
        <v>0</v>
      </c>
      <c r="CH49" s="915">
        <v>22.09129411764706</v>
      </c>
      <c r="CI49" s="915">
        <v>197.67062883435582</v>
      </c>
      <c r="CJ49" s="915">
        <v>-1</v>
      </c>
      <c r="CK49" s="915">
        <v>0</v>
      </c>
      <c r="CL49" s="915">
        <v>0</v>
      </c>
      <c r="CM49" s="1041">
        <v>0</v>
      </c>
      <c r="CN49" s="913"/>
      <c r="CO49" s="915"/>
      <c r="CP49" s="1041">
        <v>0</v>
      </c>
      <c r="CR49" s="1719">
        <f t="shared" si="1"/>
        <v>0</v>
      </c>
      <c r="CS49" s="873">
        <f t="shared" si="11"/>
        <v>0</v>
      </c>
      <c r="CT49" s="873">
        <f t="shared" si="12"/>
        <v>0</v>
      </c>
      <c r="CU49" s="912">
        <f t="shared" si="13"/>
        <v>0</v>
      </c>
      <c r="CV49" s="913">
        <f t="shared" si="14"/>
        <v>0</v>
      </c>
      <c r="CW49" s="913">
        <f t="shared" si="15"/>
        <v>0</v>
      </c>
      <c r="CX49" s="913">
        <f t="shared" si="16"/>
        <v>0</v>
      </c>
      <c r="CY49" s="913">
        <f t="shared" si="17"/>
        <v>0</v>
      </c>
      <c r="CZ49" s="913">
        <f t="shared" si="18"/>
        <v>0</v>
      </c>
      <c r="DA49" s="1767">
        <f t="shared" si="19"/>
        <v>0</v>
      </c>
      <c r="DB49" s="1040">
        <f t="shared" si="20"/>
        <v>0</v>
      </c>
      <c r="DC49" s="913">
        <f t="shared" si="21"/>
        <v>-550</v>
      </c>
      <c r="DD49" s="915">
        <f t="shared" si="22"/>
        <v>-66</v>
      </c>
      <c r="DE49" s="1768">
        <f t="shared" si="23"/>
        <v>0</v>
      </c>
      <c r="DF49" s="914">
        <f t="shared" si="24"/>
        <v>0</v>
      </c>
      <c r="DG49" s="915">
        <f t="shared" si="25"/>
        <v>0</v>
      </c>
      <c r="DH49" s="914">
        <f t="shared" si="26"/>
        <v>0</v>
      </c>
      <c r="DI49" s="914">
        <f t="shared" si="27"/>
        <v>0</v>
      </c>
      <c r="DJ49" s="914">
        <f t="shared" si="28"/>
        <v>0</v>
      </c>
      <c r="DK49" s="914">
        <f t="shared" si="29"/>
        <v>0</v>
      </c>
      <c r="DL49" s="915">
        <f t="shared" si="30"/>
        <v>0</v>
      </c>
      <c r="DM49" s="915">
        <f t="shared" si="31"/>
        <v>0</v>
      </c>
      <c r="DN49" s="1041">
        <f t="shared" si="32"/>
        <v>0</v>
      </c>
      <c r="DO49" s="914">
        <f t="shared" si="33"/>
        <v>0</v>
      </c>
      <c r="DP49" s="914">
        <f t="shared" si="34"/>
        <v>0</v>
      </c>
      <c r="DQ49" s="915">
        <f t="shared" si="35"/>
        <v>0</v>
      </c>
      <c r="DR49" s="1041">
        <f t="shared" si="36"/>
        <v>0</v>
      </c>
      <c r="DS49" s="1040">
        <f t="shared" si="37"/>
        <v>0</v>
      </c>
      <c r="DT49" s="915">
        <f t="shared" si="38"/>
        <v>0</v>
      </c>
      <c r="DU49" s="915">
        <f t="shared" si="39"/>
        <v>0</v>
      </c>
      <c r="DV49" s="915" t="e">
        <f t="shared" si="40"/>
        <v>#VALUE!</v>
      </c>
      <c r="DW49" s="915" t="e">
        <f t="shared" si="41"/>
        <v>#VALUE!</v>
      </c>
      <c r="DX49" s="915" t="e">
        <f t="shared" si="42"/>
        <v>#VALUE!</v>
      </c>
      <c r="DY49" s="915">
        <f t="shared" si="43"/>
        <v>0</v>
      </c>
      <c r="DZ49" s="915">
        <f t="shared" si="44"/>
        <v>0</v>
      </c>
      <c r="EA49" s="1041">
        <f t="shared" si="45"/>
        <v>0</v>
      </c>
      <c r="EB49" s="915">
        <f t="shared" si="2"/>
        <v>0</v>
      </c>
      <c r="EC49" s="915">
        <f t="shared" si="3"/>
        <v>0</v>
      </c>
      <c r="ED49" s="915">
        <f t="shared" si="4"/>
        <v>0</v>
      </c>
      <c r="EE49" s="915">
        <f t="shared" si="5"/>
        <v>0</v>
      </c>
      <c r="EF49" s="915">
        <f t="shared" si="6"/>
        <v>0</v>
      </c>
      <c r="EG49" s="1041">
        <f t="shared" si="7"/>
        <v>0</v>
      </c>
      <c r="EH49" s="913">
        <f t="shared" si="8"/>
        <v>0</v>
      </c>
      <c r="EI49" s="915">
        <f t="shared" si="9"/>
        <v>0</v>
      </c>
      <c r="EJ49" s="1041">
        <f t="shared" si="10"/>
        <v>0</v>
      </c>
    </row>
    <row r="50" spans="1:140">
      <c r="A50" s="1784">
        <f>Eingabedaten!A54</f>
        <v>12.12</v>
      </c>
      <c r="B50" s="1785" t="str">
        <f>Eingabedaten!C54</f>
        <v>Serverraum</v>
      </c>
      <c r="C50" s="1786"/>
      <c r="D50" s="1787"/>
      <c r="E50" s="1787"/>
      <c r="F50" s="1758"/>
      <c r="G50" s="1759"/>
      <c r="H50" s="1759"/>
      <c r="I50" s="1759"/>
      <c r="J50" s="1759"/>
      <c r="K50" s="1759"/>
      <c r="L50" s="1760"/>
      <c r="M50" s="1774">
        <v>150</v>
      </c>
      <c r="N50" s="1759">
        <v>7010</v>
      </c>
      <c r="O50" s="1762">
        <v>1051.5</v>
      </c>
      <c r="P50" s="1775"/>
      <c r="Q50" s="1761"/>
      <c r="R50" s="1762">
        <v>35.1</v>
      </c>
      <c r="S50" s="1761">
        <v>0.53705692803437166</v>
      </c>
      <c r="T50" s="1761">
        <v>6.6310541310541309</v>
      </c>
      <c r="U50" s="1761">
        <v>0</v>
      </c>
      <c r="V50" s="1761">
        <v>6.6310541310541309</v>
      </c>
      <c r="W50" s="1762">
        <v>0</v>
      </c>
      <c r="X50" s="1762">
        <v>0</v>
      </c>
      <c r="Y50" s="1776">
        <v>0</v>
      </c>
      <c r="Z50" s="1761">
        <v>2</v>
      </c>
      <c r="AA50" s="1761">
        <v>1.82</v>
      </c>
      <c r="AB50" s="1762">
        <v>1620</v>
      </c>
      <c r="AC50" s="1776">
        <v>2.9483999999999999</v>
      </c>
      <c r="AD50" s="1774">
        <v>6.2230588235294126</v>
      </c>
      <c r="AE50" s="1762">
        <v>156.63105413105413</v>
      </c>
      <c r="AF50" s="1762">
        <v>3613.2621082621081</v>
      </c>
      <c r="AG50" s="1762" t="s">
        <v>18</v>
      </c>
      <c r="AH50" s="1762" t="s">
        <v>18</v>
      </c>
      <c r="AI50" s="1762" t="s">
        <v>18</v>
      </c>
      <c r="AJ50" s="1762">
        <v>152</v>
      </c>
      <c r="AK50" s="1762">
        <v>5760</v>
      </c>
      <c r="AL50" s="1776">
        <v>876</v>
      </c>
      <c r="AM50" s="1762">
        <v>20.743529411764708</v>
      </c>
      <c r="AN50" s="1762">
        <v>116.95213248638836</v>
      </c>
      <c r="AO50" s="1762">
        <v>-1</v>
      </c>
      <c r="AP50" s="1762">
        <v>28.003764705882354</v>
      </c>
      <c r="AQ50" s="1762">
        <v>0</v>
      </c>
      <c r="AR50" s="1776">
        <v>1.5932671133040483E-7</v>
      </c>
      <c r="AS50" s="1759"/>
      <c r="AT50" s="1762"/>
      <c r="AU50" s="1776">
        <v>0</v>
      </c>
      <c r="AX50" s="1786"/>
      <c r="AY50" s="1787"/>
      <c r="AZ50" s="1787"/>
      <c r="BA50" s="1758"/>
      <c r="BB50" s="1759"/>
      <c r="BC50" s="1759"/>
      <c r="BD50" s="1759"/>
      <c r="BE50" s="1759"/>
      <c r="BF50" s="1759"/>
      <c r="BG50" s="1760"/>
      <c r="BH50" s="1774">
        <v>150</v>
      </c>
      <c r="BI50" s="1759">
        <v>7010</v>
      </c>
      <c r="BJ50" s="1762">
        <v>1051.5</v>
      </c>
      <c r="BK50" s="1775"/>
      <c r="BL50" s="1761"/>
      <c r="BM50" s="1762">
        <v>35.1</v>
      </c>
      <c r="BN50" s="1761">
        <v>0.53705692803437166</v>
      </c>
      <c r="BO50" s="1761">
        <v>6.6310541310541309</v>
      </c>
      <c r="BP50" s="1761">
        <v>0</v>
      </c>
      <c r="BQ50" s="1761">
        <v>6.6310541310541309</v>
      </c>
      <c r="BR50" s="1762">
        <v>0</v>
      </c>
      <c r="BS50" s="1762">
        <v>0</v>
      </c>
      <c r="BT50" s="1776">
        <v>0</v>
      </c>
      <c r="BU50" s="1761">
        <v>2</v>
      </c>
      <c r="BV50" s="1761">
        <v>0</v>
      </c>
      <c r="BW50" s="1762">
        <v>0</v>
      </c>
      <c r="BX50" s="1776">
        <v>0</v>
      </c>
      <c r="BY50" s="1774">
        <v>8.1430588235294117</v>
      </c>
      <c r="BZ50" s="1762">
        <v>156.63105413105413</v>
      </c>
      <c r="CA50" s="1762">
        <v>3613.2621082621081</v>
      </c>
      <c r="CB50" s="1762" t="s">
        <v>18</v>
      </c>
      <c r="CC50" s="1762" t="s">
        <v>18</v>
      </c>
      <c r="CD50" s="1762" t="s">
        <v>18</v>
      </c>
      <c r="CE50" s="1762">
        <v>152</v>
      </c>
      <c r="CF50" s="1762">
        <v>5760</v>
      </c>
      <c r="CG50" s="1776">
        <v>876</v>
      </c>
      <c r="CH50" s="1762">
        <v>27.143529411764707</v>
      </c>
      <c r="CI50" s="1762">
        <v>89.376733703190013</v>
      </c>
      <c r="CJ50" s="1762">
        <v>-2</v>
      </c>
      <c r="CK50" s="1762">
        <v>38.00094117647059</v>
      </c>
      <c r="CL50" s="1762">
        <v>0</v>
      </c>
      <c r="CM50" s="1776">
        <v>0.10733573321185544</v>
      </c>
      <c r="CN50" s="1759"/>
      <c r="CO50" s="1762"/>
      <c r="CP50" s="1776">
        <v>0</v>
      </c>
      <c r="CR50" s="1786">
        <f t="shared" si="1"/>
        <v>0</v>
      </c>
      <c r="CS50" s="1787">
        <f t="shared" si="11"/>
        <v>0</v>
      </c>
      <c r="CT50" s="1787">
        <f t="shared" si="12"/>
        <v>0</v>
      </c>
      <c r="CU50" s="1758">
        <f t="shared" si="13"/>
        <v>0</v>
      </c>
      <c r="CV50" s="1759">
        <f t="shared" si="14"/>
        <v>0</v>
      </c>
      <c r="CW50" s="1759">
        <f t="shared" si="15"/>
        <v>0</v>
      </c>
      <c r="CX50" s="1759">
        <f t="shared" si="16"/>
        <v>0</v>
      </c>
      <c r="CY50" s="1759">
        <f t="shared" si="17"/>
        <v>0</v>
      </c>
      <c r="CZ50" s="1759">
        <f t="shared" si="18"/>
        <v>0</v>
      </c>
      <c r="DA50" s="1760">
        <f t="shared" si="19"/>
        <v>0</v>
      </c>
      <c r="DB50" s="1774">
        <f t="shared" si="20"/>
        <v>0</v>
      </c>
      <c r="DC50" s="1759">
        <f t="shared" si="21"/>
        <v>0</v>
      </c>
      <c r="DD50" s="1762">
        <f t="shared" si="22"/>
        <v>0</v>
      </c>
      <c r="DE50" s="1775">
        <f t="shared" si="23"/>
        <v>0</v>
      </c>
      <c r="DF50" s="1761">
        <f t="shared" si="24"/>
        <v>0</v>
      </c>
      <c r="DG50" s="1762">
        <f t="shared" si="25"/>
        <v>0</v>
      </c>
      <c r="DH50" s="1761">
        <f t="shared" si="26"/>
        <v>0</v>
      </c>
      <c r="DI50" s="1761">
        <f t="shared" si="27"/>
        <v>0</v>
      </c>
      <c r="DJ50" s="1761">
        <f t="shared" si="28"/>
        <v>0</v>
      </c>
      <c r="DK50" s="1761">
        <f t="shared" si="29"/>
        <v>0</v>
      </c>
      <c r="DL50" s="1762">
        <f t="shared" si="30"/>
        <v>0</v>
      </c>
      <c r="DM50" s="1762">
        <f t="shared" si="31"/>
        <v>0</v>
      </c>
      <c r="DN50" s="1776">
        <f t="shared" si="32"/>
        <v>0</v>
      </c>
      <c r="DO50" s="1761">
        <f t="shared" si="33"/>
        <v>0</v>
      </c>
      <c r="DP50" s="1761">
        <f t="shared" si="34"/>
        <v>1.82</v>
      </c>
      <c r="DQ50" s="1762">
        <f t="shared" si="35"/>
        <v>1620</v>
      </c>
      <c r="DR50" s="1776">
        <f t="shared" si="36"/>
        <v>2.9483999999999999</v>
      </c>
      <c r="DS50" s="1774">
        <f t="shared" si="37"/>
        <v>-1.919999999999999</v>
      </c>
      <c r="DT50" s="1762">
        <f t="shared" si="38"/>
        <v>0</v>
      </c>
      <c r="DU50" s="1762">
        <f t="shared" si="39"/>
        <v>0</v>
      </c>
      <c r="DV50" s="1762" t="e">
        <f t="shared" si="40"/>
        <v>#VALUE!</v>
      </c>
      <c r="DW50" s="1762" t="e">
        <f t="shared" si="41"/>
        <v>#VALUE!</v>
      </c>
      <c r="DX50" s="1762" t="e">
        <f t="shared" si="42"/>
        <v>#VALUE!</v>
      </c>
      <c r="DY50" s="1762">
        <f t="shared" si="43"/>
        <v>0</v>
      </c>
      <c r="DZ50" s="1762">
        <f t="shared" si="44"/>
        <v>0</v>
      </c>
      <c r="EA50" s="1776">
        <f t="shared" si="45"/>
        <v>0</v>
      </c>
      <c r="EB50" s="1762">
        <f t="shared" si="2"/>
        <v>-6.3999999999999986</v>
      </c>
      <c r="EC50" s="1762">
        <f t="shared" si="3"/>
        <v>27.575398783198352</v>
      </c>
      <c r="ED50" s="1762">
        <f t="shared" si="4"/>
        <v>1</v>
      </c>
      <c r="EE50" s="1762">
        <f t="shared" si="5"/>
        <v>-9.9971764705882364</v>
      </c>
      <c r="EF50" s="1762">
        <f t="shared" si="6"/>
        <v>0</v>
      </c>
      <c r="EG50" s="1776">
        <f t="shared" si="7"/>
        <v>-0.10733557388514411</v>
      </c>
      <c r="EH50" s="1759">
        <f t="shared" si="8"/>
        <v>0</v>
      </c>
      <c r="EI50" s="1762">
        <f t="shared" si="9"/>
        <v>0</v>
      </c>
      <c r="EJ50" s="1776">
        <f>AU50-CP50</f>
        <v>0</v>
      </c>
    </row>
    <row r="55" spans="1:140">
      <c r="AD55" s="1788"/>
    </row>
  </sheetData>
  <sheetProtection password="DFA6" sheet="1" objects="1" scenarios="1"/>
  <pageMargins left="0.70866141732283472" right="0.70866141732283472" top="0.74803149606299213" bottom="0.74803149606299213" header="0.31496062992125984" footer="0.31496062992125984"/>
  <pageSetup paperSize="8" scale="93" fitToWidth="0" orientation="landscape" r:id="rId1"/>
  <headerFooter>
    <oddHeader>&amp;R&amp;D</oddHeader>
    <oddFooter>&amp;CSIA 2024, Copyright © 201X by SIA Zurich&amp;R&amp;P/&amp;N</oddFooter>
  </headerFooter>
  <colBreaks count="1" manualBreakCount="1">
    <brk id="29" max="49"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tabColor theme="9" tint="0.59999389629810485"/>
  </sheetPr>
  <dimension ref="A2:AP51"/>
  <sheetViews>
    <sheetView topLeftCell="F11" zoomScale="70" zoomScaleNormal="70" workbookViewId="0">
      <selection activeCell="AL7" sqref="AL7:AP51"/>
    </sheetView>
  </sheetViews>
  <sheetFormatPr baseColWidth="10" defaultColWidth="11.44140625" defaultRowHeight="13.2"/>
  <cols>
    <col min="1" max="1" width="6" style="445" bestFit="1" customWidth="1"/>
    <col min="2" max="2" width="28.33203125" style="445" bestFit="1" customWidth="1"/>
    <col min="3" max="6" width="7.5546875" style="980" customWidth="1"/>
    <col min="7" max="7" width="9.5546875" style="980" customWidth="1"/>
    <col min="8" max="8" width="7.5546875" style="980" customWidth="1"/>
    <col min="9" max="9" width="1.88671875" style="980" customWidth="1"/>
    <col min="10" max="15" width="7.5546875" style="445" customWidth="1"/>
    <col min="16" max="16" width="1.88671875" style="445" customWidth="1"/>
    <col min="17" max="22" width="8.33203125" style="445" customWidth="1"/>
    <col min="23" max="23" width="8.5546875" style="445" customWidth="1"/>
    <col min="24" max="24" width="5.5546875" style="445" bestFit="1" customWidth="1"/>
    <col min="25" max="25" width="27.44140625" style="445" customWidth="1"/>
    <col min="26" max="30" width="6.5546875" style="445" customWidth="1"/>
    <col min="31" max="31" width="2" style="445" customWidth="1"/>
    <col min="32" max="36" width="6.5546875" style="445" customWidth="1"/>
    <col min="37" max="37" width="2.33203125" style="445" customWidth="1"/>
    <col min="38" max="42" width="6.5546875" style="445" customWidth="1"/>
    <col min="43" max="16384" width="11.44140625" style="445"/>
  </cols>
  <sheetData>
    <row r="2" spans="1:42" ht="17.399999999999999">
      <c r="A2" s="953"/>
      <c r="B2" s="953" t="s">
        <v>689</v>
      </c>
      <c r="C2" s="954"/>
      <c r="D2" s="954"/>
      <c r="E2" s="954"/>
      <c r="F2" s="954"/>
      <c r="G2" s="954"/>
      <c r="H2" s="954"/>
      <c r="I2" s="954"/>
      <c r="J2" s="953"/>
      <c r="K2" s="953"/>
      <c r="L2" s="953"/>
      <c r="M2" s="953"/>
      <c r="N2" s="953"/>
      <c r="O2" s="953"/>
      <c r="P2" s="953"/>
      <c r="Q2" s="953"/>
      <c r="R2" s="953"/>
      <c r="S2" s="953"/>
      <c r="T2" s="953"/>
      <c r="U2" s="953"/>
      <c r="V2" s="953"/>
      <c r="X2" s="955"/>
      <c r="Y2" s="955" t="s">
        <v>690</v>
      </c>
      <c r="Z2" s="956"/>
      <c r="AA2" s="956"/>
      <c r="AB2" s="956"/>
      <c r="AC2" s="956"/>
      <c r="AD2" s="956"/>
      <c r="AE2" s="956"/>
      <c r="AF2" s="955"/>
      <c r="AG2" s="955"/>
      <c r="AH2" s="955"/>
      <c r="AI2" s="955"/>
      <c r="AJ2" s="955"/>
      <c r="AK2" s="955"/>
      <c r="AL2" s="955"/>
      <c r="AM2" s="955"/>
      <c r="AN2" s="955"/>
      <c r="AO2" s="955"/>
      <c r="AP2" s="955"/>
    </row>
    <row r="4" spans="1:42">
      <c r="A4" s="957"/>
      <c r="B4" s="958"/>
      <c r="C4" s="959" t="s">
        <v>681</v>
      </c>
      <c r="D4" s="960"/>
      <c r="E4" s="960"/>
      <c r="F4" s="960"/>
      <c r="G4" s="960"/>
      <c r="H4" s="961"/>
      <c r="I4" s="965"/>
      <c r="J4" s="962" t="s">
        <v>682</v>
      </c>
      <c r="K4" s="963"/>
      <c r="L4" s="963"/>
      <c r="M4" s="963"/>
      <c r="N4" s="963"/>
      <c r="O4" s="964"/>
      <c r="P4" s="965"/>
      <c r="Q4" s="966" t="s">
        <v>683</v>
      </c>
      <c r="R4" s="1000"/>
      <c r="S4" s="1000"/>
      <c r="T4" s="1000"/>
      <c r="U4" s="1000"/>
      <c r="V4" s="1001"/>
      <c r="X4" s="957"/>
      <c r="Y4" s="958"/>
      <c r="Z4" s="967" t="s">
        <v>681</v>
      </c>
      <c r="AA4" s="968"/>
      <c r="AB4" s="968"/>
      <c r="AC4" s="968"/>
      <c r="AD4" s="968"/>
      <c r="AE4" s="971"/>
      <c r="AF4" s="969" t="s">
        <v>682</v>
      </c>
      <c r="AG4" s="970"/>
      <c r="AH4" s="970"/>
      <c r="AI4" s="970"/>
      <c r="AJ4" s="970"/>
      <c r="AK4" s="971"/>
      <c r="AL4" s="972" t="s">
        <v>683</v>
      </c>
      <c r="AM4" s="999"/>
      <c r="AN4" s="999"/>
      <c r="AO4" s="999"/>
      <c r="AP4" s="999"/>
    </row>
    <row r="5" spans="1:42" ht="95.25" customHeight="1">
      <c r="A5" s="973"/>
      <c r="B5" s="973" t="s">
        <v>684</v>
      </c>
      <c r="C5" s="974" t="s">
        <v>64</v>
      </c>
      <c r="D5" s="974" t="s">
        <v>19</v>
      </c>
      <c r="E5" s="974" t="s">
        <v>23</v>
      </c>
      <c r="F5" s="975" t="s">
        <v>685</v>
      </c>
      <c r="G5" s="975" t="s">
        <v>686</v>
      </c>
      <c r="H5" s="975" t="s">
        <v>372</v>
      </c>
      <c r="I5" s="965"/>
      <c r="J5" s="974" t="s">
        <v>64</v>
      </c>
      <c r="K5" s="974" t="s">
        <v>19</v>
      </c>
      <c r="L5" s="974" t="s">
        <v>23</v>
      </c>
      <c r="M5" s="975" t="s">
        <v>685</v>
      </c>
      <c r="N5" s="975" t="s">
        <v>686</v>
      </c>
      <c r="O5" s="975" t="s">
        <v>372</v>
      </c>
      <c r="P5" s="965"/>
      <c r="Q5" s="974" t="s">
        <v>64</v>
      </c>
      <c r="R5" s="974" t="s">
        <v>19</v>
      </c>
      <c r="S5" s="974" t="s">
        <v>23</v>
      </c>
      <c r="T5" s="975" t="s">
        <v>685</v>
      </c>
      <c r="U5" s="975" t="s">
        <v>686</v>
      </c>
      <c r="V5" s="975" t="s">
        <v>372</v>
      </c>
      <c r="X5" s="973"/>
      <c r="Y5" s="973" t="s">
        <v>684</v>
      </c>
      <c r="Z5" s="974" t="s">
        <v>64</v>
      </c>
      <c r="AA5" s="974" t="s">
        <v>19</v>
      </c>
      <c r="AB5" s="974" t="s">
        <v>23</v>
      </c>
      <c r="AC5" s="975" t="s">
        <v>685</v>
      </c>
      <c r="AD5" s="975" t="s">
        <v>686</v>
      </c>
      <c r="AE5" s="971"/>
      <c r="AF5" s="974" t="s">
        <v>64</v>
      </c>
      <c r="AG5" s="974" t="s">
        <v>19</v>
      </c>
      <c r="AH5" s="974" t="s">
        <v>23</v>
      </c>
      <c r="AI5" s="975" t="s">
        <v>685</v>
      </c>
      <c r="AJ5" s="975" t="s">
        <v>686</v>
      </c>
      <c r="AK5" s="971"/>
      <c r="AL5" s="974" t="s">
        <v>64</v>
      </c>
      <c r="AM5" s="974" t="s">
        <v>19</v>
      </c>
      <c r="AN5" s="974" t="s">
        <v>23</v>
      </c>
      <c r="AO5" s="975" t="s">
        <v>685</v>
      </c>
      <c r="AP5" s="975" t="s">
        <v>686</v>
      </c>
    </row>
    <row r="6" spans="1:42">
      <c r="A6" s="973"/>
      <c r="B6" s="973"/>
      <c r="C6" s="976" t="s">
        <v>168</v>
      </c>
      <c r="D6" s="976" t="s">
        <v>168</v>
      </c>
      <c r="E6" s="976" t="s">
        <v>168</v>
      </c>
      <c r="F6" s="976" t="s">
        <v>168</v>
      </c>
      <c r="G6" s="976" t="s">
        <v>168</v>
      </c>
      <c r="H6" s="976" t="s">
        <v>168</v>
      </c>
      <c r="I6" s="965"/>
      <c r="J6" s="976" t="s">
        <v>168</v>
      </c>
      <c r="K6" s="976" t="s">
        <v>168</v>
      </c>
      <c r="L6" s="976" t="s">
        <v>168</v>
      </c>
      <c r="M6" s="976" t="s">
        <v>168</v>
      </c>
      <c r="N6" s="976" t="s">
        <v>168</v>
      </c>
      <c r="O6" s="976" t="s">
        <v>168</v>
      </c>
      <c r="P6" s="965"/>
      <c r="Q6" s="976" t="s">
        <v>168</v>
      </c>
      <c r="R6" s="976" t="s">
        <v>168</v>
      </c>
      <c r="S6" s="976" t="s">
        <v>168</v>
      </c>
      <c r="T6" s="976" t="s">
        <v>168</v>
      </c>
      <c r="U6" s="976" t="s">
        <v>168</v>
      </c>
      <c r="V6" s="976" t="s">
        <v>168</v>
      </c>
      <c r="X6" s="973"/>
      <c r="Y6" s="973"/>
      <c r="Z6" s="976" t="s">
        <v>29</v>
      </c>
      <c r="AA6" s="976" t="s">
        <v>29</v>
      </c>
      <c r="AB6" s="976" t="s">
        <v>29</v>
      </c>
      <c r="AC6" s="976" t="s">
        <v>29</v>
      </c>
      <c r="AD6" s="976" t="s">
        <v>29</v>
      </c>
      <c r="AE6" s="971"/>
      <c r="AF6" s="976" t="s">
        <v>29</v>
      </c>
      <c r="AG6" s="976" t="s">
        <v>29</v>
      </c>
      <c r="AH6" s="976" t="s">
        <v>29</v>
      </c>
      <c r="AI6" s="976" t="s">
        <v>29</v>
      </c>
      <c r="AJ6" s="976" t="s">
        <v>29</v>
      </c>
      <c r="AK6" s="971"/>
      <c r="AL6" s="976" t="s">
        <v>29</v>
      </c>
      <c r="AM6" s="976" t="s">
        <v>29</v>
      </c>
      <c r="AN6" s="976" t="s">
        <v>29</v>
      </c>
      <c r="AO6" s="976" t="s">
        <v>29</v>
      </c>
      <c r="AP6" s="976" t="s">
        <v>29</v>
      </c>
    </row>
    <row r="7" spans="1:42">
      <c r="A7" s="977">
        <f>Eingabedaten!A10</f>
        <v>1.1000000000000001</v>
      </c>
      <c r="B7" s="973" t="str">
        <f>Eingabedaten!C10</f>
        <v>Wohnen MFH</v>
      </c>
      <c r="C7" s="1002">
        <f>Res_Std!$O6</f>
        <v>14.24</v>
      </c>
      <c r="D7" s="1003">
        <f>Res_Std!$Y6</f>
        <v>3.9752684049079772</v>
      </c>
      <c r="E7" s="1002">
        <f>Res_Std!$AC6</f>
        <v>1.1536000000000002</v>
      </c>
      <c r="F7" s="1002">
        <f>Res_Std!$AL6</f>
        <v>6.6275000000000004</v>
      </c>
      <c r="G7" s="1002">
        <f>Res_Std!$AR6</f>
        <v>19.046556181314998</v>
      </c>
      <c r="H7" s="1002">
        <f>Res_Std!$AU6</f>
        <v>19.75866666666667</v>
      </c>
      <c r="I7" s="965"/>
      <c r="J7" s="1002">
        <f>Res_Zw!$O6</f>
        <v>7.12</v>
      </c>
      <c r="K7" s="1003">
        <f>Res_Zw!$Y6</f>
        <v>1.9420219638242897</v>
      </c>
      <c r="L7" s="1002">
        <f>Res_Zw!$AC6</f>
        <v>0.68392000000000008</v>
      </c>
      <c r="M7" s="1002">
        <f>Res_Zw!$AL6</f>
        <v>6.5095000000000001</v>
      </c>
      <c r="N7" s="1002">
        <f>Res_Zw!$AR6</f>
        <v>11.162709299675951</v>
      </c>
      <c r="O7" s="1002">
        <f>Res_Zw!$AU6</f>
        <v>19.75866666666667</v>
      </c>
      <c r="P7" s="965"/>
      <c r="Q7" s="1002">
        <f>Res_Best!$O6</f>
        <v>17.8</v>
      </c>
      <c r="R7" s="1003">
        <f>Res_Best!$Y6</f>
        <v>3.9752684049079772</v>
      </c>
      <c r="S7" s="1002">
        <f>Res_Best!$AC6</f>
        <v>0</v>
      </c>
      <c r="T7" s="1002">
        <f>Res_Best!$AL6</f>
        <v>1.6459999999999999</v>
      </c>
      <c r="U7" s="1002">
        <f>Res_Best!$AR6</f>
        <v>112.88267208938234</v>
      </c>
      <c r="V7" s="1002">
        <f>Res_Best!$AU6</f>
        <v>19.75866666666667</v>
      </c>
      <c r="X7" s="977">
        <f>A7</f>
        <v>1.1000000000000001</v>
      </c>
      <c r="Y7" s="973" t="str">
        <f>B7</f>
        <v>Wohnen MFH</v>
      </c>
      <c r="Z7" s="978">
        <f>Res_Std!$M6</f>
        <v>8</v>
      </c>
      <c r="AA7" s="978">
        <f>Res_Std!$V6</f>
        <v>2.7415644171779152</v>
      </c>
      <c r="AB7" s="978">
        <f>Res_Std!$AA6</f>
        <v>0.28000000000000003</v>
      </c>
      <c r="AC7" s="978">
        <f>Res_Std!$AJ6</f>
        <v>12</v>
      </c>
      <c r="AD7" s="978">
        <f>Res_Std!$AP6</f>
        <v>19.742647058823533</v>
      </c>
      <c r="AE7" s="981"/>
      <c r="AF7" s="978">
        <f>Res_Zw!$M6</f>
        <v>4</v>
      </c>
      <c r="AG7" s="978">
        <f>Res_Zw!$V6</f>
        <v>1.7495693367786394</v>
      </c>
      <c r="AH7" s="978">
        <f>Res_Zw!$AA6</f>
        <v>0.16600000000000001</v>
      </c>
      <c r="AI7" s="978">
        <f>Res_Zw!$AJ6</f>
        <v>10</v>
      </c>
      <c r="AJ7" s="978">
        <f>Res_Zw!$AP6</f>
        <v>13.474764705882354</v>
      </c>
      <c r="AK7" s="981"/>
      <c r="AL7" s="978">
        <f>Res_Best!$M6</f>
        <v>10</v>
      </c>
      <c r="AM7" s="978">
        <f>Res_Best!$V6</f>
        <v>2.7415644171779152</v>
      </c>
      <c r="AN7" s="978">
        <f>Res_Best!$AA6</f>
        <v>0</v>
      </c>
      <c r="AO7" s="978">
        <f>Res_Best!$AJ6</f>
        <v>21</v>
      </c>
      <c r="AP7" s="978">
        <f>Res_Best!$AP6</f>
        <v>54.618352941176475</v>
      </c>
    </row>
    <row r="8" spans="1:42">
      <c r="A8" s="977">
        <f>Eingabedaten!A11</f>
        <v>1.2</v>
      </c>
      <c r="B8" s="973" t="str">
        <f>Eingabedaten!C11</f>
        <v>Wohnen EFH</v>
      </c>
      <c r="C8" s="1002">
        <f>Res_Std!$O7</f>
        <v>14.24</v>
      </c>
      <c r="D8" s="1003">
        <f>Res_Std!$Y7</f>
        <v>3.9752684049079772</v>
      </c>
      <c r="E8" s="1002">
        <f>Res_Std!$AC7</f>
        <v>0.69216000000000011</v>
      </c>
      <c r="F8" s="1002">
        <f>Res_Std!$AL7</f>
        <v>5.6455000000000002</v>
      </c>
      <c r="G8" s="1002">
        <f>Res_Std!$AR7</f>
        <v>28.752234725174272</v>
      </c>
      <c r="H8" s="1002">
        <f>Res_Std!$AU7</f>
        <v>13.548800000000002</v>
      </c>
      <c r="I8" s="965"/>
      <c r="J8" s="1002">
        <f>Res_Zw!$O7</f>
        <v>7.12</v>
      </c>
      <c r="K8" s="1003">
        <f>Res_Zw!$Y7</f>
        <v>1.9420219638242897</v>
      </c>
      <c r="L8" s="1002">
        <f>Res_Zw!$AC7</f>
        <v>0.41035200000000005</v>
      </c>
      <c r="M8" s="1002">
        <f>Res_Zw!$AL7</f>
        <v>5.4065000000000003</v>
      </c>
      <c r="N8" s="1002">
        <f>Res_Zw!$AR7</f>
        <v>17.301766768485805</v>
      </c>
      <c r="O8" s="1002">
        <f>Res_Zw!$AU7</f>
        <v>13.548800000000002</v>
      </c>
      <c r="P8" s="965"/>
      <c r="Q8" s="1002">
        <f>Res_Best!$O7</f>
        <v>17.8</v>
      </c>
      <c r="R8" s="1003">
        <f>Res_Best!$Y7</f>
        <v>3.9752684049079772</v>
      </c>
      <c r="S8" s="1002">
        <f>Res_Best!$AC7</f>
        <v>0</v>
      </c>
      <c r="T8" s="1002">
        <f>Res_Best!$AL7</f>
        <v>1.3265</v>
      </c>
      <c r="U8" s="1002">
        <f>Res_Best!$AR7</f>
        <v>172.74678896993376</v>
      </c>
      <c r="V8" s="1002">
        <f>Res_Best!$AU7</f>
        <v>13.548800000000002</v>
      </c>
      <c r="X8" s="977">
        <f>A8</f>
        <v>1.2</v>
      </c>
      <c r="Y8" s="973" t="str">
        <f>B8</f>
        <v>Wohnen EFH</v>
      </c>
      <c r="Z8" s="978">
        <f>Res_Std!$M7</f>
        <v>8</v>
      </c>
      <c r="AA8" s="978">
        <f>Res_Std!$V7</f>
        <v>2.7415644171779152</v>
      </c>
      <c r="AB8" s="978">
        <f>Res_Std!$AA7</f>
        <v>0.16800000000000001</v>
      </c>
      <c r="AC8" s="978">
        <f>Res_Std!$AJ7</f>
        <v>12</v>
      </c>
      <c r="AD8" s="978">
        <f>Res_Std!$AP7</f>
        <v>21.890647058823532</v>
      </c>
      <c r="AE8" s="981"/>
      <c r="AF8" s="978">
        <f>Res_Zw!$M7</f>
        <v>4</v>
      </c>
      <c r="AG8" s="978">
        <f>Res_Zw!$V7</f>
        <v>1.7495693367786394</v>
      </c>
      <c r="AH8" s="978">
        <f>Res_Zw!$AA7</f>
        <v>9.9600000000000008E-2</v>
      </c>
      <c r="AI8" s="978">
        <f>Res_Zw!$AJ7</f>
        <v>9</v>
      </c>
      <c r="AJ8" s="978">
        <f>Res_Zw!$AP7</f>
        <v>14.608835294117648</v>
      </c>
      <c r="AK8" s="981"/>
      <c r="AL8" s="978">
        <f>Res_Best!$M7</f>
        <v>10</v>
      </c>
      <c r="AM8" s="978">
        <f>Res_Best!$V7</f>
        <v>2.7415644171779152</v>
      </c>
      <c r="AN8" s="978">
        <f>Res_Best!$AA7</f>
        <v>0</v>
      </c>
      <c r="AO8" s="978">
        <f>Res_Best!$AJ7</f>
        <v>21</v>
      </c>
      <c r="AP8" s="978">
        <f>Res_Best!$AP7</f>
        <v>66.69741176470589</v>
      </c>
    </row>
    <row r="9" spans="1:42">
      <c r="A9" s="977">
        <f>Eingabedaten!A12</f>
        <v>2.1</v>
      </c>
      <c r="B9" s="973" t="str">
        <f>Eingabedaten!C12</f>
        <v xml:space="preserve">Hotelzimmer </v>
      </c>
      <c r="C9" s="1002">
        <f>Res_Std!$O8</f>
        <v>12.24</v>
      </c>
      <c r="D9" s="1003">
        <f>Res_Std!$Y8</f>
        <v>3.1527990797546024</v>
      </c>
      <c r="E9" s="1002">
        <f>Res_Std!$AC8</f>
        <v>4.0919999999999996</v>
      </c>
      <c r="F9" s="1002">
        <f>Res_Std!$AL8</f>
        <v>6.72</v>
      </c>
      <c r="G9" s="1002">
        <f>Res_Std!$AR8</f>
        <v>18.676371389735881</v>
      </c>
      <c r="H9" s="1002">
        <f>Res_Std!$AU8</f>
        <v>39.517333333333333</v>
      </c>
      <c r="I9" s="965"/>
      <c r="J9" s="1002">
        <f>Res_Zw!$O8</f>
        <v>6.12</v>
      </c>
      <c r="K9" s="1003">
        <f>Res_Zw!$Y8</f>
        <v>1.6096037898363482</v>
      </c>
      <c r="L9" s="1002">
        <f>Res_Zw!$AC8</f>
        <v>2.5296000000000003</v>
      </c>
      <c r="M9" s="1002">
        <f>Res_Zw!$AL8</f>
        <v>7.2725</v>
      </c>
      <c r="N9" s="1002">
        <f>Res_Zw!$AR8</f>
        <v>9.6467773460083066</v>
      </c>
      <c r="O9" s="1002">
        <f>Res_Zw!$AU8</f>
        <v>39.517333333333333</v>
      </c>
      <c r="P9" s="965"/>
      <c r="Q9" s="1002">
        <f>Res_Best!$O8</f>
        <v>15.3</v>
      </c>
      <c r="R9" s="1003">
        <f>Res_Best!$Y8</f>
        <v>3.1527990797546024</v>
      </c>
      <c r="S9" s="1002">
        <f>Res_Best!$AC8</f>
        <v>6.7704000000000004</v>
      </c>
      <c r="T9" s="1002">
        <f>Res_Best!$AL8</f>
        <v>1.4255</v>
      </c>
      <c r="U9" s="1002">
        <f>Res_Best!$AR8</f>
        <v>107.84706092723228</v>
      </c>
      <c r="V9" s="1002">
        <f>Res_Best!$AU8</f>
        <v>39.517333333333333</v>
      </c>
      <c r="X9" s="977">
        <f t="shared" ref="X9:X51" si="0">A9</f>
        <v>2.1</v>
      </c>
      <c r="Y9" s="973" t="str">
        <f t="shared" ref="Y9:Y51" si="1">B9</f>
        <v xml:space="preserve">Hotelzimmer </v>
      </c>
      <c r="Z9" s="978">
        <f>Res_Std!$M8</f>
        <v>8</v>
      </c>
      <c r="AA9" s="978">
        <f>Res_Std!$V8</f>
        <v>2.7415644171779152</v>
      </c>
      <c r="AB9" s="978">
        <f>Res_Std!$AA8</f>
        <v>1.32</v>
      </c>
      <c r="AC9" s="978">
        <f>Res_Std!$AJ8</f>
        <v>13</v>
      </c>
      <c r="AD9" s="978">
        <f>Res_Std!$AP8</f>
        <v>23.774647058823529</v>
      </c>
      <c r="AE9" s="981"/>
      <c r="AF9" s="978">
        <f>Res_Zw!$M8</f>
        <v>4</v>
      </c>
      <c r="AG9" s="978">
        <f>Res_Zw!$V8</f>
        <v>1.7495693367786394</v>
      </c>
      <c r="AH9" s="978">
        <f>Res_Zw!$AA8</f>
        <v>0.81600000000000006</v>
      </c>
      <c r="AI9" s="978">
        <f>Res_Zw!$AJ8</f>
        <v>10</v>
      </c>
      <c r="AJ9" s="978">
        <f>Res_Zw!$AP8</f>
        <v>16.073164705882355</v>
      </c>
      <c r="AK9" s="981"/>
      <c r="AL9" s="978">
        <f>Res_Best!$M8</f>
        <v>10</v>
      </c>
      <c r="AM9" s="978">
        <f>Res_Best!$V8</f>
        <v>2.7415644171779152</v>
      </c>
      <c r="AN9" s="978">
        <f>Res_Best!$AA8</f>
        <v>2.1840000000000002</v>
      </c>
      <c r="AO9" s="978">
        <f>Res_Best!$AJ8</f>
        <v>20</v>
      </c>
      <c r="AP9" s="978">
        <f>Res_Best!$AP8</f>
        <v>56.602352941176477</v>
      </c>
    </row>
    <row r="10" spans="1:42">
      <c r="A10" s="977">
        <f>Eingabedaten!A13</f>
        <v>2.2000000000000002</v>
      </c>
      <c r="B10" s="973" t="str">
        <f>Eingabedaten!C13</f>
        <v>Empfang, Lobby</v>
      </c>
      <c r="C10" s="1002">
        <f>Res_Std!$O9</f>
        <v>20.93</v>
      </c>
      <c r="D10" s="1003">
        <f>Res_Std!$Y9</f>
        <v>39.994456762749444</v>
      </c>
      <c r="E10" s="1002">
        <f>Res_Std!$AC9</f>
        <v>10.612800000000002</v>
      </c>
      <c r="F10" s="1002">
        <f>Res_Std!$AL9</f>
        <v>25.517569444444444</v>
      </c>
      <c r="G10" s="1002">
        <f>Res_Std!$AR9</f>
        <v>1.2827385222875205</v>
      </c>
      <c r="H10" s="1002">
        <f>Res_Std!$AU9</f>
        <v>0</v>
      </c>
      <c r="I10" s="965"/>
      <c r="J10" s="1002">
        <f>Res_Zw!$O9</f>
        <v>8.9700000000000006</v>
      </c>
      <c r="K10" s="1003">
        <f>Res_Zw!$Y9</f>
        <v>22.98750464511334</v>
      </c>
      <c r="L10" s="1002">
        <f>Res_Zw!$AC9</f>
        <v>6.5606400000000011</v>
      </c>
      <c r="M10" s="1002">
        <f>Res_Zw!$AL9</f>
        <v>27.991944444444446</v>
      </c>
      <c r="N10" s="1002">
        <f>Res_Zw!$AR9</f>
        <v>0.3235018737545145</v>
      </c>
      <c r="O10" s="1002">
        <f>Res_Zw!$AU9</f>
        <v>0</v>
      </c>
      <c r="P10" s="965"/>
      <c r="Q10" s="1002">
        <f>Res_Best!$O9</f>
        <v>44.85</v>
      </c>
      <c r="R10" s="1003">
        <f>Res_Best!$Y9</f>
        <v>39.994456762749444</v>
      </c>
      <c r="S10" s="1002">
        <f>Res_Best!$AC9</f>
        <v>17.559360000000002</v>
      </c>
      <c r="T10" s="1002">
        <f>Res_Best!$AL9</f>
        <v>14.724305555555556</v>
      </c>
      <c r="U10" s="1002">
        <f>Res_Best!$AR9</f>
        <v>27.473638438178593</v>
      </c>
      <c r="V10" s="1002">
        <f>Res_Best!$AU9</f>
        <v>0</v>
      </c>
      <c r="X10" s="977">
        <f t="shared" si="0"/>
        <v>2.2000000000000002</v>
      </c>
      <c r="Y10" s="973" t="str">
        <f t="shared" si="1"/>
        <v>Empfang, Lobby</v>
      </c>
      <c r="Z10" s="978">
        <f>Res_Std!$M9</f>
        <v>7</v>
      </c>
      <c r="AA10" s="978">
        <f>Res_Std!$V9</f>
        <v>10.254988913525498</v>
      </c>
      <c r="AB10" s="978">
        <f>Res_Std!$AA9</f>
        <v>3.9600000000000004</v>
      </c>
      <c r="AC10" s="978">
        <f>Res_Std!$AJ9</f>
        <v>36</v>
      </c>
      <c r="AD10" s="978">
        <f>Res_Std!$AP9</f>
        <v>36.644350326797387</v>
      </c>
      <c r="AE10" s="981"/>
      <c r="AF10" s="978">
        <f>Res_Zw!$M9</f>
        <v>3</v>
      </c>
      <c r="AG10" s="978">
        <f>Res_Zw!$V9</f>
        <v>7.1612164003468344</v>
      </c>
      <c r="AH10" s="978">
        <f>Res_Zw!$AA9</f>
        <v>2.4480000000000004</v>
      </c>
      <c r="AI10" s="978">
        <f>Res_Zw!$AJ9</f>
        <v>27</v>
      </c>
      <c r="AJ10" s="978">
        <f>Res_Zw!$AP9</f>
        <v>24.754196078431374</v>
      </c>
      <c r="AK10" s="981"/>
      <c r="AL10" s="978">
        <f>Res_Best!$M9</f>
        <v>15</v>
      </c>
      <c r="AM10" s="978">
        <f>Res_Best!$V9</f>
        <v>10.254988913525498</v>
      </c>
      <c r="AN10" s="978">
        <f>Res_Best!$AA9</f>
        <v>6.5520000000000005</v>
      </c>
      <c r="AO10" s="978">
        <f>Res_Best!$AJ9</f>
        <v>48</v>
      </c>
      <c r="AP10" s="978">
        <f>Res_Best!$AP9</f>
        <v>68.46410457516339</v>
      </c>
    </row>
    <row r="11" spans="1:42">
      <c r="A11" s="977">
        <f>Eingabedaten!A14</f>
        <v>3.1</v>
      </c>
      <c r="B11" s="973" t="str">
        <f>Eingabedaten!C14</f>
        <v>Einzel-, Gruppenbüro</v>
      </c>
      <c r="C11" s="1002">
        <f>Res_Std!$O10</f>
        <v>13.51</v>
      </c>
      <c r="D11" s="1003">
        <f>Res_Std!$Y10</f>
        <v>19.215063520871148</v>
      </c>
      <c r="E11" s="1002">
        <f>Res_Std!$AC10</f>
        <v>2.0790000000000006</v>
      </c>
      <c r="F11" s="1002">
        <f>Res_Std!$AL10</f>
        <v>13.349444444444444</v>
      </c>
      <c r="G11" s="1002">
        <f>Res_Std!$AR10</f>
        <v>24.046913710624167</v>
      </c>
      <c r="H11" s="1002">
        <f>Res_Std!$AU10</f>
        <v>2.5950857142857147</v>
      </c>
      <c r="I11" s="965"/>
      <c r="J11" s="1002">
        <f>Res_Zw!$O10</f>
        <v>5.79</v>
      </c>
      <c r="K11" s="1003">
        <f>Res_Zw!$Y10</f>
        <v>5.4554016767483819</v>
      </c>
      <c r="L11" s="1002">
        <f>Res_Zw!$AC10</f>
        <v>1.2852000000000003</v>
      </c>
      <c r="M11" s="1002">
        <f>Res_Zw!$AL10</f>
        <v>10.801388888888889</v>
      </c>
      <c r="N11" s="1002">
        <f>Res_Zw!$AR10</f>
        <v>17.163424271662439</v>
      </c>
      <c r="O11" s="1002">
        <f>Res_Zw!$AU10</f>
        <v>2.5950857142857147</v>
      </c>
      <c r="P11" s="965"/>
      <c r="Q11" s="1002">
        <f>Res_Best!$O10</f>
        <v>28.95</v>
      </c>
      <c r="R11" s="1003">
        <f>Res_Best!$Y10</f>
        <v>19.215063520871148</v>
      </c>
      <c r="S11" s="1002">
        <f>Res_Best!$AC10</f>
        <v>3.4398000000000009</v>
      </c>
      <c r="T11" s="1002">
        <f>Res_Best!$AL10</f>
        <v>7.673055555555556</v>
      </c>
      <c r="U11" s="1002">
        <f>Res_Best!$AR10</f>
        <v>78.850563896183758</v>
      </c>
      <c r="V11" s="1002">
        <f>Res_Best!$AU10</f>
        <v>2.5950857142857147</v>
      </c>
      <c r="X11" s="977">
        <f t="shared" si="0"/>
        <v>3.1</v>
      </c>
      <c r="Y11" s="973" t="str">
        <f t="shared" si="1"/>
        <v>Einzel-, Gruppenbüro</v>
      </c>
      <c r="Z11" s="978">
        <f>Res_Std!$M10</f>
        <v>7</v>
      </c>
      <c r="AA11" s="978">
        <f>Res_Std!$V10</f>
        <v>15.880217785843922</v>
      </c>
      <c r="AB11" s="978">
        <f>Res_Std!$AA10</f>
        <v>1.4142857142857146</v>
      </c>
      <c r="AC11" s="978">
        <f>Res_Std!$AJ10</f>
        <v>27</v>
      </c>
      <c r="AD11" s="978">
        <f>Res_Std!$AP10</f>
        <v>28.77512605042017</v>
      </c>
      <c r="AE11" s="981"/>
      <c r="AF11" s="978">
        <f>Res_Zw!$M10</f>
        <v>3</v>
      </c>
      <c r="AG11" s="978">
        <f>Res_Zw!$V10</f>
        <v>11.60723761010294</v>
      </c>
      <c r="AH11" s="978">
        <f>Res_Zw!$AA10</f>
        <v>0.87428571428571444</v>
      </c>
      <c r="AI11" s="978">
        <f>Res_Zw!$AJ10</f>
        <v>20</v>
      </c>
      <c r="AJ11" s="978">
        <f>Res_Zw!$AP10</f>
        <v>20.612436974789919</v>
      </c>
      <c r="AK11" s="981"/>
      <c r="AL11" s="978">
        <f>Res_Best!$M10</f>
        <v>15</v>
      </c>
      <c r="AM11" s="978">
        <f>Res_Best!$V10</f>
        <v>15.880217785843922</v>
      </c>
      <c r="AN11" s="978">
        <f>Res_Best!$AA10</f>
        <v>2.3400000000000003</v>
      </c>
      <c r="AO11" s="978">
        <f>Res_Best!$AJ10</f>
        <v>38</v>
      </c>
      <c r="AP11" s="978">
        <f>Res_Best!$AP10</f>
        <v>57.185187675070033</v>
      </c>
    </row>
    <row r="12" spans="1:42">
      <c r="A12" s="977">
        <f>Eingabedaten!A15</f>
        <v>3.2</v>
      </c>
      <c r="B12" s="973" t="str">
        <f>Eingabedaten!C15</f>
        <v>Grossraumbüro</v>
      </c>
      <c r="C12" s="1002">
        <f>Res_Std!$O11</f>
        <v>19.3</v>
      </c>
      <c r="D12" s="1003">
        <f>Res_Std!$Y11</f>
        <v>23.20780399274047</v>
      </c>
      <c r="E12" s="1002">
        <f>Res_Std!$AC11</f>
        <v>2.9106000000000005</v>
      </c>
      <c r="F12" s="1002">
        <f>Res_Std!$AL11</f>
        <v>20.585625</v>
      </c>
      <c r="G12" s="1002">
        <f>Res_Std!$AR11</f>
        <v>8.5556412768514107</v>
      </c>
      <c r="H12" s="1002">
        <f>Res_Std!$AU11</f>
        <v>3.6331200000000008</v>
      </c>
      <c r="I12" s="965"/>
      <c r="J12" s="1002">
        <f>Res_Zw!$O11</f>
        <v>7.72</v>
      </c>
      <c r="K12" s="1003">
        <f>Res_Zw!$Y11</f>
        <v>11.764764406240051</v>
      </c>
      <c r="L12" s="1002">
        <f>Res_Zw!$AC11</f>
        <v>1.7992800000000002</v>
      </c>
      <c r="M12" s="1002">
        <f>Res_Zw!$AL11</f>
        <v>12.321805555555555</v>
      </c>
      <c r="N12" s="1002">
        <f>Res_Zw!$AR11</f>
        <v>6.4361878736838873</v>
      </c>
      <c r="O12" s="1002">
        <f>Res_Zw!$AU11</f>
        <v>3.6331200000000008</v>
      </c>
      <c r="P12" s="965"/>
      <c r="Q12" s="1002">
        <f>Res_Best!$O11</f>
        <v>36.67</v>
      </c>
      <c r="R12" s="1003">
        <f>Res_Best!$Y11</f>
        <v>23.20780399274047</v>
      </c>
      <c r="S12" s="1002">
        <f>Res_Best!$AC11</f>
        <v>4.8157200000000007</v>
      </c>
      <c r="T12" s="1002">
        <f>Res_Best!$AL11</f>
        <v>11.200347222222222</v>
      </c>
      <c r="U12" s="1002">
        <f>Res_Best!$AR11</f>
        <v>51.100575971290638</v>
      </c>
      <c r="V12" s="1002">
        <f>Res_Best!$AU11</f>
        <v>3.6331200000000008</v>
      </c>
      <c r="X12" s="977">
        <f t="shared" si="0"/>
        <v>3.2</v>
      </c>
      <c r="Y12" s="973" t="str">
        <f t="shared" si="1"/>
        <v>Grossraumbüro</v>
      </c>
      <c r="Z12" s="978">
        <f>Res_Std!$M11</f>
        <v>10</v>
      </c>
      <c r="AA12" s="978">
        <f>Res_Std!$V11</f>
        <v>12.477313974591651</v>
      </c>
      <c r="AB12" s="978">
        <f>Res_Std!$AA11</f>
        <v>1.9800000000000002</v>
      </c>
      <c r="AC12" s="978">
        <f>Res_Std!$AJ11</f>
        <v>26</v>
      </c>
      <c r="AD12" s="978">
        <f>Res_Std!$AP11</f>
        <v>23.422705882352943</v>
      </c>
      <c r="AE12" s="981"/>
      <c r="AF12" s="978">
        <f>Res_Zw!$M11</f>
        <v>4</v>
      </c>
      <c r="AG12" s="978">
        <f>Res_Zw!$V11</f>
        <v>9.1199724079380236</v>
      </c>
      <c r="AH12" s="978">
        <f>Res_Zw!$AA11</f>
        <v>1.2240000000000002</v>
      </c>
      <c r="AI12" s="978">
        <f>Res_Zw!$AJ11</f>
        <v>18</v>
      </c>
      <c r="AJ12" s="978">
        <f>Res_Zw!$AP11</f>
        <v>16.440235294117649</v>
      </c>
      <c r="AK12" s="981"/>
      <c r="AL12" s="978">
        <f>Res_Best!$M11</f>
        <v>19</v>
      </c>
      <c r="AM12" s="978">
        <f>Res_Best!$V11</f>
        <v>12.477313974591651</v>
      </c>
      <c r="AN12" s="978">
        <f>Res_Best!$AA11</f>
        <v>3.2760000000000002</v>
      </c>
      <c r="AO12" s="978">
        <f>Res_Best!$AJ11</f>
        <v>37</v>
      </c>
      <c r="AP12" s="978">
        <f>Res_Best!$AP11</f>
        <v>49.582980392156863</v>
      </c>
    </row>
    <row r="13" spans="1:42">
      <c r="A13" s="977">
        <f>Eingabedaten!A16</f>
        <v>3.3</v>
      </c>
      <c r="B13" s="973" t="str">
        <f>Eingabedaten!C16</f>
        <v>Sitzungszimmer</v>
      </c>
      <c r="C13" s="1002">
        <f>Res_Std!$O12</f>
        <v>2.82</v>
      </c>
      <c r="D13" s="1003">
        <f>Res_Std!$Y12</f>
        <v>10.48094373865699</v>
      </c>
      <c r="E13" s="1002">
        <f>Res_Std!$AC12</f>
        <v>6.1380000000000008</v>
      </c>
      <c r="F13" s="1002">
        <f>Res_Std!$AL12</f>
        <v>10.724722222222223</v>
      </c>
      <c r="G13" s="1002">
        <f>Res_Std!$AR12</f>
        <v>24.581469257512882</v>
      </c>
      <c r="H13" s="1002">
        <f>Res_Std!$AU12</f>
        <v>0</v>
      </c>
      <c r="I13" s="965"/>
      <c r="J13" s="1002">
        <f>Res_Zw!$O12</f>
        <v>1.41</v>
      </c>
      <c r="K13" s="1003">
        <f>Res_Zw!$Y12</f>
        <v>2.901809402525735</v>
      </c>
      <c r="L13" s="1002">
        <f>Res_Zw!$AC12</f>
        <v>3.7944</v>
      </c>
      <c r="M13" s="1002">
        <f>Res_Zw!$AL12</f>
        <v>12.897777777777778</v>
      </c>
      <c r="N13" s="1002">
        <f>Res_Zw!$AR12</f>
        <v>13.203277837721714</v>
      </c>
      <c r="O13" s="1002">
        <f>Res_Zw!$AU12</f>
        <v>0</v>
      </c>
      <c r="P13" s="965"/>
      <c r="Q13" s="1002">
        <f>Res_Best!$O12</f>
        <v>4.2300000000000004</v>
      </c>
      <c r="R13" s="1003">
        <f>Res_Best!$Y12</f>
        <v>10.48094373865699</v>
      </c>
      <c r="S13" s="1002">
        <f>Res_Best!$AC12</f>
        <v>10.1556</v>
      </c>
      <c r="T13" s="1002">
        <f>Res_Best!$AL12</f>
        <v>4.1952777777777781</v>
      </c>
      <c r="U13" s="1002">
        <f>Res_Best!$AR12</f>
        <v>91.12423436241518</v>
      </c>
      <c r="V13" s="1002">
        <f>Res_Best!$AU12</f>
        <v>0</v>
      </c>
      <c r="X13" s="977">
        <f t="shared" si="0"/>
        <v>3.3</v>
      </c>
      <c r="Y13" s="973" t="str">
        <f t="shared" si="1"/>
        <v>Sitzungszimmer</v>
      </c>
      <c r="Z13" s="978">
        <f>Res_Std!$M12</f>
        <v>2</v>
      </c>
      <c r="AA13" s="978">
        <f>Res_Std!$V12</f>
        <v>15.880217785843922</v>
      </c>
      <c r="AB13" s="978">
        <f>Res_Std!$AA12</f>
        <v>6.6000000000000005</v>
      </c>
      <c r="AC13" s="978">
        <f>Res_Std!$AJ12</f>
        <v>42</v>
      </c>
      <c r="AD13" s="978">
        <f>Res_Std!$AP12</f>
        <v>57.793725490196088</v>
      </c>
      <c r="AE13" s="981"/>
      <c r="AF13" s="978">
        <f>Res_Zw!$M12</f>
        <v>1</v>
      </c>
      <c r="AG13" s="978">
        <f>Res_Zw!$V12</f>
        <v>11.60723761010294</v>
      </c>
      <c r="AH13" s="978">
        <f>Res_Zw!$AA12</f>
        <v>4.08</v>
      </c>
      <c r="AI13" s="978">
        <f>Res_Zw!$AJ12</f>
        <v>33</v>
      </c>
      <c r="AJ13" s="978">
        <f>Res_Zw!$AP12</f>
        <v>40.005803921568628</v>
      </c>
      <c r="AK13" s="981"/>
      <c r="AL13" s="978">
        <f>Res_Best!$M12</f>
        <v>3</v>
      </c>
      <c r="AM13" s="978">
        <f>Res_Best!$V12</f>
        <v>15.880217785843922</v>
      </c>
      <c r="AN13" s="978">
        <f>Res_Best!$AA12</f>
        <v>10.92</v>
      </c>
      <c r="AO13" s="978">
        <f>Res_Best!$AJ12</f>
        <v>52</v>
      </c>
      <c r="AP13" s="978">
        <f>Res_Best!$AP12</f>
        <v>107.3041568627451</v>
      </c>
    </row>
    <row r="14" spans="1:42">
      <c r="A14" s="977">
        <f>Eingabedaten!A17</f>
        <v>3.4</v>
      </c>
      <c r="B14" s="973" t="str">
        <f>Eingabedaten!C17</f>
        <v>Schalterhalle, Empfang</v>
      </c>
      <c r="C14" s="1002">
        <f>Res_Std!$O13</f>
        <v>7.72</v>
      </c>
      <c r="D14" s="1003">
        <f>Res_Std!$Y13</f>
        <v>14.450665188470071</v>
      </c>
      <c r="E14" s="1002">
        <f>Res_Std!$AC13</f>
        <v>2.0212500000000002</v>
      </c>
      <c r="F14" s="1002">
        <f>Res_Std!$AL13</f>
        <v>12.911875</v>
      </c>
      <c r="G14" s="1002">
        <f>Res_Std!$AR13</f>
        <v>12.929054627247153</v>
      </c>
      <c r="H14" s="1002">
        <f>Res_Std!$AU13</f>
        <v>0</v>
      </c>
      <c r="I14" s="965"/>
      <c r="J14" s="1002">
        <f>Res_Zw!$O13</f>
        <v>2.895</v>
      </c>
      <c r="K14" s="1003">
        <f>Res_Zw!$Y13</f>
        <v>5.7003282546760818</v>
      </c>
      <c r="L14" s="1002">
        <f>Res_Zw!$AC13</f>
        <v>1.2495000000000003</v>
      </c>
      <c r="M14" s="1002">
        <f>Res_Zw!$AL13</f>
        <v>10.395833333333334</v>
      </c>
      <c r="N14" s="1002">
        <f>Res_Zw!$AR13</f>
        <v>8.8019817988264943</v>
      </c>
      <c r="O14" s="1002">
        <f>Res_Zw!$AU13</f>
        <v>0</v>
      </c>
      <c r="P14" s="965"/>
      <c r="Q14" s="1002">
        <f>Res_Best!$O13</f>
        <v>18.335000000000001</v>
      </c>
      <c r="R14" s="1003">
        <f>Res_Best!$Y13</f>
        <v>14.450665188470071</v>
      </c>
      <c r="S14" s="1002">
        <f>Res_Best!$AC13</f>
        <v>3.3442500000000002</v>
      </c>
      <c r="T14" s="1002">
        <f>Res_Best!$AL13</f>
        <v>7.662638888888889</v>
      </c>
      <c r="U14" s="1002">
        <f>Res_Best!$AR13</f>
        <v>46.608882732744767</v>
      </c>
      <c r="V14" s="1002">
        <f>Res_Best!$AU13</f>
        <v>0</v>
      </c>
      <c r="X14" s="977">
        <f t="shared" si="0"/>
        <v>3.4</v>
      </c>
      <c r="Y14" s="973" t="str">
        <f t="shared" si="1"/>
        <v>Schalterhalle, Empfang</v>
      </c>
      <c r="Z14" s="978">
        <f>Res_Std!$M13</f>
        <v>4</v>
      </c>
      <c r="AA14" s="978">
        <f>Res_Std!$V13</f>
        <v>11.031042128603106</v>
      </c>
      <c r="AB14" s="978">
        <f>Res_Std!$AA13</f>
        <v>1.375</v>
      </c>
      <c r="AC14" s="978">
        <f>Res_Std!$AJ13</f>
        <v>22</v>
      </c>
      <c r="AD14" s="978">
        <f>Res_Std!$AP13</f>
        <v>21.195398692810461</v>
      </c>
      <c r="AE14" s="981"/>
      <c r="AF14" s="978">
        <f>Res_Zw!$M13</f>
        <v>1.5</v>
      </c>
      <c r="AG14" s="978">
        <f>Res_Zw!$V13</f>
        <v>7.7031462901028132</v>
      </c>
      <c r="AH14" s="978">
        <f>Res_Zw!$AA13</f>
        <v>0.85000000000000009</v>
      </c>
      <c r="AI14" s="978">
        <f>Res_Zw!$AJ13</f>
        <v>16</v>
      </c>
      <c r="AJ14" s="978">
        <f>Res_Zw!$AP13</f>
        <v>15.205856209150328</v>
      </c>
      <c r="AK14" s="981"/>
      <c r="AL14" s="978">
        <f>Res_Best!$M13</f>
        <v>9.5</v>
      </c>
      <c r="AM14" s="978">
        <f>Res_Best!$V13</f>
        <v>11.031042128603106</v>
      </c>
      <c r="AN14" s="978">
        <f>Res_Best!$AA13</f>
        <v>2.2749999999999999</v>
      </c>
      <c r="AO14" s="978">
        <f>Res_Best!$AJ13</f>
        <v>30</v>
      </c>
      <c r="AP14" s="978">
        <f>Res_Best!$AP13</f>
        <v>41.625098039215686</v>
      </c>
    </row>
    <row r="15" spans="1:42">
      <c r="A15" s="977">
        <f>Eingabedaten!A18</f>
        <v>4.0999999999999996</v>
      </c>
      <c r="B15" s="973" t="str">
        <f>Eingabedaten!C18</f>
        <v>Schulzimmer</v>
      </c>
      <c r="C15" s="1002">
        <f>Res_Std!$O14</f>
        <v>7.08</v>
      </c>
      <c r="D15" s="1003">
        <f>Res_Std!$Y14</f>
        <v>16.558854031630801</v>
      </c>
      <c r="E15" s="1002">
        <f>Res_Std!$AC14</f>
        <v>3.7966666666666673</v>
      </c>
      <c r="F15" s="1002">
        <f>Res_Std!$AL14</f>
        <v>16.868857142857141</v>
      </c>
      <c r="G15" s="1002">
        <f>Res_Std!$AR14</f>
        <v>25.727535728695621</v>
      </c>
      <c r="H15" s="1002">
        <f>Res_Std!$AU14</f>
        <v>5.290005205479452</v>
      </c>
      <c r="I15" s="965"/>
      <c r="J15" s="1002">
        <f>Res_Zw!$O14</f>
        <v>3.54</v>
      </c>
      <c r="K15" s="1003">
        <f>Res_Zw!$Y14</f>
        <v>5.7439244401995113</v>
      </c>
      <c r="L15" s="1002">
        <f>Res_Zw!$AC14</f>
        <v>2.4901666666666675</v>
      </c>
      <c r="M15" s="1002">
        <f>Res_Zw!$AL14</f>
        <v>16.87442857142857</v>
      </c>
      <c r="N15" s="1002">
        <f>Res_Zw!$AR14</f>
        <v>15.17511437737198</v>
      </c>
      <c r="O15" s="1002">
        <f>Res_Zw!$AU14</f>
        <v>5.290005205479452</v>
      </c>
      <c r="P15" s="965"/>
      <c r="Q15" s="1002">
        <f>Res_Best!$O14</f>
        <v>10.62</v>
      </c>
      <c r="R15" s="1003">
        <f>Res_Best!$Y14</f>
        <v>16.558854031630801</v>
      </c>
      <c r="S15" s="1002">
        <f>Res_Best!$AC14</f>
        <v>0</v>
      </c>
      <c r="T15" s="1002">
        <f>Res_Best!$AL14</f>
        <v>5.3250000000000002</v>
      </c>
      <c r="U15" s="1002">
        <f>Res_Best!$AR14</f>
        <v>131.08433886861184</v>
      </c>
      <c r="V15" s="1002">
        <f>Res_Best!$AU14</f>
        <v>5.290005205479452</v>
      </c>
      <c r="X15" s="977">
        <f t="shared" si="0"/>
        <v>4.0999999999999996</v>
      </c>
      <c r="Y15" s="973" t="str">
        <f t="shared" si="1"/>
        <v>Schulzimmer</v>
      </c>
      <c r="Z15" s="978">
        <f>Res_Std!$M14</f>
        <v>4</v>
      </c>
      <c r="AA15" s="978">
        <f>Res_Std!$V14</f>
        <v>14.032927145449831</v>
      </c>
      <c r="AB15" s="978">
        <f>Res_Std!$AA14</f>
        <v>2.8333333333333339</v>
      </c>
      <c r="AC15" s="978">
        <f>Res_Std!$AJ14</f>
        <v>36</v>
      </c>
      <c r="AD15" s="978">
        <f>Res_Std!$AP14</f>
        <v>45.985764705882353</v>
      </c>
      <c r="AE15" s="981"/>
      <c r="AF15" s="978">
        <f>Res_Zw!$M14</f>
        <v>2</v>
      </c>
      <c r="AG15" s="978">
        <f>Res_Zw!$V14</f>
        <v>10.257007928927699</v>
      </c>
      <c r="AH15" s="978">
        <f>Res_Zw!$AA14</f>
        <v>1.8583333333333338</v>
      </c>
      <c r="AI15" s="978">
        <f>Res_Zw!$AJ14</f>
        <v>31</v>
      </c>
      <c r="AJ15" s="978">
        <f>Res_Zw!$AP14</f>
        <v>30.806386554621842</v>
      </c>
      <c r="AK15" s="981"/>
      <c r="AL15" s="978">
        <f>Res_Best!$M14</f>
        <v>6</v>
      </c>
      <c r="AM15" s="978">
        <f>Res_Best!$V14</f>
        <v>14.032927145449831</v>
      </c>
      <c r="AN15" s="978">
        <f>Res_Best!$AA14</f>
        <v>0</v>
      </c>
      <c r="AO15" s="978">
        <f>Res_Best!$AJ14</f>
        <v>46</v>
      </c>
      <c r="AP15" s="978">
        <f>Res_Best!$AP14</f>
        <v>135.02314845938375</v>
      </c>
    </row>
    <row r="16" spans="1:42">
      <c r="A16" s="977">
        <f>Eingabedaten!A19</f>
        <v>4.2</v>
      </c>
      <c r="B16" s="973" t="str">
        <f>Eingabedaten!C19</f>
        <v>Lehrerzimmer</v>
      </c>
      <c r="C16" s="1002">
        <f>Res_Std!$O15</f>
        <v>6.04</v>
      </c>
      <c r="D16" s="1003">
        <f>Res_Std!$Y15</f>
        <v>11.990022172949004</v>
      </c>
      <c r="E16" s="1002">
        <f>Res_Std!$AC15</f>
        <v>3.7536</v>
      </c>
      <c r="F16" s="1002">
        <f>Res_Std!$AL15</f>
        <v>9.8886111111111106</v>
      </c>
      <c r="G16" s="1002">
        <f>Res_Std!$AR15</f>
        <v>37.247115663022704</v>
      </c>
      <c r="H16" s="1002">
        <f>Res_Std!$AU15</f>
        <v>0</v>
      </c>
      <c r="I16" s="965"/>
      <c r="J16" s="1002">
        <f>Res_Zw!$O15</f>
        <v>3.02</v>
      </c>
      <c r="K16" s="1003">
        <f>Res_Zw!$Y15</f>
        <v>3.0077108881456711</v>
      </c>
      <c r="L16" s="1002">
        <f>Res_Zw!$AC15</f>
        <v>2.4619200000000001</v>
      </c>
      <c r="M16" s="1002">
        <f>Res_Zw!$AL15</f>
        <v>13.325555555555555</v>
      </c>
      <c r="N16" s="1002">
        <f>Res_Zw!$AR15</f>
        <v>21.868737350000352</v>
      </c>
      <c r="O16" s="1002">
        <f>Res_Zw!$AU15</f>
        <v>0</v>
      </c>
      <c r="P16" s="965"/>
      <c r="Q16" s="1002">
        <f>Res_Best!$O15</f>
        <v>9.06</v>
      </c>
      <c r="R16" s="1003">
        <f>Res_Best!$Y15</f>
        <v>11.990022172949004</v>
      </c>
      <c r="S16" s="1002">
        <f>Res_Best!$AC15</f>
        <v>0</v>
      </c>
      <c r="T16" s="1002">
        <f>Res_Best!$AL15</f>
        <v>2.6161111111111111</v>
      </c>
      <c r="U16" s="1002">
        <f>Res_Best!$AR15</f>
        <v>178.96180401479566</v>
      </c>
      <c r="V16" s="1002">
        <f>Res_Best!$AU15</f>
        <v>0</v>
      </c>
      <c r="X16" s="977">
        <f t="shared" si="0"/>
        <v>4.2</v>
      </c>
      <c r="Y16" s="973" t="str">
        <f t="shared" si="1"/>
        <v>Lehrerzimmer</v>
      </c>
      <c r="Z16" s="978">
        <f>Res_Std!$M15</f>
        <v>4</v>
      </c>
      <c r="AA16" s="978">
        <f>Res_Std!$V15</f>
        <v>11.640798226164081</v>
      </c>
      <c r="AB16" s="978">
        <f>Res_Std!$AA15</f>
        <v>4.08</v>
      </c>
      <c r="AC16" s="978">
        <f>Res_Std!$AJ15</f>
        <v>37</v>
      </c>
      <c r="AD16" s="978">
        <f>Res_Std!$AP15</f>
        <v>61.203725490196085</v>
      </c>
      <c r="AE16" s="981"/>
      <c r="AF16" s="978">
        <f>Res_Zw!$M15</f>
        <v>2</v>
      </c>
      <c r="AG16" s="978">
        <f>Res_Zw!$V15</f>
        <v>8.1289483463396515</v>
      </c>
      <c r="AH16" s="978">
        <f>Res_Zw!$AA15</f>
        <v>2.6760000000000002</v>
      </c>
      <c r="AI16" s="978">
        <f>Res_Zw!$AJ15</f>
        <v>27</v>
      </c>
      <c r="AJ16" s="978">
        <f>Res_Zw!$AP15</f>
        <v>42.011686274509799</v>
      </c>
      <c r="AK16" s="981"/>
      <c r="AL16" s="978">
        <f>Res_Best!$M15</f>
        <v>6</v>
      </c>
      <c r="AM16" s="978">
        <f>Res_Best!$V15</f>
        <v>11.640798226164081</v>
      </c>
      <c r="AN16" s="978">
        <f>Res_Best!$AA15</f>
        <v>0</v>
      </c>
      <c r="AO16" s="978">
        <f>Res_Best!$AJ15</f>
        <v>50</v>
      </c>
      <c r="AP16" s="978">
        <f>Res_Best!$AP15</f>
        <v>185.30886274509805</v>
      </c>
    </row>
    <row r="17" spans="1:42">
      <c r="A17" s="977">
        <f>Eingabedaten!A20</f>
        <v>4.3</v>
      </c>
      <c r="B17" s="973" t="str">
        <f>Eingabedaten!C20</f>
        <v>Bibliothek</v>
      </c>
      <c r="C17" s="1002">
        <f>Res_Std!$O16</f>
        <v>3.02</v>
      </c>
      <c r="D17" s="1003">
        <f>Res_Std!$Y16</f>
        <v>8.5037406483790523</v>
      </c>
      <c r="E17" s="1002">
        <f>Res_Std!$AC16</f>
        <v>2.2521600000000004</v>
      </c>
      <c r="F17" s="1002">
        <f>Res_Std!$AL16</f>
        <v>8.2642361111111118</v>
      </c>
      <c r="G17" s="1002">
        <f>Res_Std!$AR16</f>
        <v>17.104947907811244</v>
      </c>
      <c r="H17" s="1002">
        <f>Res_Std!$AU16</f>
        <v>0</v>
      </c>
      <c r="I17" s="965"/>
      <c r="J17" s="1002">
        <f>Res_Zw!$O16</f>
        <v>1.51</v>
      </c>
      <c r="K17" s="1003">
        <f>Res_Zw!$Y16</f>
        <v>2.9737766964044332</v>
      </c>
      <c r="L17" s="1002">
        <f>Res_Zw!$AC16</f>
        <v>1.4771520000000002</v>
      </c>
      <c r="M17" s="1002">
        <f>Res_Zw!$AL16</f>
        <v>7.9001388888888888</v>
      </c>
      <c r="N17" s="1002">
        <f>Res_Zw!$AR16</f>
        <v>9.8362004229917019</v>
      </c>
      <c r="O17" s="1002">
        <f>Res_Zw!$AU16</f>
        <v>0</v>
      </c>
      <c r="P17" s="965"/>
      <c r="Q17" s="1002">
        <f>Res_Best!$O16</f>
        <v>4.53</v>
      </c>
      <c r="R17" s="1003">
        <f>Res_Best!$Y16</f>
        <v>8.5037406483790523</v>
      </c>
      <c r="S17" s="1002">
        <f>Res_Best!$AC16</f>
        <v>0</v>
      </c>
      <c r="T17" s="1002">
        <f>Res_Best!$AL16</f>
        <v>1.9981944444444444</v>
      </c>
      <c r="U17" s="1002">
        <f>Res_Best!$AR16</f>
        <v>91.815580429795673</v>
      </c>
      <c r="V17" s="1002">
        <f>Res_Best!$AU16</f>
        <v>0</v>
      </c>
      <c r="X17" s="977">
        <f t="shared" si="0"/>
        <v>4.3</v>
      </c>
      <c r="Y17" s="973" t="str">
        <f t="shared" si="1"/>
        <v>Bibliothek</v>
      </c>
      <c r="Z17" s="978">
        <f>Res_Std!$M16</f>
        <v>2</v>
      </c>
      <c r="AA17" s="978">
        <f>Res_Std!$V16</f>
        <v>6.8578553615960098</v>
      </c>
      <c r="AB17" s="978">
        <f>Res_Std!$AA16</f>
        <v>2.4480000000000004</v>
      </c>
      <c r="AC17" s="978">
        <f>Res_Std!$AJ16</f>
        <v>21</v>
      </c>
      <c r="AD17" s="978">
        <f>Res_Std!$AP16</f>
        <v>34.917062745098043</v>
      </c>
      <c r="AE17" s="981"/>
      <c r="AF17" s="978">
        <f>Res_Zw!$M16</f>
        <v>1</v>
      </c>
      <c r="AG17" s="978">
        <f>Res_Zw!$V16</f>
        <v>4.6465260881319272</v>
      </c>
      <c r="AH17" s="978">
        <f>Res_Zw!$AA16</f>
        <v>1.6056000000000004</v>
      </c>
      <c r="AI17" s="978">
        <f>Res_Zw!$AJ16</f>
        <v>16</v>
      </c>
      <c r="AJ17" s="978">
        <f>Res_Zw!$AP16</f>
        <v>23.352235294117648</v>
      </c>
      <c r="AK17" s="981"/>
      <c r="AL17" s="978">
        <f>Res_Best!$M16</f>
        <v>3</v>
      </c>
      <c r="AM17" s="978">
        <f>Res_Best!$V16</f>
        <v>6.8578553615960098</v>
      </c>
      <c r="AN17" s="978">
        <f>Res_Best!$AA16</f>
        <v>0</v>
      </c>
      <c r="AO17" s="978">
        <f>Res_Best!$AJ16</f>
        <v>27</v>
      </c>
      <c r="AP17" s="978">
        <f>Res_Best!$AP16</f>
        <v>106.47843137254901</v>
      </c>
    </row>
    <row r="18" spans="1:42">
      <c r="A18" s="977">
        <f>Eingabedaten!A21</f>
        <v>4.4000000000000004</v>
      </c>
      <c r="B18" s="973" t="str">
        <f>Eingabedaten!C21</f>
        <v>Hörsaal</v>
      </c>
      <c r="C18" s="1002">
        <f>Res_Std!$O17</f>
        <v>7.08</v>
      </c>
      <c r="D18" s="1003">
        <f>Res_Std!$Y17</f>
        <v>20.338021778584391</v>
      </c>
      <c r="E18" s="1002">
        <f>Res_Std!$AC17</f>
        <v>11.055</v>
      </c>
      <c r="F18" s="1002">
        <f>Res_Std!$AL17</f>
        <v>20.477499999999999</v>
      </c>
      <c r="G18" s="1002">
        <f>Res_Std!$AR17</f>
        <v>13.625552410797548</v>
      </c>
      <c r="H18" s="1002">
        <f>Res_Std!$AU17</f>
        <v>7.9350078082191775</v>
      </c>
      <c r="I18" s="965"/>
      <c r="J18" s="1002">
        <f>Res_Zw!$O17</f>
        <v>3.54</v>
      </c>
      <c r="K18" s="1003">
        <f>Res_Zw!$Y17</f>
        <v>10.305568820969967</v>
      </c>
      <c r="L18" s="1002">
        <f>Res_Zw!$AC17</f>
        <v>6.8340000000000005</v>
      </c>
      <c r="M18" s="1002">
        <f>Res_Zw!$AL17</f>
        <v>29.806458333333332</v>
      </c>
      <c r="N18" s="1002">
        <f>Res_Zw!$AR17</f>
        <v>6.6634126733512886</v>
      </c>
      <c r="O18" s="1002">
        <f>Res_Zw!$AU17</f>
        <v>7.9350078082191775</v>
      </c>
      <c r="P18" s="965"/>
      <c r="Q18" s="1002">
        <f>Res_Best!$O17</f>
        <v>10.62</v>
      </c>
      <c r="R18" s="1003">
        <f>Res_Best!$Y17</f>
        <v>20.338021778584391</v>
      </c>
      <c r="S18" s="1002">
        <f>Res_Best!$AC17</f>
        <v>18.291</v>
      </c>
      <c r="T18" s="1002">
        <f>Res_Best!$AL17</f>
        <v>6.7120833333333332</v>
      </c>
      <c r="U18" s="1002">
        <f>Res_Best!$AR17</f>
        <v>75.383341108832141</v>
      </c>
      <c r="V18" s="1002">
        <f>Res_Best!$AU17</f>
        <v>7.9350078082191775</v>
      </c>
      <c r="X18" s="977">
        <f t="shared" si="0"/>
        <v>4.4000000000000004</v>
      </c>
      <c r="Y18" s="973" t="str">
        <f t="shared" si="1"/>
        <v>Hörsaal</v>
      </c>
      <c r="Z18" s="978">
        <f>Res_Std!$M17</f>
        <v>4</v>
      </c>
      <c r="AA18" s="978">
        <f>Res_Std!$V17</f>
        <v>12.477313974591651</v>
      </c>
      <c r="AB18" s="978">
        <f>Res_Std!$AA17</f>
        <v>8.25</v>
      </c>
      <c r="AC18" s="978">
        <f>Res_Std!$AJ17</f>
        <v>48</v>
      </c>
      <c r="AD18" s="978">
        <f>Res_Std!$AP17</f>
        <v>58.129862745098052</v>
      </c>
      <c r="AE18" s="981"/>
      <c r="AF18" s="978">
        <f>Res_Zw!$M17</f>
        <v>2</v>
      </c>
      <c r="AG18" s="978">
        <f>Res_Zw!$V17</f>
        <v>9.1199724079380236</v>
      </c>
      <c r="AH18" s="978">
        <f>Res_Zw!$AA17</f>
        <v>5.1000000000000005</v>
      </c>
      <c r="AI18" s="978">
        <f>Res_Zw!$AJ17</f>
        <v>39</v>
      </c>
      <c r="AJ18" s="978">
        <f>Res_Zw!$AP17</f>
        <v>39.605843137254894</v>
      </c>
      <c r="AK18" s="981"/>
      <c r="AL18" s="978">
        <f>Res_Best!$M17</f>
        <v>6</v>
      </c>
      <c r="AM18" s="978">
        <f>Res_Best!$V17</f>
        <v>12.477313974591651</v>
      </c>
      <c r="AN18" s="978">
        <f>Res_Best!$AA17</f>
        <v>13.65</v>
      </c>
      <c r="AO18" s="978">
        <f>Res_Best!$AJ17</f>
        <v>58</v>
      </c>
      <c r="AP18" s="978">
        <f>Res_Best!$AP17</f>
        <v>109.55043137254901</v>
      </c>
    </row>
    <row r="19" spans="1:42">
      <c r="A19" s="977">
        <f>Eingabedaten!A22</f>
        <v>4.5</v>
      </c>
      <c r="B19" s="973" t="str">
        <f>Eingabedaten!C22</f>
        <v>Schulfachraum (Spezialraum)</v>
      </c>
      <c r="C19" s="1002">
        <f>Res_Std!$O18</f>
        <v>7.08</v>
      </c>
      <c r="D19" s="1003">
        <f>Res_Std!$Y18</f>
        <v>16.558854031630801</v>
      </c>
      <c r="E19" s="1002">
        <f>Res_Std!$AC18</f>
        <v>2.7336</v>
      </c>
      <c r="F19" s="1002">
        <f>Res_Std!$AL18</f>
        <v>10.626857142857142</v>
      </c>
      <c r="G19" s="1002">
        <f>Res_Std!$AR18</f>
        <v>27.349684338571791</v>
      </c>
      <c r="H19" s="1002">
        <f>Res_Std!$AU18</f>
        <v>3.1740031232876711</v>
      </c>
      <c r="I19" s="965"/>
      <c r="J19" s="1002">
        <f>Res_Zw!$O18</f>
        <v>2.6549999999999998</v>
      </c>
      <c r="K19" s="1003">
        <f>Res_Zw!$Y18</f>
        <v>5.7439244401995113</v>
      </c>
      <c r="L19" s="1002">
        <f>Res_Zw!$AC18</f>
        <v>1.7929200000000001</v>
      </c>
      <c r="M19" s="1002">
        <f>Res_Zw!$AL18</f>
        <v>11.201142857142857</v>
      </c>
      <c r="N19" s="1002">
        <f>Res_Zw!$AR18</f>
        <v>17.417187974480619</v>
      </c>
      <c r="O19" s="1002">
        <f>Res_Zw!$AU18</f>
        <v>3.1740031232876711</v>
      </c>
      <c r="P19" s="965"/>
      <c r="Q19" s="1002">
        <f>Res_Best!$O18</f>
        <v>16.815000000000001</v>
      </c>
      <c r="R19" s="1003">
        <f>Res_Best!$Y18</f>
        <v>16.558854031630801</v>
      </c>
      <c r="S19" s="1002">
        <f>Res_Best!$AC18</f>
        <v>4.4219999999999997</v>
      </c>
      <c r="T19" s="1002">
        <f>Res_Best!$AL18</f>
        <v>3.7108571428571429</v>
      </c>
      <c r="U19" s="1002">
        <f>Res_Best!$AR18</f>
        <v>108.53175748763066</v>
      </c>
      <c r="V19" s="1002">
        <f>Res_Best!$AU18</f>
        <v>3.1740031232876711</v>
      </c>
      <c r="X19" s="977">
        <f t="shared" si="0"/>
        <v>4.5</v>
      </c>
      <c r="Y19" s="973" t="str">
        <f t="shared" si="1"/>
        <v>Schulfachraum (Spezialraum)</v>
      </c>
      <c r="Z19" s="978">
        <f>Res_Std!$M18</f>
        <v>4</v>
      </c>
      <c r="AA19" s="978">
        <f>Res_Std!$V18</f>
        <v>14.032927145449831</v>
      </c>
      <c r="AB19" s="978">
        <f>Res_Std!$AA18</f>
        <v>2.04</v>
      </c>
      <c r="AC19" s="978">
        <f>Res_Std!$AJ18</f>
        <v>34</v>
      </c>
      <c r="AD19" s="978">
        <f>Res_Std!$AP18</f>
        <v>39.041764705882358</v>
      </c>
      <c r="AE19" s="981"/>
      <c r="AF19" s="978">
        <f>Res_Zw!$M18</f>
        <v>1.5</v>
      </c>
      <c r="AG19" s="978">
        <f>Res_Zw!$V18</f>
        <v>10.257007928927699</v>
      </c>
      <c r="AH19" s="978">
        <f>Res_Zw!$AA18</f>
        <v>1.3380000000000001</v>
      </c>
      <c r="AI19" s="978">
        <f>Res_Zw!$AJ18</f>
        <v>26</v>
      </c>
      <c r="AJ19" s="978">
        <f>Res_Zw!$AP18</f>
        <v>26.326386554621848</v>
      </c>
      <c r="AK19" s="981"/>
      <c r="AL19" s="978">
        <f>Res_Best!$M18</f>
        <v>9.5</v>
      </c>
      <c r="AM19" s="978">
        <f>Res_Best!$V18</f>
        <v>14.032927145449831</v>
      </c>
      <c r="AN19" s="978">
        <f>Res_Best!$AA18</f>
        <v>3.3000000000000003</v>
      </c>
      <c r="AO19" s="978">
        <f>Res_Best!$AJ18</f>
        <v>48</v>
      </c>
      <c r="AP19" s="978">
        <f>Res_Best!$AP18</f>
        <v>80.409815126050432</v>
      </c>
    </row>
    <row r="20" spans="1:42">
      <c r="A20" s="977">
        <f>Eingabedaten!A23</f>
        <v>5.0999999999999996</v>
      </c>
      <c r="B20" s="973" t="str">
        <f>Eingabedaten!C23</f>
        <v>Lebensmittelverkauf</v>
      </c>
      <c r="C20" s="1002">
        <f>Res_Std!$O19</f>
        <v>401</v>
      </c>
      <c r="D20" s="1003">
        <f>Res_Std!$Y19</f>
        <v>63.895942350332589</v>
      </c>
      <c r="E20" s="1002">
        <f>Res_Std!$AC19</f>
        <v>2.8875000000000002</v>
      </c>
      <c r="F20" s="1002">
        <f>Res_Std!$AL19</f>
        <v>17.561299999999999</v>
      </c>
      <c r="G20" s="1002">
        <f>Res_Std!$AR19</f>
        <v>1.5323343832698658E-2</v>
      </c>
      <c r="H20" s="1002">
        <f>Res_Std!$AU19</f>
        <v>2.7231000000000005</v>
      </c>
      <c r="I20" s="965"/>
      <c r="J20" s="1002">
        <f>Res_Zw!$O19</f>
        <v>320.8</v>
      </c>
      <c r="K20" s="1003">
        <f>Res_Zw!$Y19</f>
        <v>34.72304347826087</v>
      </c>
      <c r="L20" s="1002">
        <f>Res_Zw!$AC19</f>
        <v>1.7850000000000001</v>
      </c>
      <c r="M20" s="1002">
        <f>Res_Zw!$AL19</f>
        <v>11.107849999999999</v>
      </c>
      <c r="N20" s="1002">
        <f>Res_Zw!$AR19</f>
        <v>7.770085448151054E-3</v>
      </c>
      <c r="O20" s="1002">
        <f>Res_Zw!$AU19</f>
        <v>2.7231000000000005</v>
      </c>
      <c r="P20" s="965"/>
      <c r="Q20" s="1002">
        <f>Res_Best!$O19</f>
        <v>481.2</v>
      </c>
      <c r="R20" s="1003">
        <f>Res_Best!$Y19</f>
        <v>63.895942350332589</v>
      </c>
      <c r="S20" s="1002">
        <f>Res_Best!$AC19</f>
        <v>4.7774999999999999</v>
      </c>
      <c r="T20" s="1002">
        <f>Res_Best!$AL19</f>
        <v>5.395975</v>
      </c>
      <c r="U20" s="1002">
        <f>Res_Best!$AR19</f>
        <v>0.94840016904048463</v>
      </c>
      <c r="V20" s="1002">
        <f>Res_Best!$AU19</f>
        <v>2.7231000000000005</v>
      </c>
      <c r="X20" s="977">
        <f t="shared" si="0"/>
        <v>5.0999999999999996</v>
      </c>
      <c r="Y20" s="973" t="str">
        <f t="shared" si="1"/>
        <v>Lebensmittelverkauf</v>
      </c>
      <c r="Z20" s="978">
        <f>Res_Std!$M19</f>
        <v>100</v>
      </c>
      <c r="AA20" s="978">
        <f>Res_Std!$V19</f>
        <v>21.27937915742794</v>
      </c>
      <c r="AB20" s="978">
        <f>Res_Std!$AA19</f>
        <v>2.0625</v>
      </c>
      <c r="AC20" s="978">
        <f>Res_Std!$AJ19</f>
        <v>21</v>
      </c>
      <c r="AD20" s="978">
        <f>Res_Std!$AP19</f>
        <v>22.090039215686279</v>
      </c>
      <c r="AE20" s="981"/>
      <c r="AF20" s="978">
        <f>Res_Zw!$M19</f>
        <v>80</v>
      </c>
      <c r="AG20" s="978">
        <f>Res_Zw!$V19</f>
        <v>12.479933110367893</v>
      </c>
      <c r="AH20" s="978">
        <f>Res_Zw!$AA19</f>
        <v>1.2750000000000001</v>
      </c>
      <c r="AI20" s="978">
        <f>Res_Zw!$AJ19</f>
        <v>17</v>
      </c>
      <c r="AJ20" s="978">
        <f>Res_Zw!$AP19</f>
        <v>15.357490196078432</v>
      </c>
      <c r="AK20" s="981"/>
      <c r="AL20" s="978">
        <f>Res_Best!$M19</f>
        <v>120</v>
      </c>
      <c r="AM20" s="978">
        <f>Res_Best!$V19</f>
        <v>21.27937915742794</v>
      </c>
      <c r="AN20" s="978">
        <f>Res_Best!$AA19</f>
        <v>3.4125000000000001</v>
      </c>
      <c r="AO20" s="978">
        <f>Res_Best!$AJ19</f>
        <v>28</v>
      </c>
      <c r="AP20" s="978">
        <f>Res_Best!$AP19</f>
        <v>49.350588235294119</v>
      </c>
    </row>
    <row r="21" spans="1:42">
      <c r="A21" s="977">
        <f>Eingabedaten!A24</f>
        <v>5.2</v>
      </c>
      <c r="B21" s="973" t="str">
        <f>Eingabedaten!C24</f>
        <v>Fachgeschäft</v>
      </c>
      <c r="C21" s="1002">
        <f>Res_Std!$O20</f>
        <v>7.26</v>
      </c>
      <c r="D21" s="1003">
        <f>Res_Std!$Y20</f>
        <v>103.01594235033259</v>
      </c>
      <c r="E21" s="1002">
        <f>Res_Std!$AC20</f>
        <v>2.8875000000000002</v>
      </c>
      <c r="F21" s="1002">
        <f>Res_Std!$AL20</f>
        <v>88.573949999999996</v>
      </c>
      <c r="G21" s="1002">
        <f>Res_Std!$AR20</f>
        <v>1.3785866660694908</v>
      </c>
      <c r="H21" s="1002">
        <f>Res_Std!$AU20</f>
        <v>2.7231000000000005</v>
      </c>
      <c r="I21" s="965"/>
      <c r="J21" s="1002">
        <f>Res_Zw!$O20</f>
        <v>3.63</v>
      </c>
      <c r="K21" s="1003">
        <f>Res_Zw!$Y20</f>
        <v>54.283043478260865</v>
      </c>
      <c r="L21" s="1002">
        <f>Res_Zw!$AC20</f>
        <v>1.7850000000000001</v>
      </c>
      <c r="M21" s="1002">
        <f>Res_Zw!$AL20</f>
        <v>51.8795</v>
      </c>
      <c r="N21" s="1002">
        <f>Res_Zw!$AR20</f>
        <v>1.4625559753307331</v>
      </c>
      <c r="O21" s="1002">
        <f>Res_Zw!$AU20</f>
        <v>2.7231000000000005</v>
      </c>
      <c r="P21" s="965"/>
      <c r="Q21" s="1002">
        <f>Res_Best!$O20</f>
        <v>10.89</v>
      </c>
      <c r="R21" s="1003">
        <f>Res_Best!$Y20</f>
        <v>103.01594235033259</v>
      </c>
      <c r="S21" s="1002">
        <f>Res_Best!$AC20</f>
        <v>4.7774999999999999</v>
      </c>
      <c r="T21" s="1002">
        <f>Res_Best!$AL20</f>
        <v>36.260275</v>
      </c>
      <c r="U21" s="1002">
        <f>Res_Best!$AR20</f>
        <v>32.2137745959458</v>
      </c>
      <c r="V21" s="1002">
        <f>Res_Best!$AU20</f>
        <v>2.7231000000000005</v>
      </c>
      <c r="X21" s="977">
        <f t="shared" si="0"/>
        <v>5.2</v>
      </c>
      <c r="Y21" s="973" t="str">
        <f t="shared" si="1"/>
        <v>Fachgeschäft</v>
      </c>
      <c r="Z21" s="978">
        <f>Res_Std!$M20</f>
        <v>2</v>
      </c>
      <c r="AA21" s="978">
        <f>Res_Std!$V20</f>
        <v>33.27937915742794</v>
      </c>
      <c r="AB21" s="978">
        <f>Res_Std!$AA20</f>
        <v>2.0625</v>
      </c>
      <c r="AC21" s="978">
        <f>Res_Std!$AJ20</f>
        <v>41</v>
      </c>
      <c r="AD21" s="978">
        <f>Res_Std!$AP20</f>
        <v>22.090039215686279</v>
      </c>
      <c r="AE21" s="981"/>
      <c r="AF21" s="978">
        <f>Res_Zw!$M20</f>
        <v>1</v>
      </c>
      <c r="AG21" s="978">
        <f>Res_Zw!$V20</f>
        <v>18.479933110367895</v>
      </c>
      <c r="AH21" s="978">
        <f>Res_Zw!$AA20</f>
        <v>1.2750000000000001</v>
      </c>
      <c r="AI21" s="978">
        <f>Res_Zw!$AJ20</f>
        <v>26</v>
      </c>
      <c r="AJ21" s="978">
        <f>Res_Zw!$AP20</f>
        <v>15.357490196078432</v>
      </c>
      <c r="AK21" s="981"/>
      <c r="AL21" s="978">
        <f>Res_Best!$M20</f>
        <v>3</v>
      </c>
      <c r="AM21" s="978">
        <f>Res_Best!$V20</f>
        <v>33.27937915742794</v>
      </c>
      <c r="AN21" s="978">
        <f>Res_Best!$AA20</f>
        <v>3.4125000000000001</v>
      </c>
      <c r="AO21" s="978">
        <f>Res_Best!$AJ20</f>
        <v>46</v>
      </c>
      <c r="AP21" s="978">
        <f>Res_Best!$AP20</f>
        <v>49.350588235294119</v>
      </c>
    </row>
    <row r="22" spans="1:42">
      <c r="A22" s="977">
        <f>Eingabedaten!A25</f>
        <v>5.3</v>
      </c>
      <c r="B22" s="973" t="str">
        <f>Eingabedaten!C25</f>
        <v>Verkauf Möbel, Bau, Garten</v>
      </c>
      <c r="C22" s="1002">
        <f>Res_Std!$O21</f>
        <v>6.82</v>
      </c>
      <c r="D22" s="1003">
        <f>Res_Std!$Y21</f>
        <v>58.456097560975607</v>
      </c>
      <c r="E22" s="1002">
        <f>Res_Std!$AC21</f>
        <v>1.4740000000000002</v>
      </c>
      <c r="F22" s="1002">
        <f>Res_Std!$AL21</f>
        <v>39.898625000000003</v>
      </c>
      <c r="G22" s="1002">
        <f>Res_Std!$AR21</f>
        <v>3.4744724998382597</v>
      </c>
      <c r="H22" s="1002">
        <f>Res_Std!$AU21</f>
        <v>1.4523200000000003</v>
      </c>
      <c r="I22" s="965"/>
      <c r="J22" s="1002">
        <f>Res_Zw!$O21</f>
        <v>3.41</v>
      </c>
      <c r="K22" s="1003">
        <f>Res_Zw!$Y21</f>
        <v>31.543060200668897</v>
      </c>
      <c r="L22" s="1002">
        <f>Res_Zw!$AC21</f>
        <v>0.91120000000000001</v>
      </c>
      <c r="M22" s="1002">
        <f>Res_Zw!$AL21</f>
        <v>24.26295</v>
      </c>
      <c r="N22" s="1002">
        <f>Res_Zw!$AR21</f>
        <v>3.1759501242118184</v>
      </c>
      <c r="O22" s="1002">
        <f>Res_Zw!$AU21</f>
        <v>1.4523200000000003</v>
      </c>
      <c r="P22" s="965"/>
      <c r="Q22" s="1002">
        <f>Res_Best!$O21</f>
        <v>10.23</v>
      </c>
      <c r="R22" s="1003">
        <f>Res_Best!$Y21</f>
        <v>58.456097560975607</v>
      </c>
      <c r="S22" s="1002">
        <f>Res_Best!$AC21</f>
        <v>2.4388000000000001</v>
      </c>
      <c r="T22" s="1002">
        <f>Res_Best!$AL21</f>
        <v>15.251025</v>
      </c>
      <c r="U22" s="1002">
        <f>Res_Best!$AR21</f>
        <v>46.895940925343304</v>
      </c>
      <c r="V22" s="1002">
        <f>Res_Best!$AU21</f>
        <v>1.4523200000000003</v>
      </c>
      <c r="X22" s="977">
        <f t="shared" si="0"/>
        <v>5.3</v>
      </c>
      <c r="Y22" s="973" t="str">
        <f t="shared" si="1"/>
        <v>Verkauf Möbel, Bau, Garten</v>
      </c>
      <c r="Z22" s="978">
        <f>Res_Std!$M21</f>
        <v>2</v>
      </c>
      <c r="AA22" s="978">
        <f>Res_Std!$V21</f>
        <v>21.27937915742794</v>
      </c>
      <c r="AB22" s="978">
        <f>Res_Std!$AA21</f>
        <v>1.1000000000000001</v>
      </c>
      <c r="AC22" s="978">
        <f>Res_Std!$AJ21</f>
        <v>27</v>
      </c>
      <c r="AD22" s="978">
        <f>Res_Std!$AP21</f>
        <v>17.218039215686275</v>
      </c>
      <c r="AE22" s="981"/>
      <c r="AF22" s="978">
        <f>Res_Zw!$M21</f>
        <v>1</v>
      </c>
      <c r="AG22" s="978">
        <f>Res_Zw!$V21</f>
        <v>12.479933110367893</v>
      </c>
      <c r="AH22" s="978">
        <f>Res_Zw!$AA21</f>
        <v>0.68</v>
      </c>
      <c r="AI22" s="978">
        <f>Res_Zw!$AJ21</f>
        <v>17</v>
      </c>
      <c r="AJ22" s="978">
        <f>Res_Zw!$AP21</f>
        <v>11.691921568627452</v>
      </c>
      <c r="AK22" s="981"/>
      <c r="AL22" s="978">
        <f>Res_Best!$M21</f>
        <v>3</v>
      </c>
      <c r="AM22" s="978">
        <f>Res_Best!$V21</f>
        <v>21.27937915742794</v>
      </c>
      <c r="AN22" s="978">
        <f>Res_Best!$AA21</f>
        <v>1.82</v>
      </c>
      <c r="AO22" s="978">
        <f>Res_Best!$AJ21</f>
        <v>32</v>
      </c>
      <c r="AP22" s="978">
        <f>Res_Best!$AP21</f>
        <v>40.950588235294127</v>
      </c>
    </row>
    <row r="23" spans="1:42">
      <c r="A23" s="977">
        <f>Eingabedaten!A26</f>
        <v>6.1</v>
      </c>
      <c r="B23" s="973" t="str">
        <f>Eingabedaten!C26</f>
        <v>Restaurant</v>
      </c>
      <c r="C23" s="1002">
        <f>Res_Std!$O22</f>
        <v>4.5</v>
      </c>
      <c r="D23" s="1003">
        <f>Res_Std!$Y22</f>
        <v>16.664588528678305</v>
      </c>
      <c r="E23" s="1002">
        <f>Res_Std!$AC22</f>
        <v>15.345000000000001</v>
      </c>
      <c r="F23" s="1002">
        <f>Res_Std!$AL22</f>
        <v>11.386736111111111</v>
      </c>
      <c r="G23" s="1002">
        <f>Res_Std!$AR22</f>
        <v>31.189675410951558</v>
      </c>
      <c r="H23" s="1002">
        <f>Res_Std!$AU22</f>
        <v>108.92400000000002</v>
      </c>
      <c r="I23" s="965"/>
      <c r="J23" s="1002">
        <f>Res_Zw!$O22</f>
        <v>2.25</v>
      </c>
      <c r="K23" s="1003">
        <f>Res_Zw!$Y22</f>
        <v>7.8061638280616368</v>
      </c>
      <c r="L23" s="1002">
        <f>Res_Zw!$AC22</f>
        <v>9.4860000000000007</v>
      </c>
      <c r="M23" s="1002">
        <f>Res_Zw!$AL22</f>
        <v>22.154166666666665</v>
      </c>
      <c r="N23" s="1002">
        <f>Res_Zw!$AR22</f>
        <v>16.56212854324372</v>
      </c>
      <c r="O23" s="1002">
        <f>Res_Zw!$AU22</f>
        <v>108.92400000000002</v>
      </c>
      <c r="P23" s="965"/>
      <c r="Q23" s="1002">
        <f>Res_Best!$O22</f>
        <v>6.75</v>
      </c>
      <c r="R23" s="1003">
        <f>Res_Best!$Y22</f>
        <v>16.664588528678305</v>
      </c>
      <c r="S23" s="1002">
        <f>Res_Best!$AC22</f>
        <v>25.388999999999999</v>
      </c>
      <c r="T23" s="1002">
        <f>Res_Best!$AL22</f>
        <v>2.5955555555555554</v>
      </c>
      <c r="U23" s="1002">
        <f>Res_Best!$AR22</f>
        <v>138.0754893813052</v>
      </c>
      <c r="V23" s="1002">
        <f>Res_Best!$AU22</f>
        <v>108.92400000000002</v>
      </c>
      <c r="X23" s="977">
        <f t="shared" si="0"/>
        <v>6.1</v>
      </c>
      <c r="Y23" s="973" t="str">
        <f t="shared" si="1"/>
        <v>Restaurant</v>
      </c>
      <c r="Z23" s="978">
        <f>Res_Std!$M22</f>
        <v>2</v>
      </c>
      <c r="AA23" s="978">
        <f>Res_Std!$V22</f>
        <v>6.8578553615960098</v>
      </c>
      <c r="AB23" s="978">
        <f>Res_Std!$AA22</f>
        <v>9.9</v>
      </c>
      <c r="AC23" s="978">
        <f>Res_Std!$AJ22</f>
        <v>36</v>
      </c>
      <c r="AD23" s="978">
        <f>Res_Std!$AP22</f>
        <v>70.981019607843152</v>
      </c>
      <c r="AE23" s="981"/>
      <c r="AF23" s="978">
        <f>Res_Zw!$M22</f>
        <v>1</v>
      </c>
      <c r="AG23" s="978">
        <f>Res_Zw!$V22</f>
        <v>4.6465260881319272</v>
      </c>
      <c r="AH23" s="978">
        <f>Res_Zw!$AA22</f>
        <v>6.12</v>
      </c>
      <c r="AI23" s="978">
        <f>Res_Zw!$AJ22</f>
        <v>30</v>
      </c>
      <c r="AJ23" s="978">
        <f>Res_Zw!$AP22</f>
        <v>46.560784313725485</v>
      </c>
      <c r="AK23" s="981"/>
      <c r="AL23" s="978">
        <f>Res_Best!$M22</f>
        <v>3</v>
      </c>
      <c r="AM23" s="978">
        <f>Res_Best!$V22</f>
        <v>6.8578553615960098</v>
      </c>
      <c r="AN23" s="978">
        <f>Res_Best!$AA22</f>
        <v>16.38</v>
      </c>
      <c r="AO23" s="978">
        <f>Res_Best!$AJ22</f>
        <v>41</v>
      </c>
      <c r="AP23" s="978">
        <f>Res_Best!$AP22</f>
        <v>133.1927843137255</v>
      </c>
    </row>
    <row r="24" spans="1:42">
      <c r="A24" s="977">
        <f>Eingabedaten!A27</f>
        <v>6.2</v>
      </c>
      <c r="B24" s="973" t="str">
        <f>Eingabedaten!C27</f>
        <v>Selbstbedienungsrestaurant</v>
      </c>
      <c r="C24" s="1002">
        <f>Res_Std!$O23</f>
        <v>3.5</v>
      </c>
      <c r="D24" s="1003">
        <f>Res_Std!$Y23</f>
        <v>8.7980049875311721</v>
      </c>
      <c r="E24" s="1002">
        <f>Res_Std!$AC23</f>
        <v>7.524</v>
      </c>
      <c r="F24" s="1002">
        <f>Res_Std!$AL23</f>
        <v>8.46875</v>
      </c>
      <c r="G24" s="1002">
        <f>Res_Std!$AR23</f>
        <v>11.649014778696172</v>
      </c>
      <c r="H24" s="1002">
        <f>Res_Std!$AU23</f>
        <v>108.92400000000002</v>
      </c>
      <c r="I24" s="965"/>
      <c r="J24" s="1002">
        <f>Res_Zw!$O23</f>
        <v>1.75</v>
      </c>
      <c r="K24" s="1003">
        <f>Res_Zw!$Y23</f>
        <v>4.181028656393619</v>
      </c>
      <c r="L24" s="1002">
        <f>Res_Zw!$AC23</f>
        <v>4.6512000000000002</v>
      </c>
      <c r="M24" s="1002">
        <f>Res_Zw!$AL23</f>
        <v>12.233025</v>
      </c>
      <c r="N24" s="1002">
        <f>Res_Zw!$AR23</f>
        <v>5.264543887441719</v>
      </c>
      <c r="O24" s="1002">
        <f>Res_Zw!$AU23</f>
        <v>108.92400000000002</v>
      </c>
      <c r="P24" s="965"/>
      <c r="Q24" s="1002">
        <f>Res_Best!$O23</f>
        <v>5.25</v>
      </c>
      <c r="R24" s="1003">
        <f>Res_Best!$Y23</f>
        <v>8.7980049875311721</v>
      </c>
      <c r="S24" s="1002">
        <f>Res_Best!$AC23</f>
        <v>12.448799999999999</v>
      </c>
      <c r="T24" s="1002">
        <f>Res_Best!$AL23</f>
        <v>2.273825</v>
      </c>
      <c r="U24" s="1002">
        <f>Res_Best!$AR23</f>
        <v>69.565330990482934</v>
      </c>
      <c r="V24" s="1002">
        <f>Res_Best!$AU23</f>
        <v>108.92400000000002</v>
      </c>
      <c r="X24" s="977">
        <f t="shared" si="0"/>
        <v>6.2</v>
      </c>
      <c r="Y24" s="973" t="str">
        <f t="shared" si="1"/>
        <v>Selbstbedienungsrestaurant</v>
      </c>
      <c r="Z24" s="978">
        <f>Res_Std!$M23</f>
        <v>2</v>
      </c>
      <c r="AA24" s="978">
        <f>Res_Std!$V23</f>
        <v>6.1097256857855369</v>
      </c>
      <c r="AB24" s="978">
        <f>Res_Std!$AA23</f>
        <v>9.9</v>
      </c>
      <c r="AC24" s="978">
        <f>Res_Std!$AJ23</f>
        <v>30</v>
      </c>
      <c r="AD24" s="978">
        <f>Res_Std!$AP23</f>
        <v>65.321411764705886</v>
      </c>
      <c r="AE24" s="981"/>
      <c r="AF24" s="978">
        <f>Res_Zw!$M23</f>
        <v>1</v>
      </c>
      <c r="AG24" s="978">
        <f>Res_Zw!$V23</f>
        <v>4.1396323330629894</v>
      </c>
      <c r="AH24" s="978">
        <f>Res_Zw!$AA23</f>
        <v>6.12</v>
      </c>
      <c r="AI24" s="978">
        <f>Res_Zw!$AJ23</f>
        <v>26</v>
      </c>
      <c r="AJ24" s="978">
        <f>Res_Zw!$AP23</f>
        <v>42.816470588235291</v>
      </c>
      <c r="AK24" s="981"/>
      <c r="AL24" s="978">
        <f>Res_Best!$M23</f>
        <v>3</v>
      </c>
      <c r="AM24" s="978">
        <f>Res_Best!$V23</f>
        <v>6.1097256857855369</v>
      </c>
      <c r="AN24" s="978">
        <f>Res_Best!$AA23</f>
        <v>16.38</v>
      </c>
      <c r="AO24" s="978">
        <f>Res_Best!$AJ23</f>
        <v>33</v>
      </c>
      <c r="AP24" s="978">
        <f>Res_Best!$AP23</f>
        <v>118.0084705882353</v>
      </c>
    </row>
    <row r="25" spans="1:42">
      <c r="A25" s="977">
        <f>Eingabedaten!A28</f>
        <v>6.3</v>
      </c>
      <c r="B25" s="973" t="str">
        <f>Eingabedaten!C28</f>
        <v>Küche zu Restaurant</v>
      </c>
      <c r="C25" s="1002">
        <f>Res_Std!$O24</f>
        <v>506</v>
      </c>
      <c r="D25" s="1003">
        <f>Res_Std!$Y24</f>
        <v>36.683303085299464</v>
      </c>
      <c r="E25" s="1002">
        <f>Res_Std!$AC24</f>
        <v>23.76</v>
      </c>
      <c r="F25" s="1002">
        <f>Res_Std!$AL24</f>
        <v>320.64583333333331</v>
      </c>
      <c r="G25" s="1002">
        <f>Res_Std!$AR24</f>
        <v>5.5715458532546913</v>
      </c>
      <c r="H25" s="1002">
        <f>Res_Std!$AU24</f>
        <v>0</v>
      </c>
      <c r="I25" s="965"/>
      <c r="J25" s="1002">
        <f>Res_Zw!$O24</f>
        <v>379.5</v>
      </c>
      <c r="K25" s="1003">
        <f>Res_Zw!$Y24</f>
        <v>20.428738193781175</v>
      </c>
      <c r="L25" s="1002">
        <f>Res_Zw!$AC24</f>
        <v>14.688000000000002</v>
      </c>
      <c r="M25" s="1002">
        <f>Res_Zw!$AL24</f>
        <v>306.05305555555555</v>
      </c>
      <c r="N25" s="1002">
        <f>Res_Zw!$AR24</f>
        <v>3.0788565783345883</v>
      </c>
      <c r="O25" s="1002">
        <f>Res_Zw!$AU24</f>
        <v>0</v>
      </c>
      <c r="P25" s="965"/>
      <c r="Q25" s="1002">
        <f>Res_Best!$O24</f>
        <v>632.5</v>
      </c>
      <c r="R25" s="1003">
        <f>Res_Best!$Y24</f>
        <v>36.683303085299464</v>
      </c>
      <c r="S25" s="1002">
        <f>Res_Best!$AC24</f>
        <v>39.311999999999998</v>
      </c>
      <c r="T25" s="1002">
        <f>Res_Best!$AL24</f>
        <v>173.52527777777777</v>
      </c>
      <c r="U25" s="1002">
        <f>Res_Best!$AR24</f>
        <v>41.177300392150642</v>
      </c>
      <c r="V25" s="1002">
        <f>Res_Best!$AU24</f>
        <v>0</v>
      </c>
      <c r="X25" s="977">
        <f t="shared" si="0"/>
        <v>6.3</v>
      </c>
      <c r="Y25" s="973" t="str">
        <f t="shared" si="1"/>
        <v>Küche zu Restaurant</v>
      </c>
      <c r="Z25" s="978">
        <f>Res_Std!$M24</f>
        <v>200</v>
      </c>
      <c r="AA25" s="978">
        <f>Res_Std!$V24</f>
        <v>15.880217785843922</v>
      </c>
      <c r="AB25" s="978">
        <f>Res_Std!$AA24</f>
        <v>11</v>
      </c>
      <c r="AC25" s="978">
        <f>Res_Std!$AJ24</f>
        <v>169</v>
      </c>
      <c r="AD25" s="978">
        <f>Res_Std!$AP24</f>
        <v>85.011725490196085</v>
      </c>
      <c r="AE25" s="981"/>
      <c r="AF25" s="978">
        <f>Res_Zw!$M24</f>
        <v>150</v>
      </c>
      <c r="AG25" s="978">
        <f>Res_Zw!$V24</f>
        <v>11.60723761010294</v>
      </c>
      <c r="AH25" s="978">
        <f>Res_Zw!$AA24</f>
        <v>6.8000000000000007</v>
      </c>
      <c r="AI25" s="978">
        <f>Res_Zw!$AJ24</f>
        <v>132</v>
      </c>
      <c r="AJ25" s="978">
        <f>Res_Zw!$AP24</f>
        <v>56.016470588235286</v>
      </c>
      <c r="AK25" s="981"/>
      <c r="AL25" s="978">
        <f>Res_Best!$M24</f>
        <v>250</v>
      </c>
      <c r="AM25" s="978">
        <f>Res_Best!$V24</f>
        <v>15.880217785843922</v>
      </c>
      <c r="AN25" s="978">
        <f>Res_Best!$AA24</f>
        <v>18.2</v>
      </c>
      <c r="AO25" s="978">
        <f>Res_Best!$AJ24</f>
        <v>195</v>
      </c>
      <c r="AP25" s="978">
        <f>Res_Best!$AP24</f>
        <v>159.67796078431374</v>
      </c>
    </row>
    <row r="26" spans="1:42">
      <c r="A26" s="977">
        <f>Eingabedaten!A29</f>
        <v>6.4</v>
      </c>
      <c r="B26" s="973" t="str">
        <f>Eingabedaten!C29</f>
        <v>Küche zu Selbstbedienungsrest.</v>
      </c>
      <c r="C26" s="1002">
        <f>Res_Std!$O25</f>
        <v>346</v>
      </c>
      <c r="D26" s="1003">
        <f>Res_Std!$Y25</f>
        <v>22.833484573502719</v>
      </c>
      <c r="E26" s="1002">
        <f>Res_Std!$AC25</f>
        <v>13.64</v>
      </c>
      <c r="F26" s="1002">
        <f>Res_Std!$AL25</f>
        <v>245.41069444444443</v>
      </c>
      <c r="G26" s="1002">
        <f>Res_Std!$AR25</f>
        <v>0.83120033100920676</v>
      </c>
      <c r="H26" s="1002">
        <f>Res_Std!$AU25</f>
        <v>0</v>
      </c>
      <c r="I26" s="965"/>
      <c r="J26" s="1002">
        <f>Res_Zw!$O25</f>
        <v>259.5</v>
      </c>
      <c r="K26" s="1003">
        <f>Res_Zw!$Y25</f>
        <v>14.409556404542078</v>
      </c>
      <c r="L26" s="1002">
        <f>Res_Zw!$AC25</f>
        <v>8.4320000000000004</v>
      </c>
      <c r="M26" s="1002">
        <f>Res_Zw!$AL25</f>
        <v>223.11812499999999</v>
      </c>
      <c r="N26" s="1002">
        <f>Res_Zw!$AR25</f>
        <v>0.4248470666418982</v>
      </c>
      <c r="O26" s="1002">
        <f>Res_Zw!$AU25</f>
        <v>0</v>
      </c>
      <c r="P26" s="965"/>
      <c r="Q26" s="1002">
        <f>Res_Best!$O25</f>
        <v>432.5</v>
      </c>
      <c r="R26" s="1003">
        <f>Res_Best!$Y25</f>
        <v>22.833484573502719</v>
      </c>
      <c r="S26" s="1002">
        <f>Res_Best!$AC25</f>
        <v>22.568000000000001</v>
      </c>
      <c r="T26" s="1002">
        <f>Res_Best!$AL25</f>
        <v>157.74972222222223</v>
      </c>
      <c r="U26" s="1002">
        <f>Res_Best!$AR25</f>
        <v>9.4382971118516217</v>
      </c>
      <c r="V26" s="1002">
        <f>Res_Best!$AU25</f>
        <v>0</v>
      </c>
      <c r="X26" s="977">
        <f t="shared" si="0"/>
        <v>6.4</v>
      </c>
      <c r="Y26" s="973" t="str">
        <f t="shared" si="1"/>
        <v>Küche zu Selbstbedienungsrest.</v>
      </c>
      <c r="Z26" s="978">
        <f>Res_Std!$M25</f>
        <v>200</v>
      </c>
      <c r="AA26" s="978">
        <f>Res_Std!$V25</f>
        <v>12.477313974591651</v>
      </c>
      <c r="AB26" s="978">
        <f>Res_Std!$AA25</f>
        <v>11</v>
      </c>
      <c r="AC26" s="978">
        <f>Res_Std!$AJ25</f>
        <v>148</v>
      </c>
      <c r="AD26" s="978">
        <f>Res_Std!$AP25</f>
        <v>73.009862745098047</v>
      </c>
      <c r="AE26" s="981"/>
      <c r="AF26" s="978">
        <f>Res_Zw!$M25</f>
        <v>150</v>
      </c>
      <c r="AG26" s="978">
        <f>Res_Zw!$V25</f>
        <v>9.1199724079380236</v>
      </c>
      <c r="AH26" s="978">
        <f>Res_Zw!$AA25</f>
        <v>6.8000000000000007</v>
      </c>
      <c r="AI26" s="978">
        <f>Res_Zw!$AJ25</f>
        <v>116</v>
      </c>
      <c r="AJ26" s="978">
        <f>Res_Zw!$AP25</f>
        <v>47.928235294117634</v>
      </c>
      <c r="AK26" s="981"/>
      <c r="AL26" s="978">
        <f>Res_Best!$M25</f>
        <v>250</v>
      </c>
      <c r="AM26" s="978">
        <f>Res_Best!$V25</f>
        <v>12.477313974591651</v>
      </c>
      <c r="AN26" s="978">
        <f>Res_Best!$AA25</f>
        <v>18.2</v>
      </c>
      <c r="AO26" s="978">
        <f>Res_Best!$AJ25</f>
        <v>173</v>
      </c>
      <c r="AP26" s="978">
        <f>Res_Best!$AP25</f>
        <v>130.92698039215688</v>
      </c>
    </row>
    <row r="27" spans="1:42">
      <c r="A27" s="977">
        <f>Eingabedaten!A30</f>
        <v>7.1</v>
      </c>
      <c r="B27" s="973" t="str">
        <f>Eingabedaten!C30</f>
        <v>Vorstellungsraum</v>
      </c>
      <c r="C27" s="1002">
        <f>Res_Std!$O26</f>
        <v>4.5999999999999996</v>
      </c>
      <c r="D27" s="1003">
        <f>Res_Std!$Y26</f>
        <v>32.427937915742795</v>
      </c>
      <c r="E27" s="1002">
        <f>Res_Std!$AC26</f>
        <v>12.012000000000002</v>
      </c>
      <c r="F27" s="1002">
        <f>Res_Std!$AL26</f>
        <v>14.4162</v>
      </c>
      <c r="G27" s="1002">
        <f>Res_Std!$AR26</f>
        <v>13.725145640779264</v>
      </c>
      <c r="H27" s="1002">
        <f>Res_Std!$AU26</f>
        <v>7.2616000000000014</v>
      </c>
      <c r="I27" s="965"/>
      <c r="J27" s="1002">
        <f>Res_Zw!$O26</f>
        <v>2.2999999999999998</v>
      </c>
      <c r="K27" s="1003">
        <f>Res_Zw!$Y26</f>
        <v>22.644927536231886</v>
      </c>
      <c r="L27" s="1002">
        <f>Res_Zw!$AC26</f>
        <v>7.4256000000000002</v>
      </c>
      <c r="M27" s="1002">
        <f>Res_Zw!$AL26</f>
        <v>25.948425</v>
      </c>
      <c r="N27" s="1002">
        <f>Res_Zw!$AR26</f>
        <v>6.3018921103166035</v>
      </c>
      <c r="O27" s="1002">
        <f>Res_Zw!$AU26</f>
        <v>7.2616000000000014</v>
      </c>
      <c r="P27" s="965"/>
      <c r="Q27" s="1002">
        <f>Res_Best!$O26</f>
        <v>6.9</v>
      </c>
      <c r="R27" s="1003">
        <f>Res_Best!$Y26</f>
        <v>32.427937915742795</v>
      </c>
      <c r="S27" s="1002">
        <f>Res_Best!$AC26</f>
        <v>19.874400000000001</v>
      </c>
      <c r="T27" s="1002">
        <f>Res_Best!$AL26</f>
        <v>1.9337</v>
      </c>
      <c r="U27" s="1002">
        <f>Res_Best!$AR26</f>
        <v>141.51370359135711</v>
      </c>
      <c r="V27" s="1002">
        <f>Res_Best!$AU26</f>
        <v>7.2616000000000014</v>
      </c>
      <c r="X27" s="977">
        <f t="shared" si="0"/>
        <v>7.1</v>
      </c>
      <c r="Y27" s="973" t="str">
        <f t="shared" si="1"/>
        <v>Vorstellungsraum</v>
      </c>
      <c r="Z27" s="978">
        <f>Res_Std!$M26</f>
        <v>2</v>
      </c>
      <c r="AA27" s="978">
        <f>Res_Std!$V26</f>
        <v>10.809312638580931</v>
      </c>
      <c r="AB27" s="978">
        <f>Res_Std!$AA26</f>
        <v>6.6000000000000005</v>
      </c>
      <c r="AC27" s="978">
        <f>Res_Std!$AJ26</f>
        <v>30</v>
      </c>
      <c r="AD27" s="978">
        <f>Res_Std!$AP26</f>
        <v>44.361000000000004</v>
      </c>
      <c r="AE27" s="981"/>
      <c r="AF27" s="978">
        <f>Res_Zw!$M26</f>
        <v>1</v>
      </c>
      <c r="AG27" s="978">
        <f>Res_Zw!$V26</f>
        <v>7.5483091787439616</v>
      </c>
      <c r="AH27" s="978">
        <f>Res_Zw!$AA26</f>
        <v>4.08</v>
      </c>
      <c r="AI27" s="978">
        <f>Res_Zw!$AJ26</f>
        <v>25</v>
      </c>
      <c r="AJ27" s="978">
        <f>Res_Zw!$AP26</f>
        <v>28.556470588235289</v>
      </c>
      <c r="AK27" s="981"/>
      <c r="AL27" s="978">
        <f>Res_Best!$M26</f>
        <v>3</v>
      </c>
      <c r="AM27" s="978">
        <f>Res_Best!$V26</f>
        <v>10.809312638580931</v>
      </c>
      <c r="AN27" s="978">
        <f>Res_Best!$AA26</f>
        <v>10.92</v>
      </c>
      <c r="AO27" s="978">
        <f>Res_Best!$AJ26</f>
        <v>42</v>
      </c>
      <c r="AP27" s="978">
        <f>Res_Best!$AP26</f>
        <v>99.297882352941173</v>
      </c>
    </row>
    <row r="28" spans="1:42">
      <c r="A28" s="977">
        <f>Eingabedaten!A31</f>
        <v>7.2</v>
      </c>
      <c r="B28" s="973" t="str">
        <f>Eingabedaten!C31</f>
        <v>Mehrzweckhalle</v>
      </c>
      <c r="C28" s="1002">
        <f>Res_Std!$O27</f>
        <v>11.6</v>
      </c>
      <c r="D28" s="1003">
        <f>Res_Std!$Y27</f>
        <v>29.941796008869179</v>
      </c>
      <c r="E28" s="1002">
        <f>Res_Std!$AC27</f>
        <v>17.027999999999999</v>
      </c>
      <c r="F28" s="1002">
        <f>Res_Std!$AL27</f>
        <v>23.260974999999998</v>
      </c>
      <c r="G28" s="1002">
        <f>Res_Std!$AR27</f>
        <v>32.453560493816504</v>
      </c>
      <c r="H28" s="1002">
        <f>Res_Std!$AU27</f>
        <v>7.2616000000000014</v>
      </c>
      <c r="I28" s="965"/>
      <c r="J28" s="1002">
        <f>Res_Zw!$O27</f>
        <v>5.8</v>
      </c>
      <c r="K28" s="1003">
        <f>Res_Zw!$Y27</f>
        <v>15.549516908212562</v>
      </c>
      <c r="L28" s="1002">
        <f>Res_Zw!$AC27</f>
        <v>10.526399999999999</v>
      </c>
      <c r="M28" s="1002">
        <f>Res_Zw!$AL27</f>
        <v>32.448050000000002</v>
      </c>
      <c r="N28" s="1002">
        <f>Res_Zw!$AR27</f>
        <v>19.161796289190935</v>
      </c>
      <c r="O28" s="1002">
        <f>Res_Zw!$AU27</f>
        <v>7.2616000000000014</v>
      </c>
      <c r="P28" s="965"/>
      <c r="Q28" s="1002">
        <f>Res_Best!$O27</f>
        <v>17.399999999999999</v>
      </c>
      <c r="R28" s="1003">
        <f>Res_Best!$Y27</f>
        <v>29.941796008869179</v>
      </c>
      <c r="S28" s="1002">
        <f>Res_Best!$AC27</f>
        <v>28.173599999999997</v>
      </c>
      <c r="T28" s="1002">
        <f>Res_Best!$AL27</f>
        <v>7.0721249999999998</v>
      </c>
      <c r="U28" s="1002">
        <f>Res_Best!$AR27</f>
        <v>131.04298757965375</v>
      </c>
      <c r="V28" s="1002">
        <f>Res_Best!$AU27</f>
        <v>7.2616000000000014</v>
      </c>
      <c r="X28" s="977">
        <f t="shared" si="0"/>
        <v>7.2</v>
      </c>
      <c r="Y28" s="973" t="str">
        <f t="shared" si="1"/>
        <v>Mehrzweckhalle</v>
      </c>
      <c r="Z28" s="978">
        <f>Res_Std!$M27</f>
        <v>4</v>
      </c>
      <c r="AA28" s="978">
        <f>Res_Std!$V27</f>
        <v>10.809312638580931</v>
      </c>
      <c r="AB28" s="978">
        <f>Res_Std!$AA27</f>
        <v>6.6000000000000005</v>
      </c>
      <c r="AC28" s="978">
        <f>Res_Std!$AJ27</f>
        <v>43</v>
      </c>
      <c r="AD28" s="978">
        <f>Res_Std!$AP27</f>
        <v>54.002607843137255</v>
      </c>
      <c r="AE28" s="981"/>
      <c r="AF28" s="978">
        <f>Res_Zw!$M27</f>
        <v>2</v>
      </c>
      <c r="AG28" s="978">
        <f>Res_Zw!$V27</f>
        <v>7.5483091787439616</v>
      </c>
      <c r="AH28" s="978">
        <f>Res_Zw!$AA27</f>
        <v>4.08</v>
      </c>
      <c r="AI28" s="978">
        <f>Res_Zw!$AJ27</f>
        <v>35</v>
      </c>
      <c r="AJ28" s="978">
        <f>Res_Zw!$AP27</f>
        <v>36.996980392156857</v>
      </c>
      <c r="AK28" s="981"/>
      <c r="AL28" s="978">
        <f>Res_Best!$M27</f>
        <v>6</v>
      </c>
      <c r="AM28" s="978">
        <f>Res_Best!$V27</f>
        <v>10.809312638580931</v>
      </c>
      <c r="AN28" s="978">
        <f>Res_Best!$AA27</f>
        <v>10.92</v>
      </c>
      <c r="AO28" s="978">
        <f>Res_Best!$AJ27</f>
        <v>52</v>
      </c>
      <c r="AP28" s="978">
        <f>Res_Best!$AP27</f>
        <v>106.06180392156864</v>
      </c>
    </row>
    <row r="29" spans="1:42">
      <c r="A29" s="977">
        <f>Eingabedaten!A32</f>
        <v>7.3</v>
      </c>
      <c r="B29" s="973" t="str">
        <f>Eingabedaten!C32</f>
        <v>Ausstellungshalle</v>
      </c>
      <c r="C29" s="1002">
        <f>Res_Std!$O28</f>
        <v>20.3</v>
      </c>
      <c r="D29" s="1003">
        <f>Res_Std!$Y28</f>
        <v>29.941796008869179</v>
      </c>
      <c r="E29" s="1002">
        <f>Res_Std!$AC28</f>
        <v>17.027999999999999</v>
      </c>
      <c r="F29" s="1002">
        <f>Res_Std!$AL28</f>
        <v>26.652925</v>
      </c>
      <c r="G29" s="1002">
        <f>Res_Std!$AR28</f>
        <v>29.926318728321085</v>
      </c>
      <c r="H29" s="1002">
        <f>Res_Std!$AU28</f>
        <v>7.2616000000000014</v>
      </c>
      <c r="I29" s="965"/>
      <c r="J29" s="1002">
        <f>Res_Zw!$O28</f>
        <v>8.6999999999999993</v>
      </c>
      <c r="K29" s="1003">
        <f>Res_Zw!$Y28</f>
        <v>15.549516908212562</v>
      </c>
      <c r="L29" s="1002">
        <f>Res_Zw!$AC28</f>
        <v>10.526399999999999</v>
      </c>
      <c r="M29" s="1002">
        <f>Res_Zw!$AL28</f>
        <v>34.124850000000002</v>
      </c>
      <c r="N29" s="1002">
        <f>Res_Zw!$AR28</f>
        <v>18.438835353951639</v>
      </c>
      <c r="O29" s="1002">
        <f>Res_Zw!$AU28</f>
        <v>7.2616000000000014</v>
      </c>
      <c r="P29" s="965"/>
      <c r="Q29" s="1002">
        <f>Res_Best!$O28</f>
        <v>43.5</v>
      </c>
      <c r="R29" s="1003">
        <f>Res_Best!$Y28</f>
        <v>29.941796008869179</v>
      </c>
      <c r="S29" s="1002">
        <f>Res_Best!$AC28</f>
        <v>28.173599999999997</v>
      </c>
      <c r="T29" s="1002">
        <f>Res_Best!$AL28</f>
        <v>12.175750000000001</v>
      </c>
      <c r="U29" s="1002">
        <f>Res_Best!$AR28</f>
        <v>117.60867912177237</v>
      </c>
      <c r="V29" s="1002">
        <f>Res_Best!$AU28</f>
        <v>7.2616000000000014</v>
      </c>
      <c r="X29" s="977">
        <f t="shared" si="0"/>
        <v>7.3</v>
      </c>
      <c r="Y29" s="973" t="str">
        <f t="shared" si="1"/>
        <v>Ausstellungshalle</v>
      </c>
      <c r="Z29" s="978">
        <f>Res_Std!$M28</f>
        <v>7</v>
      </c>
      <c r="AA29" s="978">
        <f>Res_Std!$V28</f>
        <v>10.809312638580931</v>
      </c>
      <c r="AB29" s="978">
        <f>Res_Std!$AA28</f>
        <v>6.6000000000000005</v>
      </c>
      <c r="AC29" s="978">
        <f>Res_Std!$AJ28</f>
        <v>46</v>
      </c>
      <c r="AD29" s="978">
        <f>Res_Std!$AP28</f>
        <v>54.002607843137255</v>
      </c>
      <c r="AE29" s="981"/>
      <c r="AF29" s="978">
        <f>Res_Zw!$M28</f>
        <v>3</v>
      </c>
      <c r="AG29" s="978">
        <f>Res_Zw!$V28</f>
        <v>7.5483091787439616</v>
      </c>
      <c r="AH29" s="978">
        <f>Res_Zw!$AA28</f>
        <v>4.08</v>
      </c>
      <c r="AI29" s="978">
        <f>Res_Zw!$AJ28</f>
        <v>36</v>
      </c>
      <c r="AJ29" s="978">
        <f>Res_Zw!$AP28</f>
        <v>36.996980392156857</v>
      </c>
      <c r="AK29" s="981"/>
      <c r="AL29" s="978">
        <f>Res_Best!$M28</f>
        <v>15</v>
      </c>
      <c r="AM29" s="978">
        <f>Res_Best!$V28</f>
        <v>10.809312638580931</v>
      </c>
      <c r="AN29" s="978">
        <f>Res_Best!$AA28</f>
        <v>10.92</v>
      </c>
      <c r="AO29" s="978">
        <f>Res_Best!$AJ28</f>
        <v>60</v>
      </c>
      <c r="AP29" s="978">
        <f>Res_Best!$AP28</f>
        <v>106.06180392156864</v>
      </c>
    </row>
    <row r="30" spans="1:42">
      <c r="A30" s="977">
        <f>Eingabedaten!A33</f>
        <v>8.1</v>
      </c>
      <c r="B30" s="973" t="str">
        <f>Eingabedaten!C33</f>
        <v xml:space="preserve">Bettenzimmer </v>
      </c>
      <c r="C30" s="1002">
        <f>Res_Std!$O29</f>
        <v>7</v>
      </c>
      <c r="D30" s="1003">
        <f>Res_Std!$Y29</f>
        <v>13.622981956315289</v>
      </c>
      <c r="E30" s="1002">
        <f>Res_Std!$AC29</f>
        <v>9.2532000000000014</v>
      </c>
      <c r="F30" s="1002">
        <f>Res_Std!$AL29</f>
        <v>17.403611111111111</v>
      </c>
      <c r="G30" s="1002">
        <f>Res_Std!$AR29</f>
        <v>19.398725282739779</v>
      </c>
      <c r="H30" s="1002">
        <f>Res_Std!$AU29</f>
        <v>67.744000000000014</v>
      </c>
      <c r="I30" s="965"/>
      <c r="J30" s="1002">
        <f>Res_Zw!$O29</f>
        <v>3.5</v>
      </c>
      <c r="K30" s="1003">
        <f>Res_Zw!$Y29</f>
        <v>7.0947369725816847</v>
      </c>
      <c r="L30" s="1002">
        <f>Res_Zw!$AC29</f>
        <v>5.7201600000000008</v>
      </c>
      <c r="M30" s="1002">
        <f>Res_Zw!$AL29</f>
        <v>17.298333333333332</v>
      </c>
      <c r="N30" s="1002">
        <f>Res_Zw!$AR29</f>
        <v>9.1344882652444639</v>
      </c>
      <c r="O30" s="1002">
        <f>Res_Zw!$AU29</f>
        <v>67.744000000000014</v>
      </c>
      <c r="P30" s="965"/>
      <c r="Q30" s="1002">
        <f>Res_Best!$O29</f>
        <v>10.5</v>
      </c>
      <c r="R30" s="1003">
        <f>Res_Best!$Y29</f>
        <v>13.622981956315289</v>
      </c>
      <c r="S30" s="1002">
        <f>Res_Best!$AC29</f>
        <v>0</v>
      </c>
      <c r="T30" s="1002">
        <f>Res_Best!$AL29</f>
        <v>6.9675000000000002</v>
      </c>
      <c r="U30" s="1002">
        <f>Res_Best!$AR29</f>
        <v>107.47312858915127</v>
      </c>
      <c r="V30" s="1002">
        <f>Res_Best!$AU29</f>
        <v>67.744000000000014</v>
      </c>
      <c r="X30" s="977">
        <f t="shared" si="0"/>
        <v>8.1</v>
      </c>
      <c r="Y30" s="973" t="str">
        <f t="shared" si="1"/>
        <v xml:space="preserve">Bettenzimmer </v>
      </c>
      <c r="Z30" s="978">
        <f>Res_Std!$M29</f>
        <v>4</v>
      </c>
      <c r="AA30" s="978">
        <f>Res_Std!$V29</f>
        <v>4.5109211775878437</v>
      </c>
      <c r="AB30" s="978">
        <f>Res_Std!$AA29</f>
        <v>1.32</v>
      </c>
      <c r="AC30" s="978">
        <f>Res_Std!$AJ29</f>
        <v>23</v>
      </c>
      <c r="AD30" s="978">
        <f>Res_Std!$AP29</f>
        <v>25.791837908496735</v>
      </c>
      <c r="AE30" s="981"/>
      <c r="AF30" s="978">
        <f>Res_Zw!$M29</f>
        <v>2</v>
      </c>
      <c r="AG30" s="978">
        <f>Res_Zw!$V29</f>
        <v>2.9438742624820269</v>
      </c>
      <c r="AH30" s="978">
        <f>Res_Zw!$AA29</f>
        <v>0.81600000000000006</v>
      </c>
      <c r="AI30" s="978">
        <f>Res_Zw!$AJ29</f>
        <v>19</v>
      </c>
      <c r="AJ30" s="978">
        <f>Res_Zw!$AP29</f>
        <v>18.507769934640525</v>
      </c>
      <c r="AK30" s="981"/>
      <c r="AL30" s="978">
        <f>Res_Best!$M29</f>
        <v>6</v>
      </c>
      <c r="AM30" s="978">
        <f>Res_Best!$V29</f>
        <v>4.5109211775878437</v>
      </c>
      <c r="AN30" s="978">
        <f>Res_Best!$AA29</f>
        <v>0</v>
      </c>
      <c r="AO30" s="978">
        <f>Res_Best!$AJ29</f>
        <v>30</v>
      </c>
      <c r="AP30" s="978">
        <f>Res_Best!$AP29</f>
        <v>63.308130718954239</v>
      </c>
    </row>
    <row r="31" spans="1:42">
      <c r="A31" s="977">
        <f>Eingabedaten!A34</f>
        <v>8.1999999999999993</v>
      </c>
      <c r="B31" s="973" t="str">
        <f>Eingabedaten!C34</f>
        <v xml:space="preserve">Stationszimmer </v>
      </c>
      <c r="C31" s="1002">
        <f>Res_Std!$O30</f>
        <v>22.05</v>
      </c>
      <c r="D31" s="1003">
        <f>Res_Std!$Y30</f>
        <v>87.0235934664247</v>
      </c>
      <c r="E31" s="1002">
        <f>Res_Std!$AC30</f>
        <v>19.271999999999998</v>
      </c>
      <c r="F31" s="1002">
        <f>Res_Std!$AL30</f>
        <v>39.685833333333335</v>
      </c>
      <c r="G31" s="1002">
        <f>Res_Std!$AR30</f>
        <v>0.50554857410998411</v>
      </c>
      <c r="H31" s="1002">
        <f>Res_Std!$AU30</f>
        <v>0</v>
      </c>
      <c r="I31" s="965"/>
      <c r="J31" s="1002">
        <f>Res_Zw!$O30</f>
        <v>9.4499999999999993</v>
      </c>
      <c r="K31" s="1003">
        <f>Res_Zw!$Y30</f>
        <v>53.509365382574551</v>
      </c>
      <c r="L31" s="1002">
        <f>Res_Zw!$AC30</f>
        <v>11.913600000000001</v>
      </c>
      <c r="M31" s="1002">
        <f>Res_Zw!$AL30</f>
        <v>53.893055555555556</v>
      </c>
      <c r="N31" s="1002">
        <f>Res_Zw!$AR30</f>
        <v>9.7241614458634357E-2</v>
      </c>
      <c r="O31" s="1002">
        <f>Res_Zw!$AU30</f>
        <v>0</v>
      </c>
      <c r="P31" s="965"/>
      <c r="Q31" s="1002">
        <f>Res_Best!$O30</f>
        <v>47.25</v>
      </c>
      <c r="R31" s="1003">
        <f>Res_Best!$Y30</f>
        <v>87.0235934664247</v>
      </c>
      <c r="S31" s="1002">
        <f>Res_Best!$AC30</f>
        <v>0</v>
      </c>
      <c r="T31" s="1002">
        <f>Res_Best!$AL30</f>
        <v>25.998333333333335</v>
      </c>
      <c r="U31" s="1002">
        <f>Res_Best!$AR30</f>
        <v>44.968805821616463</v>
      </c>
      <c r="V31" s="1002">
        <f>Res_Best!$AU30</f>
        <v>0</v>
      </c>
      <c r="X31" s="977">
        <f t="shared" si="0"/>
        <v>8.1999999999999993</v>
      </c>
      <c r="Y31" s="973" t="str">
        <f t="shared" si="1"/>
        <v xml:space="preserve">Stationszimmer </v>
      </c>
      <c r="Z31" s="978">
        <f>Res_Std!$M30</f>
        <v>7</v>
      </c>
      <c r="AA31" s="978">
        <f>Res_Std!$V30</f>
        <v>15.880217785843922</v>
      </c>
      <c r="AB31" s="978">
        <f>Res_Std!$AA30</f>
        <v>6.6000000000000005</v>
      </c>
      <c r="AC31" s="978">
        <f>Res_Std!$AJ30</f>
        <v>49</v>
      </c>
      <c r="AD31" s="978">
        <f>Res_Std!$AP30</f>
        <v>54.383725490196078</v>
      </c>
      <c r="AE31" s="981"/>
      <c r="AF31" s="978">
        <f>Res_Zw!$M30</f>
        <v>3</v>
      </c>
      <c r="AG31" s="978">
        <f>Res_Zw!$V30</f>
        <v>11.60723761010294</v>
      </c>
      <c r="AH31" s="978">
        <f>Res_Zw!$AA30</f>
        <v>4.08</v>
      </c>
      <c r="AI31" s="978">
        <f>Res_Zw!$AJ30</f>
        <v>39</v>
      </c>
      <c r="AJ31" s="978">
        <f>Res_Zw!$AP30</f>
        <v>37.99992156862745</v>
      </c>
      <c r="AK31" s="981"/>
      <c r="AL31" s="978">
        <f>Res_Best!$M30</f>
        <v>15</v>
      </c>
      <c r="AM31" s="978">
        <f>Res_Best!$V30</f>
        <v>15.880217785843922</v>
      </c>
      <c r="AN31" s="978">
        <f>Res_Best!$AA30</f>
        <v>0</v>
      </c>
      <c r="AO31" s="978">
        <f>Res_Best!$AJ30</f>
        <v>65</v>
      </c>
      <c r="AP31" s="978">
        <f>Res_Best!$AP30</f>
        <v>152.17945098039218</v>
      </c>
    </row>
    <row r="32" spans="1:42">
      <c r="A32" s="977">
        <f>Eingabedaten!A35</f>
        <v>8.3000000000000007</v>
      </c>
      <c r="B32" s="973" t="str">
        <f>Eingabedaten!C35</f>
        <v>Behandlungsraum</v>
      </c>
      <c r="C32" s="1002">
        <f>Res_Std!$O31</f>
        <v>43.6</v>
      </c>
      <c r="D32" s="1003">
        <f>Res_Std!$Y31</f>
        <v>23.026315789473689</v>
      </c>
      <c r="E32" s="1002">
        <f>Res_Std!$AC31</f>
        <v>7.0488000000000008</v>
      </c>
      <c r="F32" s="1002">
        <f>Res_Std!$AL31</f>
        <v>30.210833333333333</v>
      </c>
      <c r="G32" s="1002">
        <f>Res_Std!$AR31</f>
        <v>2.3480892530399333</v>
      </c>
      <c r="H32" s="1002">
        <f>Res_Std!$AU31</f>
        <v>0</v>
      </c>
      <c r="I32" s="965"/>
      <c r="J32" s="1002">
        <f>Res_Zw!$O31</f>
        <v>21.8</v>
      </c>
      <c r="K32" s="1003">
        <f>Res_Zw!$Y31</f>
        <v>8.1250663270720587</v>
      </c>
      <c r="L32" s="1002">
        <f>Res_Zw!$AC31</f>
        <v>4.3574400000000004</v>
      </c>
      <c r="M32" s="1002">
        <f>Res_Zw!$AL31</f>
        <v>24.073055555555555</v>
      </c>
      <c r="N32" s="1002">
        <f>Res_Zw!$AR31</f>
        <v>0.83252606031909127</v>
      </c>
      <c r="O32" s="1002">
        <f>Res_Zw!$AU31</f>
        <v>0</v>
      </c>
      <c r="P32" s="965"/>
      <c r="Q32" s="1002">
        <f>Res_Best!$O31</f>
        <v>65.400000000000006</v>
      </c>
      <c r="R32" s="1003">
        <f>Res_Best!$Y31</f>
        <v>23.026315789473689</v>
      </c>
      <c r="S32" s="1002">
        <f>Res_Best!$AC31</f>
        <v>0</v>
      </c>
      <c r="T32" s="1002">
        <f>Res_Best!$AL31</f>
        <v>18.392499999999998</v>
      </c>
      <c r="U32" s="1002">
        <f>Res_Best!$AR31</f>
        <v>60.790595923626384</v>
      </c>
      <c r="V32" s="1002">
        <f>Res_Best!$AU31</f>
        <v>0</v>
      </c>
      <c r="X32" s="977">
        <f t="shared" si="0"/>
        <v>8.3000000000000007</v>
      </c>
      <c r="Y32" s="973" t="str">
        <f t="shared" si="1"/>
        <v>Behandlungsraum</v>
      </c>
      <c r="Z32" s="978">
        <f>Res_Std!$M31</f>
        <v>20</v>
      </c>
      <c r="AA32" s="978">
        <f>Res_Std!$V31</f>
        <v>15.880217785843922</v>
      </c>
      <c r="AB32" s="978">
        <f>Res_Std!$AA31</f>
        <v>3.9600000000000004</v>
      </c>
      <c r="AC32" s="978">
        <f>Res_Std!$AJ31</f>
        <v>44</v>
      </c>
      <c r="AD32" s="978">
        <f>Res_Std!$AP31</f>
        <v>44.912439215686284</v>
      </c>
      <c r="AE32" s="981"/>
      <c r="AF32" s="978">
        <f>Res_Zw!$M31</f>
        <v>10</v>
      </c>
      <c r="AG32" s="978">
        <f>Res_Zw!$V31</f>
        <v>11.60723761010294</v>
      </c>
      <c r="AH32" s="978">
        <f>Res_Zw!$AA31</f>
        <v>2.4480000000000004</v>
      </c>
      <c r="AI32" s="978">
        <f>Res_Zw!$AJ31</f>
        <v>32</v>
      </c>
      <c r="AJ32" s="978">
        <f>Res_Zw!$AP31</f>
        <v>30.482603921568625</v>
      </c>
      <c r="AK32" s="981"/>
      <c r="AL32" s="978">
        <f>Res_Best!$M31</f>
        <v>30</v>
      </c>
      <c r="AM32" s="978">
        <f>Res_Best!$V31</f>
        <v>15.880217785843922</v>
      </c>
      <c r="AN32" s="978">
        <f>Res_Best!$AA31</f>
        <v>0</v>
      </c>
      <c r="AO32" s="978">
        <f>Res_Best!$AJ31</f>
        <v>57</v>
      </c>
      <c r="AP32" s="978">
        <f>Res_Best!$AP31</f>
        <v>123.32941176470588</v>
      </c>
    </row>
    <row r="33" spans="1:42">
      <c r="A33" s="977">
        <f>Eingabedaten!A36</f>
        <v>9.1</v>
      </c>
      <c r="B33" s="973" t="str">
        <f>Eingabedaten!C36</f>
        <v>Produktion (grobe Arbeit)</v>
      </c>
      <c r="C33" s="1002">
        <f>Res_Std!$O32</f>
        <v>33.6</v>
      </c>
      <c r="D33" s="1003">
        <f>Res_Std!$Y32</f>
        <v>43.021064301552109</v>
      </c>
      <c r="E33" s="1002">
        <f>Res_Std!$AC32</f>
        <v>15.07</v>
      </c>
      <c r="F33" s="1002">
        <f>Res_Std!$AL32</f>
        <v>3.3576250000000001</v>
      </c>
      <c r="G33" s="1002">
        <f>Res_Std!$AR32</f>
        <v>15.040236272214607</v>
      </c>
      <c r="H33" s="1002">
        <f>Res_Std!$AU32</f>
        <v>2.4220800000000007</v>
      </c>
      <c r="I33" s="965"/>
      <c r="J33" s="1002">
        <f>Res_Zw!$O32</f>
        <v>16.8</v>
      </c>
      <c r="K33" s="1003">
        <f>Res_Zw!$Y32</f>
        <v>20.455917874396135</v>
      </c>
      <c r="L33" s="1002">
        <f>Res_Zw!$AC32</f>
        <v>9.3160000000000025</v>
      </c>
      <c r="M33" s="1002">
        <f>Res_Zw!$AL32</f>
        <v>4.3327749999999998</v>
      </c>
      <c r="N33" s="1002">
        <f>Res_Zw!$AR32</f>
        <v>11.173996659539201</v>
      </c>
      <c r="O33" s="1002">
        <f>Res_Zw!$AU32</f>
        <v>2.4220800000000007</v>
      </c>
      <c r="P33" s="965"/>
      <c r="Q33" s="1002">
        <f>Res_Best!$O32</f>
        <v>50.4</v>
      </c>
      <c r="R33" s="1003">
        <f>Res_Best!$Y32</f>
        <v>43.021064301552109</v>
      </c>
      <c r="S33" s="1002">
        <f>Res_Best!$AC32</f>
        <v>24.934000000000001</v>
      </c>
      <c r="T33" s="1002">
        <f>Res_Best!$AL32</f>
        <v>0.12565000000000001</v>
      </c>
      <c r="U33" s="1002">
        <f>Res_Best!$AR32</f>
        <v>76.57501911213518</v>
      </c>
      <c r="V33" s="1002">
        <f>Res_Best!$AU32</f>
        <v>2.4220800000000007</v>
      </c>
      <c r="X33" s="977">
        <f t="shared" si="0"/>
        <v>9.1</v>
      </c>
      <c r="Y33" s="973" t="str">
        <f t="shared" si="1"/>
        <v>Produktion (grobe Arbeit)</v>
      </c>
      <c r="Z33" s="978">
        <f>Res_Std!$M32</f>
        <v>10</v>
      </c>
      <c r="AA33" s="978">
        <f>Res_Std!$V32</f>
        <v>10.809312638580931</v>
      </c>
      <c r="AB33" s="978">
        <f>Res_Std!$AA32</f>
        <v>5.5</v>
      </c>
      <c r="AC33" s="978">
        <f>Res_Std!$AJ32</f>
        <v>19</v>
      </c>
      <c r="AD33" s="978">
        <f>Res_Std!$AP32</f>
        <v>43.400549019607851</v>
      </c>
      <c r="AE33" s="981"/>
      <c r="AF33" s="978">
        <f>Res_Zw!$M32</f>
        <v>5</v>
      </c>
      <c r="AG33" s="978">
        <f>Res_Zw!$V32</f>
        <v>7.5483091787439616</v>
      </c>
      <c r="AH33" s="978">
        <f>Res_Zw!$AA32</f>
        <v>3.4000000000000004</v>
      </c>
      <c r="AI33" s="978">
        <f>Res_Zw!$AJ32</f>
        <v>4</v>
      </c>
      <c r="AJ33" s="978">
        <f>Res_Zw!$AP32</f>
        <v>29.832627450980389</v>
      </c>
      <c r="AK33" s="981"/>
      <c r="AL33" s="978">
        <f>Res_Best!$M32</f>
        <v>15</v>
      </c>
      <c r="AM33" s="978">
        <f>Res_Best!$V32</f>
        <v>10.809312638580931</v>
      </c>
      <c r="AN33" s="978">
        <f>Res_Best!$AA32</f>
        <v>9.1</v>
      </c>
      <c r="AO33" s="978">
        <f>Res_Best!$AJ32</f>
        <v>28</v>
      </c>
      <c r="AP33" s="978">
        <f>Res_Best!$AP32</f>
        <v>86.838509803921582</v>
      </c>
    </row>
    <row r="34" spans="1:42">
      <c r="A34" s="977">
        <f>Eingabedaten!A37</f>
        <v>9.1999999999999993</v>
      </c>
      <c r="B34" s="973" t="str">
        <f>Eingabedaten!C37</f>
        <v>Produktion (feine Arbeit)</v>
      </c>
      <c r="C34" s="1002">
        <f>Res_Std!$O33</f>
        <v>24.4</v>
      </c>
      <c r="D34" s="1003">
        <f>Res_Std!$Y33</f>
        <v>23.003629764065337</v>
      </c>
      <c r="E34" s="1002">
        <f>Res_Std!$AC33</f>
        <v>8.0850000000000009</v>
      </c>
      <c r="F34" s="1002">
        <f>Res_Std!$AL33</f>
        <v>8.7797999999999998</v>
      </c>
      <c r="G34" s="1002">
        <f>Res_Std!$AR33</f>
        <v>20.573788236115817</v>
      </c>
      <c r="H34" s="1002">
        <f>Res_Std!$AU33</f>
        <v>2.4220800000000007</v>
      </c>
      <c r="I34" s="965"/>
      <c r="J34" s="1002">
        <f>Res_Zw!$O33</f>
        <v>12.2</v>
      </c>
      <c r="K34" s="1003">
        <f>Res_Zw!$Y33</f>
        <v>9.8081157805369834</v>
      </c>
      <c r="L34" s="1002">
        <f>Res_Zw!$AC33</f>
        <v>4.9980000000000011</v>
      </c>
      <c r="M34" s="1002">
        <f>Res_Zw!$AL33</f>
        <v>8.7759499999999999</v>
      </c>
      <c r="N34" s="1002">
        <f>Res_Zw!$AR33</f>
        <v>14.432907702774003</v>
      </c>
      <c r="O34" s="1002">
        <f>Res_Zw!$AU33</f>
        <v>2.4220800000000007</v>
      </c>
      <c r="P34" s="965"/>
      <c r="Q34" s="1002">
        <f>Res_Best!$O33</f>
        <v>36.6</v>
      </c>
      <c r="R34" s="1003">
        <f>Res_Best!$Y33</f>
        <v>23.003629764065337</v>
      </c>
      <c r="S34" s="1002">
        <f>Res_Best!$AC33</f>
        <v>13.377000000000001</v>
      </c>
      <c r="T34" s="1002">
        <f>Res_Best!$AL33</f>
        <v>3.2949000000000002</v>
      </c>
      <c r="U34" s="1002">
        <f>Res_Best!$AR33</f>
        <v>92.693222244668391</v>
      </c>
      <c r="V34" s="1002">
        <f>Res_Best!$AU33</f>
        <v>2.4220800000000007</v>
      </c>
      <c r="X34" s="977">
        <f t="shared" si="0"/>
        <v>9.1999999999999993</v>
      </c>
      <c r="Y34" s="973" t="str">
        <f t="shared" si="1"/>
        <v>Produktion (feine Arbeit)</v>
      </c>
      <c r="Z34" s="978">
        <f>Res_Std!$M33</f>
        <v>10</v>
      </c>
      <c r="AA34" s="978">
        <f>Res_Std!$V33</f>
        <v>14.745916515426497</v>
      </c>
      <c r="AB34" s="978">
        <f>Res_Std!$AA33</f>
        <v>5.5</v>
      </c>
      <c r="AC34" s="978">
        <f>Res_Std!$AJ33</f>
        <v>31</v>
      </c>
      <c r="AD34" s="978">
        <f>Res_Std!$AP33</f>
        <v>46.500588235294124</v>
      </c>
      <c r="AE34" s="981"/>
      <c r="AF34" s="978">
        <f>Res_Zw!$M33</f>
        <v>5</v>
      </c>
      <c r="AG34" s="978">
        <f>Res_Zw!$V33</f>
        <v>10.778149209381301</v>
      </c>
      <c r="AH34" s="978">
        <f>Res_Zw!$AA33</f>
        <v>3.4000000000000004</v>
      </c>
      <c r="AI34" s="978">
        <f>Res_Zw!$AJ33</f>
        <v>22</v>
      </c>
      <c r="AJ34" s="978">
        <f>Res_Zw!$AP33</f>
        <v>31.963529411764704</v>
      </c>
      <c r="AK34" s="981"/>
      <c r="AL34" s="978">
        <f>Res_Best!$M33</f>
        <v>15</v>
      </c>
      <c r="AM34" s="978">
        <f>Res_Best!$V33</f>
        <v>14.745916515426497</v>
      </c>
      <c r="AN34" s="978">
        <f>Res_Best!$AA33</f>
        <v>9.1</v>
      </c>
      <c r="AO34" s="978">
        <f>Res_Best!$AJ33</f>
        <v>42</v>
      </c>
      <c r="AP34" s="978">
        <f>Res_Best!$AP33</f>
        <v>92.827372549019614</v>
      </c>
    </row>
    <row r="35" spans="1:42">
      <c r="A35" s="977">
        <f>Eingabedaten!A38</f>
        <v>9.3000000000000007</v>
      </c>
      <c r="B35" s="973" t="str">
        <f>Eingabedaten!C38</f>
        <v>Laborraum</v>
      </c>
      <c r="C35" s="1002">
        <f>Res_Std!$O34</f>
        <v>48.8</v>
      </c>
      <c r="D35" s="1003">
        <f>Res_Std!$Y34</f>
        <v>18.509852216748769</v>
      </c>
      <c r="E35" s="1002">
        <f>Res_Std!$AC34</f>
        <v>16.170000000000002</v>
      </c>
      <c r="F35" s="1002">
        <f>Res_Std!$AL34</f>
        <v>15.816428571428572</v>
      </c>
      <c r="G35" s="1002">
        <f>Res_Std!$AR34</f>
        <v>46.978435977044533</v>
      </c>
      <c r="H35" s="1002">
        <f>Res_Std!$AU34</f>
        <v>2.4220800000000007</v>
      </c>
      <c r="I35" s="965"/>
      <c r="J35" s="1002">
        <f>Res_Zw!$O34</f>
        <v>36.6</v>
      </c>
      <c r="K35" s="1003">
        <f>Res_Zw!$Y34</f>
        <v>4.5097671351253013</v>
      </c>
      <c r="L35" s="1002">
        <f>Res_Zw!$AC34</f>
        <v>9.9960000000000022</v>
      </c>
      <c r="M35" s="1002">
        <f>Res_Zw!$AL34</f>
        <v>17.501714285714286</v>
      </c>
      <c r="N35" s="1002">
        <f>Res_Zw!$AR34</f>
        <v>29.191104508517427</v>
      </c>
      <c r="O35" s="1002">
        <f>Res_Zw!$AU34</f>
        <v>2.4220800000000007</v>
      </c>
      <c r="P35" s="965"/>
      <c r="Q35" s="1002">
        <f>Res_Best!$O34</f>
        <v>61</v>
      </c>
      <c r="R35" s="1003">
        <f>Res_Best!$Y34</f>
        <v>18.509852216748769</v>
      </c>
      <c r="S35" s="1002">
        <f>Res_Best!$AC34</f>
        <v>26.754000000000001</v>
      </c>
      <c r="T35" s="1002">
        <f>Res_Best!$AL34</f>
        <v>6.4029999999999996</v>
      </c>
      <c r="U35" s="1002">
        <f>Res_Best!$AR34</f>
        <v>173.47908265630707</v>
      </c>
      <c r="V35" s="1002">
        <f>Res_Best!$AU34</f>
        <v>2.4220800000000007</v>
      </c>
      <c r="X35" s="977">
        <f t="shared" si="0"/>
        <v>9.3000000000000007</v>
      </c>
      <c r="Y35" s="973" t="str">
        <f t="shared" si="1"/>
        <v>Laborraum</v>
      </c>
      <c r="Z35" s="978">
        <f>Res_Std!$M34</f>
        <v>20</v>
      </c>
      <c r="AA35" s="978">
        <f>Res_Std!$V34</f>
        <v>16.236712470832252</v>
      </c>
      <c r="AB35" s="978">
        <f>Res_Std!$AA34</f>
        <v>11</v>
      </c>
      <c r="AC35" s="978">
        <f>Res_Std!$AJ34</f>
        <v>48</v>
      </c>
      <c r="AD35" s="978">
        <f>Res_Std!$AP34</f>
        <v>90.086901960784331</v>
      </c>
      <c r="AE35" s="981"/>
      <c r="AF35" s="978">
        <f>Res_Zw!$M34</f>
        <v>15</v>
      </c>
      <c r="AG35" s="978">
        <f>Res_Zw!$V34</f>
        <v>11.867808250329739</v>
      </c>
      <c r="AH35" s="978">
        <f>Res_Zw!$AA34</f>
        <v>6.8000000000000007</v>
      </c>
      <c r="AI35" s="978">
        <f>Res_Zw!$AJ34</f>
        <v>37</v>
      </c>
      <c r="AJ35" s="978">
        <f>Res_Zw!$AP34</f>
        <v>59.583910364145645</v>
      </c>
      <c r="AK35" s="981"/>
      <c r="AL35" s="978">
        <f>Res_Best!$M34</f>
        <v>25</v>
      </c>
      <c r="AM35" s="978">
        <f>Res_Best!$V34</f>
        <v>16.236712470832252</v>
      </c>
      <c r="AN35" s="978">
        <f>Res_Best!$AA34</f>
        <v>18.2</v>
      </c>
      <c r="AO35" s="978">
        <f>Res_Best!$AJ34</f>
        <v>65</v>
      </c>
      <c r="AP35" s="978">
        <f>Res_Best!$AP34</f>
        <v>167.62908683473393</v>
      </c>
    </row>
    <row r="36" spans="1:42">
      <c r="A36" s="977">
        <f>Eingabedaten!A39</f>
        <v>10.1</v>
      </c>
      <c r="B36" s="973" t="str">
        <f>Eingabedaten!C39</f>
        <v>Lagerhalle</v>
      </c>
      <c r="C36" s="1002">
        <f>Res_Std!$O35</f>
        <v>0</v>
      </c>
      <c r="D36" s="1003">
        <f>Res_Std!$Y35</f>
        <v>19.026495726495728</v>
      </c>
      <c r="E36" s="1002">
        <f>Res_Std!$AC35</f>
        <v>1.3974000000000002</v>
      </c>
      <c r="F36" s="1002">
        <f>Res_Std!$AL35</f>
        <v>0</v>
      </c>
      <c r="G36" s="1002">
        <f>Res_Std!$AR35</f>
        <v>17.289456815468949</v>
      </c>
      <c r="H36" s="1002">
        <f>Res_Std!$AU35</f>
        <v>0.9082800000000002</v>
      </c>
      <c r="I36" s="965"/>
      <c r="J36" s="1002">
        <f>Res_Zw!$O35</f>
        <v>0</v>
      </c>
      <c r="K36" s="1003">
        <f>Res_Zw!$Y35</f>
        <v>8.382976349843819</v>
      </c>
      <c r="L36" s="1002">
        <f>Res_Zw!$AC35</f>
        <v>0.91653000000000007</v>
      </c>
      <c r="M36" s="1002">
        <f>Res_Zw!$AL35</f>
        <v>0</v>
      </c>
      <c r="N36" s="1002">
        <f>Res_Zw!$AR35</f>
        <v>11.621558328525365</v>
      </c>
      <c r="O36" s="1002">
        <f>Res_Zw!$AU35</f>
        <v>0.9082800000000002</v>
      </c>
      <c r="P36" s="965"/>
      <c r="Q36" s="1002">
        <f>Res_Best!$O35</f>
        <v>0</v>
      </c>
      <c r="R36" s="1003">
        <f>Res_Best!$Y35</f>
        <v>19.026495726495728</v>
      </c>
      <c r="S36" s="1002">
        <f>Res_Best!$AC35</f>
        <v>0</v>
      </c>
      <c r="T36" s="1002">
        <f>Res_Best!$AL35</f>
        <v>0</v>
      </c>
      <c r="U36" s="1002">
        <f>Res_Best!$AR35</f>
        <v>84.909262680428199</v>
      </c>
      <c r="V36" s="1002">
        <f>Res_Best!$AU35</f>
        <v>0.9082800000000002</v>
      </c>
      <c r="X36" s="977">
        <f t="shared" si="0"/>
        <v>10.1</v>
      </c>
      <c r="Y36" s="973" t="str">
        <f t="shared" si="1"/>
        <v>Lagerhalle</v>
      </c>
      <c r="Z36" s="978">
        <f>Res_Std!$M35</f>
        <v>0</v>
      </c>
      <c r="AA36" s="978">
        <f>Res_Std!$V35</f>
        <v>4.8290598290598297</v>
      </c>
      <c r="AB36" s="978">
        <f>Res_Std!$AA35</f>
        <v>0.51</v>
      </c>
      <c r="AC36" s="978">
        <f>Res_Std!$AJ35</f>
        <v>0</v>
      </c>
      <c r="AD36" s="978">
        <f>Res_Std!$AP35</f>
        <v>19.818529411764708</v>
      </c>
      <c r="AE36" s="981"/>
      <c r="AF36" s="978">
        <f>Res_Zw!$M35</f>
        <v>0</v>
      </c>
      <c r="AG36" s="978">
        <f>Res_Zw!$V35</f>
        <v>3.1514948683623381</v>
      </c>
      <c r="AH36" s="978">
        <f>Res_Zw!$AA35</f>
        <v>0.33450000000000002</v>
      </c>
      <c r="AI36" s="978">
        <f>Res_Zw!$AJ35</f>
        <v>0</v>
      </c>
      <c r="AJ36" s="978">
        <f>Res_Zw!$AP35</f>
        <v>13.557725490196079</v>
      </c>
      <c r="AK36" s="981"/>
      <c r="AL36" s="978">
        <f>Res_Best!$M35</f>
        <v>0</v>
      </c>
      <c r="AM36" s="978">
        <f>Res_Best!$V35</f>
        <v>4.8290598290598297</v>
      </c>
      <c r="AN36" s="978">
        <f>Res_Best!$AA35</f>
        <v>0</v>
      </c>
      <c r="AO36" s="978">
        <f>Res_Best!$AJ35</f>
        <v>0</v>
      </c>
      <c r="AP36" s="978">
        <f>Res_Best!$AP35</f>
        <v>52.484078431372566</v>
      </c>
    </row>
    <row r="37" spans="1:42">
      <c r="A37" s="977">
        <f>Eingabedaten!A40</f>
        <v>11.1</v>
      </c>
      <c r="B37" s="973" t="str">
        <f>Eingabedaten!C40</f>
        <v>Turnhalle</v>
      </c>
      <c r="C37" s="1002">
        <f>Res_Std!$O36</f>
        <v>0</v>
      </c>
      <c r="D37" s="1003">
        <f>Res_Std!$Y36</f>
        <v>20.168514412416851</v>
      </c>
      <c r="E37" s="1002">
        <f>Res_Std!$AC36</f>
        <v>3.1364999999999998</v>
      </c>
      <c r="F37" s="1002">
        <f>Res_Std!$AL36</f>
        <v>0</v>
      </c>
      <c r="G37" s="1002">
        <f>Res_Std!$AR36</f>
        <v>16.237516870970133</v>
      </c>
      <c r="H37" s="1002">
        <f>Res_Std!$AU36</f>
        <v>52.900052054794521</v>
      </c>
      <c r="I37" s="965"/>
      <c r="J37" s="1002">
        <f>Res_Zw!$O36</f>
        <v>0</v>
      </c>
      <c r="K37" s="1003">
        <f>Res_Zw!$Y36</f>
        <v>8.5090734547256268</v>
      </c>
      <c r="L37" s="1002">
        <f>Res_Zw!$AC36</f>
        <v>2.057175</v>
      </c>
      <c r="M37" s="1002">
        <f>Res_Zw!$AL36</f>
        <v>0</v>
      </c>
      <c r="N37" s="1002">
        <f>Res_Zw!$AR36</f>
        <v>10.475613322808412</v>
      </c>
      <c r="O37" s="1002">
        <f>Res_Zw!$AU36</f>
        <v>52.900052054794521</v>
      </c>
      <c r="P37" s="965"/>
      <c r="Q37" s="1002">
        <f>Res_Best!$O36</f>
        <v>0</v>
      </c>
      <c r="R37" s="1003">
        <f>Res_Best!$Y36</f>
        <v>20.168514412416851</v>
      </c>
      <c r="S37" s="1002">
        <f>Res_Best!$AC36</f>
        <v>0</v>
      </c>
      <c r="T37" s="1002">
        <f>Res_Best!$AL36</f>
        <v>0</v>
      </c>
      <c r="U37" s="1002">
        <f>Res_Best!$AR36</f>
        <v>84.324976768742061</v>
      </c>
      <c r="V37" s="1002">
        <f>Res_Best!$AU36</f>
        <v>52.900052054794521</v>
      </c>
      <c r="X37" s="977">
        <f t="shared" si="0"/>
        <v>11.1</v>
      </c>
      <c r="Y37" s="973" t="str">
        <f t="shared" si="1"/>
        <v>Turnhalle</v>
      </c>
      <c r="Z37" s="978">
        <f>Res_Std!$M36</f>
        <v>0</v>
      </c>
      <c r="AA37" s="978">
        <f>Res_Std!$V36</f>
        <v>10.504434589800443</v>
      </c>
      <c r="AB37" s="978">
        <f>Res_Std!$AA36</f>
        <v>1.53</v>
      </c>
      <c r="AC37" s="978">
        <f>Res_Std!$AJ36</f>
        <v>0</v>
      </c>
      <c r="AD37" s="978">
        <f>Res_Std!$AP36</f>
        <v>26.901529411764706</v>
      </c>
      <c r="AE37" s="981"/>
      <c r="AF37" s="978">
        <f>Res_Zw!$M36</f>
        <v>0</v>
      </c>
      <c r="AG37" s="978">
        <f>Res_Zw!$V36</f>
        <v>7.3354081506255406</v>
      </c>
      <c r="AH37" s="978">
        <f>Res_Zw!$AA36</f>
        <v>1.0035000000000001</v>
      </c>
      <c r="AI37" s="978">
        <f>Res_Zw!$AJ36</f>
        <v>0</v>
      </c>
      <c r="AJ37" s="978">
        <f>Res_Zw!$AP36</f>
        <v>18.855529411764703</v>
      </c>
      <c r="AK37" s="981"/>
      <c r="AL37" s="978">
        <f>Res_Best!$M36</f>
        <v>0</v>
      </c>
      <c r="AM37" s="978">
        <f>Res_Best!$V36</f>
        <v>10.504434589800443</v>
      </c>
      <c r="AN37" s="978">
        <f>Res_Best!$AA36</f>
        <v>0</v>
      </c>
      <c r="AO37" s="978">
        <f>Res_Best!$AJ36</f>
        <v>0</v>
      </c>
      <c r="AP37" s="978">
        <f>Res_Best!$AP36</f>
        <v>78.695764705882354</v>
      </c>
    </row>
    <row r="38" spans="1:42">
      <c r="A38" s="977">
        <f>Eingabedaten!A41</f>
        <v>11.2</v>
      </c>
      <c r="B38" s="973" t="str">
        <f>Eingabedaten!C41</f>
        <v>Fitnessraum</v>
      </c>
      <c r="C38" s="1002">
        <f>Res_Std!$O37</f>
        <v>11.42</v>
      </c>
      <c r="D38" s="1003">
        <f>Res_Std!$Y37</f>
        <v>29.767184035476724</v>
      </c>
      <c r="E38" s="1002">
        <f>Res_Std!$AC37</f>
        <v>13.86</v>
      </c>
      <c r="F38" s="1002">
        <f>Res_Std!$AL37</f>
        <v>8.5770138888888887</v>
      </c>
      <c r="G38" s="1002">
        <f>Res_Std!$AR37</f>
        <v>11.538732344464593</v>
      </c>
      <c r="H38" s="1002">
        <f>Res_Std!$AU37</f>
        <v>87.139200000000017</v>
      </c>
      <c r="I38" s="965"/>
      <c r="J38" s="1002">
        <f>Res_Zw!$O37</f>
        <v>5.71</v>
      </c>
      <c r="K38" s="1003">
        <f>Res_Zw!$Y37</f>
        <v>14.273659110615633</v>
      </c>
      <c r="L38" s="1002">
        <f>Res_Zw!$AC37</f>
        <v>8.5679999999999996</v>
      </c>
      <c r="M38" s="1002">
        <f>Res_Zw!$AL37</f>
        <v>12.987430555555555</v>
      </c>
      <c r="N38" s="1002">
        <f>Res_Zw!$AR37</f>
        <v>7.1035188810335015</v>
      </c>
      <c r="O38" s="1002">
        <f>Res_Zw!$AU37</f>
        <v>87.139200000000017</v>
      </c>
      <c r="P38" s="965"/>
      <c r="Q38" s="1002">
        <f>Res_Best!$O37</f>
        <v>17.13</v>
      </c>
      <c r="R38" s="1003">
        <f>Res_Best!$Y37</f>
        <v>29.767184035476724</v>
      </c>
      <c r="S38" s="1002">
        <f>Res_Best!$AC37</f>
        <v>22.931999999999999</v>
      </c>
      <c r="T38" s="1002">
        <f>Res_Best!$AL37</f>
        <v>0.91506944444444449</v>
      </c>
      <c r="U38" s="1002">
        <f>Res_Best!$AR37</f>
        <v>61.797704702238882</v>
      </c>
      <c r="V38" s="1002">
        <f>Res_Best!$AU37</f>
        <v>87.139200000000017</v>
      </c>
      <c r="X38" s="977">
        <f t="shared" si="0"/>
        <v>11.2</v>
      </c>
      <c r="Y38" s="973" t="str">
        <f t="shared" si="1"/>
        <v>Fitnessraum</v>
      </c>
      <c r="Z38" s="978">
        <f>Res_Std!$M37</f>
        <v>2</v>
      </c>
      <c r="AA38" s="978">
        <f>Res_Std!$V37</f>
        <v>9.9223946784922408</v>
      </c>
      <c r="AB38" s="978">
        <f>Res_Std!$AA37</f>
        <v>4.95</v>
      </c>
      <c r="AC38" s="978">
        <f>Res_Std!$AJ37</f>
        <v>25</v>
      </c>
      <c r="AD38" s="978">
        <f>Res_Std!$AP37</f>
        <v>36.37639215686275</v>
      </c>
      <c r="AE38" s="981"/>
      <c r="AF38" s="978">
        <f>Res_Zw!$M37</f>
        <v>1</v>
      </c>
      <c r="AG38" s="978">
        <f>Res_Zw!$V37</f>
        <v>6.9289607333085597</v>
      </c>
      <c r="AH38" s="978">
        <f>Res_Zw!$AA37</f>
        <v>3.06</v>
      </c>
      <c r="AI38" s="978">
        <f>Res_Zw!$AJ37</f>
        <v>15</v>
      </c>
      <c r="AJ38" s="978">
        <f>Res_Zw!$AP37</f>
        <v>24.127411764705879</v>
      </c>
      <c r="AK38" s="981"/>
      <c r="AL38" s="978">
        <f>Res_Best!$M37</f>
        <v>3</v>
      </c>
      <c r="AM38" s="978">
        <f>Res_Best!$V37</f>
        <v>9.9223946784922408</v>
      </c>
      <c r="AN38" s="978">
        <f>Res_Best!$AA37</f>
        <v>8.19</v>
      </c>
      <c r="AO38" s="978">
        <f>Res_Best!$AJ37</f>
        <v>32</v>
      </c>
      <c r="AP38" s="978">
        <f>Res_Best!$AP37</f>
        <v>71.440078431372555</v>
      </c>
    </row>
    <row r="39" spans="1:42">
      <c r="A39" s="977">
        <f>Eingabedaten!A42</f>
        <v>11.3</v>
      </c>
      <c r="B39" s="973" t="str">
        <f>Eingabedaten!C42</f>
        <v>Schwimmhalle</v>
      </c>
      <c r="C39" s="1002">
        <f>Res_Std!$O38</f>
        <v>11.42</v>
      </c>
      <c r="D39" s="1003">
        <f>Res_Std!$Y38</f>
        <v>29.653104212860313</v>
      </c>
      <c r="E39" s="1002">
        <f>Res_Std!$AC38</f>
        <v>5.5440000000000005</v>
      </c>
      <c r="F39" s="1002">
        <f>Res_Std!$AL38</f>
        <v>0.27065</v>
      </c>
      <c r="G39" s="1002">
        <f>Res_Std!$AR38</f>
        <v>29.466693295145785</v>
      </c>
      <c r="H39" s="1002">
        <f>Res_Std!$AU38</f>
        <v>174.27840000000003</v>
      </c>
      <c r="I39" s="965"/>
      <c r="J39" s="1002">
        <f>Res_Zw!$O38</f>
        <v>5.71</v>
      </c>
      <c r="K39" s="1003">
        <f>Res_Zw!$Y38</f>
        <v>12.518812709030101</v>
      </c>
      <c r="L39" s="1002">
        <f>Res_Zw!$AC38</f>
        <v>3.4272000000000009</v>
      </c>
      <c r="M39" s="1002">
        <f>Res_Zw!$AL38</f>
        <v>1.536675</v>
      </c>
      <c r="N39" s="1002">
        <f>Res_Zw!$AR38</f>
        <v>20.28147022618861</v>
      </c>
      <c r="O39" s="1002">
        <f>Res_Zw!$AU38</f>
        <v>174.27840000000003</v>
      </c>
      <c r="P39" s="965"/>
      <c r="Q39" s="1002">
        <f>Res_Best!$O38</f>
        <v>17.13</v>
      </c>
      <c r="R39" s="1003">
        <f>Res_Best!$Y38</f>
        <v>29.653104212860313</v>
      </c>
      <c r="S39" s="1002">
        <f>Res_Best!$AC38</f>
        <v>9.1728000000000005</v>
      </c>
      <c r="T39" s="1002">
        <f>Res_Best!$AL38</f>
        <v>2.0125000000000001E-2</v>
      </c>
      <c r="U39" s="1002">
        <f>Res_Best!$AR38</f>
        <v>129.54690474674157</v>
      </c>
      <c r="V39" s="1002">
        <f>Res_Best!$AU38</f>
        <v>174.27840000000003</v>
      </c>
      <c r="X39" s="977">
        <f t="shared" si="0"/>
        <v>11.3</v>
      </c>
      <c r="Y39" s="973" t="str">
        <f t="shared" si="1"/>
        <v>Schwimmhalle</v>
      </c>
      <c r="Z39" s="978">
        <f>Res_Std!$M38</f>
        <v>2</v>
      </c>
      <c r="AA39" s="978">
        <f>Res_Std!$V38</f>
        <v>11.274944567627495</v>
      </c>
      <c r="AB39" s="978">
        <f>Res_Std!$AA38</f>
        <v>1.9800000000000002</v>
      </c>
      <c r="AC39" s="978">
        <f>Res_Std!$AJ38</f>
        <v>0</v>
      </c>
      <c r="AD39" s="978">
        <f>Res_Std!$AP38</f>
        <v>30.875447058823532</v>
      </c>
      <c r="AE39" s="981"/>
      <c r="AF39" s="978">
        <f>Res_Zw!$M38</f>
        <v>1</v>
      </c>
      <c r="AG39" s="978">
        <f>Res_Zw!$V38</f>
        <v>7.8734671125975471</v>
      </c>
      <c r="AH39" s="978">
        <f>Res_Zw!$AA38</f>
        <v>1.2240000000000002</v>
      </c>
      <c r="AI39" s="978">
        <f>Res_Zw!$AJ38</f>
        <v>0</v>
      </c>
      <c r="AJ39" s="978">
        <f>Res_Zw!$AP38</f>
        <v>21.643082352941178</v>
      </c>
      <c r="AK39" s="981"/>
      <c r="AL39" s="978">
        <f>Res_Best!$M38</f>
        <v>3</v>
      </c>
      <c r="AM39" s="978">
        <f>Res_Best!$V38</f>
        <v>11.274944567627495</v>
      </c>
      <c r="AN39" s="978">
        <f>Res_Best!$AA38</f>
        <v>3.2760000000000002</v>
      </c>
      <c r="AO39" s="978">
        <f>Res_Best!$AJ38</f>
        <v>0</v>
      </c>
      <c r="AP39" s="978">
        <f>Res_Best!$AP38</f>
        <v>66.994666666666674</v>
      </c>
    </row>
    <row r="40" spans="1:42">
      <c r="A40" s="977">
        <f>Eingabedaten!A43</f>
        <v>12.1</v>
      </c>
      <c r="B40" s="973" t="str">
        <f>Eingabedaten!C43</f>
        <v>Verkehrsfläche</v>
      </c>
      <c r="C40" s="1002">
        <f>Res_Std!$O39</f>
        <v>0</v>
      </c>
      <c r="D40" s="1003">
        <f>Res_Std!$Y39</f>
        <v>20.900000000000002</v>
      </c>
      <c r="E40" s="1002">
        <f>Res_Std!$AC39</f>
        <v>0.86900000000000011</v>
      </c>
      <c r="F40" s="1002">
        <f>Res_Std!$AL39</f>
        <v>0</v>
      </c>
      <c r="G40" s="1002">
        <f>Res_Std!$AR39</f>
        <v>2.4404002635338853</v>
      </c>
      <c r="H40" s="1002">
        <f>Res_Std!$AU39</f>
        <v>0</v>
      </c>
      <c r="I40" s="965"/>
      <c r="J40" s="1002">
        <f>Res_Zw!$O39</f>
        <v>0</v>
      </c>
      <c r="K40" s="1003">
        <f>Res_Zw!$Y39</f>
        <v>4.5924438494719624</v>
      </c>
      <c r="L40" s="1002">
        <f>Res_Zw!$AC39</f>
        <v>0.53720000000000001</v>
      </c>
      <c r="M40" s="1002">
        <f>Res_Zw!$AL39</f>
        <v>0</v>
      </c>
      <c r="N40" s="1002">
        <f>Res_Zw!$AR39</f>
        <v>4.3520018965374447</v>
      </c>
      <c r="O40" s="1002">
        <f>Res_Zw!$AU39</f>
        <v>0</v>
      </c>
      <c r="P40" s="965"/>
      <c r="Q40" s="1002">
        <f>Res_Best!$O39</f>
        <v>0</v>
      </c>
      <c r="R40" s="1003">
        <f>Res_Best!$Y39</f>
        <v>20.900000000000002</v>
      </c>
      <c r="S40" s="1002">
        <f>Res_Best!$AC39</f>
        <v>0</v>
      </c>
      <c r="T40" s="1002">
        <f>Res_Best!$AL39</f>
        <v>0</v>
      </c>
      <c r="U40" s="1002">
        <f>Res_Best!$AR39</f>
        <v>16.755132996280281</v>
      </c>
      <c r="V40" s="1002">
        <f>Res_Best!$AU39</f>
        <v>0</v>
      </c>
      <c r="X40" s="977">
        <f t="shared" si="0"/>
        <v>12.1</v>
      </c>
      <c r="Y40" s="973" t="str">
        <f t="shared" si="1"/>
        <v>Verkehrsfläche</v>
      </c>
      <c r="Z40" s="978">
        <f>Res_Std!$M39</f>
        <v>0</v>
      </c>
      <c r="AA40" s="978">
        <f>Res_Std!$V39</f>
        <v>7.0370370370370381</v>
      </c>
      <c r="AB40" s="978">
        <f>Res_Std!$AA39</f>
        <v>1.1000000000000001</v>
      </c>
      <c r="AC40" s="978">
        <f>Res_Std!$AJ39</f>
        <v>0</v>
      </c>
      <c r="AD40" s="978">
        <f>Res_Std!$AP39</f>
        <v>11.13564705882353</v>
      </c>
      <c r="AE40" s="981"/>
      <c r="AF40" s="978">
        <f>Res_Zw!$M39</f>
        <v>0</v>
      </c>
      <c r="AG40" s="978">
        <f>Res_Zw!$V39</f>
        <v>4.5924438494719624</v>
      </c>
      <c r="AH40" s="978">
        <f>Res_Zw!$AA39</f>
        <v>0.68</v>
      </c>
      <c r="AI40" s="978">
        <f>Res_Zw!$AJ39</f>
        <v>0</v>
      </c>
      <c r="AJ40" s="978">
        <f>Res_Zw!$AP39</f>
        <v>8.1089411764705872</v>
      </c>
      <c r="AK40" s="981"/>
      <c r="AL40" s="978">
        <f>Res_Best!$M39</f>
        <v>0</v>
      </c>
      <c r="AM40" s="978">
        <f>Res_Best!$V39</f>
        <v>7.0370370370370381</v>
      </c>
      <c r="AN40" s="978">
        <f>Res_Best!$AA39</f>
        <v>0</v>
      </c>
      <c r="AO40" s="978">
        <f>Res_Best!$AJ39</f>
        <v>0</v>
      </c>
      <c r="AP40" s="978">
        <f>Res_Best!$AP39</f>
        <v>29.306117647058823</v>
      </c>
    </row>
    <row r="41" spans="1:42">
      <c r="A41" s="977">
        <f>Eingabedaten!A44</f>
        <v>12.2</v>
      </c>
      <c r="B41" s="973" t="str">
        <f>Eingabedaten!C44</f>
        <v>Verkehrsfläche 24 h</v>
      </c>
      <c r="C41" s="1002">
        <f>Res_Std!$O40</f>
        <v>0</v>
      </c>
      <c r="D41" s="1003">
        <f>Res_Std!$Y40</f>
        <v>79.335660847880334</v>
      </c>
      <c r="E41" s="1002">
        <f>Res_Std!$AC40</f>
        <v>1.3859999999999999</v>
      </c>
      <c r="F41" s="1002">
        <f>Res_Std!$AL40</f>
        <v>31.49</v>
      </c>
      <c r="G41" s="1002">
        <f>Res_Std!$AR40</f>
        <v>0</v>
      </c>
      <c r="H41" s="1002">
        <f>Res_Std!$AU40</f>
        <v>0</v>
      </c>
      <c r="I41" s="965"/>
      <c r="J41" s="1002">
        <f>Res_Zw!$O40</f>
        <v>0</v>
      </c>
      <c r="K41" s="1003">
        <f>Res_Zw!$Y40</f>
        <v>40.81609894566099</v>
      </c>
      <c r="L41" s="1002">
        <f>Res_Zw!$AC40</f>
        <v>0.85680000000000012</v>
      </c>
      <c r="M41" s="1002">
        <f>Res_Zw!$AL40</f>
        <v>21.311499999999999</v>
      </c>
      <c r="N41" s="1002">
        <f>Res_Zw!$AR40</f>
        <v>1.6854901667997933E-2</v>
      </c>
      <c r="O41" s="1002">
        <f>Res_Zw!$AU40</f>
        <v>0</v>
      </c>
      <c r="P41" s="965"/>
      <c r="Q41" s="1002">
        <f>Res_Best!$O40</f>
        <v>0</v>
      </c>
      <c r="R41" s="1003">
        <f>Res_Best!$Y40</f>
        <v>79.335660847880334</v>
      </c>
      <c r="S41" s="1002">
        <f>Res_Best!$AC40</f>
        <v>0</v>
      </c>
      <c r="T41" s="1002">
        <f>Res_Best!$AL40</f>
        <v>16.142499999999998</v>
      </c>
      <c r="U41" s="1002">
        <f>Res_Best!$AR40</f>
        <v>2.7248504233944923</v>
      </c>
      <c r="V41" s="1002">
        <f>Res_Best!$AU40</f>
        <v>0</v>
      </c>
      <c r="X41" s="977">
        <f t="shared" si="0"/>
        <v>12.2</v>
      </c>
      <c r="Y41" s="973" t="str">
        <f t="shared" si="1"/>
        <v>Verkehrsfläche 24 h</v>
      </c>
      <c r="Z41" s="978">
        <f>Res_Std!$M40</f>
        <v>0</v>
      </c>
      <c r="AA41" s="978">
        <f>Res_Std!$V40</f>
        <v>12.319201995012474</v>
      </c>
      <c r="AB41" s="978">
        <f>Res_Std!$AA40</f>
        <v>1.1000000000000001</v>
      </c>
      <c r="AC41" s="978">
        <f>Res_Std!$AJ40</f>
        <v>15</v>
      </c>
      <c r="AD41" s="978">
        <f>Res_Std!$AP40</f>
        <v>11.13564705882353</v>
      </c>
      <c r="AE41" s="981"/>
      <c r="AF41" s="978">
        <f>Res_Zw!$M40</f>
        <v>0</v>
      </c>
      <c r="AG41" s="978">
        <f>Res_Zw!$V40</f>
        <v>8.3468505001351723</v>
      </c>
      <c r="AH41" s="978">
        <f>Res_Zw!$AA40</f>
        <v>0.68</v>
      </c>
      <c r="AI41" s="978">
        <f>Res_Zw!$AJ40</f>
        <v>7</v>
      </c>
      <c r="AJ41" s="978">
        <f>Res_Zw!$AP40</f>
        <v>8.1089411764705872</v>
      </c>
      <c r="AK41" s="981"/>
      <c r="AL41" s="978">
        <f>Res_Best!$M40</f>
        <v>0</v>
      </c>
      <c r="AM41" s="978">
        <f>Res_Best!$V40</f>
        <v>12.319201995012474</v>
      </c>
      <c r="AN41" s="978">
        <f>Res_Best!$AA40</f>
        <v>0</v>
      </c>
      <c r="AO41" s="978">
        <f>Res_Best!$AJ40</f>
        <v>20</v>
      </c>
      <c r="AP41" s="978">
        <f>Res_Best!$AP40</f>
        <v>29.306117647058823</v>
      </c>
    </row>
    <row r="42" spans="1:42">
      <c r="A42" s="977">
        <f>Eingabedaten!A45</f>
        <v>12.3</v>
      </c>
      <c r="B42" s="973" t="str">
        <f>Eingabedaten!C45</f>
        <v>Treppenhaus</v>
      </c>
      <c r="C42" s="1002">
        <f>Res_Std!$O41</f>
        <v>0</v>
      </c>
      <c r="D42" s="1003">
        <f>Res_Std!$Y41</f>
        <v>20.900000000000002</v>
      </c>
      <c r="E42" s="1002">
        <f>Res_Std!$AC41</f>
        <v>0</v>
      </c>
      <c r="F42" s="1002">
        <f>Res_Std!$AL41</f>
        <v>0</v>
      </c>
      <c r="G42" s="1002">
        <f>Res_Std!$AR41</f>
        <v>5.3896598577703791</v>
      </c>
      <c r="H42" s="1002">
        <f>Res_Std!$AU41</f>
        <v>0</v>
      </c>
      <c r="I42" s="965"/>
      <c r="J42" s="1002">
        <f>Res_Zw!$O41</f>
        <v>0</v>
      </c>
      <c r="K42" s="1003">
        <f>Res_Zw!$Y41</f>
        <v>2.2962219247359812</v>
      </c>
      <c r="L42" s="1002">
        <f>Res_Zw!$AC41</f>
        <v>0</v>
      </c>
      <c r="M42" s="1002">
        <f>Res_Zw!$AL41</f>
        <v>0</v>
      </c>
      <c r="N42" s="1002">
        <f>Res_Zw!$AR41</f>
        <v>9.2467139050992682</v>
      </c>
      <c r="O42" s="1002">
        <f>Res_Zw!$AU41</f>
        <v>0</v>
      </c>
      <c r="P42" s="965"/>
      <c r="Q42" s="1002">
        <f>Res_Best!$O41</f>
        <v>0</v>
      </c>
      <c r="R42" s="1003">
        <f>Res_Best!$Y41</f>
        <v>20.900000000000002</v>
      </c>
      <c r="S42" s="1002">
        <f>Res_Best!$AC41</f>
        <v>0</v>
      </c>
      <c r="T42" s="1002">
        <f>Res_Best!$AL41</f>
        <v>0</v>
      </c>
      <c r="U42" s="1002">
        <f>Res_Best!$AR41</f>
        <v>17.03897362905623</v>
      </c>
      <c r="V42" s="1002">
        <f>Res_Best!$AU41</f>
        <v>0</v>
      </c>
      <c r="X42" s="977">
        <f t="shared" si="0"/>
        <v>12.3</v>
      </c>
      <c r="Y42" s="973" t="str">
        <f t="shared" si="1"/>
        <v>Treppenhaus</v>
      </c>
      <c r="Z42" s="978">
        <f>Res_Std!$M41</f>
        <v>0</v>
      </c>
      <c r="AA42" s="978">
        <f>Res_Std!$V41</f>
        <v>7.0370370370370381</v>
      </c>
      <c r="AB42" s="978">
        <f>Res_Std!$AA41</f>
        <v>0</v>
      </c>
      <c r="AC42" s="978">
        <f>Res_Std!$AJ41</f>
        <v>0</v>
      </c>
      <c r="AD42" s="978">
        <f>Res_Std!$AP41</f>
        <v>23.659941176470586</v>
      </c>
      <c r="AE42" s="981"/>
      <c r="AF42" s="978">
        <f>Res_Zw!$M41</f>
        <v>0</v>
      </c>
      <c r="AG42" s="978">
        <f>Res_Zw!$V41</f>
        <v>4.5924438494719624</v>
      </c>
      <c r="AH42" s="978">
        <f>Res_Zw!$AA41</f>
        <v>0</v>
      </c>
      <c r="AI42" s="978">
        <f>Res_Zw!$AJ41</f>
        <v>0</v>
      </c>
      <c r="AJ42" s="978">
        <f>Res_Zw!$AP41</f>
        <v>22.244823529411764</v>
      </c>
      <c r="AK42" s="981"/>
      <c r="AL42" s="978">
        <f>Res_Best!$M41</f>
        <v>0</v>
      </c>
      <c r="AM42" s="978">
        <f>Res_Best!$V41</f>
        <v>7.0370370370370381</v>
      </c>
      <c r="AN42" s="978">
        <f>Res_Best!$AA41</f>
        <v>0</v>
      </c>
      <c r="AO42" s="978">
        <f>Res_Best!$AJ41</f>
        <v>0</v>
      </c>
      <c r="AP42" s="978">
        <f>Res_Best!$AP41</f>
        <v>29.306117647058823</v>
      </c>
    </row>
    <row r="43" spans="1:42">
      <c r="A43" s="977">
        <f>Eingabedaten!A46</f>
        <v>12.4</v>
      </c>
      <c r="B43" s="973" t="str">
        <f>Eingabedaten!C46</f>
        <v>Nebenraum</v>
      </c>
      <c r="C43" s="1002">
        <f>Res_Std!$O42</f>
        <v>0</v>
      </c>
      <c r="D43" s="1003">
        <f>Res_Std!$Y42</f>
        <v>12.998361823361826</v>
      </c>
      <c r="E43" s="1002">
        <f>Res_Std!$AC42</f>
        <v>0.1106</v>
      </c>
      <c r="F43" s="1002">
        <f>Res_Std!$AL42</f>
        <v>0</v>
      </c>
      <c r="G43" s="1002">
        <f>Res_Std!$AR42</f>
        <v>10.328074905918431</v>
      </c>
      <c r="H43" s="1002">
        <f>Res_Std!$AU42</f>
        <v>0</v>
      </c>
      <c r="I43" s="965"/>
      <c r="J43" s="1002">
        <f>Res_Zw!$O42</f>
        <v>0</v>
      </c>
      <c r="K43" s="1003">
        <f>Res_Zw!$Y42</f>
        <v>0.9772887847687044</v>
      </c>
      <c r="L43" s="1002">
        <f>Res_Zw!$AC42</f>
        <v>6.5570000000000003E-2</v>
      </c>
      <c r="M43" s="1002">
        <f>Res_Zw!$AL42</f>
        <v>0</v>
      </c>
      <c r="N43" s="1002">
        <f>Res_Zw!$AR42</f>
        <v>8.8909034944738803</v>
      </c>
      <c r="O43" s="1002">
        <f>Res_Zw!$AU42</f>
        <v>0</v>
      </c>
      <c r="P43" s="965"/>
      <c r="Q43" s="1002">
        <f>Res_Best!$O42</f>
        <v>0</v>
      </c>
      <c r="R43" s="1003">
        <f>Res_Best!$Y42</f>
        <v>12.998361823361826</v>
      </c>
      <c r="S43" s="1002">
        <f>Res_Best!$AC42</f>
        <v>0</v>
      </c>
      <c r="T43" s="1002">
        <f>Res_Best!$AL42</f>
        <v>0</v>
      </c>
      <c r="U43" s="1002">
        <f>Res_Best!$AR42</f>
        <v>33.480697119228658</v>
      </c>
      <c r="V43" s="1002">
        <f>Res_Best!$AU42</f>
        <v>0</v>
      </c>
      <c r="X43" s="977">
        <f t="shared" si="0"/>
        <v>12.4</v>
      </c>
      <c r="Y43" s="973" t="str">
        <f t="shared" si="1"/>
        <v>Nebenraum</v>
      </c>
      <c r="Z43" s="978">
        <f>Res_Std!$M42</f>
        <v>0</v>
      </c>
      <c r="AA43" s="978">
        <f>Res_Std!$V42</f>
        <v>5.9900284900284912</v>
      </c>
      <c r="AB43" s="978">
        <f>Res_Std!$AA42</f>
        <v>0.14000000000000001</v>
      </c>
      <c r="AC43" s="978">
        <f>Res_Std!$AJ42</f>
        <v>0</v>
      </c>
      <c r="AD43" s="978">
        <f>Res_Std!$AP42</f>
        <v>12.287294117647061</v>
      </c>
      <c r="AE43" s="981"/>
      <c r="AF43" s="978">
        <f>Res_Zw!$M42</f>
        <v>0</v>
      </c>
      <c r="AG43" s="978">
        <f>Res_Zw!$V42</f>
        <v>3.909155139074818</v>
      </c>
      <c r="AH43" s="978">
        <f>Res_Zw!$AA42</f>
        <v>8.3000000000000004E-2</v>
      </c>
      <c r="AI43" s="978">
        <f>Res_Zw!$AJ42</f>
        <v>0</v>
      </c>
      <c r="AJ43" s="978">
        <f>Res_Zw!$AP42</f>
        <v>9.1458823529411752</v>
      </c>
      <c r="AK43" s="981"/>
      <c r="AL43" s="978">
        <f>Res_Best!$M42</f>
        <v>0</v>
      </c>
      <c r="AM43" s="978">
        <f>Res_Best!$V42</f>
        <v>5.9900284900284912</v>
      </c>
      <c r="AN43" s="978">
        <f>Res_Best!$AA42</f>
        <v>0</v>
      </c>
      <c r="AO43" s="978">
        <f>Res_Best!$AJ42</f>
        <v>0</v>
      </c>
      <c r="AP43" s="978">
        <f>Res_Best!$AP42</f>
        <v>25.780235294117649</v>
      </c>
    </row>
    <row r="44" spans="1:42">
      <c r="A44" s="977">
        <f>Eingabedaten!A47</f>
        <v>12.5</v>
      </c>
      <c r="B44" s="973" t="str">
        <f>Eingabedaten!C47</f>
        <v>Küche, Teeküche</v>
      </c>
      <c r="C44" s="1002">
        <f>Res_Std!$O43</f>
        <v>57.2</v>
      </c>
      <c r="D44" s="1003">
        <f>Res_Std!$Y43</f>
        <v>11.054862842892772</v>
      </c>
      <c r="E44" s="1002">
        <f>Res_Std!$AC43</f>
        <v>11.33</v>
      </c>
      <c r="F44" s="1002">
        <f>Res_Std!$AL43</f>
        <v>0</v>
      </c>
      <c r="G44" s="1002">
        <f>Res_Std!$AR43</f>
        <v>4.1341172202531222</v>
      </c>
      <c r="H44" s="1002">
        <f>Res_Std!$AU43</f>
        <v>0</v>
      </c>
      <c r="I44" s="965"/>
      <c r="J44" s="1002">
        <f>Res_Zw!$O43</f>
        <v>42.9</v>
      </c>
      <c r="K44" s="1003">
        <f>Res_Zw!$Y43</f>
        <v>0.78526290889429573</v>
      </c>
      <c r="L44" s="1002">
        <f>Res_Zw!$AC43</f>
        <v>7.0040000000000013</v>
      </c>
      <c r="M44" s="1002">
        <f>Res_Zw!$AL43</f>
        <v>0</v>
      </c>
      <c r="N44" s="1002">
        <f>Res_Zw!$AR43</f>
        <v>1.7636158548709411</v>
      </c>
      <c r="O44" s="1002">
        <f>Res_Zw!$AU43</f>
        <v>0</v>
      </c>
      <c r="P44" s="965"/>
      <c r="Q44" s="1002">
        <f>Res_Best!$O43</f>
        <v>71.5</v>
      </c>
      <c r="R44" s="1003">
        <f>Res_Best!$Y43</f>
        <v>11.054862842892772</v>
      </c>
      <c r="S44" s="1002">
        <f>Res_Best!$AC43</f>
        <v>18.745999999999999</v>
      </c>
      <c r="T44" s="1002">
        <f>Res_Best!$AL43</f>
        <v>0</v>
      </c>
      <c r="U44" s="1002">
        <f>Res_Best!$AR43</f>
        <v>52.071753152400177</v>
      </c>
      <c r="V44" s="1002">
        <f>Res_Best!$AU43</f>
        <v>0</v>
      </c>
      <c r="X44" s="977">
        <f t="shared" si="0"/>
        <v>12.5</v>
      </c>
      <c r="Y44" s="973" t="str">
        <f t="shared" si="1"/>
        <v>Küche, Teeküche</v>
      </c>
      <c r="Z44" s="978">
        <f>Res_Std!$M43</f>
        <v>40</v>
      </c>
      <c r="AA44" s="978">
        <f>Res_Std!$V43</f>
        <v>8.9152119700748163</v>
      </c>
      <c r="AB44" s="978">
        <f>Res_Std!$AA43</f>
        <v>11</v>
      </c>
      <c r="AC44" s="978">
        <f>Res_Std!$AJ43</f>
        <v>0</v>
      </c>
      <c r="AD44" s="978">
        <f>Res_Std!$AP43</f>
        <v>72.682235294117646</v>
      </c>
      <c r="AE44" s="981"/>
      <c r="AF44" s="978">
        <f>Res_Zw!$M43</f>
        <v>30</v>
      </c>
      <c r="AG44" s="978">
        <f>Res_Zw!$V43</f>
        <v>6.0404839145715057</v>
      </c>
      <c r="AH44" s="978">
        <f>Res_Zw!$AA43</f>
        <v>6.8000000000000007</v>
      </c>
      <c r="AI44" s="978">
        <f>Res_Zw!$AJ43</f>
        <v>0</v>
      </c>
      <c r="AJ44" s="978">
        <f>Res_Zw!$AP43</f>
        <v>47.99294117647058</v>
      </c>
      <c r="AK44" s="981"/>
      <c r="AL44" s="978">
        <f>Res_Best!$M43</f>
        <v>50</v>
      </c>
      <c r="AM44" s="978">
        <f>Res_Best!$V43</f>
        <v>8.9152119700748163</v>
      </c>
      <c r="AN44" s="978">
        <f>Res_Best!$AA43</f>
        <v>18.2</v>
      </c>
      <c r="AO44" s="978">
        <f>Res_Best!$AJ43</f>
        <v>0</v>
      </c>
      <c r="AP44" s="978">
        <f>Res_Best!$AP43</f>
        <v>223.0395294117647</v>
      </c>
    </row>
    <row r="45" spans="1:42">
      <c r="A45" s="977">
        <f>Eingabedaten!A48</f>
        <v>12.6</v>
      </c>
      <c r="B45" s="973" t="str">
        <f>Eingabedaten!C48</f>
        <v xml:space="preserve">WC, Bad, Dusche </v>
      </c>
      <c r="C45" s="1002">
        <f>Res_Std!$O44</f>
        <v>0</v>
      </c>
      <c r="D45" s="1003">
        <f>Res_Std!$Y44</f>
        <v>13.002992518703243</v>
      </c>
      <c r="E45" s="1002">
        <f>Res_Std!$AC44</f>
        <v>5.1968000000000005</v>
      </c>
      <c r="F45" s="1002">
        <f>Res_Std!$AL44</f>
        <v>0</v>
      </c>
      <c r="G45" s="1002">
        <f>Res_Std!$AR44</f>
        <v>31.638927932693974</v>
      </c>
      <c r="H45" s="1002">
        <f>Res_Std!$AU44</f>
        <v>0</v>
      </c>
      <c r="I45" s="965"/>
      <c r="J45" s="1002">
        <f>Res_Zw!$O44</f>
        <v>0</v>
      </c>
      <c r="K45" s="1003">
        <f>Res_Zw!$Y44</f>
        <v>0.92364490402811572</v>
      </c>
      <c r="L45" s="1002">
        <f>Res_Zw!$AC44</f>
        <v>3.0809600000000001</v>
      </c>
      <c r="M45" s="1002">
        <f>Res_Zw!$AL44</f>
        <v>0</v>
      </c>
      <c r="N45" s="1002">
        <f>Res_Zw!$AR44</f>
        <v>22.020437111773841</v>
      </c>
      <c r="O45" s="1002">
        <f>Res_Zw!$AU44</f>
        <v>0</v>
      </c>
      <c r="P45" s="965"/>
      <c r="Q45" s="1002">
        <f>Res_Best!$O44</f>
        <v>0</v>
      </c>
      <c r="R45" s="1003">
        <f>Res_Best!$Y44</f>
        <v>13.002992518703243</v>
      </c>
      <c r="S45" s="1002">
        <f>Res_Best!$AC44</f>
        <v>7.4240000000000004</v>
      </c>
      <c r="T45" s="1002">
        <f>Res_Best!$AL44</f>
        <v>0</v>
      </c>
      <c r="U45" s="1002">
        <f>Res_Best!$AR44</f>
        <v>120.96619675597793</v>
      </c>
      <c r="V45" s="1002">
        <f>Res_Best!$AU44</f>
        <v>0</v>
      </c>
      <c r="X45" s="977">
        <f t="shared" si="0"/>
        <v>12.6</v>
      </c>
      <c r="Y45" s="973" t="str">
        <f t="shared" si="1"/>
        <v xml:space="preserve">WC, Bad, Dusche </v>
      </c>
      <c r="Z45" s="978">
        <f>Res_Std!$M44</f>
        <v>0</v>
      </c>
      <c r="AA45" s="978">
        <f>Res_Std!$V44</f>
        <v>10.48628428927681</v>
      </c>
      <c r="AB45" s="978">
        <f>Res_Std!$AA44</f>
        <v>4.4800000000000004</v>
      </c>
      <c r="AC45" s="978">
        <f>Res_Std!$AJ44</f>
        <v>0</v>
      </c>
      <c r="AD45" s="978">
        <f>Res_Std!$AP44</f>
        <v>60.778235294117657</v>
      </c>
      <c r="AE45" s="981"/>
      <c r="AF45" s="978">
        <f>Res_Zw!$M44</f>
        <v>0</v>
      </c>
      <c r="AG45" s="978">
        <f>Res_Zw!$V44</f>
        <v>7.1049608002162747</v>
      </c>
      <c r="AH45" s="978">
        <f>Res_Zw!$AA44</f>
        <v>2.6560000000000001</v>
      </c>
      <c r="AI45" s="978">
        <f>Res_Zw!$AJ44</f>
        <v>0</v>
      </c>
      <c r="AJ45" s="978">
        <f>Res_Zw!$AP44</f>
        <v>41.656705882352938</v>
      </c>
      <c r="AK45" s="981"/>
      <c r="AL45" s="978">
        <f>Res_Best!$M44</f>
        <v>0</v>
      </c>
      <c r="AM45" s="978">
        <f>Res_Best!$V44</f>
        <v>10.48628428927681</v>
      </c>
      <c r="AN45" s="978">
        <f>Res_Best!$AA44</f>
        <v>6.4</v>
      </c>
      <c r="AO45" s="978">
        <f>Res_Best!$AJ44</f>
        <v>0</v>
      </c>
      <c r="AP45" s="978">
        <f>Res_Best!$AP44</f>
        <v>189.27435294117649</v>
      </c>
    </row>
    <row r="46" spans="1:42">
      <c r="A46" s="977">
        <f>Eingabedaten!A49</f>
        <v>12.7</v>
      </c>
      <c r="B46" s="973" t="str">
        <f>Eingabedaten!C49</f>
        <v>WC</v>
      </c>
      <c r="C46" s="1002">
        <f>Res_Std!$O45</f>
        <v>0</v>
      </c>
      <c r="D46" s="1003">
        <f>Res_Std!$Y45</f>
        <v>39.576059850374087</v>
      </c>
      <c r="E46" s="1002">
        <f>Res_Std!$AC45</f>
        <v>2.5984000000000003</v>
      </c>
      <c r="F46" s="1002">
        <f>Res_Std!$AL45</f>
        <v>0</v>
      </c>
      <c r="G46" s="1002">
        <f>Res_Std!$AR45</f>
        <v>37.967650161661183</v>
      </c>
      <c r="H46" s="1002">
        <f>Res_Std!$AU45</f>
        <v>0</v>
      </c>
      <c r="I46" s="965"/>
      <c r="J46" s="1002">
        <f>Res_Zw!$O45</f>
        <v>0</v>
      </c>
      <c r="K46" s="1003">
        <f>Res_Zw!$Y45</f>
        <v>5.3629359286293594</v>
      </c>
      <c r="L46" s="1002">
        <f>Res_Zw!$AC45</f>
        <v>1.5404800000000001</v>
      </c>
      <c r="M46" s="1002">
        <f>Res_Zw!$AL45</f>
        <v>0</v>
      </c>
      <c r="N46" s="1002">
        <f>Res_Zw!$AR45</f>
        <v>29.512381172156754</v>
      </c>
      <c r="O46" s="1002">
        <f>Res_Zw!$AU45</f>
        <v>0</v>
      </c>
      <c r="P46" s="965"/>
      <c r="Q46" s="1002">
        <f>Res_Best!$O45</f>
        <v>0</v>
      </c>
      <c r="R46" s="1003">
        <f>Res_Best!$Y45</f>
        <v>39.576059850374087</v>
      </c>
      <c r="S46" s="1002">
        <f>Res_Best!$AC45</f>
        <v>3.7120000000000002</v>
      </c>
      <c r="T46" s="1002">
        <f>Res_Best!$AL45</f>
        <v>0</v>
      </c>
      <c r="U46" s="1002">
        <f>Res_Best!$AR45</f>
        <v>125.12521418077199</v>
      </c>
      <c r="V46" s="1002">
        <f>Res_Best!$AU45</f>
        <v>0</v>
      </c>
      <c r="X46" s="977">
        <f t="shared" si="0"/>
        <v>12.7</v>
      </c>
      <c r="Y46" s="973" t="str">
        <f t="shared" si="1"/>
        <v>WC</v>
      </c>
      <c r="Z46" s="978">
        <f>Res_Std!$M45</f>
        <v>0</v>
      </c>
      <c r="AA46" s="978">
        <f>Res_Std!$V45</f>
        <v>17.206982543640905</v>
      </c>
      <c r="AB46" s="978">
        <f>Res_Std!$AA45</f>
        <v>2.2400000000000002</v>
      </c>
      <c r="AC46" s="978">
        <f>Res_Std!$AJ45</f>
        <v>0</v>
      </c>
      <c r="AD46" s="978">
        <f>Res_Std!$AP45</f>
        <v>52.724117647058833</v>
      </c>
      <c r="AE46" s="981"/>
      <c r="AF46" s="978">
        <f>Res_Zw!$M45</f>
        <v>0</v>
      </c>
      <c r="AG46" s="978">
        <f>Res_Zw!$V45</f>
        <v>11.658556366585564</v>
      </c>
      <c r="AH46" s="978">
        <f>Res_Zw!$AA45</f>
        <v>1.3280000000000001</v>
      </c>
      <c r="AI46" s="978">
        <f>Res_Zw!$AJ45</f>
        <v>0</v>
      </c>
      <c r="AJ46" s="978">
        <f>Res_Zw!$AP45</f>
        <v>35.942941176470583</v>
      </c>
      <c r="AK46" s="981"/>
      <c r="AL46" s="978">
        <f>Res_Best!$M45</f>
        <v>0</v>
      </c>
      <c r="AM46" s="978">
        <f>Res_Best!$V45</f>
        <v>17.206982543640905</v>
      </c>
      <c r="AN46" s="978">
        <f>Res_Best!$AA45</f>
        <v>3.2</v>
      </c>
      <c r="AO46" s="978">
        <f>Res_Best!$AJ45</f>
        <v>0</v>
      </c>
      <c r="AP46" s="978">
        <f>Res_Best!$AP45</f>
        <v>136.49482352941178</v>
      </c>
    </row>
    <row r="47" spans="1:42">
      <c r="A47" s="977">
        <f>Eingabedaten!A50</f>
        <v>12.8</v>
      </c>
      <c r="B47" s="973" t="str">
        <f>Eingabedaten!C50</f>
        <v>Garderobe, Dusche</v>
      </c>
      <c r="C47" s="1002">
        <f>Res_Std!$O46</f>
        <v>0</v>
      </c>
      <c r="D47" s="1003">
        <f>Res_Std!$Y46</f>
        <v>14.738985868661681</v>
      </c>
      <c r="E47" s="1002">
        <f>Res_Std!$AC46</f>
        <v>6.4960000000000013</v>
      </c>
      <c r="F47" s="1002">
        <f>Res_Std!$AL46</f>
        <v>0</v>
      </c>
      <c r="G47" s="1002">
        <f>Res_Std!$AR46</f>
        <v>35.461645665788048</v>
      </c>
      <c r="H47" s="1002">
        <f>Res_Std!$AU46</f>
        <v>0</v>
      </c>
      <c r="I47" s="965"/>
      <c r="J47" s="1002">
        <f>Res_Zw!$O46</f>
        <v>0</v>
      </c>
      <c r="K47" s="1003">
        <f>Res_Zw!$Y46</f>
        <v>1.0053392808867261</v>
      </c>
      <c r="L47" s="1002">
        <f>Res_Zw!$AC46</f>
        <v>3.8512000000000004</v>
      </c>
      <c r="M47" s="1002">
        <f>Res_Zw!$AL46</f>
        <v>0</v>
      </c>
      <c r="N47" s="1002">
        <f>Res_Zw!$AR46</f>
        <v>24.710877754527317</v>
      </c>
      <c r="O47" s="1002">
        <f>Res_Zw!$AU46</f>
        <v>0</v>
      </c>
      <c r="P47" s="965"/>
      <c r="Q47" s="1002">
        <f>Res_Best!$O46</f>
        <v>0</v>
      </c>
      <c r="R47" s="1003">
        <f>Res_Best!$Y46</f>
        <v>14.738985868661681</v>
      </c>
      <c r="S47" s="1002">
        <f>Res_Best!$AC46</f>
        <v>0</v>
      </c>
      <c r="T47" s="1002">
        <f>Res_Best!$AL46</f>
        <v>0</v>
      </c>
      <c r="U47" s="1002">
        <f>Res_Best!$AR46</f>
        <v>140.41992716242089</v>
      </c>
      <c r="V47" s="1002">
        <f>Res_Best!$AU46</f>
        <v>0</v>
      </c>
      <c r="X47" s="977">
        <f t="shared" si="0"/>
        <v>12.8</v>
      </c>
      <c r="Y47" s="973" t="str">
        <f t="shared" si="1"/>
        <v>Garderobe, Dusche</v>
      </c>
      <c r="Z47" s="978">
        <f>Res_Std!$M46</f>
        <v>0</v>
      </c>
      <c r="AA47" s="978">
        <f>Res_Std!$V46</f>
        <v>9.8919368246051551</v>
      </c>
      <c r="AB47" s="978">
        <f>Res_Std!$AA46</f>
        <v>5.6000000000000005</v>
      </c>
      <c r="AC47" s="978">
        <f>Res_Std!$AJ46</f>
        <v>0</v>
      </c>
      <c r="AD47" s="978">
        <f>Res_Std!$AP46</f>
        <v>75.026823529411772</v>
      </c>
      <c r="AE47" s="981"/>
      <c r="AF47" s="978">
        <f>Res_Zw!$M46</f>
        <v>0</v>
      </c>
      <c r="AG47" s="978">
        <f>Res_Zw!$V46</f>
        <v>6.7022618725781742</v>
      </c>
      <c r="AH47" s="978">
        <f>Res_Zw!$AA46</f>
        <v>3.3200000000000003</v>
      </c>
      <c r="AI47" s="978">
        <f>Res_Zw!$AJ46</f>
        <v>0</v>
      </c>
      <c r="AJ47" s="978">
        <f>Res_Zw!$AP46</f>
        <v>49.592705882352931</v>
      </c>
      <c r="AK47" s="981"/>
      <c r="AL47" s="978">
        <f>Res_Best!$M46</f>
        <v>0</v>
      </c>
      <c r="AM47" s="978">
        <f>Res_Best!$V46</f>
        <v>9.8919368246051551</v>
      </c>
      <c r="AN47" s="978">
        <f>Res_Best!$AA46</f>
        <v>0</v>
      </c>
      <c r="AO47" s="978">
        <f>Res_Best!$AJ46</f>
        <v>0</v>
      </c>
      <c r="AP47" s="978">
        <f>Res_Best!$AP46</f>
        <v>230.2343529411765</v>
      </c>
    </row>
    <row r="48" spans="1:42">
      <c r="A48" s="977">
        <f>Eingabedaten!A51</f>
        <v>12.9</v>
      </c>
      <c r="B48" s="973" t="str">
        <f>Eingabedaten!C51</f>
        <v>Parkhaus</v>
      </c>
      <c r="C48" s="1002">
        <f>Res_Std!$O47</f>
        <v>2.13</v>
      </c>
      <c r="D48" s="1003">
        <f>Res_Std!$Y47</f>
        <v>9.2103766617429859</v>
      </c>
      <c r="E48" s="1002">
        <f>Res_Std!$AC47</f>
        <v>0.4536</v>
      </c>
      <c r="F48" s="1002">
        <f>Res_Std!$AL47</f>
        <v>0</v>
      </c>
      <c r="G48" s="1002">
        <f>Res_Std!$AR47</f>
        <v>0</v>
      </c>
      <c r="H48" s="1002">
        <f>Res_Std!$AU47</f>
        <v>0</v>
      </c>
      <c r="I48" s="965"/>
      <c r="J48" s="1002">
        <f>Res_Zw!$O47</f>
        <v>1.0649999999999999</v>
      </c>
      <c r="K48" s="1003">
        <f>Res_Zw!$Y47</f>
        <v>1.1854903307014533</v>
      </c>
      <c r="L48" s="1002">
        <f>Res_Zw!$AC47</f>
        <v>0.26891999999999999</v>
      </c>
      <c r="M48" s="1002">
        <f>Res_Zw!$AL47</f>
        <v>0</v>
      </c>
      <c r="N48" s="1002">
        <f>Res_Zw!$AR47</f>
        <v>0</v>
      </c>
      <c r="O48" s="1002">
        <f>Res_Zw!$AU47</f>
        <v>0</v>
      </c>
      <c r="P48" s="965"/>
      <c r="Q48" s="1002">
        <f>Res_Best!$O47</f>
        <v>4.26</v>
      </c>
      <c r="R48" s="1003">
        <f>Res_Best!$Y47</f>
        <v>9.2103766617429859</v>
      </c>
      <c r="S48" s="1002">
        <f>Res_Best!$AC47</f>
        <v>0.4536</v>
      </c>
      <c r="T48" s="1002">
        <f>Res_Best!$AL47</f>
        <v>0</v>
      </c>
      <c r="U48" s="1002">
        <f>Res_Best!$AR47</f>
        <v>0</v>
      </c>
      <c r="V48" s="1002">
        <f>Res_Best!$AU47</f>
        <v>0</v>
      </c>
      <c r="X48" s="977">
        <f t="shared" si="0"/>
        <v>12.9</v>
      </c>
      <c r="Y48" s="973" t="str">
        <f t="shared" si="1"/>
        <v>Parkhaus</v>
      </c>
      <c r="Z48" s="978">
        <f>Res_Std!$M47</f>
        <v>1</v>
      </c>
      <c r="AA48" s="978">
        <f>Res_Std!$V47</f>
        <v>2.8692762186115219</v>
      </c>
      <c r="AB48" s="978">
        <f>Res_Std!$AA47</f>
        <v>0.28000000000000003</v>
      </c>
      <c r="AC48" s="978">
        <f>Res_Std!$AJ47</f>
        <v>0</v>
      </c>
      <c r="AD48" s="978">
        <f>Res_Std!$AP47</f>
        <v>0</v>
      </c>
      <c r="AE48" s="981"/>
      <c r="AF48" s="978">
        <f>Res_Zw!$M47</f>
        <v>0.5</v>
      </c>
      <c r="AG48" s="978">
        <f>Res_Zw!$V47</f>
        <v>1.8523286417210205</v>
      </c>
      <c r="AH48" s="978">
        <f>Res_Zw!$AA47</f>
        <v>0.16600000000000001</v>
      </c>
      <c r="AI48" s="978">
        <f>Res_Zw!$AJ47</f>
        <v>0</v>
      </c>
      <c r="AJ48" s="978">
        <f>Res_Zw!$AP47</f>
        <v>0</v>
      </c>
      <c r="AK48" s="981"/>
      <c r="AL48" s="978">
        <f>Res_Best!$M47</f>
        <v>2</v>
      </c>
      <c r="AM48" s="978">
        <f>Res_Best!$V47</f>
        <v>2.8692762186115219</v>
      </c>
      <c r="AN48" s="978">
        <f>Res_Best!$AA47</f>
        <v>0.28000000000000003</v>
      </c>
      <c r="AO48" s="978">
        <f>Res_Best!$AJ47</f>
        <v>0</v>
      </c>
      <c r="AP48" s="978">
        <f>Res_Best!$AP47</f>
        <v>0</v>
      </c>
    </row>
    <row r="49" spans="1:42">
      <c r="A49" s="977" t="str">
        <f>Eingabedaten!A52</f>
        <v>12.10</v>
      </c>
      <c r="B49" s="973" t="str">
        <f>Eingabedaten!C52</f>
        <v>Wasch- und Trockenraum</v>
      </c>
      <c r="C49" s="1002">
        <f>Res_Std!$O48</f>
        <v>34.4</v>
      </c>
      <c r="D49" s="1003">
        <f>Res_Std!$Y48</f>
        <v>17.11305070656692</v>
      </c>
      <c r="E49" s="1002">
        <f>Res_Std!$AC48</f>
        <v>1.2992000000000001</v>
      </c>
      <c r="F49" s="1002">
        <f>Res_Std!$AL48</f>
        <v>0</v>
      </c>
      <c r="G49" s="1002">
        <f>Res_Std!$AR48</f>
        <v>0</v>
      </c>
      <c r="H49" s="1002">
        <f>Res_Std!$AU48</f>
        <v>0</v>
      </c>
      <c r="I49" s="965"/>
      <c r="J49" s="1002">
        <f>Res_Zw!$O48</f>
        <v>25.8</v>
      </c>
      <c r="K49" s="1003">
        <f>Res_Zw!$Y48</f>
        <v>1.2064071370640712</v>
      </c>
      <c r="L49" s="1002">
        <f>Res_Zw!$AC48</f>
        <v>0.77024000000000004</v>
      </c>
      <c r="M49" s="1002">
        <f>Res_Zw!$AL48</f>
        <v>0</v>
      </c>
      <c r="N49" s="1002">
        <f>Res_Zw!$AR48</f>
        <v>0</v>
      </c>
      <c r="O49" s="1002">
        <f>Res_Zw!$AU48</f>
        <v>0</v>
      </c>
      <c r="P49" s="965"/>
      <c r="Q49" s="1002">
        <f>Res_Best!$O48</f>
        <v>43</v>
      </c>
      <c r="R49" s="1003">
        <f>Res_Best!$Y48</f>
        <v>17.11305070656692</v>
      </c>
      <c r="S49" s="1002">
        <f>Res_Best!$AC48</f>
        <v>0</v>
      </c>
      <c r="T49" s="1002">
        <f>Res_Best!$AL48</f>
        <v>0</v>
      </c>
      <c r="U49" s="1002">
        <f>Res_Best!$AR48</f>
        <v>0</v>
      </c>
      <c r="V49" s="1002">
        <f>Res_Best!$AU48</f>
        <v>0</v>
      </c>
      <c r="X49" s="977" t="str">
        <f t="shared" si="0"/>
        <v>12.10</v>
      </c>
      <c r="Y49" s="973" t="str">
        <f t="shared" si="1"/>
        <v>Wasch- und Trockenraum</v>
      </c>
      <c r="Z49" s="978">
        <f>Res_Std!$M48</f>
        <v>20</v>
      </c>
      <c r="AA49" s="978">
        <f>Res_Std!$V48</f>
        <v>9.8919368246051551</v>
      </c>
      <c r="AB49" s="978">
        <f>Res_Std!$AA48</f>
        <v>1.1200000000000001</v>
      </c>
      <c r="AC49" s="978">
        <f>Res_Std!$AJ48</f>
        <v>0</v>
      </c>
      <c r="AD49" s="978">
        <f>Res_Std!$AP48</f>
        <v>0</v>
      </c>
      <c r="AE49" s="981"/>
      <c r="AF49" s="978">
        <f>Res_Zw!$M48</f>
        <v>15</v>
      </c>
      <c r="AG49" s="978">
        <f>Res_Zw!$V48</f>
        <v>6.7022618725781742</v>
      </c>
      <c r="AH49" s="978">
        <f>Res_Zw!$AA48</f>
        <v>0.66400000000000003</v>
      </c>
      <c r="AI49" s="978">
        <f>Res_Zw!$AJ48</f>
        <v>0</v>
      </c>
      <c r="AJ49" s="978">
        <f>Res_Zw!$AP48</f>
        <v>0</v>
      </c>
      <c r="AK49" s="981"/>
      <c r="AL49" s="978">
        <f>Res_Best!$M48</f>
        <v>25</v>
      </c>
      <c r="AM49" s="978">
        <f>Res_Best!$V48</f>
        <v>9.8919368246051551</v>
      </c>
      <c r="AN49" s="978">
        <f>Res_Best!$AA48</f>
        <v>0</v>
      </c>
      <c r="AO49" s="978">
        <f>Res_Best!$AJ48</f>
        <v>0</v>
      </c>
      <c r="AP49" s="978">
        <f>Res_Best!$AP48</f>
        <v>0</v>
      </c>
    </row>
    <row r="50" spans="1:42">
      <c r="A50" s="977">
        <f>Eingabedaten!A53</f>
        <v>12.11</v>
      </c>
      <c r="B50" s="973" t="str">
        <f>Eingabedaten!C53</f>
        <v>Kühlraum</v>
      </c>
      <c r="C50" s="1002">
        <f>Res_Std!$O49</f>
        <v>318</v>
      </c>
      <c r="D50" s="1003">
        <f>Res_Std!$Y49</f>
        <v>0</v>
      </c>
      <c r="E50" s="1002">
        <f>Res_Std!$AC49</f>
        <v>0</v>
      </c>
      <c r="F50" s="1002">
        <f>Res_Std!$AL49</f>
        <v>0</v>
      </c>
      <c r="G50" s="1002">
        <f>Res_Std!$AR49</f>
        <v>0</v>
      </c>
      <c r="H50" s="1002">
        <f>Res_Std!$AU49</f>
        <v>0</v>
      </c>
      <c r="I50" s="965"/>
      <c r="J50" s="1002">
        <f>Res_Zw!$O49</f>
        <v>254.4</v>
      </c>
      <c r="K50" s="1003">
        <f>Res_Zw!$Y49</f>
        <v>0</v>
      </c>
      <c r="L50" s="1002">
        <f>Res_Zw!$AC49</f>
        <v>0</v>
      </c>
      <c r="M50" s="1002">
        <f>Res_Zw!$AL49</f>
        <v>0</v>
      </c>
      <c r="N50" s="1002">
        <f>Res_Zw!$AR49</f>
        <v>0</v>
      </c>
      <c r="O50" s="1002">
        <f>Res_Zw!$AU49</f>
        <v>0</v>
      </c>
      <c r="P50" s="965"/>
      <c r="Q50" s="1002">
        <f>Res_Best!$O49</f>
        <v>381.6</v>
      </c>
      <c r="R50" s="1003">
        <f>Res_Best!$Y49</f>
        <v>0</v>
      </c>
      <c r="S50" s="1002">
        <f>Res_Best!$AC49</f>
        <v>0</v>
      </c>
      <c r="T50" s="1002">
        <f>Res_Best!$AL49</f>
        <v>0</v>
      </c>
      <c r="U50" s="1002">
        <f>Res_Best!$AR49</f>
        <v>0</v>
      </c>
      <c r="V50" s="1002">
        <f>Res_Best!$AU49</f>
        <v>0</v>
      </c>
      <c r="X50" s="977">
        <f t="shared" si="0"/>
        <v>12.11</v>
      </c>
      <c r="Y50" s="973" t="str">
        <f t="shared" si="1"/>
        <v>Kühlraum</v>
      </c>
      <c r="Z50" s="978">
        <f>Res_Std!$M49</f>
        <v>100</v>
      </c>
      <c r="AA50" s="978">
        <f>Res_Std!$V49</f>
        <v>5.6505223171889831</v>
      </c>
      <c r="AB50" s="978">
        <f>Res_Std!$AA49</f>
        <v>0</v>
      </c>
      <c r="AC50" s="978">
        <f>Res_Std!$AJ49</f>
        <v>0</v>
      </c>
      <c r="AD50" s="978">
        <f>Res_Std!$AP49</f>
        <v>0</v>
      </c>
      <c r="AE50" s="981"/>
      <c r="AF50" s="978">
        <f>Res_Zw!$M49</f>
        <v>80</v>
      </c>
      <c r="AG50" s="978">
        <f>Res_Zw!$V49</f>
        <v>3.6875898656353812</v>
      </c>
      <c r="AH50" s="978">
        <f>Res_Zw!$AA49</f>
        <v>0</v>
      </c>
      <c r="AI50" s="978">
        <f>Res_Zw!$AJ49</f>
        <v>0</v>
      </c>
      <c r="AJ50" s="978">
        <f>Res_Zw!$AP49</f>
        <v>0</v>
      </c>
      <c r="AK50" s="981"/>
      <c r="AL50" s="978">
        <f>Res_Best!$M49</f>
        <v>120</v>
      </c>
      <c r="AM50" s="978">
        <f>Res_Best!$V49</f>
        <v>5.6505223171889831</v>
      </c>
      <c r="AN50" s="978">
        <f>Res_Best!$AA49</f>
        <v>0</v>
      </c>
      <c r="AO50" s="978">
        <f>Res_Best!$AJ49</f>
        <v>0</v>
      </c>
      <c r="AP50" s="978">
        <f>Res_Best!$AP49</f>
        <v>0</v>
      </c>
    </row>
    <row r="51" spans="1:42">
      <c r="A51" s="977">
        <f>Eingabedaten!A54</f>
        <v>12.12</v>
      </c>
      <c r="B51" s="973" t="str">
        <f>Eingabedaten!C54</f>
        <v>Serverraum</v>
      </c>
      <c r="C51" s="1002">
        <f>Res_Std!$O50</f>
        <v>701</v>
      </c>
      <c r="D51" s="1003">
        <f>Res_Std!$Y50</f>
        <v>0</v>
      </c>
      <c r="E51" s="1002">
        <f>Res_Std!$AC50</f>
        <v>1.7820000000000003</v>
      </c>
      <c r="F51" s="1002">
        <f>Res_Std!$AL50</f>
        <v>679.8415</v>
      </c>
      <c r="G51" s="1002">
        <f>Res_Std!$AR50</f>
        <v>0</v>
      </c>
      <c r="H51" s="1002">
        <f>Res_Std!$AU50</f>
        <v>0</v>
      </c>
      <c r="I51" s="979"/>
      <c r="J51" s="1002">
        <f>Res_Zw!$O50</f>
        <v>350.5</v>
      </c>
      <c r="K51" s="1003">
        <f>Res_Zw!$Y50</f>
        <v>0</v>
      </c>
      <c r="L51" s="1002">
        <f>Res_Zw!$AC50</f>
        <v>1.1016000000000001</v>
      </c>
      <c r="M51" s="1002">
        <f>Res_Zw!$AL50</f>
        <v>335.5675</v>
      </c>
      <c r="N51" s="1002">
        <f>Res_Zw!$AR50</f>
        <v>4.6482077446322968E-11</v>
      </c>
      <c r="O51" s="1002">
        <f>Res_Zw!$AU50</f>
        <v>0</v>
      </c>
      <c r="P51" s="965"/>
      <c r="Q51" s="1002">
        <f>Res_Best!$O50</f>
        <v>1051.5</v>
      </c>
      <c r="R51" s="1003">
        <f>Res_Best!$Y50</f>
        <v>0</v>
      </c>
      <c r="S51" s="1002">
        <f>Res_Best!$AC50</f>
        <v>2.9483999999999999</v>
      </c>
      <c r="T51" s="1002">
        <f>Res_Best!$AL50</f>
        <v>876</v>
      </c>
      <c r="U51" s="1002">
        <f>Res_Best!$AR50</f>
        <v>1.5932671133040483E-7</v>
      </c>
      <c r="V51" s="1002">
        <f>Res_Best!$AU50</f>
        <v>0</v>
      </c>
      <c r="X51" s="977">
        <f t="shared" si="0"/>
        <v>12.12</v>
      </c>
      <c r="Y51" s="973" t="str">
        <f t="shared" si="1"/>
        <v>Serverraum</v>
      </c>
      <c r="Z51" s="978">
        <f>Res_Std!$M50</f>
        <v>100</v>
      </c>
      <c r="AA51" s="978">
        <f>Res_Std!$V50</f>
        <v>6.6310541310541309</v>
      </c>
      <c r="AB51" s="978">
        <f>Res_Std!$AA50</f>
        <v>1.1000000000000001</v>
      </c>
      <c r="AC51" s="978">
        <f>Res_Std!$AJ50</f>
        <v>101</v>
      </c>
      <c r="AD51" s="978">
        <f>Res_Std!$AP50</f>
        <v>9.6720000000000006</v>
      </c>
      <c r="AE51" s="981"/>
      <c r="AF51" s="978">
        <f>Res_Zw!$M50</f>
        <v>50</v>
      </c>
      <c r="AG51" s="978">
        <f>Res_Zw!$V50</f>
        <v>4.3274951658485801</v>
      </c>
      <c r="AH51" s="978">
        <f>Res_Zw!$AA50</f>
        <v>0.68</v>
      </c>
      <c r="AI51" s="978">
        <f>Res_Zw!$AJ50</f>
        <v>51</v>
      </c>
      <c r="AJ51" s="978">
        <f>Res_Zw!$AP50</f>
        <v>6.5948235294117641</v>
      </c>
      <c r="AK51" s="981"/>
      <c r="AL51" s="978">
        <f>Res_Best!$M50</f>
        <v>150</v>
      </c>
      <c r="AM51" s="978">
        <f>Res_Best!$V50</f>
        <v>6.6310541310541309</v>
      </c>
      <c r="AN51" s="978">
        <f>Res_Best!$AA50</f>
        <v>1.82</v>
      </c>
      <c r="AO51" s="978">
        <f>Res_Best!$AJ50</f>
        <v>152</v>
      </c>
      <c r="AP51" s="978">
        <f>Res_Best!$AP50</f>
        <v>28.003764705882354</v>
      </c>
    </row>
  </sheetData>
  <pageMargins left="0.78740157499999996" right="0.78740157499999996" top="0.984251969" bottom="0.984251969" header="0.4921259845" footer="0.492125984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2">
    <tabColor theme="6" tint="0.59999389629810485"/>
    <pageSetUpPr fitToPage="1"/>
  </sheetPr>
  <dimension ref="A1:AB55"/>
  <sheetViews>
    <sheetView zoomScale="70" zoomScaleNormal="70" workbookViewId="0">
      <selection activeCell="N63" sqref="N63"/>
    </sheetView>
  </sheetViews>
  <sheetFormatPr baseColWidth="10" defaultColWidth="11.44140625" defaultRowHeight="13.2"/>
  <cols>
    <col min="1" max="1" width="6.5546875" style="893" customWidth="1"/>
    <col min="2" max="2" width="28.109375" style="893" customWidth="1"/>
    <col min="3" max="4" width="7.33203125" style="893" customWidth="1"/>
    <col min="5" max="5" width="7" style="893" customWidth="1"/>
    <col min="6" max="6" width="6.33203125" style="893" customWidth="1"/>
    <col min="7" max="7" width="5.6640625" style="893" customWidth="1"/>
    <col min="8" max="8" width="4.5546875" style="893" customWidth="1"/>
    <col min="9" max="9" width="8" style="893" customWidth="1"/>
    <col min="10" max="10" width="6.5546875" style="893" customWidth="1"/>
    <col min="11" max="11" width="6.109375" style="893" customWidth="1"/>
    <col min="12" max="12" width="7.88671875" style="893" customWidth="1"/>
    <col min="13" max="13" width="14.109375" style="893" customWidth="1"/>
    <col min="14" max="14" width="12.33203125" style="893" customWidth="1"/>
    <col min="15" max="15" width="5.44140625" style="893" customWidth="1"/>
    <col min="16" max="16" width="7.88671875" style="893" customWidth="1"/>
    <col min="17" max="17" width="11.44140625" style="893" customWidth="1"/>
    <col min="18" max="27" width="8.109375" style="893" customWidth="1"/>
    <col min="28" max="16384" width="11.44140625" style="893"/>
  </cols>
  <sheetData>
    <row r="1" spans="1:28">
      <c r="A1" s="124"/>
      <c r="B1" s="873"/>
      <c r="C1" s="873"/>
      <c r="D1" s="873"/>
      <c r="E1" s="873"/>
      <c r="F1" s="873"/>
      <c r="G1" s="873"/>
      <c r="H1" s="873"/>
      <c r="I1" s="873"/>
      <c r="J1" s="873"/>
      <c r="K1" s="873"/>
      <c r="L1" s="873"/>
      <c r="M1" s="873"/>
      <c r="N1" s="873"/>
      <c r="O1" s="873"/>
      <c r="P1" s="873"/>
    </row>
    <row r="2" spans="1:28" ht="15.6">
      <c r="A2" s="356" t="s">
        <v>795</v>
      </c>
      <c r="B2" s="873"/>
      <c r="X2" s="893" t="s">
        <v>815</v>
      </c>
    </row>
    <row r="3" spans="1:28">
      <c r="A3" s="873"/>
      <c r="B3" s="873"/>
    </row>
    <row r="4" spans="1:28">
      <c r="A4" s="286" t="s">
        <v>818</v>
      </c>
      <c r="B4" s="287"/>
      <c r="C4" s="516" t="s">
        <v>12</v>
      </c>
      <c r="D4" s="917"/>
      <c r="E4" s="515" t="s">
        <v>64</v>
      </c>
      <c r="F4" s="874"/>
      <c r="G4" s="515" t="s">
        <v>19</v>
      </c>
      <c r="H4" s="874"/>
      <c r="I4" s="874"/>
      <c r="J4" s="515" t="s">
        <v>369</v>
      </c>
      <c r="K4" s="517"/>
      <c r="L4" s="517"/>
      <c r="M4" s="517"/>
      <c r="N4" s="517"/>
      <c r="O4" s="517"/>
      <c r="P4" s="518"/>
      <c r="R4" s="1821" t="s">
        <v>788</v>
      </c>
      <c r="S4" s="1822"/>
      <c r="T4" s="1822"/>
      <c r="U4" s="1822"/>
      <c r="V4" s="1822"/>
      <c r="W4" s="1822"/>
      <c r="X4" s="1822"/>
      <c r="Y4" s="1822"/>
      <c r="Z4" s="1822"/>
      <c r="AA4" s="1823"/>
      <c r="AB4" s="1105"/>
    </row>
    <row r="5" spans="1:28" ht="156.75" customHeight="1">
      <c r="A5" s="875" t="s">
        <v>196</v>
      </c>
      <c r="B5" s="512" t="s">
        <v>199</v>
      </c>
      <c r="C5" s="513" t="s">
        <v>786</v>
      </c>
      <c r="D5" s="512" t="s">
        <v>735</v>
      </c>
      <c r="E5" s="513" t="s">
        <v>786</v>
      </c>
      <c r="F5" s="512" t="s">
        <v>787</v>
      </c>
      <c r="G5" s="876" t="s">
        <v>755</v>
      </c>
      <c r="H5" s="877" t="s">
        <v>786</v>
      </c>
      <c r="I5" s="1073" t="s">
        <v>771</v>
      </c>
      <c r="J5" s="513" t="s">
        <v>766</v>
      </c>
      <c r="K5" s="512" t="s">
        <v>767</v>
      </c>
      <c r="L5" s="512" t="s">
        <v>742</v>
      </c>
      <c r="M5" s="512" t="s">
        <v>744</v>
      </c>
      <c r="N5" s="512" t="s">
        <v>744</v>
      </c>
      <c r="O5" s="512" t="s">
        <v>745</v>
      </c>
      <c r="P5" s="514" t="s">
        <v>746</v>
      </c>
      <c r="R5" s="1075" t="s">
        <v>790</v>
      </c>
      <c r="S5" s="1075" t="s">
        <v>791</v>
      </c>
      <c r="T5" s="1075" t="s">
        <v>794</v>
      </c>
      <c r="U5" s="1091" t="s">
        <v>816</v>
      </c>
      <c r="V5" s="1104" t="s">
        <v>817</v>
      </c>
      <c r="W5" s="1075" t="s">
        <v>12</v>
      </c>
      <c r="X5" s="1075" t="s">
        <v>70</v>
      </c>
      <c r="Y5" s="1097" t="s">
        <v>798</v>
      </c>
      <c r="Z5" s="1076" t="s">
        <v>792</v>
      </c>
      <c r="AA5" s="1076" t="s">
        <v>793</v>
      </c>
    </row>
    <row r="6" spans="1:28" ht="15.6">
      <c r="A6" s="919"/>
      <c r="B6" s="520"/>
      <c r="C6" s="902" t="s">
        <v>16</v>
      </c>
      <c r="D6" s="903" t="s">
        <v>188</v>
      </c>
      <c r="E6" s="902" t="s">
        <v>16</v>
      </c>
      <c r="F6" s="903" t="s">
        <v>188</v>
      </c>
      <c r="G6" s="1096" t="s">
        <v>16</v>
      </c>
      <c r="H6" s="1078" t="s">
        <v>16</v>
      </c>
      <c r="I6" s="903" t="s">
        <v>188</v>
      </c>
      <c r="J6" s="907" t="s">
        <v>188</v>
      </c>
      <c r="K6" s="904" t="s">
        <v>188</v>
      </c>
      <c r="L6" s="903" t="s">
        <v>694</v>
      </c>
      <c r="M6" s="903"/>
      <c r="N6" s="903" t="s">
        <v>29</v>
      </c>
      <c r="O6" s="903" t="s">
        <v>101</v>
      </c>
      <c r="P6" s="906" t="s">
        <v>649</v>
      </c>
      <c r="R6" s="1077" t="s">
        <v>789</v>
      </c>
      <c r="S6" s="1077" t="s">
        <v>789</v>
      </c>
      <c r="T6" s="1079" t="s">
        <v>6</v>
      </c>
      <c r="U6" s="1100" t="s">
        <v>789</v>
      </c>
      <c r="V6" s="1079" t="s">
        <v>6</v>
      </c>
      <c r="W6" s="1077" t="s">
        <v>789</v>
      </c>
      <c r="X6" s="1077" t="s">
        <v>789</v>
      </c>
      <c r="Y6" s="1077" t="s">
        <v>789</v>
      </c>
      <c r="Z6" s="1077" t="s">
        <v>789</v>
      </c>
      <c r="AA6" s="1077" t="s">
        <v>789</v>
      </c>
    </row>
    <row r="7" spans="1:28">
      <c r="A7" s="892">
        <f>Eingabedaten!A10</f>
        <v>1.1000000000000001</v>
      </c>
      <c r="B7" s="918" t="str">
        <f>Eingabedaten!C10</f>
        <v>Wohnen MFH</v>
      </c>
      <c r="C7" s="894">
        <v>14.000000000000002</v>
      </c>
      <c r="D7" s="895">
        <v>2.2999999999999998</v>
      </c>
      <c r="E7" s="1035">
        <v>6.1000000000000014</v>
      </c>
      <c r="F7" s="895">
        <v>8</v>
      </c>
      <c r="G7" s="1092">
        <v>3</v>
      </c>
      <c r="H7" s="897">
        <v>4.9778388963109341</v>
      </c>
      <c r="I7" s="898">
        <v>2.7415644171779152</v>
      </c>
      <c r="J7" s="1035">
        <v>16.149705882352947</v>
      </c>
      <c r="K7" s="898">
        <v>13.041564417177916</v>
      </c>
      <c r="L7" s="898">
        <v>83.744092301475774</v>
      </c>
      <c r="M7" s="898" t="s">
        <v>860</v>
      </c>
      <c r="N7" s="898">
        <v>18</v>
      </c>
      <c r="O7" s="898">
        <v>550</v>
      </c>
      <c r="P7" s="1032">
        <v>9.8962500000000002</v>
      </c>
      <c r="Q7" s="1099"/>
      <c r="R7" s="1080"/>
      <c r="S7" s="1080"/>
      <c r="T7" s="1081"/>
      <c r="U7" s="1101"/>
      <c r="V7" s="1081" t="e">
        <f>R7/U7</f>
        <v>#DIV/0!</v>
      </c>
      <c r="W7" s="1080">
        <f>C7*D7</f>
        <v>32.200000000000003</v>
      </c>
      <c r="X7" s="1080">
        <f>E7*F7</f>
        <v>48.800000000000011</v>
      </c>
      <c r="Y7" s="1080">
        <f>H7*I7</f>
        <v>13.647065992570242</v>
      </c>
      <c r="Z7" s="1080">
        <f>W7+X7+Y7</f>
        <v>94.647065992570262</v>
      </c>
      <c r="AA7" s="1080">
        <f>W7+X7</f>
        <v>81.000000000000014</v>
      </c>
    </row>
    <row r="8" spans="1:28">
      <c r="A8" s="892">
        <f>Eingabedaten!A11</f>
        <v>1.2</v>
      </c>
      <c r="B8" s="918" t="str">
        <f>Eingabedaten!C11</f>
        <v>Wohnen EFH</v>
      </c>
      <c r="C8" s="894">
        <v>14.000000000000002</v>
      </c>
      <c r="D8" s="895">
        <v>1.4</v>
      </c>
      <c r="E8" s="1035">
        <v>6.1000000000000014</v>
      </c>
      <c r="F8" s="895">
        <v>8</v>
      </c>
      <c r="G8" s="1092">
        <v>3</v>
      </c>
      <c r="H8" s="897">
        <v>4.9778388963109341</v>
      </c>
      <c r="I8" s="898">
        <v>2.7415644171779152</v>
      </c>
      <c r="J8" s="1035">
        <v>16.617705882352947</v>
      </c>
      <c r="K8" s="898">
        <v>12.141564417177916</v>
      </c>
      <c r="L8" s="898">
        <v>71.144092301475752</v>
      </c>
      <c r="M8" s="898" t="s">
        <v>860</v>
      </c>
      <c r="N8" s="898">
        <v>0</v>
      </c>
      <c r="O8" s="898">
        <v>0</v>
      </c>
      <c r="P8" s="1032">
        <v>0</v>
      </c>
      <c r="Q8" s="1099"/>
      <c r="R8" s="1080">
        <v>80</v>
      </c>
      <c r="S8" s="1080">
        <v>127.99811273195876</v>
      </c>
      <c r="T8" s="1081">
        <f>R8/S8</f>
        <v>0.62500921531185583</v>
      </c>
      <c r="U8" s="1101">
        <f>Res_Std!AF7</f>
        <v>71.144092301475752</v>
      </c>
      <c r="V8" s="1081">
        <f>R8/U8</f>
        <v>1.1244784691467706</v>
      </c>
      <c r="W8" s="1080">
        <f>C8*D8</f>
        <v>19.600000000000001</v>
      </c>
      <c r="X8" s="1080">
        <f>E8*F8</f>
        <v>48.800000000000011</v>
      </c>
      <c r="Y8" s="1080">
        <f>H8*I8</f>
        <v>13.647065992570242</v>
      </c>
      <c r="Z8" s="1080">
        <f>W8+X8+Y8</f>
        <v>82.047065992570253</v>
      </c>
      <c r="AA8" s="1080">
        <f>W8+X8</f>
        <v>68.400000000000006</v>
      </c>
    </row>
    <row r="9" spans="1:28">
      <c r="A9" s="878">
        <f>Eingabedaten!A12</f>
        <v>2.1</v>
      </c>
      <c r="B9" s="879" t="str">
        <f>Eingabedaten!C12</f>
        <v xml:space="preserve">Hotelzimmer </v>
      </c>
      <c r="C9" s="896">
        <v>12.200000000000001</v>
      </c>
      <c r="D9" s="899">
        <v>4.7</v>
      </c>
      <c r="E9" s="1036">
        <v>6.0000000000000009</v>
      </c>
      <c r="F9" s="899">
        <v>8</v>
      </c>
      <c r="G9" s="1093">
        <v>3</v>
      </c>
      <c r="H9" s="900">
        <v>4.4833791722332004</v>
      </c>
      <c r="I9" s="901">
        <v>2.7415644171779152</v>
      </c>
      <c r="J9" s="1036">
        <v>16.821705882352944</v>
      </c>
      <c r="K9" s="901">
        <v>15.441564417177915</v>
      </c>
      <c r="L9" s="901">
        <v>108.08367098742613</v>
      </c>
      <c r="M9" s="901" t="s">
        <v>860</v>
      </c>
      <c r="N9" s="901">
        <v>18</v>
      </c>
      <c r="O9" s="901">
        <v>530</v>
      </c>
      <c r="P9" s="1033">
        <v>9.453125</v>
      </c>
      <c r="Q9" s="1099"/>
      <c r="R9" s="1080">
        <v>120</v>
      </c>
      <c r="S9" s="1080">
        <v>135.22558226574134</v>
      </c>
      <c r="T9" s="1081">
        <f>R9/S9</f>
        <v>0.88740605135039852</v>
      </c>
      <c r="U9" s="1101">
        <f>Res_Std!AF8</f>
        <v>108.08367098742613</v>
      </c>
      <c r="V9" s="1081">
        <f>R9/U9</f>
        <v>1.1102509648655452</v>
      </c>
      <c r="W9" s="1080">
        <f t="shared" ref="W9:W51" si="0">C9*D9</f>
        <v>57.340000000000011</v>
      </c>
      <c r="X9" s="1080">
        <f t="shared" ref="X9:X51" si="1">E9*F9</f>
        <v>48.000000000000007</v>
      </c>
      <c r="Y9" s="1080">
        <f t="shared" ref="Y9:Y51" si="2">H9*I9</f>
        <v>12.291472807311118</v>
      </c>
      <c r="Z9" s="1080">
        <f t="shared" ref="Z9:Z51" si="3">W9+X9+Y9</f>
        <v>117.63147280731114</v>
      </c>
      <c r="AA9" s="1080">
        <f t="shared" ref="AA9:AA51" si="4">W9+X9</f>
        <v>105.34000000000002</v>
      </c>
    </row>
    <row r="10" spans="1:28">
      <c r="A10" s="880">
        <f>Eingabedaten!A13</f>
        <v>2.2000000000000002</v>
      </c>
      <c r="B10" s="881" t="str">
        <f>Eingabedaten!C13</f>
        <v>Empfang, Lobby</v>
      </c>
      <c r="C10" s="902">
        <v>11.299999999999999</v>
      </c>
      <c r="D10" s="903">
        <v>14</v>
      </c>
      <c r="E10" s="1037">
        <v>11.7</v>
      </c>
      <c r="F10" s="903">
        <v>7</v>
      </c>
      <c r="G10" s="907">
        <v>9</v>
      </c>
      <c r="H10" s="904">
        <v>15.273906878898103</v>
      </c>
      <c r="I10" s="905">
        <v>10.254988913525498</v>
      </c>
      <c r="J10" s="1037">
        <v>20.096784313725493</v>
      </c>
      <c r="K10" s="905">
        <v>31.254988913525498</v>
      </c>
      <c r="L10" s="905">
        <v>331.91654660728619</v>
      </c>
      <c r="M10" s="905" t="s">
        <v>785</v>
      </c>
      <c r="N10" s="905">
        <v>35</v>
      </c>
      <c r="O10" s="905">
        <v>820</v>
      </c>
      <c r="P10" s="1034">
        <v>28.861388888888889</v>
      </c>
      <c r="Q10" s="1099"/>
      <c r="R10" s="1082">
        <v>270</v>
      </c>
      <c r="S10" s="1082">
        <v>355.71379005521885</v>
      </c>
      <c r="T10" s="1083">
        <f t="shared" ref="T10:T51" si="5">R10/S10</f>
        <v>0.75903720223522075</v>
      </c>
      <c r="U10" s="1102">
        <f>Res_Std!AF9</f>
        <v>331.91654660728619</v>
      </c>
      <c r="V10" s="1083">
        <f t="shared" ref="V10:V51" si="6">R10/U10</f>
        <v>0.81345748731067624</v>
      </c>
      <c r="W10" s="1082">
        <f t="shared" si="0"/>
        <v>158.19999999999999</v>
      </c>
      <c r="X10" s="1082">
        <f t="shared" si="1"/>
        <v>81.899999999999991</v>
      </c>
      <c r="Y10" s="1082">
        <f t="shared" si="2"/>
        <v>156.63374570932089</v>
      </c>
      <c r="Z10" s="1082">
        <f t="shared" si="3"/>
        <v>396.73374570932083</v>
      </c>
      <c r="AA10" s="1082">
        <f t="shared" si="4"/>
        <v>240.09999999999997</v>
      </c>
    </row>
    <row r="11" spans="1:28">
      <c r="A11" s="878">
        <f>Eingabedaten!A14</f>
        <v>3.1</v>
      </c>
      <c r="B11" s="879" t="str">
        <f>Eingabedaten!C14</f>
        <v>Einzel-, Gruppenbüro</v>
      </c>
      <c r="C11" s="896">
        <v>7.1999999999999993</v>
      </c>
      <c r="D11" s="899">
        <v>5</v>
      </c>
      <c r="E11" s="1036">
        <v>8.2999999999999972</v>
      </c>
      <c r="F11" s="899">
        <v>7</v>
      </c>
      <c r="G11" s="1093">
        <v>0</v>
      </c>
      <c r="H11" s="900">
        <v>5.7825592479925261</v>
      </c>
      <c r="I11" s="901">
        <v>15.880217785843922</v>
      </c>
      <c r="J11" s="1036">
        <v>26.20917647058824</v>
      </c>
      <c r="K11" s="901">
        <v>27.880217785843922</v>
      </c>
      <c r="L11" s="901">
        <v>106.88184453194128</v>
      </c>
      <c r="M11" s="901" t="s">
        <v>860</v>
      </c>
      <c r="N11" s="901">
        <v>27</v>
      </c>
      <c r="O11" s="901">
        <v>500</v>
      </c>
      <c r="P11" s="1033">
        <v>13.545277777777779</v>
      </c>
      <c r="Q11" s="1099"/>
      <c r="R11" s="1080">
        <v>80</v>
      </c>
      <c r="S11" s="1080">
        <v>185.92830021766713</v>
      </c>
      <c r="T11" s="1081">
        <f t="shared" si="5"/>
        <v>0.43027338983007762</v>
      </c>
      <c r="U11" s="1101">
        <f>Res_Std!AF10</f>
        <v>106.88184453194128</v>
      </c>
      <c r="V11" s="1081">
        <f t="shared" si="6"/>
        <v>0.74849007659193478</v>
      </c>
      <c r="W11" s="1080">
        <f t="shared" si="0"/>
        <v>36</v>
      </c>
      <c r="X11" s="1080">
        <f t="shared" si="1"/>
        <v>58.09999999999998</v>
      </c>
      <c r="Y11" s="1080">
        <f t="shared" si="2"/>
        <v>91.828300217667163</v>
      </c>
      <c r="Z11" s="1080">
        <f t="shared" si="3"/>
        <v>185.92830021766713</v>
      </c>
      <c r="AA11" s="1080">
        <f t="shared" si="4"/>
        <v>94.09999999999998</v>
      </c>
    </row>
    <row r="12" spans="1:28">
      <c r="A12" s="882">
        <f>Eingabedaten!A15</f>
        <v>3.2</v>
      </c>
      <c r="B12" s="873" t="str">
        <f>Eingabedaten!C15</f>
        <v>Grossraumbüro</v>
      </c>
      <c r="C12" s="894">
        <v>7.1999999999999993</v>
      </c>
      <c r="D12" s="895">
        <v>7</v>
      </c>
      <c r="E12" s="1035">
        <v>8.2999999999999972</v>
      </c>
      <c r="F12" s="895">
        <v>10</v>
      </c>
      <c r="G12" s="1092">
        <v>0</v>
      </c>
      <c r="H12" s="897">
        <v>8.9110628265137208</v>
      </c>
      <c r="I12" s="898">
        <v>12.477313974591651</v>
      </c>
      <c r="J12" s="1035">
        <v>14.538588235294121</v>
      </c>
      <c r="K12" s="898">
        <v>29.477313974591652</v>
      </c>
      <c r="L12" s="898">
        <v>234.68301296320766</v>
      </c>
      <c r="M12" s="898" t="s">
        <v>785</v>
      </c>
      <c r="N12" s="898">
        <v>26</v>
      </c>
      <c r="O12" s="898">
        <v>900</v>
      </c>
      <c r="P12" s="1032">
        <v>23.354375000000001</v>
      </c>
      <c r="Q12" s="1099"/>
      <c r="R12" s="1084">
        <v>190</v>
      </c>
      <c r="S12" s="1084">
        <v>244.5861287337238</v>
      </c>
      <c r="T12" s="1085">
        <f t="shared" si="5"/>
        <v>0.77682246733971305</v>
      </c>
      <c r="U12" s="1103">
        <f>Res_Std!AF11</f>
        <v>234.68301296320766</v>
      </c>
      <c r="V12" s="1085">
        <f t="shared" si="6"/>
        <v>0.80960269599822798</v>
      </c>
      <c r="W12" s="1084">
        <f t="shared" si="0"/>
        <v>50.399999999999991</v>
      </c>
      <c r="X12" s="1084">
        <f t="shared" si="1"/>
        <v>82.999999999999972</v>
      </c>
      <c r="Y12" s="1084">
        <f t="shared" si="2"/>
        <v>111.18612873372382</v>
      </c>
      <c r="Z12" s="1084">
        <f t="shared" si="3"/>
        <v>244.5861287337238</v>
      </c>
      <c r="AA12" s="1084">
        <f t="shared" si="4"/>
        <v>133.39999999999998</v>
      </c>
    </row>
    <row r="13" spans="1:28">
      <c r="A13" s="882">
        <f>Eingabedaten!A16</f>
        <v>3.3</v>
      </c>
      <c r="B13" s="873" t="str">
        <f>Eingabedaten!C16</f>
        <v>Sitzungszimmer</v>
      </c>
      <c r="C13" s="894">
        <v>4</v>
      </c>
      <c r="D13" s="895">
        <v>23.3</v>
      </c>
      <c r="E13" s="1035">
        <v>5.799999999999998</v>
      </c>
      <c r="F13" s="895">
        <v>2</v>
      </c>
      <c r="G13" s="1092">
        <v>0</v>
      </c>
      <c r="H13" s="897">
        <v>3.1541232261777412</v>
      </c>
      <c r="I13" s="898">
        <v>15.880217785843922</v>
      </c>
      <c r="J13" s="1035">
        <v>30.72117647058824</v>
      </c>
      <c r="K13" s="898">
        <v>41.180217785843922</v>
      </c>
      <c r="L13" s="898">
        <v>112.66575048119464</v>
      </c>
      <c r="M13" s="898" t="s">
        <v>860</v>
      </c>
      <c r="N13" s="898">
        <v>41</v>
      </c>
      <c r="O13" s="898">
        <v>280</v>
      </c>
      <c r="P13" s="1032">
        <v>11.491388888888888</v>
      </c>
      <c r="Q13" s="1099"/>
      <c r="R13" s="1084">
        <v>100</v>
      </c>
      <c r="S13" s="1084">
        <v>154.88816375509117</v>
      </c>
      <c r="T13" s="1085">
        <f t="shared" si="5"/>
        <v>0.64562712589271687</v>
      </c>
      <c r="U13" s="1103">
        <f>Res_Std!AF12</f>
        <v>112.66575048119464</v>
      </c>
      <c r="V13" s="1085">
        <f t="shared" si="6"/>
        <v>0.88758118215074855</v>
      </c>
      <c r="W13" s="1084">
        <f t="shared" si="0"/>
        <v>93.2</v>
      </c>
      <c r="X13" s="1084">
        <f t="shared" si="1"/>
        <v>11.599999999999996</v>
      </c>
      <c r="Y13" s="1084">
        <f t="shared" si="2"/>
        <v>50.088163755091173</v>
      </c>
      <c r="Z13" s="1084">
        <f t="shared" si="3"/>
        <v>154.88816375509117</v>
      </c>
      <c r="AA13" s="1084">
        <f t="shared" si="4"/>
        <v>104.8</v>
      </c>
    </row>
    <row r="14" spans="1:28">
      <c r="A14" s="882">
        <f>Eingabedaten!A17</f>
        <v>3.4</v>
      </c>
      <c r="B14" s="873" t="str">
        <f>Eingabedaten!C17</f>
        <v>Schalterhalle, Empfang</v>
      </c>
      <c r="C14" s="894">
        <v>7.1999999999999993</v>
      </c>
      <c r="D14" s="895">
        <v>5.8</v>
      </c>
      <c r="E14" s="1035">
        <v>8.2999999999999972</v>
      </c>
      <c r="F14" s="895">
        <v>4</v>
      </c>
      <c r="G14" s="1092">
        <v>0</v>
      </c>
      <c r="H14" s="897">
        <v>6.2739068788981038</v>
      </c>
      <c r="I14" s="898">
        <v>11.031042128603106</v>
      </c>
      <c r="J14" s="1035">
        <v>17.840784313725493</v>
      </c>
      <c r="K14" s="898">
        <v>20.831042128603109</v>
      </c>
      <c r="L14" s="898">
        <v>96.507530909778069</v>
      </c>
      <c r="M14" s="898" t="s">
        <v>860</v>
      </c>
      <c r="N14" s="898">
        <v>22</v>
      </c>
      <c r="O14" s="898">
        <v>590</v>
      </c>
      <c r="P14" s="1032">
        <v>13.035763888888889</v>
      </c>
      <c r="Q14" s="1099"/>
      <c r="R14" s="1084">
        <v>90</v>
      </c>
      <c r="S14" s="1084">
        <v>144.16773109205781</v>
      </c>
      <c r="T14" s="1085">
        <f t="shared" si="5"/>
        <v>0.62427284745523814</v>
      </c>
      <c r="U14" s="1103">
        <f>Res_Std!AF13</f>
        <v>96.507530909778069</v>
      </c>
      <c r="V14" s="1085">
        <f t="shared" si="6"/>
        <v>0.93256970882550339</v>
      </c>
      <c r="W14" s="1084">
        <f t="shared" si="0"/>
        <v>41.76</v>
      </c>
      <c r="X14" s="1084">
        <f t="shared" si="1"/>
        <v>33.199999999999989</v>
      </c>
      <c r="Y14" s="1084">
        <f t="shared" si="2"/>
        <v>69.207731092057813</v>
      </c>
      <c r="Z14" s="1084">
        <f t="shared" si="3"/>
        <v>144.16773109205781</v>
      </c>
      <c r="AA14" s="1084">
        <f t="shared" si="4"/>
        <v>74.95999999999998</v>
      </c>
    </row>
    <row r="15" spans="1:28">
      <c r="A15" s="883">
        <f>Eingabedaten!A18</f>
        <v>4.0999999999999996</v>
      </c>
      <c r="B15" s="884" t="str">
        <f>Eingabedaten!C18</f>
        <v>Schulzimmer</v>
      </c>
      <c r="C15" s="896">
        <v>7.6</v>
      </c>
      <c r="D15" s="899">
        <v>23.3</v>
      </c>
      <c r="E15" s="1036">
        <v>8.6999999999999975</v>
      </c>
      <c r="F15" s="899">
        <v>4</v>
      </c>
      <c r="G15" s="1093">
        <v>0</v>
      </c>
      <c r="H15" s="900">
        <v>6.4470081182420067</v>
      </c>
      <c r="I15" s="901">
        <v>14.032927145449831</v>
      </c>
      <c r="J15" s="1036">
        <v>25.791294117647062</v>
      </c>
      <c r="K15" s="901">
        <v>41.33292714544983</v>
      </c>
      <c r="L15" s="901">
        <v>244.96902965911369</v>
      </c>
      <c r="M15" s="901" t="s">
        <v>785</v>
      </c>
      <c r="N15" s="901">
        <v>36</v>
      </c>
      <c r="O15" s="901">
        <v>510</v>
      </c>
      <c r="P15" s="1033">
        <v>18.334142857142858</v>
      </c>
      <c r="Q15" s="1099"/>
      <c r="R15" s="1080">
        <v>160</v>
      </c>
      <c r="S15" s="1080">
        <v>302.35039522941366</v>
      </c>
      <c r="T15" s="1086">
        <f t="shared" si="5"/>
        <v>0.52918733537158835</v>
      </c>
      <c r="U15" s="1101">
        <f>Res_Std!AF14</f>
        <v>244.96902965911369</v>
      </c>
      <c r="V15" s="1086">
        <f t="shared" si="6"/>
        <v>0.65314378810516482</v>
      </c>
      <c r="W15" s="1080">
        <f t="shared" si="0"/>
        <v>177.07999999999998</v>
      </c>
      <c r="X15" s="1080">
        <f t="shared" si="1"/>
        <v>34.79999999999999</v>
      </c>
      <c r="Y15" s="1080">
        <f t="shared" si="2"/>
        <v>90.470395229413683</v>
      </c>
      <c r="Z15" s="1080">
        <f t="shared" si="3"/>
        <v>302.35039522941366</v>
      </c>
      <c r="AA15" s="1080">
        <f t="shared" si="4"/>
        <v>211.87999999999997</v>
      </c>
    </row>
    <row r="16" spans="1:28">
      <c r="A16" s="882">
        <f>Eingabedaten!A19</f>
        <v>4.2</v>
      </c>
      <c r="B16" s="873" t="str">
        <f>Eingabedaten!C19</f>
        <v>Lehrerzimmer</v>
      </c>
      <c r="C16" s="894">
        <v>6</v>
      </c>
      <c r="D16" s="895">
        <v>23.3</v>
      </c>
      <c r="E16" s="1035">
        <v>7.299999999999998</v>
      </c>
      <c r="F16" s="895">
        <v>4</v>
      </c>
      <c r="G16" s="1092">
        <v>0</v>
      </c>
      <c r="H16" s="897">
        <v>5.6331015035804812</v>
      </c>
      <c r="I16" s="898">
        <v>11.640798226164081</v>
      </c>
      <c r="J16" s="1035">
        <v>31.38117647058824</v>
      </c>
      <c r="K16" s="898">
        <v>38.940798226164084</v>
      </c>
      <c r="L16" s="898">
        <v>174.3029936084738</v>
      </c>
      <c r="M16" s="898" t="s">
        <v>784</v>
      </c>
      <c r="N16" s="898">
        <v>37</v>
      </c>
      <c r="O16" s="898">
        <v>280</v>
      </c>
      <c r="P16" s="1032">
        <v>10.431111111111111</v>
      </c>
      <c r="Q16" s="1099"/>
      <c r="R16" s="1084">
        <v>170</v>
      </c>
      <c r="S16" s="1084">
        <v>234.5737979906819</v>
      </c>
      <c r="T16" s="1085">
        <f t="shared" si="5"/>
        <v>0.72471862354700423</v>
      </c>
      <c r="U16" s="1103">
        <f>Res_Std!AF15</f>
        <v>174.3029936084738</v>
      </c>
      <c r="V16" s="1085">
        <f t="shared" si="6"/>
        <v>0.97531313995593583</v>
      </c>
      <c r="W16" s="1084">
        <f t="shared" si="0"/>
        <v>139.80000000000001</v>
      </c>
      <c r="X16" s="1084">
        <f t="shared" si="1"/>
        <v>29.199999999999992</v>
      </c>
      <c r="Y16" s="1084">
        <f t="shared" si="2"/>
        <v>65.573797990681882</v>
      </c>
      <c r="Z16" s="1084">
        <f t="shared" si="3"/>
        <v>234.5737979906819</v>
      </c>
      <c r="AA16" s="1084">
        <f t="shared" si="4"/>
        <v>169</v>
      </c>
    </row>
    <row r="17" spans="1:27">
      <c r="A17" s="882">
        <f>Eingabedaten!A20</f>
        <v>4.3</v>
      </c>
      <c r="B17" s="873" t="str">
        <f>Eingabedaten!C20</f>
        <v>Bibliothek</v>
      </c>
      <c r="C17" s="894">
        <v>6</v>
      </c>
      <c r="D17" s="895">
        <v>14</v>
      </c>
      <c r="E17" s="1035">
        <v>7.299999999999998</v>
      </c>
      <c r="F17" s="895">
        <v>2</v>
      </c>
      <c r="G17" s="1092">
        <v>0</v>
      </c>
      <c r="H17" s="897">
        <v>6.7890355256161365</v>
      </c>
      <c r="I17" s="898">
        <v>6.8578553615960098</v>
      </c>
      <c r="J17" s="1035">
        <v>16.266588235294122</v>
      </c>
      <c r="K17" s="898">
        <v>22.857855361596009</v>
      </c>
      <c r="L17" s="898">
        <v>120.25300780185464</v>
      </c>
      <c r="M17" s="898" t="s">
        <v>860</v>
      </c>
      <c r="N17" s="898">
        <v>21</v>
      </c>
      <c r="O17" s="898">
        <v>410</v>
      </c>
      <c r="P17" s="1032">
        <v>8.6750000000000007</v>
      </c>
      <c r="Q17" s="1099"/>
      <c r="R17" s="1084">
        <v>130</v>
      </c>
      <c r="S17" s="1084">
        <v>145.1582236794124</v>
      </c>
      <c r="T17" s="1085">
        <f t="shared" si="5"/>
        <v>0.89557447525060707</v>
      </c>
      <c r="U17" s="1103">
        <f>Res_Std!AF16</f>
        <v>120.25300780185464</v>
      </c>
      <c r="V17" s="1085">
        <f t="shared" si="6"/>
        <v>1.0810540407788041</v>
      </c>
      <c r="W17" s="1084">
        <f t="shared" si="0"/>
        <v>84</v>
      </c>
      <c r="X17" s="1084">
        <f t="shared" si="1"/>
        <v>14.599999999999996</v>
      </c>
      <c r="Y17" s="1084">
        <f t="shared" si="2"/>
        <v>46.558223679412407</v>
      </c>
      <c r="Z17" s="1084">
        <f t="shared" si="3"/>
        <v>145.1582236794124</v>
      </c>
      <c r="AA17" s="1084">
        <f t="shared" si="4"/>
        <v>98.6</v>
      </c>
    </row>
    <row r="18" spans="1:27">
      <c r="A18" s="882">
        <f>Eingabedaten!A21</f>
        <v>4.4000000000000004</v>
      </c>
      <c r="B18" s="873" t="str">
        <f>Eingabedaten!C21</f>
        <v>Hörsaal</v>
      </c>
      <c r="C18" s="894">
        <v>7.6</v>
      </c>
      <c r="D18" s="895">
        <v>35</v>
      </c>
      <c r="E18" s="1035">
        <v>8.6999999999999975</v>
      </c>
      <c r="F18" s="895">
        <v>4</v>
      </c>
      <c r="G18" s="1092">
        <v>0</v>
      </c>
      <c r="H18" s="897">
        <v>8.9110628265137208</v>
      </c>
      <c r="I18" s="898">
        <v>12.477313974591651</v>
      </c>
      <c r="J18" s="1035">
        <v>20.010588235294122</v>
      </c>
      <c r="K18" s="898">
        <v>51.477313974591652</v>
      </c>
      <c r="L18" s="898">
        <v>402.08301296320769</v>
      </c>
      <c r="M18" s="898" t="s">
        <v>785</v>
      </c>
      <c r="N18" s="898">
        <v>47</v>
      </c>
      <c r="O18" s="898">
        <v>540</v>
      </c>
      <c r="P18" s="1032">
        <v>25.57951388888889</v>
      </c>
      <c r="Q18" s="1099"/>
      <c r="R18" s="1084">
        <v>310</v>
      </c>
      <c r="S18" s="1084">
        <v>411.98612873372383</v>
      </c>
      <c r="T18" s="1085">
        <f t="shared" si="5"/>
        <v>0.7524525181292212</v>
      </c>
      <c r="U18" s="1103">
        <f>Res_Std!AF17</f>
        <v>402.08301296320769</v>
      </c>
      <c r="V18" s="1085">
        <f t="shared" si="6"/>
        <v>0.77098507026051932</v>
      </c>
      <c r="W18" s="1084">
        <f t="shared" si="0"/>
        <v>266</v>
      </c>
      <c r="X18" s="1084">
        <f t="shared" si="1"/>
        <v>34.79999999999999</v>
      </c>
      <c r="Y18" s="1084">
        <f t="shared" si="2"/>
        <v>111.18612873372382</v>
      </c>
      <c r="Z18" s="1084">
        <f t="shared" si="3"/>
        <v>411.98612873372383</v>
      </c>
      <c r="AA18" s="1084">
        <f t="shared" si="4"/>
        <v>300.8</v>
      </c>
    </row>
    <row r="19" spans="1:27">
      <c r="A19" s="885">
        <f>Eingabedaten!A22</f>
        <v>4.5</v>
      </c>
      <c r="B19" s="886" t="str">
        <f>Eingabedaten!C22</f>
        <v>Schulfachraum (Spezialraum)</v>
      </c>
      <c r="C19" s="902">
        <v>7.6</v>
      </c>
      <c r="D19" s="903">
        <v>14</v>
      </c>
      <c r="E19" s="1037">
        <v>8.6999999999999975</v>
      </c>
      <c r="F19" s="903">
        <v>4</v>
      </c>
      <c r="G19" s="907">
        <v>0</v>
      </c>
      <c r="H19" s="904">
        <v>6.4470081182420067</v>
      </c>
      <c r="I19" s="905">
        <v>14.032927145449831</v>
      </c>
      <c r="J19" s="1037">
        <v>26.591294117647063</v>
      </c>
      <c r="K19" s="905">
        <v>32.032927145449833</v>
      </c>
      <c r="L19" s="905">
        <v>174.28902965911371</v>
      </c>
      <c r="M19" s="905" t="s">
        <v>784</v>
      </c>
      <c r="N19" s="905">
        <v>34</v>
      </c>
      <c r="O19" s="905">
        <v>340</v>
      </c>
      <c r="P19" s="1034">
        <v>11.515428571428572</v>
      </c>
      <c r="Q19" s="1099"/>
      <c r="R19" s="1082">
        <v>130</v>
      </c>
      <c r="S19" s="1082">
        <v>231.67039522941366</v>
      </c>
      <c r="T19" s="1087">
        <f t="shared" si="5"/>
        <v>0.56114204782732968</v>
      </c>
      <c r="U19" s="1102">
        <f>Res_Std!AF18</f>
        <v>174.28902965911371</v>
      </c>
      <c r="V19" s="1087">
        <f t="shared" si="6"/>
        <v>0.74588745060009121</v>
      </c>
      <c r="W19" s="1082">
        <f t="shared" si="0"/>
        <v>106.39999999999999</v>
      </c>
      <c r="X19" s="1082">
        <f t="shared" si="1"/>
        <v>34.79999999999999</v>
      </c>
      <c r="Y19" s="1082">
        <f t="shared" si="2"/>
        <v>90.470395229413683</v>
      </c>
      <c r="Z19" s="1082">
        <f t="shared" si="3"/>
        <v>231.67039522941366</v>
      </c>
      <c r="AA19" s="1082">
        <f t="shared" si="4"/>
        <v>141.19999999999999</v>
      </c>
    </row>
    <row r="20" spans="1:27">
      <c r="A20" s="887">
        <f>Eingabedaten!A23</f>
        <v>5.0999999999999996</v>
      </c>
      <c r="B20" s="888" t="str">
        <f>Eingabedaten!C23</f>
        <v>Lebensmittelverkauf</v>
      </c>
      <c r="C20" s="894">
        <v>6.6</v>
      </c>
      <c r="D20" s="895">
        <v>8.8000000000000007</v>
      </c>
      <c r="E20" s="1035">
        <v>14.099999999999998</v>
      </c>
      <c r="F20" s="1074">
        <v>50</v>
      </c>
      <c r="G20" s="1093">
        <v>2</v>
      </c>
      <c r="H20" s="897">
        <v>10.671791843861573</v>
      </c>
      <c r="I20" s="898">
        <v>21.27937915742794</v>
      </c>
      <c r="J20" s="1036">
        <v>12.312470588235296</v>
      </c>
      <c r="K20" s="898">
        <v>20.079379157427937</v>
      </c>
      <c r="L20" s="898">
        <v>143.21454428368259</v>
      </c>
      <c r="M20" s="898" t="s">
        <v>784</v>
      </c>
      <c r="N20" s="898">
        <v>21</v>
      </c>
      <c r="O20" s="898">
        <v>830</v>
      </c>
      <c r="P20" s="1033">
        <v>17.359825000000001</v>
      </c>
      <c r="Q20" s="1099"/>
      <c r="R20" s="1080">
        <v>230</v>
      </c>
      <c r="S20" s="1084">
        <v>172.10760280833858</v>
      </c>
      <c r="T20" s="1085">
        <f t="shared" si="5"/>
        <v>1.3363732702507698</v>
      </c>
      <c r="U20" s="1103">
        <f>Res_Std!AF19</f>
        <v>132.21454428368259</v>
      </c>
      <c r="V20" s="1085">
        <f t="shared" si="6"/>
        <v>1.7395968139973064</v>
      </c>
      <c r="W20" s="1084">
        <f t="shared" si="0"/>
        <v>58.08</v>
      </c>
      <c r="X20" s="1084">
        <f t="shared" si="1"/>
        <v>704.99999999999989</v>
      </c>
      <c r="Y20" s="1084">
        <f t="shared" si="2"/>
        <v>227.08910493467744</v>
      </c>
      <c r="Z20" s="1084">
        <f t="shared" si="3"/>
        <v>990.16910493467731</v>
      </c>
      <c r="AA20" s="1084">
        <f t="shared" si="4"/>
        <v>763.07999999999993</v>
      </c>
    </row>
    <row r="21" spans="1:27">
      <c r="A21" s="882">
        <f>Eingabedaten!A24</f>
        <v>5.2</v>
      </c>
      <c r="B21" s="873" t="str">
        <f>Eingabedaten!C24</f>
        <v>Fachgeschäft</v>
      </c>
      <c r="C21" s="894">
        <v>6.6</v>
      </c>
      <c r="D21" s="895">
        <v>8.8000000000000007</v>
      </c>
      <c r="E21" s="1035">
        <v>14.099999999999998</v>
      </c>
      <c r="F21" s="895">
        <v>2</v>
      </c>
      <c r="G21" s="1092">
        <v>2</v>
      </c>
      <c r="H21" s="897">
        <v>10.671791843861573</v>
      </c>
      <c r="I21" s="898">
        <v>33.27937915742794</v>
      </c>
      <c r="J21" s="1035">
        <v>12.312470588235296</v>
      </c>
      <c r="K21" s="898">
        <v>44.079379157427937</v>
      </c>
      <c r="L21" s="898">
        <v>468.41454428368252</v>
      </c>
      <c r="M21" s="898" t="s">
        <v>785</v>
      </c>
      <c r="N21" s="898">
        <v>41</v>
      </c>
      <c r="O21" s="898">
        <v>2320</v>
      </c>
      <c r="P21" s="1032">
        <v>95.269925000000001</v>
      </c>
      <c r="Q21" s="1099"/>
      <c r="R21" s="1084">
        <v>480</v>
      </c>
      <c r="S21" s="1084">
        <v>497.30760280833852</v>
      </c>
      <c r="T21" s="1085">
        <f t="shared" si="5"/>
        <v>0.96519738948167899</v>
      </c>
      <c r="U21" s="1103">
        <f>Res_Std!AF20</f>
        <v>468.41454428368252</v>
      </c>
      <c r="V21" s="1085">
        <f t="shared" si="6"/>
        <v>1.0247333390000397</v>
      </c>
      <c r="W21" s="1084">
        <f t="shared" si="0"/>
        <v>58.08</v>
      </c>
      <c r="X21" s="1084">
        <f t="shared" si="1"/>
        <v>28.199999999999996</v>
      </c>
      <c r="Y21" s="1084">
        <f t="shared" si="2"/>
        <v>355.15060706101633</v>
      </c>
      <c r="Z21" s="1084">
        <f t="shared" si="3"/>
        <v>441.4306070610163</v>
      </c>
      <c r="AA21" s="1084">
        <f t="shared" si="4"/>
        <v>86.28</v>
      </c>
    </row>
    <row r="22" spans="1:27">
      <c r="A22" s="889">
        <f>Eingabedaten!A25</f>
        <v>5.3</v>
      </c>
      <c r="B22" s="873" t="str">
        <f>Eingabedaten!C25</f>
        <v>Verkauf Möbel, Bau, Garten</v>
      </c>
      <c r="C22" s="894">
        <v>6.1999999999999993</v>
      </c>
      <c r="D22" s="895">
        <v>4.7</v>
      </c>
      <c r="E22" s="1035">
        <v>13.199999999999998</v>
      </c>
      <c r="F22" s="895">
        <v>2</v>
      </c>
      <c r="G22" s="1092">
        <v>1</v>
      </c>
      <c r="H22" s="897">
        <v>9.6717918438615733</v>
      </c>
      <c r="I22" s="898">
        <v>21.27937915742794</v>
      </c>
      <c r="J22" s="1035">
        <v>11.472470588235296</v>
      </c>
      <c r="K22" s="898">
        <v>27.979379157427939</v>
      </c>
      <c r="L22" s="898">
        <v>269.67454428368251</v>
      </c>
      <c r="M22" s="898" t="s">
        <v>785</v>
      </c>
      <c r="N22" s="898">
        <v>27</v>
      </c>
      <c r="O22" s="898">
        <v>1580</v>
      </c>
      <c r="P22" s="1032">
        <v>42.741349999999997</v>
      </c>
      <c r="Q22" s="1099"/>
      <c r="R22" s="1084">
        <v>260</v>
      </c>
      <c r="S22" s="1084">
        <v>289.2882236509106</v>
      </c>
      <c r="T22" s="1085">
        <f t="shared" si="5"/>
        <v>0.89875763596152036</v>
      </c>
      <c r="U22" s="1103">
        <f>Res_Std!AF21</f>
        <v>269.67454428368251</v>
      </c>
      <c r="V22" s="1085">
        <f t="shared" si="6"/>
        <v>0.96412511121737388</v>
      </c>
      <c r="W22" s="1084">
        <f t="shared" si="0"/>
        <v>29.139999999999997</v>
      </c>
      <c r="X22" s="1084">
        <f t="shared" si="1"/>
        <v>26.399999999999995</v>
      </c>
      <c r="Y22" s="1084">
        <f t="shared" si="2"/>
        <v>205.8097257772495</v>
      </c>
      <c r="Z22" s="1084">
        <f t="shared" si="3"/>
        <v>261.34972577724949</v>
      </c>
      <c r="AA22" s="1084">
        <f t="shared" si="4"/>
        <v>55.539999999999992</v>
      </c>
    </row>
    <row r="23" spans="1:27">
      <c r="A23" s="890">
        <f>Eingabedaten!A26</f>
        <v>6.1</v>
      </c>
      <c r="B23" s="884" t="str">
        <f>Eingabedaten!C26</f>
        <v>Restaurant</v>
      </c>
      <c r="C23" s="896">
        <v>5.2000000000000011</v>
      </c>
      <c r="D23" s="899">
        <v>35</v>
      </c>
      <c r="E23" s="1036">
        <v>8.6</v>
      </c>
      <c r="F23" s="899">
        <v>2</v>
      </c>
      <c r="G23" s="1093">
        <v>6</v>
      </c>
      <c r="H23" s="900">
        <v>9.7031102866997099</v>
      </c>
      <c r="I23" s="901">
        <v>6.8578553615960098</v>
      </c>
      <c r="J23" s="1036">
        <v>21.780588235294118</v>
      </c>
      <c r="K23" s="901">
        <v>43.857855361596009</v>
      </c>
      <c r="L23" s="901">
        <v>239.95634932444844</v>
      </c>
      <c r="M23" s="901" t="s">
        <v>785</v>
      </c>
      <c r="N23" s="901">
        <v>36</v>
      </c>
      <c r="O23" s="901">
        <v>440</v>
      </c>
      <c r="P23" s="1033">
        <v>15.714444444444444</v>
      </c>
      <c r="Q23" s="1099"/>
      <c r="R23" s="1080">
        <v>200</v>
      </c>
      <c r="S23" s="1080">
        <v>252.02681618060899</v>
      </c>
      <c r="T23" s="1086">
        <f t="shared" si="5"/>
        <v>0.79356634754563093</v>
      </c>
      <c r="U23" s="1101">
        <f>Res_Std!AF22</f>
        <v>239.95634932444844</v>
      </c>
      <c r="V23" s="1086">
        <f t="shared" si="6"/>
        <v>0.83348492575029598</v>
      </c>
      <c r="W23" s="1080">
        <f t="shared" si="0"/>
        <v>182.00000000000003</v>
      </c>
      <c r="X23" s="1080">
        <f t="shared" si="1"/>
        <v>17.2</v>
      </c>
      <c r="Y23" s="1080">
        <f t="shared" si="2"/>
        <v>66.542526903801004</v>
      </c>
      <c r="Z23" s="1080">
        <f t="shared" si="3"/>
        <v>265.74252690380104</v>
      </c>
      <c r="AA23" s="1080">
        <f t="shared" si="4"/>
        <v>199.20000000000002</v>
      </c>
    </row>
    <row r="24" spans="1:27">
      <c r="A24" s="889">
        <f>Eingabedaten!A27</f>
        <v>6.2</v>
      </c>
      <c r="B24" s="873" t="str">
        <f>Eingabedaten!C27</f>
        <v>Selbstbedienungsrestaurant</v>
      </c>
      <c r="C24" s="894">
        <v>3</v>
      </c>
      <c r="D24" s="895">
        <v>35</v>
      </c>
      <c r="E24" s="1035">
        <v>6.599999999999997</v>
      </c>
      <c r="F24" s="895">
        <v>2</v>
      </c>
      <c r="G24" s="1092">
        <v>0</v>
      </c>
      <c r="H24" s="897">
        <v>5.760474631054179</v>
      </c>
      <c r="I24" s="898">
        <v>6.1097256857855369</v>
      </c>
      <c r="J24" s="1035">
        <v>16.524352941176474</v>
      </c>
      <c r="K24" s="898">
        <v>43.109725685785534</v>
      </c>
      <c r="L24" s="898">
        <v>153.93006721064222</v>
      </c>
      <c r="M24" s="898" t="s">
        <v>784</v>
      </c>
      <c r="N24" s="898">
        <v>30</v>
      </c>
      <c r="O24" s="898">
        <v>370</v>
      </c>
      <c r="P24" s="1032">
        <v>10.95135</v>
      </c>
      <c r="Q24" s="1099"/>
      <c r="R24" s="1084">
        <v>150</v>
      </c>
      <c r="S24" s="1084">
        <v>153.39491981566766</v>
      </c>
      <c r="T24" s="1085">
        <f t="shared" si="5"/>
        <v>0.97786810788944456</v>
      </c>
      <c r="U24" s="1103">
        <f>Res_Std!AF23</f>
        <v>153.93006721064222</v>
      </c>
      <c r="V24" s="1085">
        <f t="shared" si="6"/>
        <v>0.97446848895827343</v>
      </c>
      <c r="W24" s="1084">
        <f t="shared" si="0"/>
        <v>105</v>
      </c>
      <c r="X24" s="1084">
        <f t="shared" si="1"/>
        <v>13.199999999999994</v>
      </c>
      <c r="Y24" s="1084">
        <f t="shared" si="2"/>
        <v>35.194919815667681</v>
      </c>
      <c r="Z24" s="1084">
        <f t="shared" si="3"/>
        <v>153.39491981566766</v>
      </c>
      <c r="AA24" s="1084">
        <f t="shared" si="4"/>
        <v>118.19999999999999</v>
      </c>
    </row>
    <row r="25" spans="1:27">
      <c r="A25" s="889">
        <f>Eingabedaten!A28</f>
        <v>6.3</v>
      </c>
      <c r="B25" s="873" t="str">
        <f>Eingabedaten!C28</f>
        <v>Küche zu Restaurant</v>
      </c>
      <c r="C25" s="894">
        <v>8.6</v>
      </c>
      <c r="D25" s="895">
        <v>18</v>
      </c>
      <c r="E25" s="1035">
        <v>9.6999999999999993</v>
      </c>
      <c r="F25" s="895">
        <v>200</v>
      </c>
      <c r="G25" s="1092">
        <v>5</v>
      </c>
      <c r="H25" s="897">
        <v>9.2054976349036544</v>
      </c>
      <c r="I25" s="898">
        <v>15.880217785843922</v>
      </c>
      <c r="J25" s="1035">
        <v>30.472549019607847</v>
      </c>
      <c r="K25" s="898">
        <v>233.88021778584391</v>
      </c>
      <c r="L25" s="898">
        <v>2152.2728414590247</v>
      </c>
      <c r="M25" s="898" t="s">
        <v>785</v>
      </c>
      <c r="N25" s="898">
        <v>172</v>
      </c>
      <c r="O25" s="898">
        <v>2240</v>
      </c>
      <c r="P25" s="1032">
        <v>384.46499999999997</v>
      </c>
      <c r="Q25" s="1099"/>
      <c r="R25" s="1084">
        <v>1800</v>
      </c>
      <c r="S25" s="1084">
        <v>2225.1050894834971</v>
      </c>
      <c r="T25" s="1085">
        <f>R25/S25</f>
        <v>0.8089505563163425</v>
      </c>
      <c r="U25" s="1103">
        <f>Res_Std!AF24</f>
        <v>2152.2728414590247</v>
      </c>
      <c r="V25" s="1085">
        <f>R25/U25</f>
        <v>0.83632519322214782</v>
      </c>
      <c r="W25" s="1084">
        <f t="shared" si="0"/>
        <v>154.79999999999998</v>
      </c>
      <c r="X25" s="1084">
        <f t="shared" si="1"/>
        <v>1939.9999999999998</v>
      </c>
      <c r="Y25" s="1084">
        <f t="shared" si="2"/>
        <v>146.18530726934117</v>
      </c>
      <c r="Z25" s="1084">
        <f t="shared" si="3"/>
        <v>2240.9853072693409</v>
      </c>
      <c r="AA25" s="1084">
        <f t="shared" si="4"/>
        <v>2094.7999999999997</v>
      </c>
    </row>
    <row r="26" spans="1:27">
      <c r="A26" s="891">
        <f>Eingabedaten!A29</f>
        <v>6.4</v>
      </c>
      <c r="B26" s="886" t="str">
        <f>Eingabedaten!C29</f>
        <v>Küche zu Selbstbedienungsrest.</v>
      </c>
      <c r="C26" s="902">
        <v>5.0000000000000009</v>
      </c>
      <c r="D26" s="903">
        <v>18</v>
      </c>
      <c r="E26" s="1037">
        <v>6.4999999999999973</v>
      </c>
      <c r="F26" s="903">
        <v>200</v>
      </c>
      <c r="G26" s="907">
        <v>0</v>
      </c>
      <c r="H26" s="904">
        <v>7.2908695853294088</v>
      </c>
      <c r="I26" s="905">
        <v>12.477313974591651</v>
      </c>
      <c r="J26" s="1037">
        <v>18.436274509803923</v>
      </c>
      <c r="K26" s="905">
        <v>230.47731397459165</v>
      </c>
      <c r="L26" s="905">
        <v>1475.7010109688676</v>
      </c>
      <c r="M26" s="905" t="s">
        <v>785</v>
      </c>
      <c r="N26" s="905">
        <v>150</v>
      </c>
      <c r="O26" s="905">
        <v>1890</v>
      </c>
      <c r="P26" s="1034">
        <v>283.46736111111113</v>
      </c>
      <c r="Q26" s="1099"/>
      <c r="R26" s="1082">
        <v>1460</v>
      </c>
      <c r="S26" s="1082">
        <v>1480.9704689639555</v>
      </c>
      <c r="T26" s="1087">
        <f t="shared" si="5"/>
        <v>0.98584004920866131</v>
      </c>
      <c r="U26" s="1102">
        <f>Res_Std!AF25</f>
        <v>1475.7010109688676</v>
      </c>
      <c r="V26" s="1087">
        <f t="shared" si="6"/>
        <v>0.9893603034407632</v>
      </c>
      <c r="W26" s="1082">
        <f t="shared" si="0"/>
        <v>90.000000000000014</v>
      </c>
      <c r="X26" s="1082">
        <f t="shared" si="1"/>
        <v>1299.9999999999995</v>
      </c>
      <c r="Y26" s="1082">
        <f t="shared" si="2"/>
        <v>90.970468963955867</v>
      </c>
      <c r="Z26" s="1082">
        <f t="shared" si="3"/>
        <v>1480.9704689639555</v>
      </c>
      <c r="AA26" s="1082">
        <f t="shared" si="4"/>
        <v>1389.9999999999995</v>
      </c>
    </row>
    <row r="27" spans="1:27">
      <c r="A27" s="889">
        <f>Eingabedaten!A30</f>
        <v>7.1</v>
      </c>
      <c r="B27" s="873" t="str">
        <f>Eingabedaten!C30</f>
        <v>Vorstellungsraum</v>
      </c>
      <c r="C27" s="894">
        <v>7.6000000000000005</v>
      </c>
      <c r="D27" s="895">
        <v>23.3</v>
      </c>
      <c r="E27" s="1035">
        <v>8.7999999999999989</v>
      </c>
      <c r="F27" s="895">
        <v>2</v>
      </c>
      <c r="G27" s="1092">
        <v>6</v>
      </c>
      <c r="H27" s="897">
        <v>12</v>
      </c>
      <c r="I27" s="898">
        <v>10.809312638580931</v>
      </c>
      <c r="J27" s="1035">
        <v>10.026</v>
      </c>
      <c r="K27" s="898">
        <v>36.109312638580931</v>
      </c>
      <c r="L27" s="898">
        <v>324.39175166297116</v>
      </c>
      <c r="M27" s="898" t="s">
        <v>785</v>
      </c>
      <c r="N27" s="898">
        <v>30</v>
      </c>
      <c r="O27" s="898">
        <v>730</v>
      </c>
      <c r="P27" s="1032">
        <v>21.822399999999998</v>
      </c>
      <c r="Q27" s="1099"/>
      <c r="R27" s="1084">
        <v>390</v>
      </c>
      <c r="S27" s="1084">
        <v>302.77312638580929</v>
      </c>
      <c r="T27" s="1085">
        <f t="shared" si="5"/>
        <v>1.2880931826923163</v>
      </c>
      <c r="U27" s="1103">
        <f>Res_Std!AF26</f>
        <v>324.39175166297116</v>
      </c>
      <c r="V27" s="1085">
        <f t="shared" si="6"/>
        <v>1.2022500510592296</v>
      </c>
      <c r="W27" s="1084">
        <f t="shared" si="0"/>
        <v>177.08</v>
      </c>
      <c r="X27" s="1084">
        <f t="shared" si="1"/>
        <v>17.599999999999998</v>
      </c>
      <c r="Y27" s="1084">
        <f t="shared" si="2"/>
        <v>129.71175166297115</v>
      </c>
      <c r="Z27" s="1084">
        <f t="shared" si="3"/>
        <v>324.39175166297116</v>
      </c>
      <c r="AA27" s="1084">
        <f t="shared" si="4"/>
        <v>194.68</v>
      </c>
    </row>
    <row r="28" spans="1:27">
      <c r="A28" s="889">
        <f>Eingabedaten!A31</f>
        <v>7.2</v>
      </c>
      <c r="B28" s="873" t="str">
        <f>Eingabedaten!C31</f>
        <v>Mehrzweckhalle</v>
      </c>
      <c r="C28" s="894">
        <v>10.399999999999997</v>
      </c>
      <c r="D28" s="895">
        <v>23.3</v>
      </c>
      <c r="E28" s="1035">
        <v>11.199999999999998</v>
      </c>
      <c r="F28" s="895">
        <v>4</v>
      </c>
      <c r="G28" s="1092">
        <v>5</v>
      </c>
      <c r="H28" s="897">
        <v>11.054736284409586</v>
      </c>
      <c r="I28" s="898">
        <v>10.809312638580931</v>
      </c>
      <c r="J28" s="1035">
        <v>26.574823529411773</v>
      </c>
      <c r="K28" s="898">
        <v>38.109312638580931</v>
      </c>
      <c r="L28" s="898">
        <v>335.12491912551997</v>
      </c>
      <c r="M28" s="898" t="s">
        <v>785</v>
      </c>
      <c r="N28" s="898">
        <v>43</v>
      </c>
      <c r="O28" s="898">
        <v>710</v>
      </c>
      <c r="P28" s="1032">
        <v>30.4557</v>
      </c>
      <c r="Q28" s="1099"/>
      <c r="R28" s="1084">
        <v>430</v>
      </c>
      <c r="S28" s="1084">
        <v>395.80478799666673</v>
      </c>
      <c r="T28" s="1085">
        <f t="shared" si="5"/>
        <v>1.0863941342812184</v>
      </c>
      <c r="U28" s="1103">
        <f>Res_Std!AF27</f>
        <v>335.12491912551997</v>
      </c>
      <c r="V28" s="1085">
        <f t="shared" si="6"/>
        <v>1.2831036293035101</v>
      </c>
      <c r="W28" s="1084">
        <f t="shared" si="0"/>
        <v>242.31999999999994</v>
      </c>
      <c r="X28" s="1084">
        <f t="shared" si="1"/>
        <v>44.79999999999999</v>
      </c>
      <c r="Y28" s="1084">
        <f t="shared" si="2"/>
        <v>119.49410063524773</v>
      </c>
      <c r="Z28" s="1084">
        <f t="shared" si="3"/>
        <v>406.61410063524767</v>
      </c>
      <c r="AA28" s="1084">
        <f t="shared" si="4"/>
        <v>287.11999999999995</v>
      </c>
    </row>
    <row r="29" spans="1:27">
      <c r="A29" s="889">
        <f>Eingabedaten!A32</f>
        <v>7.3</v>
      </c>
      <c r="B29" s="873" t="str">
        <f>Eingabedaten!C32</f>
        <v>Ausstellungshalle</v>
      </c>
      <c r="C29" s="894">
        <v>10.399999999999997</v>
      </c>
      <c r="D29" s="895">
        <v>23.3</v>
      </c>
      <c r="E29" s="1035">
        <v>11.199999999999998</v>
      </c>
      <c r="F29" s="895">
        <v>7</v>
      </c>
      <c r="G29" s="1092">
        <v>5</v>
      </c>
      <c r="H29" s="897">
        <v>11.054736284409586</v>
      </c>
      <c r="I29" s="898">
        <v>10.809312638580931</v>
      </c>
      <c r="J29" s="1035">
        <v>26.574823529411773</v>
      </c>
      <c r="K29" s="898">
        <v>41.109312638580931</v>
      </c>
      <c r="L29" s="898">
        <v>368.72491912551993</v>
      </c>
      <c r="M29" s="898" t="s">
        <v>785</v>
      </c>
      <c r="N29" s="898">
        <v>45</v>
      </c>
      <c r="O29" s="898">
        <v>780</v>
      </c>
      <c r="P29" s="1032">
        <v>34.917200000000001</v>
      </c>
      <c r="Q29" s="1099"/>
      <c r="R29" s="1084">
        <v>540</v>
      </c>
      <c r="S29" s="1084">
        <v>429.4047879966667</v>
      </c>
      <c r="T29" s="1085">
        <f t="shared" si="5"/>
        <v>1.2575546782310023</v>
      </c>
      <c r="U29" s="1103">
        <f>Res_Std!AF28</f>
        <v>368.72491912551993</v>
      </c>
      <c r="V29" s="1085">
        <f t="shared" si="6"/>
        <v>1.4645063894262467</v>
      </c>
      <c r="W29" s="1084">
        <f t="shared" si="0"/>
        <v>242.31999999999994</v>
      </c>
      <c r="X29" s="1084">
        <f t="shared" si="1"/>
        <v>78.399999999999977</v>
      </c>
      <c r="Y29" s="1084">
        <f t="shared" si="2"/>
        <v>119.49410063524773</v>
      </c>
      <c r="Z29" s="1084">
        <f t="shared" si="3"/>
        <v>440.21410063524763</v>
      </c>
      <c r="AA29" s="1084">
        <f t="shared" si="4"/>
        <v>320.71999999999991</v>
      </c>
    </row>
    <row r="30" spans="1:27">
      <c r="A30" s="883">
        <f>Eingabedaten!A33</f>
        <v>8.1</v>
      </c>
      <c r="B30" s="884" t="str">
        <f>Eingabedaten!C33</f>
        <v xml:space="preserve">Bettenzimmer </v>
      </c>
      <c r="C30" s="896">
        <v>24</v>
      </c>
      <c r="D30" s="899">
        <v>4.7</v>
      </c>
      <c r="E30" s="1036">
        <v>6.0000000000000018</v>
      </c>
      <c r="F30" s="899">
        <v>4</v>
      </c>
      <c r="G30" s="1093">
        <v>3</v>
      </c>
      <c r="H30" s="900">
        <v>10.358511537132976</v>
      </c>
      <c r="I30" s="901">
        <v>4.5109211775878437</v>
      </c>
      <c r="J30" s="1036">
        <v>21.952980392156867</v>
      </c>
      <c r="K30" s="901">
        <v>13.210921177587842</v>
      </c>
      <c r="L30" s="901">
        <v>161.55810292900239</v>
      </c>
      <c r="M30" s="901" t="s">
        <v>784</v>
      </c>
      <c r="N30" s="901">
        <v>24</v>
      </c>
      <c r="O30" s="901">
        <v>810</v>
      </c>
      <c r="P30" s="1033">
        <v>19.324999999999999</v>
      </c>
      <c r="Q30" s="1099"/>
      <c r="R30" s="1080">
        <v>150</v>
      </c>
      <c r="S30" s="1080">
        <v>192.54827141631685</v>
      </c>
      <c r="T30" s="1086">
        <f t="shared" si="5"/>
        <v>0.77902543033314797</v>
      </c>
      <c r="U30" s="1101">
        <f>Res_Std!AF29</f>
        <v>161.55810292900239</v>
      </c>
      <c r="V30" s="1086">
        <f t="shared" si="6"/>
        <v>0.92845853770589482</v>
      </c>
      <c r="W30" s="1080">
        <f t="shared" si="0"/>
        <v>112.80000000000001</v>
      </c>
      <c r="X30" s="1080">
        <f t="shared" si="1"/>
        <v>24.000000000000007</v>
      </c>
      <c r="Y30" s="1080">
        <f t="shared" si="2"/>
        <v>46.726429061141154</v>
      </c>
      <c r="Z30" s="1080">
        <f t="shared" si="3"/>
        <v>183.52642906114116</v>
      </c>
      <c r="AA30" s="1080">
        <f t="shared" si="4"/>
        <v>136.80000000000001</v>
      </c>
    </row>
    <row r="31" spans="1:27">
      <c r="A31" s="889">
        <f>Eingabedaten!A34</f>
        <v>8.1999999999999993</v>
      </c>
      <c r="B31" s="873" t="str">
        <f>Eingabedaten!C34</f>
        <v xml:space="preserve">Stationszimmer </v>
      </c>
      <c r="C31" s="894">
        <v>10.799999999999995</v>
      </c>
      <c r="D31" s="895">
        <v>23.3</v>
      </c>
      <c r="E31" s="1035">
        <v>10.799999999999995</v>
      </c>
      <c r="F31" s="895">
        <v>7</v>
      </c>
      <c r="G31" s="1092">
        <v>13</v>
      </c>
      <c r="H31" s="897">
        <v>18.782559247992527</v>
      </c>
      <c r="I31" s="898">
        <v>15.880217785843922</v>
      </c>
      <c r="J31" s="1035">
        <v>30.06117647058824</v>
      </c>
      <c r="K31" s="898">
        <v>46.180217785843922</v>
      </c>
      <c r="L31" s="898">
        <v>514.7042401762244</v>
      </c>
      <c r="M31" s="898" t="s">
        <v>785</v>
      </c>
      <c r="N31" s="898">
        <v>49</v>
      </c>
      <c r="O31" s="898">
        <v>1080</v>
      </c>
      <c r="P31" s="1032">
        <v>53.043888888888887</v>
      </c>
      <c r="Q31" s="1099"/>
      <c r="R31" s="1084">
        <v>370</v>
      </c>
      <c r="S31" s="1084">
        <v>498.46938914688667</v>
      </c>
      <c r="T31" s="1085">
        <f t="shared" si="5"/>
        <v>0.7422722599541014</v>
      </c>
      <c r="U31" s="1103">
        <f>Res_Std!AF30</f>
        <v>514.7042401762244</v>
      </c>
      <c r="V31" s="1085">
        <f t="shared" si="6"/>
        <v>0.71885943638878791</v>
      </c>
      <c r="W31" s="1084">
        <f t="shared" si="0"/>
        <v>251.6399999999999</v>
      </c>
      <c r="X31" s="1084">
        <f t="shared" si="1"/>
        <v>75.599999999999966</v>
      </c>
      <c r="Y31" s="1084">
        <f t="shared" si="2"/>
        <v>298.27113143363817</v>
      </c>
      <c r="Z31" s="1084">
        <f t="shared" si="3"/>
        <v>625.51113143363807</v>
      </c>
      <c r="AA31" s="1084">
        <f t="shared" si="4"/>
        <v>327.2399999999999</v>
      </c>
    </row>
    <row r="32" spans="1:27">
      <c r="A32" s="891">
        <f>Eingabedaten!A35</f>
        <v>8.3000000000000007</v>
      </c>
      <c r="B32" s="886" t="str">
        <f>Eingabedaten!C35</f>
        <v>Behandlungsraum</v>
      </c>
      <c r="C32" s="902">
        <v>7.1999999999999993</v>
      </c>
      <c r="D32" s="903">
        <v>14</v>
      </c>
      <c r="E32" s="1037">
        <v>8.2999999999999972</v>
      </c>
      <c r="F32" s="903">
        <v>20</v>
      </c>
      <c r="G32" s="907">
        <v>0</v>
      </c>
      <c r="H32" s="904">
        <v>5.7825592479925261</v>
      </c>
      <c r="I32" s="905">
        <v>15.880217785843922</v>
      </c>
      <c r="J32" s="1037">
        <v>28.417176470588242</v>
      </c>
      <c r="K32" s="905">
        <v>49.880217785843925</v>
      </c>
      <c r="L32" s="905">
        <v>279.58184453194127</v>
      </c>
      <c r="M32" s="905" t="s">
        <v>785</v>
      </c>
      <c r="N32" s="905">
        <v>44</v>
      </c>
      <c r="O32" s="905">
        <v>800</v>
      </c>
      <c r="P32" s="1034">
        <v>35.347222222222221</v>
      </c>
      <c r="Q32" s="1099"/>
      <c r="R32" s="1082">
        <v>350</v>
      </c>
      <c r="S32" s="1082">
        <v>358.62830021766712</v>
      </c>
      <c r="T32" s="1087">
        <f t="shared" si="5"/>
        <v>0.97594082727874454</v>
      </c>
      <c r="U32" s="1102">
        <f>Res_Std!AF31</f>
        <v>279.58184453194127</v>
      </c>
      <c r="V32" s="1087">
        <f t="shared" si="6"/>
        <v>1.2518695575027359</v>
      </c>
      <c r="W32" s="1082">
        <f t="shared" si="0"/>
        <v>100.79999999999998</v>
      </c>
      <c r="X32" s="1082">
        <f t="shared" si="1"/>
        <v>165.99999999999994</v>
      </c>
      <c r="Y32" s="1082">
        <f t="shared" si="2"/>
        <v>91.828300217667163</v>
      </c>
      <c r="Z32" s="1082">
        <f t="shared" si="3"/>
        <v>358.62830021766712</v>
      </c>
      <c r="AA32" s="1082">
        <f t="shared" si="4"/>
        <v>266.79999999999995</v>
      </c>
    </row>
    <row r="33" spans="1:27">
      <c r="A33" s="890">
        <f>Eingabedaten!A36</f>
        <v>9.1</v>
      </c>
      <c r="B33" s="888" t="str">
        <f>Eingabedaten!C36</f>
        <v>Produktion (grobe Arbeit)</v>
      </c>
      <c r="C33" s="896">
        <v>14.2</v>
      </c>
      <c r="D33" s="899">
        <v>6</v>
      </c>
      <c r="E33" s="1036">
        <v>14.2</v>
      </c>
      <c r="F33" s="899">
        <v>10</v>
      </c>
      <c r="G33" s="1093">
        <v>13</v>
      </c>
      <c r="H33" s="900">
        <v>19.054736284409586</v>
      </c>
      <c r="I33" s="901">
        <v>10.809312638580931</v>
      </c>
      <c r="J33" s="1036">
        <v>17.366745098039221</v>
      </c>
      <c r="K33" s="901">
        <v>26.809312638580931</v>
      </c>
      <c r="L33" s="901">
        <v>361.67942023416742</v>
      </c>
      <c r="M33" s="901" t="s">
        <v>785</v>
      </c>
      <c r="N33" s="901">
        <v>21</v>
      </c>
      <c r="O33" s="901">
        <v>300</v>
      </c>
      <c r="P33" s="1033">
        <v>6.2479750000000003</v>
      </c>
      <c r="Q33" s="1099"/>
      <c r="R33" s="1080">
        <v>440</v>
      </c>
      <c r="S33" s="1080">
        <v>346.69410063524771</v>
      </c>
      <c r="T33" s="1086">
        <f t="shared" si="5"/>
        <v>1.2691303347642429</v>
      </c>
      <c r="U33" s="1101">
        <f>Res_Std!AF32</f>
        <v>361.67942023416742</v>
      </c>
      <c r="V33" s="1086">
        <f t="shared" si="6"/>
        <v>1.2165469622659877</v>
      </c>
      <c r="W33" s="1080">
        <f t="shared" si="0"/>
        <v>85.199999999999989</v>
      </c>
      <c r="X33" s="1080">
        <f t="shared" si="1"/>
        <v>142</v>
      </c>
      <c r="Y33" s="1080">
        <f t="shared" si="2"/>
        <v>205.96860174389516</v>
      </c>
      <c r="Z33" s="1080">
        <f t="shared" si="3"/>
        <v>433.16860174389512</v>
      </c>
      <c r="AA33" s="1080">
        <f t="shared" si="4"/>
        <v>227.2</v>
      </c>
    </row>
    <row r="34" spans="1:27">
      <c r="A34" s="889">
        <f>Eingabedaten!A37</f>
        <v>9.1999999999999993</v>
      </c>
      <c r="B34" s="1013" t="str">
        <f>Eingabedaten!C37</f>
        <v>Produktion (feine Arbeit)</v>
      </c>
      <c r="C34" s="894">
        <v>7.1999999999999993</v>
      </c>
      <c r="D34" s="895">
        <v>4.7</v>
      </c>
      <c r="E34" s="1035">
        <v>9.7999999999999936</v>
      </c>
      <c r="F34" s="895">
        <v>10</v>
      </c>
      <c r="G34" s="1092">
        <v>0</v>
      </c>
      <c r="H34" s="897">
        <v>7.4605781991444182</v>
      </c>
      <c r="I34" s="898">
        <v>14.745916515426497</v>
      </c>
      <c r="J34" s="1035">
        <v>22.73482352941177</v>
      </c>
      <c r="K34" s="898">
        <v>29.445916515426497</v>
      </c>
      <c r="L34" s="898">
        <v>201.54466161921201</v>
      </c>
      <c r="M34" s="898" t="s">
        <v>785</v>
      </c>
      <c r="N34" s="898">
        <v>31</v>
      </c>
      <c r="O34" s="898">
        <v>390</v>
      </c>
      <c r="P34" s="1032">
        <v>12.104925</v>
      </c>
      <c r="Q34" s="1099"/>
      <c r="R34" s="1084">
        <v>560</v>
      </c>
      <c r="S34" s="1084">
        <v>241.8530632813945</v>
      </c>
      <c r="T34" s="1085">
        <f t="shared" si="5"/>
        <v>2.3154554769829132</v>
      </c>
      <c r="U34" s="1103">
        <f>Res_Std!AF33</f>
        <v>201.54466161921201</v>
      </c>
      <c r="V34" s="1085">
        <f t="shared" si="6"/>
        <v>2.7785404758476555</v>
      </c>
      <c r="W34" s="1084">
        <f t="shared" si="0"/>
        <v>33.839999999999996</v>
      </c>
      <c r="X34" s="1084">
        <f t="shared" si="1"/>
        <v>97.999999999999943</v>
      </c>
      <c r="Y34" s="1084">
        <f t="shared" si="2"/>
        <v>110.01306328139455</v>
      </c>
      <c r="Z34" s="1084">
        <f t="shared" si="3"/>
        <v>241.8530632813945</v>
      </c>
      <c r="AA34" s="1084">
        <f t="shared" si="4"/>
        <v>131.83999999999995</v>
      </c>
    </row>
    <row r="35" spans="1:27">
      <c r="A35" s="891">
        <f>Eingabedaten!A38</f>
        <v>9.3000000000000007</v>
      </c>
      <c r="B35" s="886" t="str">
        <f>Eingabedaten!C38</f>
        <v>Laborraum</v>
      </c>
      <c r="C35" s="902">
        <v>7.1999999999999993</v>
      </c>
      <c r="D35" s="903">
        <v>4.7</v>
      </c>
      <c r="E35" s="1037">
        <v>9.7999999999999936</v>
      </c>
      <c r="F35" s="903">
        <v>20</v>
      </c>
      <c r="G35" s="907">
        <v>0</v>
      </c>
      <c r="H35" s="904">
        <v>5.4602430843771597</v>
      </c>
      <c r="I35" s="905">
        <v>16.236712470832252</v>
      </c>
      <c r="J35" s="1037">
        <v>38.655058823529423</v>
      </c>
      <c r="K35" s="905">
        <v>40.936712470832248</v>
      </c>
      <c r="L35" s="905">
        <v>230.67647765971938</v>
      </c>
      <c r="M35" s="905" t="s">
        <v>785</v>
      </c>
      <c r="N35" s="905">
        <v>47</v>
      </c>
      <c r="O35" s="905">
        <v>420</v>
      </c>
      <c r="P35" s="1034">
        <v>19.813142857142857</v>
      </c>
      <c r="Q35" s="1099"/>
      <c r="R35" s="1082"/>
      <c r="S35" s="1082">
        <v>318.49639698188207</v>
      </c>
      <c r="T35" s="1087">
        <f t="shared" si="5"/>
        <v>0</v>
      </c>
      <c r="U35" s="1102">
        <f>Res_Std!AF34</f>
        <v>230.67647765971938</v>
      </c>
      <c r="V35" s="1087">
        <f t="shared" si="6"/>
        <v>0</v>
      </c>
      <c r="W35" s="1082">
        <f t="shared" si="0"/>
        <v>33.839999999999996</v>
      </c>
      <c r="X35" s="1082">
        <f t="shared" si="1"/>
        <v>195.99999999999989</v>
      </c>
      <c r="Y35" s="1082">
        <f t="shared" si="2"/>
        <v>88.656396981882196</v>
      </c>
      <c r="Z35" s="1082">
        <f t="shared" si="3"/>
        <v>318.49639698188207</v>
      </c>
      <c r="AA35" s="1082">
        <f t="shared" si="4"/>
        <v>229.83999999999989</v>
      </c>
    </row>
    <row r="36" spans="1:27">
      <c r="A36" s="889">
        <f>Eingabedaten!A39</f>
        <v>10.1</v>
      </c>
      <c r="B36" s="873" t="str">
        <f>Eingabedaten!C39</f>
        <v>Lagerhalle</v>
      </c>
      <c r="C36" s="894">
        <v>14.2</v>
      </c>
      <c r="D36" s="895">
        <v>2.2999999999999998</v>
      </c>
      <c r="E36" s="1035">
        <v>14.2</v>
      </c>
      <c r="F36" s="895">
        <v>0</v>
      </c>
      <c r="G36" s="1092">
        <v>13</v>
      </c>
      <c r="H36" s="897">
        <v>18.851994371600604</v>
      </c>
      <c r="I36" s="898">
        <v>4.8290598290598297</v>
      </c>
      <c r="J36" s="1035">
        <v>18.654823529411772</v>
      </c>
      <c r="K36" s="898">
        <v>7.1290598290598295</v>
      </c>
      <c r="L36" s="898">
        <v>90.450261256793098</v>
      </c>
      <c r="M36" s="898" t="s">
        <v>860</v>
      </c>
      <c r="N36" s="898">
        <v>13</v>
      </c>
      <c r="O36" s="898">
        <v>520</v>
      </c>
      <c r="P36" s="1032">
        <v>6.8089250000000003</v>
      </c>
      <c r="Q36" s="1099"/>
      <c r="R36" s="1084">
        <v>140</v>
      </c>
      <c r="S36" s="1084">
        <v>85.064930085079837</v>
      </c>
      <c r="T36" s="1085">
        <f t="shared" si="5"/>
        <v>1.6458016230657624</v>
      </c>
      <c r="U36" s="1103">
        <f>Res_Std!AF35</f>
        <v>90.450261256793098</v>
      </c>
      <c r="V36" s="1085">
        <f t="shared" si="6"/>
        <v>1.5478120024720832</v>
      </c>
      <c r="W36" s="1084">
        <f t="shared" si="0"/>
        <v>32.659999999999997</v>
      </c>
      <c r="X36" s="1084">
        <f t="shared" si="1"/>
        <v>0</v>
      </c>
      <c r="Y36" s="1084">
        <f t="shared" si="2"/>
        <v>91.037408717558478</v>
      </c>
      <c r="Z36" s="1084">
        <f t="shared" si="3"/>
        <v>123.69740871755847</v>
      </c>
      <c r="AA36" s="1084">
        <f t="shared" si="4"/>
        <v>32.659999999999997</v>
      </c>
    </row>
    <row r="37" spans="1:27">
      <c r="A37" s="890">
        <f>Eingabedaten!A40</f>
        <v>11.1</v>
      </c>
      <c r="B37" s="884" t="str">
        <f>Eingabedaten!C40</f>
        <v>Turnhalle</v>
      </c>
      <c r="C37" s="896">
        <v>11.600000000000001</v>
      </c>
      <c r="D37" s="899">
        <v>6</v>
      </c>
      <c r="E37" s="1036">
        <v>12.500000000000002</v>
      </c>
      <c r="F37" s="899">
        <v>0</v>
      </c>
      <c r="G37" s="1093">
        <v>5</v>
      </c>
      <c r="H37" s="900">
        <v>10.504305713099624</v>
      </c>
      <c r="I37" s="901">
        <v>10.504434589800443</v>
      </c>
      <c r="J37" s="1036">
        <v>14.682705882352943</v>
      </c>
      <c r="K37" s="901">
        <v>16.504434589800443</v>
      </c>
      <c r="L37" s="901">
        <v>115.08650111497667</v>
      </c>
      <c r="M37" s="901" t="s">
        <v>860</v>
      </c>
      <c r="N37" s="901">
        <v>17</v>
      </c>
      <c r="O37" s="901">
        <v>220</v>
      </c>
      <c r="P37" s="1033">
        <v>3.7928666666666668</v>
      </c>
      <c r="Q37" s="1099"/>
      <c r="R37" s="1080">
        <v>120</v>
      </c>
      <c r="S37" s="1080">
        <v>169.43735768472166</v>
      </c>
      <c r="T37" s="1086">
        <f t="shared" si="5"/>
        <v>0.70822634181588473</v>
      </c>
      <c r="U37" s="1101">
        <f>Res_Std!AF36</f>
        <v>115.08650111497667</v>
      </c>
      <c r="V37" s="1086">
        <f t="shared" si="6"/>
        <v>1.0426939635614998</v>
      </c>
      <c r="W37" s="1080">
        <f t="shared" si="0"/>
        <v>69.600000000000009</v>
      </c>
      <c r="X37" s="1080">
        <f t="shared" si="1"/>
        <v>0</v>
      </c>
      <c r="Y37" s="1080">
        <f t="shared" si="2"/>
        <v>110.34179227452211</v>
      </c>
      <c r="Z37" s="1080">
        <f t="shared" si="3"/>
        <v>179.94179227452213</v>
      </c>
      <c r="AA37" s="1080">
        <f t="shared" si="4"/>
        <v>69.600000000000009</v>
      </c>
    </row>
    <row r="38" spans="1:27">
      <c r="A38" s="889">
        <f>Eingabedaten!A41</f>
        <v>11.2</v>
      </c>
      <c r="B38" s="873" t="str">
        <f>Eingabedaten!C41</f>
        <v>Fitnessraum</v>
      </c>
      <c r="C38" s="894">
        <v>11.600000000000001</v>
      </c>
      <c r="D38" s="895">
        <v>12</v>
      </c>
      <c r="E38" s="1035">
        <v>12.500000000000002</v>
      </c>
      <c r="F38" s="895">
        <v>2</v>
      </c>
      <c r="G38" s="1092">
        <v>5</v>
      </c>
      <c r="H38" s="897">
        <v>11.998660783883409</v>
      </c>
      <c r="I38" s="898">
        <v>9.9223946784922408</v>
      </c>
      <c r="J38" s="1035">
        <v>18.570588235294121</v>
      </c>
      <c r="K38" s="898">
        <v>23.922394678492239</v>
      </c>
      <c r="L38" s="898">
        <v>242.35693266525737</v>
      </c>
      <c r="M38" s="898" t="s">
        <v>785</v>
      </c>
      <c r="N38" s="898">
        <v>25</v>
      </c>
      <c r="O38" s="898">
        <v>510</v>
      </c>
      <c r="P38" s="1032">
        <v>12.748611111111112</v>
      </c>
      <c r="Q38" s="1099"/>
      <c r="R38" s="1084">
        <v>360</v>
      </c>
      <c r="S38" s="1084">
        <v>273.33305323254604</v>
      </c>
      <c r="T38" s="1085">
        <f t="shared" si="5"/>
        <v>1.3170745204156467</v>
      </c>
      <c r="U38" s="1103">
        <f>Res_Std!AF37</f>
        <v>262.15693266525739</v>
      </c>
      <c r="V38" s="1085">
        <f t="shared" si="6"/>
        <v>1.3732232687497772</v>
      </c>
      <c r="W38" s="1084">
        <f t="shared" si="0"/>
        <v>139.20000000000002</v>
      </c>
      <c r="X38" s="1084">
        <f t="shared" si="1"/>
        <v>25.000000000000004</v>
      </c>
      <c r="Y38" s="1084">
        <f t="shared" si="2"/>
        <v>119.05544791103827</v>
      </c>
      <c r="Z38" s="1084">
        <f t="shared" si="3"/>
        <v>283.25544791103829</v>
      </c>
      <c r="AA38" s="1084">
        <f t="shared" si="4"/>
        <v>164.20000000000002</v>
      </c>
    </row>
    <row r="39" spans="1:27">
      <c r="A39" s="891">
        <f>Eingabedaten!A42</f>
        <v>11.3</v>
      </c>
      <c r="B39" s="886" t="str">
        <f>Eingabedaten!C42</f>
        <v>Schwimmhalle</v>
      </c>
      <c r="C39" s="902">
        <v>11.600000000000001</v>
      </c>
      <c r="D39" s="903">
        <v>7</v>
      </c>
      <c r="E39" s="1037">
        <v>12.500000000000002</v>
      </c>
      <c r="F39" s="903">
        <v>2</v>
      </c>
      <c r="G39" s="907">
        <v>5</v>
      </c>
      <c r="H39" s="904">
        <v>10.504305713099622</v>
      </c>
      <c r="I39" s="905">
        <v>11.274944567627495</v>
      </c>
      <c r="J39" s="1037">
        <v>18.166745098039222</v>
      </c>
      <c r="K39" s="905">
        <v>20.274944567627493</v>
      </c>
      <c r="L39" s="905">
        <v>155.02297797776384</v>
      </c>
      <c r="M39" s="905" t="s">
        <v>784</v>
      </c>
      <c r="N39" s="905">
        <v>0</v>
      </c>
      <c r="O39" s="905">
        <v>0</v>
      </c>
      <c r="P39" s="1034">
        <v>0</v>
      </c>
      <c r="Q39" s="1099"/>
      <c r="R39" s="1082">
        <v>130</v>
      </c>
      <c r="S39" s="1082">
        <v>213.36052006898359</v>
      </c>
      <c r="T39" s="1087">
        <f t="shared" si="5"/>
        <v>0.60929735247162164</v>
      </c>
      <c r="U39" s="1102">
        <f>Res_Std!AF38</f>
        <v>174.82297797776386</v>
      </c>
      <c r="V39" s="1087">
        <f t="shared" si="6"/>
        <v>0.74360934417062163</v>
      </c>
      <c r="W39" s="1082">
        <f t="shared" si="0"/>
        <v>81.200000000000017</v>
      </c>
      <c r="X39" s="1082">
        <f t="shared" si="1"/>
        <v>25.000000000000004</v>
      </c>
      <c r="Y39" s="1082">
        <f t="shared" si="2"/>
        <v>118.43546463661104</v>
      </c>
      <c r="Z39" s="1082">
        <f t="shared" si="3"/>
        <v>224.63546463661106</v>
      </c>
      <c r="AA39" s="1082">
        <f t="shared" si="4"/>
        <v>106.20000000000002</v>
      </c>
    </row>
    <row r="40" spans="1:27">
      <c r="A40" s="890">
        <f>Eingabedaten!A43</f>
        <v>12.1</v>
      </c>
      <c r="B40" s="884" t="str">
        <f>Eingabedaten!C43</f>
        <v>Verkehrsfläche</v>
      </c>
      <c r="C40" s="908">
        <v>5.2</v>
      </c>
      <c r="D40" s="909">
        <v>0</v>
      </c>
      <c r="E40" s="1038">
        <v>0</v>
      </c>
      <c r="F40" s="909">
        <v>0</v>
      </c>
      <c r="G40" s="1094">
        <v>4</v>
      </c>
      <c r="H40" s="910">
        <v>12.184627340864139</v>
      </c>
      <c r="I40" s="911">
        <v>7.0370370370370381</v>
      </c>
      <c r="J40" s="1038">
        <v>8.3823529411764728</v>
      </c>
      <c r="K40" s="911">
        <v>7.0370370370370381</v>
      </c>
      <c r="L40" s="911">
        <v>59.247783639518431</v>
      </c>
      <c r="M40" s="911" t="s">
        <v>860</v>
      </c>
      <c r="N40" s="911">
        <v>10</v>
      </c>
      <c r="O40" s="911">
        <v>1420</v>
      </c>
      <c r="P40" s="1039">
        <v>14.176</v>
      </c>
      <c r="Q40" s="1099"/>
      <c r="R40" s="1088">
        <v>0</v>
      </c>
      <c r="S40" s="1088">
        <v>57.595525732006919</v>
      </c>
      <c r="T40" s="1081">
        <f t="shared" si="5"/>
        <v>0</v>
      </c>
      <c r="U40" s="1101">
        <f>Res_Std!AF39</f>
        <v>45.173709565444362</v>
      </c>
      <c r="V40" s="1081">
        <f t="shared" si="6"/>
        <v>0</v>
      </c>
      <c r="W40" s="1088">
        <f t="shared" si="0"/>
        <v>0</v>
      </c>
      <c r="X40" s="1088">
        <f t="shared" si="1"/>
        <v>0</v>
      </c>
      <c r="Y40" s="1088">
        <f t="shared" si="2"/>
        <v>85.743673880155072</v>
      </c>
      <c r="Z40" s="1088">
        <f t="shared" si="3"/>
        <v>85.743673880155072</v>
      </c>
      <c r="AA40" s="1088">
        <f t="shared" si="4"/>
        <v>0</v>
      </c>
    </row>
    <row r="41" spans="1:27">
      <c r="A41" s="889">
        <f>Eingabedaten!A44</f>
        <v>12.2</v>
      </c>
      <c r="B41" s="873" t="str">
        <f>Eingabedaten!C44</f>
        <v>Verkehrsfläche 24 h</v>
      </c>
      <c r="C41" s="912">
        <v>16.799999999999997</v>
      </c>
      <c r="D41" s="913">
        <v>0</v>
      </c>
      <c r="E41" s="1040">
        <v>0</v>
      </c>
      <c r="F41" s="913">
        <v>0</v>
      </c>
      <c r="G41" s="1095">
        <v>13</v>
      </c>
      <c r="H41" s="914">
        <v>22.052174420227995</v>
      </c>
      <c r="I41" s="915">
        <v>12.319201995012474</v>
      </c>
      <c r="J41" s="1040">
        <v>8.3823529411764728</v>
      </c>
      <c r="K41" s="915">
        <v>12.319201995012474</v>
      </c>
      <c r="L41" s="915">
        <v>239.57402993912567</v>
      </c>
      <c r="M41" s="915" t="s">
        <v>785</v>
      </c>
      <c r="N41" s="915">
        <v>15</v>
      </c>
      <c r="O41" s="915">
        <v>1680</v>
      </c>
      <c r="P41" s="1041">
        <v>25.262</v>
      </c>
      <c r="Q41" s="1099"/>
      <c r="R41" s="1089"/>
      <c r="S41" s="1089">
        <v>173.11157515193597</v>
      </c>
      <c r="T41" s="1090">
        <f t="shared" si="5"/>
        <v>0</v>
      </c>
      <c r="U41" s="1103">
        <f>Res_Std!AF40</f>
        <v>239.57402993912567</v>
      </c>
      <c r="V41" s="1090">
        <f t="shared" si="6"/>
        <v>0</v>
      </c>
      <c r="W41" s="1089">
        <f t="shared" si="0"/>
        <v>0</v>
      </c>
      <c r="X41" s="1089">
        <f t="shared" si="1"/>
        <v>0</v>
      </c>
      <c r="Y41" s="1089">
        <f t="shared" si="2"/>
        <v>271.66519111203576</v>
      </c>
      <c r="Z41" s="1089">
        <f t="shared" si="3"/>
        <v>271.66519111203576</v>
      </c>
      <c r="AA41" s="1089">
        <f t="shared" si="4"/>
        <v>0</v>
      </c>
    </row>
    <row r="42" spans="1:27">
      <c r="A42" s="889">
        <f>Eingabedaten!A45</f>
        <v>12.3</v>
      </c>
      <c r="B42" s="873" t="str">
        <f>Eingabedaten!C45</f>
        <v>Treppenhaus</v>
      </c>
      <c r="C42" s="912">
        <v>5.2</v>
      </c>
      <c r="D42" s="913">
        <v>0</v>
      </c>
      <c r="E42" s="1040">
        <v>0</v>
      </c>
      <c r="F42" s="913">
        <v>0</v>
      </c>
      <c r="G42" s="1095">
        <v>4</v>
      </c>
      <c r="H42" s="914">
        <v>12.184627340864139</v>
      </c>
      <c r="I42" s="915">
        <v>7.0370370370370381</v>
      </c>
      <c r="J42" s="1040">
        <v>6.2925882352941196</v>
      </c>
      <c r="K42" s="915">
        <v>7.0370370370370381</v>
      </c>
      <c r="L42" s="915">
        <v>59.247783639518431</v>
      </c>
      <c r="M42" s="915" t="s">
        <v>860</v>
      </c>
      <c r="N42" s="915">
        <v>0</v>
      </c>
      <c r="O42" s="915">
        <v>0</v>
      </c>
      <c r="P42" s="1041">
        <v>0</v>
      </c>
      <c r="Q42" s="1099"/>
      <c r="R42" s="1089"/>
      <c r="S42" s="1089">
        <v>57.595525732006919</v>
      </c>
      <c r="T42" s="1090">
        <f t="shared" si="5"/>
        <v>0</v>
      </c>
      <c r="U42" s="1103">
        <f>Res_Std!AF41</f>
        <v>45.173709565444362</v>
      </c>
      <c r="V42" s="1090">
        <f t="shared" si="6"/>
        <v>0</v>
      </c>
      <c r="W42" s="1089">
        <f t="shared" si="0"/>
        <v>0</v>
      </c>
      <c r="X42" s="1089">
        <f t="shared" si="1"/>
        <v>0</v>
      </c>
      <c r="Y42" s="1089">
        <f t="shared" si="2"/>
        <v>85.743673880155072</v>
      </c>
      <c r="Z42" s="1089">
        <f t="shared" si="3"/>
        <v>85.743673880155072</v>
      </c>
      <c r="AA42" s="1089">
        <f t="shared" si="4"/>
        <v>0</v>
      </c>
    </row>
    <row r="43" spans="1:27">
      <c r="A43" s="889">
        <f>Eingabedaten!A46</f>
        <v>12.4</v>
      </c>
      <c r="B43" s="873" t="str">
        <f>Eingabedaten!C46</f>
        <v>Nebenraum</v>
      </c>
      <c r="C43" s="894">
        <v>5.2</v>
      </c>
      <c r="D43" s="895">
        <v>0</v>
      </c>
      <c r="E43" s="1035">
        <v>0</v>
      </c>
      <c r="F43" s="895">
        <v>0</v>
      </c>
      <c r="G43" s="1092">
        <v>4</v>
      </c>
      <c r="H43" s="897">
        <v>9.4390569648550695</v>
      </c>
      <c r="I43" s="898">
        <v>5.9900284900284912</v>
      </c>
      <c r="J43" s="1035">
        <v>12.585176470588239</v>
      </c>
      <c r="K43" s="898">
        <v>5.9900284900284912</v>
      </c>
      <c r="L43" s="898">
        <v>11.992023826753019</v>
      </c>
      <c r="M43" s="898" t="s">
        <v>860</v>
      </c>
      <c r="N43" s="898">
        <v>0</v>
      </c>
      <c r="O43" s="898">
        <v>0</v>
      </c>
      <c r="P43" s="1032">
        <v>0</v>
      </c>
      <c r="Q43" s="1099"/>
      <c r="R43" s="1084">
        <v>0</v>
      </c>
      <c r="S43" s="1084">
        <v>40.028361086803471</v>
      </c>
      <c r="T43" s="1085">
        <f t="shared" si="5"/>
        <v>0</v>
      </c>
      <c r="U43" s="1103">
        <f>Res_Std!AF42</f>
        <v>1.1966846696036487E-2</v>
      </c>
      <c r="V43" s="1085"/>
      <c r="W43" s="1084">
        <f t="shared" si="0"/>
        <v>0</v>
      </c>
      <c r="X43" s="1084">
        <f t="shared" si="1"/>
        <v>0</v>
      </c>
      <c r="Y43" s="1084">
        <f t="shared" si="2"/>
        <v>56.540220138483726</v>
      </c>
      <c r="Z43" s="1084">
        <f t="shared" si="3"/>
        <v>56.540220138483726</v>
      </c>
      <c r="AA43" s="1084">
        <f t="shared" si="4"/>
        <v>0</v>
      </c>
    </row>
    <row r="44" spans="1:27">
      <c r="A44" s="889">
        <f>Eingabedaten!A47</f>
        <v>12.5</v>
      </c>
      <c r="B44" s="873" t="str">
        <f>Eingabedaten!C47</f>
        <v>Küche, Teeküche</v>
      </c>
      <c r="C44" s="894">
        <v>4.5999999999999996</v>
      </c>
      <c r="D44" s="895">
        <v>14</v>
      </c>
      <c r="E44" s="1035">
        <v>5.8999999999999986</v>
      </c>
      <c r="F44" s="895">
        <v>40</v>
      </c>
      <c r="G44" s="1092">
        <v>0</v>
      </c>
      <c r="H44" s="897">
        <v>5.937329434771045</v>
      </c>
      <c r="I44" s="898">
        <v>8.9152119700748163</v>
      </c>
      <c r="J44" s="1035">
        <v>12.585176470588239</v>
      </c>
      <c r="K44" s="898">
        <v>62.915211970074814</v>
      </c>
      <c r="L44" s="898">
        <v>310.80090333664623</v>
      </c>
      <c r="M44" s="898" t="s">
        <v>785</v>
      </c>
      <c r="N44" s="898">
        <v>49</v>
      </c>
      <c r="O44" s="898">
        <v>570</v>
      </c>
      <c r="P44" s="1032">
        <v>28.059374999999999</v>
      </c>
      <c r="Q44" s="1099"/>
      <c r="R44" s="1084">
        <v>470</v>
      </c>
      <c r="S44" s="1084">
        <v>351.26399904789645</v>
      </c>
      <c r="T44" s="1085">
        <f t="shared" si="5"/>
        <v>1.338024964909408</v>
      </c>
      <c r="U44" s="1103">
        <f>Res_Std!AF43</f>
        <v>407.40090333664625</v>
      </c>
      <c r="V44" s="1085">
        <f t="shared" si="6"/>
        <v>1.1536547812011757</v>
      </c>
      <c r="W44" s="1084">
        <f t="shared" si="0"/>
        <v>64.399999999999991</v>
      </c>
      <c r="X44" s="1084">
        <f t="shared" si="1"/>
        <v>235.99999999999994</v>
      </c>
      <c r="Y44" s="1084">
        <f t="shared" si="2"/>
        <v>52.932550447148365</v>
      </c>
      <c r="Z44" s="1084">
        <f t="shared" si="3"/>
        <v>353.33255044714826</v>
      </c>
      <c r="AA44" s="1084">
        <f t="shared" si="4"/>
        <v>300.39999999999992</v>
      </c>
    </row>
    <row r="45" spans="1:27">
      <c r="A45" s="889">
        <f>Eingabedaten!A48</f>
        <v>12.6</v>
      </c>
      <c r="B45" s="873" t="str">
        <f>Eingabedaten!C48</f>
        <v xml:space="preserve">WC, Bad, Dusche </v>
      </c>
      <c r="C45" s="894">
        <v>6</v>
      </c>
      <c r="D45" s="895">
        <v>0</v>
      </c>
      <c r="E45" s="1035">
        <v>0</v>
      </c>
      <c r="F45" s="895">
        <v>0</v>
      </c>
      <c r="G45" s="1092">
        <v>0</v>
      </c>
      <c r="H45" s="897">
        <v>5.937329434771045</v>
      </c>
      <c r="I45" s="898">
        <v>10.48628428927681</v>
      </c>
      <c r="J45" s="1035">
        <v>12.585176470588239</v>
      </c>
      <c r="K45" s="898">
        <v>10.48628428927681</v>
      </c>
      <c r="L45" s="898">
        <v>12.233789798768562</v>
      </c>
      <c r="M45" s="898" t="s">
        <v>860</v>
      </c>
      <c r="N45" s="898">
        <v>0</v>
      </c>
      <c r="O45" s="898">
        <v>0</v>
      </c>
      <c r="P45" s="1032">
        <v>0</v>
      </c>
      <c r="Q45" s="1099"/>
      <c r="R45" s="1084">
        <v>70</v>
      </c>
      <c r="S45" s="1084">
        <v>60.358612203503867</v>
      </c>
      <c r="T45" s="1085">
        <f t="shared" si="5"/>
        <v>1.1597350807866396</v>
      </c>
      <c r="U45" s="1103">
        <f>Res_Std!AF44</f>
        <v>12.233789798768562</v>
      </c>
      <c r="V45" s="1085"/>
      <c r="W45" s="1084">
        <f t="shared" si="0"/>
        <v>0</v>
      </c>
      <c r="X45" s="1084">
        <f t="shared" si="1"/>
        <v>0</v>
      </c>
      <c r="Y45" s="1084">
        <f t="shared" si="2"/>
        <v>62.26052437210037</v>
      </c>
      <c r="Z45" s="1084">
        <f t="shared" si="3"/>
        <v>62.26052437210037</v>
      </c>
      <c r="AA45" s="1084">
        <f t="shared" si="4"/>
        <v>0</v>
      </c>
    </row>
    <row r="46" spans="1:27">
      <c r="A46" s="882">
        <f>Eingabedaten!A49</f>
        <v>12.7</v>
      </c>
      <c r="B46" s="873" t="str">
        <f>Eingabedaten!C49</f>
        <v>WC</v>
      </c>
      <c r="C46" s="894">
        <v>6</v>
      </c>
      <c r="D46" s="895">
        <v>0</v>
      </c>
      <c r="E46" s="1035">
        <v>0</v>
      </c>
      <c r="F46" s="895">
        <v>0</v>
      </c>
      <c r="G46" s="1092">
        <v>0</v>
      </c>
      <c r="H46" s="897">
        <v>10.996581654743881</v>
      </c>
      <c r="I46" s="898">
        <v>17.206982543640905</v>
      </c>
      <c r="J46" s="1035">
        <v>31.462941176470597</v>
      </c>
      <c r="K46" s="898">
        <v>17.206982543640905</v>
      </c>
      <c r="L46" s="898">
        <v>223.55329012981105</v>
      </c>
      <c r="M46" s="898" t="s">
        <v>785</v>
      </c>
      <c r="N46" s="898">
        <v>0</v>
      </c>
      <c r="O46" s="898">
        <v>0</v>
      </c>
      <c r="P46" s="1032">
        <v>0</v>
      </c>
      <c r="Q46" s="1099"/>
      <c r="R46" s="1084">
        <v>50</v>
      </c>
      <c r="S46" s="1084">
        <v>189.21798857289977</v>
      </c>
      <c r="T46" s="1085">
        <f t="shared" si="5"/>
        <v>0.26424548943313897</v>
      </c>
      <c r="U46" s="1103">
        <f>Res_Std!AF45</f>
        <v>223.55329012981105</v>
      </c>
      <c r="V46" s="1085"/>
      <c r="W46" s="1084">
        <f t="shared" si="0"/>
        <v>0</v>
      </c>
      <c r="X46" s="1084">
        <f t="shared" si="1"/>
        <v>0</v>
      </c>
      <c r="Y46" s="1084">
        <f t="shared" si="2"/>
        <v>189.21798857289977</v>
      </c>
      <c r="Z46" s="1084">
        <f t="shared" si="3"/>
        <v>189.21798857289977</v>
      </c>
      <c r="AA46" s="1084">
        <f t="shared" si="4"/>
        <v>0</v>
      </c>
    </row>
    <row r="47" spans="1:27">
      <c r="A47" s="889">
        <f>Eingabedaten!A50</f>
        <v>12.8</v>
      </c>
      <c r="B47" s="873" t="str">
        <f>Eingabedaten!C50</f>
        <v>Garderobe, Dusche</v>
      </c>
      <c r="C47" s="894">
        <v>5.2</v>
      </c>
      <c r="D47" s="895">
        <v>0</v>
      </c>
      <c r="E47" s="1035">
        <v>0</v>
      </c>
      <c r="F47" s="895">
        <v>0</v>
      </c>
      <c r="G47" s="1092">
        <v>4</v>
      </c>
      <c r="H47" s="897">
        <v>9.9373294347710441</v>
      </c>
      <c r="I47" s="898">
        <v>9.8919368246051551</v>
      </c>
      <c r="J47" s="1035">
        <v>12.585176470588239</v>
      </c>
      <c r="K47" s="898">
        <v>9.8919368246051551</v>
      </c>
      <c r="L47" s="898">
        <v>31.324269892202455</v>
      </c>
      <c r="M47" s="898" t="s">
        <v>860</v>
      </c>
      <c r="N47" s="898">
        <v>0</v>
      </c>
      <c r="O47" s="898">
        <v>0</v>
      </c>
      <c r="P47" s="1032">
        <v>0</v>
      </c>
      <c r="Q47" s="1099"/>
      <c r="R47" s="1084">
        <v>100</v>
      </c>
      <c r="S47" s="1084">
        <v>92.960190639896808</v>
      </c>
      <c r="T47" s="1085">
        <f t="shared" si="5"/>
        <v>1.0757292913412102</v>
      </c>
      <c r="U47" s="1103">
        <f>Res_Std!AF46</f>
        <v>11.540396242992143</v>
      </c>
      <c r="V47" s="1085">
        <f t="shared" si="6"/>
        <v>8.6652137322169143</v>
      </c>
      <c r="W47" s="1084">
        <f t="shared" si="0"/>
        <v>0</v>
      </c>
      <c r="X47" s="1084">
        <f t="shared" si="1"/>
        <v>0</v>
      </c>
      <c r="Y47" s="1084">
        <f t="shared" si="2"/>
        <v>98.299434974044416</v>
      </c>
      <c r="Z47" s="1084">
        <f t="shared" si="3"/>
        <v>98.299434974044416</v>
      </c>
      <c r="AA47" s="1084">
        <f t="shared" si="4"/>
        <v>0</v>
      </c>
    </row>
    <row r="48" spans="1:27">
      <c r="A48" s="889">
        <f>Eingabedaten!A51</f>
        <v>12.9</v>
      </c>
      <c r="B48" s="873" t="str">
        <f>Eingabedaten!C51</f>
        <v>Parkhaus</v>
      </c>
      <c r="C48" s="894">
        <v>6</v>
      </c>
      <c r="D48" s="895">
        <v>0</v>
      </c>
      <c r="E48" s="1035">
        <v>7.299999999999998</v>
      </c>
      <c r="F48" s="895">
        <v>0</v>
      </c>
      <c r="G48" s="1092">
        <v>0</v>
      </c>
      <c r="H48" s="897">
        <v>11</v>
      </c>
      <c r="I48" s="898">
        <v>2.8692762186115219</v>
      </c>
      <c r="J48" s="1035">
        <v>0</v>
      </c>
      <c r="K48" s="898">
        <v>2.8692762186115219</v>
      </c>
      <c r="L48" s="898">
        <v>37.300590841949784</v>
      </c>
      <c r="M48" s="898" t="s">
        <v>860</v>
      </c>
      <c r="N48" s="898">
        <v>0</v>
      </c>
      <c r="O48" s="898">
        <v>0</v>
      </c>
      <c r="P48" s="1032">
        <v>0</v>
      </c>
      <c r="Q48" s="1099"/>
      <c r="R48" s="1084">
        <v>20</v>
      </c>
      <c r="S48" s="1084">
        <v>31.562038404726742</v>
      </c>
      <c r="T48" s="1085">
        <f t="shared" si="5"/>
        <v>0.63367263367263349</v>
      </c>
      <c r="U48" s="1103">
        <f>Res_Std!AF47</f>
        <v>44.600590841949781</v>
      </c>
      <c r="V48" s="1085">
        <f t="shared" si="6"/>
        <v>0.44842455273459492</v>
      </c>
      <c r="W48" s="1084">
        <f t="shared" si="0"/>
        <v>0</v>
      </c>
      <c r="X48" s="1084">
        <f t="shared" si="1"/>
        <v>0</v>
      </c>
      <c r="Y48" s="1084">
        <f t="shared" si="2"/>
        <v>31.562038404726742</v>
      </c>
      <c r="Z48" s="1084">
        <f t="shared" si="3"/>
        <v>31.562038404726742</v>
      </c>
      <c r="AA48" s="1084">
        <f t="shared" si="4"/>
        <v>0</v>
      </c>
    </row>
    <row r="49" spans="1:27">
      <c r="A49" s="889" t="str">
        <f>Eingabedaten!A52</f>
        <v>12.10</v>
      </c>
      <c r="B49" s="873" t="str">
        <f>Eingabedaten!C52</f>
        <v>Wasch- und Trockenraum</v>
      </c>
      <c r="C49" s="894">
        <v>6</v>
      </c>
      <c r="D49" s="895">
        <v>3.5</v>
      </c>
      <c r="E49" s="1035">
        <v>7.299999999999998</v>
      </c>
      <c r="F49" s="895">
        <v>20</v>
      </c>
      <c r="G49" s="1092">
        <v>0</v>
      </c>
      <c r="H49" s="897">
        <v>5.937329434771045</v>
      </c>
      <c r="I49" s="898">
        <v>9.8919368246051551</v>
      </c>
      <c r="J49" s="1035">
        <v>12.585176470588239</v>
      </c>
      <c r="K49" s="898">
        <v>33.391936824605153</v>
      </c>
      <c r="L49" s="898">
        <v>178.5403962429921</v>
      </c>
      <c r="M49" s="898" t="s">
        <v>784</v>
      </c>
      <c r="N49" s="898">
        <v>0</v>
      </c>
      <c r="O49" s="898">
        <v>0</v>
      </c>
      <c r="P49" s="1032">
        <v>0</v>
      </c>
      <c r="Q49" s="1099"/>
      <c r="R49" s="1084">
        <v>130</v>
      </c>
      <c r="S49" s="1084">
        <v>229.93168767562378</v>
      </c>
      <c r="T49" s="1085">
        <f t="shared" si="5"/>
        <v>0.56538531645711032</v>
      </c>
      <c r="U49" s="1103">
        <f>Res_Std!AF48</f>
        <v>157.5403962429921</v>
      </c>
      <c r="V49" s="1085">
        <f t="shared" si="6"/>
        <v>0.82518517853342532</v>
      </c>
      <c r="W49" s="1084">
        <f t="shared" si="0"/>
        <v>21</v>
      </c>
      <c r="X49" s="1084">
        <f t="shared" si="1"/>
        <v>145.99999999999997</v>
      </c>
      <c r="Y49" s="1084">
        <f t="shared" si="2"/>
        <v>58.73168767562381</v>
      </c>
      <c r="Z49" s="1084">
        <f t="shared" si="3"/>
        <v>225.73168767562379</v>
      </c>
      <c r="AA49" s="1084">
        <f t="shared" si="4"/>
        <v>166.99999999999997</v>
      </c>
    </row>
    <row r="50" spans="1:27">
      <c r="A50" s="892">
        <f>Eingabedaten!A53</f>
        <v>12.11</v>
      </c>
      <c r="B50" s="873" t="str">
        <f>Eingabedaten!C53</f>
        <v>Kühlraum</v>
      </c>
      <c r="C50" s="894">
        <v>0</v>
      </c>
      <c r="D50" s="895">
        <v>0</v>
      </c>
      <c r="E50" s="1035">
        <v>0</v>
      </c>
      <c r="F50" s="895">
        <v>0</v>
      </c>
      <c r="G50" s="1092">
        <v>0</v>
      </c>
      <c r="H50" s="897">
        <v>0</v>
      </c>
      <c r="I50" s="898">
        <v>5.6505223171889831</v>
      </c>
      <c r="J50" s="1035">
        <v>4.07</v>
      </c>
      <c r="K50" s="898">
        <v>5.6505223171889831</v>
      </c>
      <c r="L50" s="898">
        <v>11.301044634377966</v>
      </c>
      <c r="M50" s="898" t="s">
        <v>860</v>
      </c>
      <c r="N50" s="898">
        <v>1</v>
      </c>
      <c r="O50" s="898">
        <v>3910</v>
      </c>
      <c r="P50" s="1032">
        <v>3.9143750000000002</v>
      </c>
      <c r="Q50" s="1099"/>
      <c r="R50" s="1084">
        <v>0</v>
      </c>
      <c r="S50" s="1084">
        <v>0</v>
      </c>
      <c r="T50" s="1085"/>
      <c r="U50" s="1103">
        <f>Res_Std!AF49</f>
        <v>11.301044634377966</v>
      </c>
      <c r="V50" s="1085">
        <f t="shared" si="6"/>
        <v>0</v>
      </c>
      <c r="W50" s="1084">
        <f t="shared" si="0"/>
        <v>0</v>
      </c>
      <c r="X50" s="1084">
        <f t="shared" si="1"/>
        <v>0</v>
      </c>
      <c r="Y50" s="1084">
        <f t="shared" si="2"/>
        <v>0</v>
      </c>
      <c r="Z50" s="1084">
        <f t="shared" si="3"/>
        <v>0</v>
      </c>
      <c r="AA50" s="1084">
        <f t="shared" si="4"/>
        <v>0</v>
      </c>
    </row>
    <row r="51" spans="1:27">
      <c r="A51" s="885">
        <f>Eingabedaten!A54</f>
        <v>12.12</v>
      </c>
      <c r="B51" s="916" t="str">
        <f>Eingabedaten!C54</f>
        <v>Serverraum</v>
      </c>
      <c r="C51" s="902">
        <v>24</v>
      </c>
      <c r="D51" s="903">
        <v>0</v>
      </c>
      <c r="E51" s="1037">
        <v>24</v>
      </c>
      <c r="F51" s="903">
        <v>100</v>
      </c>
      <c r="G51" s="907">
        <v>0</v>
      </c>
      <c r="H51" s="904">
        <v>0</v>
      </c>
      <c r="I51" s="905">
        <v>6.6310541310541309</v>
      </c>
      <c r="J51" s="1037">
        <v>1.7520000000000002</v>
      </c>
      <c r="K51" s="905">
        <v>106.63105413105413</v>
      </c>
      <c r="L51" s="905">
        <v>2413.2621082621081</v>
      </c>
      <c r="M51" s="905" t="s">
        <v>785</v>
      </c>
      <c r="N51" s="905">
        <v>101</v>
      </c>
      <c r="O51" s="905">
        <v>7630</v>
      </c>
      <c r="P51" s="1034">
        <v>771.11874999999998</v>
      </c>
      <c r="Q51" s="1099"/>
      <c r="R51" s="1082">
        <v>12000</v>
      </c>
      <c r="S51" s="1082">
        <v>2400</v>
      </c>
      <c r="T51" s="1087">
        <f t="shared" si="5"/>
        <v>5</v>
      </c>
      <c r="U51" s="1102">
        <f>Res_Std!AF50</f>
        <v>2413.2621082621081</v>
      </c>
      <c r="V51" s="1087">
        <f t="shared" si="6"/>
        <v>4.9725224454138166</v>
      </c>
      <c r="W51" s="1082">
        <f t="shared" si="0"/>
        <v>0</v>
      </c>
      <c r="X51" s="1082">
        <f t="shared" si="1"/>
        <v>2400</v>
      </c>
      <c r="Y51" s="1082">
        <f t="shared" si="2"/>
        <v>0</v>
      </c>
      <c r="Z51" s="1082">
        <f t="shared" si="3"/>
        <v>2400</v>
      </c>
      <c r="AA51" s="1082">
        <f t="shared" si="4"/>
        <v>2400</v>
      </c>
    </row>
    <row r="54" spans="1:27">
      <c r="B54" s="893" t="s">
        <v>656</v>
      </c>
      <c r="C54" s="1031"/>
      <c r="D54" s="1031"/>
      <c r="E54" s="1031"/>
      <c r="F54" s="1031"/>
    </row>
    <row r="55" spans="1:27">
      <c r="B55" s="930" t="s">
        <v>657</v>
      </c>
      <c r="C55" s="930"/>
      <c r="D55" s="930"/>
      <c r="E55" s="930"/>
    </row>
  </sheetData>
  <mergeCells count="1">
    <mergeCell ref="R4:AA4"/>
  </mergeCells>
  <pageMargins left="0.7" right="0.7" top="0.75" bottom="0.75" header="0.3" footer="0.3"/>
  <pageSetup paperSize="8" scale="35" orientation="portrait" r:id="rId1"/>
  <headerFooter>
    <oddHeader>&amp;LLemon Consult&amp;R&amp;D</oddHeader>
    <oddFooter>&amp;C&amp;P/&amp;N&amp;R&amp;F</oddFooter>
  </headerFooter>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2"/>
  <dimension ref="A1:Y656"/>
  <sheetViews>
    <sheetView topLeftCell="A266" zoomScale="85" zoomScaleNormal="85" workbookViewId="0">
      <selection activeCell="B271" sqref="B271:B282"/>
    </sheetView>
  </sheetViews>
  <sheetFormatPr baseColWidth="10" defaultRowHeight="13.2"/>
  <cols>
    <col min="1" max="1" width="11.44140625" style="445"/>
    <col min="2" max="9" width="14.44140625" style="445" customWidth="1"/>
    <col min="10" max="12" width="11.44140625" style="445"/>
    <col min="13" max="13" width="12.88671875" style="445" customWidth="1"/>
    <col min="14" max="262" width="11.44140625" style="445"/>
    <col min="263" max="263" width="8.109375" style="445" customWidth="1"/>
    <col min="264" max="268" width="11.44140625" style="445"/>
    <col min="269" max="269" width="2" style="445" customWidth="1"/>
    <col min="270" max="518" width="11.44140625" style="445"/>
    <col min="519" max="519" width="8.109375" style="445" customWidth="1"/>
    <col min="520" max="524" width="11.44140625" style="445"/>
    <col min="525" max="525" width="2" style="445" customWidth="1"/>
    <col min="526" max="774" width="11.44140625" style="445"/>
    <col min="775" max="775" width="8.109375" style="445" customWidth="1"/>
    <col min="776" max="780" width="11.44140625" style="445"/>
    <col min="781" max="781" width="2" style="445" customWidth="1"/>
    <col min="782" max="1030" width="11.44140625" style="445"/>
    <col min="1031" max="1031" width="8.109375" style="445" customWidth="1"/>
    <col min="1032" max="1036" width="11.44140625" style="445"/>
    <col min="1037" max="1037" width="2" style="445" customWidth="1"/>
    <col min="1038" max="1286" width="11.44140625" style="445"/>
    <col min="1287" max="1287" width="8.109375" style="445" customWidth="1"/>
    <col min="1288" max="1292" width="11.44140625" style="445"/>
    <col min="1293" max="1293" width="2" style="445" customWidth="1"/>
    <col min="1294" max="1542" width="11.44140625" style="445"/>
    <col min="1543" max="1543" width="8.109375" style="445" customWidth="1"/>
    <col min="1544" max="1548" width="11.44140625" style="445"/>
    <col min="1549" max="1549" width="2" style="445" customWidth="1"/>
    <col min="1550" max="1798" width="11.44140625" style="445"/>
    <col min="1799" max="1799" width="8.109375" style="445" customWidth="1"/>
    <col min="1800" max="1804" width="11.44140625" style="445"/>
    <col min="1805" max="1805" width="2" style="445" customWidth="1"/>
    <col min="1806" max="2054" width="11.44140625" style="445"/>
    <col min="2055" max="2055" width="8.109375" style="445" customWidth="1"/>
    <col min="2056" max="2060" width="11.44140625" style="445"/>
    <col min="2061" max="2061" width="2" style="445" customWidth="1"/>
    <col min="2062" max="2310" width="11.44140625" style="445"/>
    <col min="2311" max="2311" width="8.109375" style="445" customWidth="1"/>
    <col min="2312" max="2316" width="11.44140625" style="445"/>
    <col min="2317" max="2317" width="2" style="445" customWidth="1"/>
    <col min="2318" max="2566" width="11.44140625" style="445"/>
    <col min="2567" max="2567" width="8.109375" style="445" customWidth="1"/>
    <col min="2568" max="2572" width="11.44140625" style="445"/>
    <col min="2573" max="2573" width="2" style="445" customWidth="1"/>
    <col min="2574" max="2822" width="11.44140625" style="445"/>
    <col min="2823" max="2823" width="8.109375" style="445" customWidth="1"/>
    <col min="2824" max="2828" width="11.44140625" style="445"/>
    <col min="2829" max="2829" width="2" style="445" customWidth="1"/>
    <col min="2830" max="3078" width="11.44140625" style="445"/>
    <col min="3079" max="3079" width="8.109375" style="445" customWidth="1"/>
    <col min="3080" max="3084" width="11.44140625" style="445"/>
    <col min="3085" max="3085" width="2" style="445" customWidth="1"/>
    <col min="3086" max="3334" width="11.44140625" style="445"/>
    <col min="3335" max="3335" width="8.109375" style="445" customWidth="1"/>
    <col min="3336" max="3340" width="11.44140625" style="445"/>
    <col min="3341" max="3341" width="2" style="445" customWidth="1"/>
    <col min="3342" max="3590" width="11.44140625" style="445"/>
    <col min="3591" max="3591" width="8.109375" style="445" customWidth="1"/>
    <col min="3592" max="3596" width="11.44140625" style="445"/>
    <col min="3597" max="3597" width="2" style="445" customWidth="1"/>
    <col min="3598" max="3846" width="11.44140625" style="445"/>
    <col min="3847" max="3847" width="8.109375" style="445" customWidth="1"/>
    <col min="3848" max="3852" width="11.44140625" style="445"/>
    <col min="3853" max="3853" width="2" style="445" customWidth="1"/>
    <col min="3854" max="4102" width="11.44140625" style="445"/>
    <col min="4103" max="4103" width="8.109375" style="445" customWidth="1"/>
    <col min="4104" max="4108" width="11.44140625" style="445"/>
    <col min="4109" max="4109" width="2" style="445" customWidth="1"/>
    <col min="4110" max="4358" width="11.44140625" style="445"/>
    <col min="4359" max="4359" width="8.109375" style="445" customWidth="1"/>
    <col min="4360" max="4364" width="11.44140625" style="445"/>
    <col min="4365" max="4365" width="2" style="445" customWidth="1"/>
    <col min="4366" max="4614" width="11.44140625" style="445"/>
    <col min="4615" max="4615" width="8.109375" style="445" customWidth="1"/>
    <col min="4616" max="4620" width="11.44140625" style="445"/>
    <col min="4621" max="4621" width="2" style="445" customWidth="1"/>
    <col min="4622" max="4870" width="11.44140625" style="445"/>
    <col min="4871" max="4871" width="8.109375" style="445" customWidth="1"/>
    <col min="4872" max="4876" width="11.44140625" style="445"/>
    <col min="4877" max="4877" width="2" style="445" customWidth="1"/>
    <col min="4878" max="5126" width="11.44140625" style="445"/>
    <col min="5127" max="5127" width="8.109375" style="445" customWidth="1"/>
    <col min="5128" max="5132" width="11.44140625" style="445"/>
    <col min="5133" max="5133" width="2" style="445" customWidth="1"/>
    <col min="5134" max="5382" width="11.44140625" style="445"/>
    <col min="5383" max="5383" width="8.109375" style="445" customWidth="1"/>
    <col min="5384" max="5388" width="11.44140625" style="445"/>
    <col min="5389" max="5389" width="2" style="445" customWidth="1"/>
    <col min="5390" max="5638" width="11.44140625" style="445"/>
    <col min="5639" max="5639" width="8.109375" style="445" customWidth="1"/>
    <col min="5640" max="5644" width="11.44140625" style="445"/>
    <col min="5645" max="5645" width="2" style="445" customWidth="1"/>
    <col min="5646" max="5894" width="11.44140625" style="445"/>
    <col min="5895" max="5895" width="8.109375" style="445" customWidth="1"/>
    <col min="5896" max="5900" width="11.44140625" style="445"/>
    <col min="5901" max="5901" width="2" style="445" customWidth="1"/>
    <col min="5902" max="6150" width="11.44140625" style="445"/>
    <col min="6151" max="6151" width="8.109375" style="445" customWidth="1"/>
    <col min="6152" max="6156" width="11.44140625" style="445"/>
    <col min="6157" max="6157" width="2" style="445" customWidth="1"/>
    <col min="6158" max="6406" width="11.44140625" style="445"/>
    <col min="6407" max="6407" width="8.109375" style="445" customWidth="1"/>
    <col min="6408" max="6412" width="11.44140625" style="445"/>
    <col min="6413" max="6413" width="2" style="445" customWidth="1"/>
    <col min="6414" max="6662" width="11.44140625" style="445"/>
    <col min="6663" max="6663" width="8.109375" style="445" customWidth="1"/>
    <col min="6664" max="6668" width="11.44140625" style="445"/>
    <col min="6669" max="6669" width="2" style="445" customWidth="1"/>
    <col min="6670" max="6918" width="11.44140625" style="445"/>
    <col min="6919" max="6919" width="8.109375" style="445" customWidth="1"/>
    <col min="6920" max="6924" width="11.44140625" style="445"/>
    <col min="6925" max="6925" width="2" style="445" customWidth="1"/>
    <col min="6926" max="7174" width="11.44140625" style="445"/>
    <col min="7175" max="7175" width="8.109375" style="445" customWidth="1"/>
    <col min="7176" max="7180" width="11.44140625" style="445"/>
    <col min="7181" max="7181" width="2" style="445" customWidth="1"/>
    <col min="7182" max="7430" width="11.44140625" style="445"/>
    <col min="7431" max="7431" width="8.109375" style="445" customWidth="1"/>
    <col min="7432" max="7436" width="11.44140625" style="445"/>
    <col min="7437" max="7437" width="2" style="445" customWidth="1"/>
    <col min="7438" max="7686" width="11.44140625" style="445"/>
    <col min="7687" max="7687" width="8.109375" style="445" customWidth="1"/>
    <col min="7688" max="7692" width="11.44140625" style="445"/>
    <col min="7693" max="7693" width="2" style="445" customWidth="1"/>
    <col min="7694" max="7942" width="11.44140625" style="445"/>
    <col min="7943" max="7943" width="8.109375" style="445" customWidth="1"/>
    <col min="7944" max="7948" width="11.44140625" style="445"/>
    <col min="7949" max="7949" width="2" style="445" customWidth="1"/>
    <col min="7950" max="8198" width="11.44140625" style="445"/>
    <col min="8199" max="8199" width="8.109375" style="445" customWidth="1"/>
    <col min="8200" max="8204" width="11.44140625" style="445"/>
    <col min="8205" max="8205" width="2" style="445" customWidth="1"/>
    <col min="8206" max="8454" width="11.44140625" style="445"/>
    <col min="8455" max="8455" width="8.109375" style="445" customWidth="1"/>
    <col min="8456" max="8460" width="11.44140625" style="445"/>
    <col min="8461" max="8461" width="2" style="445" customWidth="1"/>
    <col min="8462" max="8710" width="11.44140625" style="445"/>
    <col min="8711" max="8711" width="8.109375" style="445" customWidth="1"/>
    <col min="8712" max="8716" width="11.44140625" style="445"/>
    <col min="8717" max="8717" width="2" style="445" customWidth="1"/>
    <col min="8718" max="8966" width="11.44140625" style="445"/>
    <col min="8967" max="8967" width="8.109375" style="445" customWidth="1"/>
    <col min="8968" max="8972" width="11.44140625" style="445"/>
    <col min="8973" max="8973" width="2" style="445" customWidth="1"/>
    <col min="8974" max="9222" width="11.44140625" style="445"/>
    <col min="9223" max="9223" width="8.109375" style="445" customWidth="1"/>
    <col min="9224" max="9228" width="11.44140625" style="445"/>
    <col min="9229" max="9229" width="2" style="445" customWidth="1"/>
    <col min="9230" max="9478" width="11.44140625" style="445"/>
    <col min="9479" max="9479" width="8.109375" style="445" customWidth="1"/>
    <col min="9480" max="9484" width="11.44140625" style="445"/>
    <col min="9485" max="9485" width="2" style="445" customWidth="1"/>
    <col min="9486" max="9734" width="11.44140625" style="445"/>
    <col min="9735" max="9735" width="8.109375" style="445" customWidth="1"/>
    <col min="9736" max="9740" width="11.44140625" style="445"/>
    <col min="9741" max="9741" width="2" style="445" customWidth="1"/>
    <col min="9742" max="9990" width="11.44140625" style="445"/>
    <col min="9991" max="9991" width="8.109375" style="445" customWidth="1"/>
    <col min="9992" max="9996" width="11.44140625" style="445"/>
    <col min="9997" max="9997" width="2" style="445" customWidth="1"/>
    <col min="9998" max="10246" width="11.44140625" style="445"/>
    <col min="10247" max="10247" width="8.109375" style="445" customWidth="1"/>
    <col min="10248" max="10252" width="11.44140625" style="445"/>
    <col min="10253" max="10253" width="2" style="445" customWidth="1"/>
    <col min="10254" max="10502" width="11.44140625" style="445"/>
    <col min="10503" max="10503" width="8.109375" style="445" customWidth="1"/>
    <col min="10504" max="10508" width="11.44140625" style="445"/>
    <col min="10509" max="10509" width="2" style="445" customWidth="1"/>
    <col min="10510" max="10758" width="11.44140625" style="445"/>
    <col min="10759" max="10759" width="8.109375" style="445" customWidth="1"/>
    <col min="10760" max="10764" width="11.44140625" style="445"/>
    <col min="10765" max="10765" width="2" style="445" customWidth="1"/>
    <col min="10766" max="11014" width="11.44140625" style="445"/>
    <col min="11015" max="11015" width="8.109375" style="445" customWidth="1"/>
    <col min="11016" max="11020" width="11.44140625" style="445"/>
    <col min="11021" max="11021" width="2" style="445" customWidth="1"/>
    <col min="11022" max="11270" width="11.44140625" style="445"/>
    <col min="11271" max="11271" width="8.109375" style="445" customWidth="1"/>
    <col min="11272" max="11276" width="11.44140625" style="445"/>
    <col min="11277" max="11277" width="2" style="445" customWidth="1"/>
    <col min="11278" max="11526" width="11.44140625" style="445"/>
    <col min="11527" max="11527" width="8.109375" style="445" customWidth="1"/>
    <col min="11528" max="11532" width="11.44140625" style="445"/>
    <col min="11533" max="11533" width="2" style="445" customWidth="1"/>
    <col min="11534" max="11782" width="11.44140625" style="445"/>
    <col min="11783" max="11783" width="8.109375" style="445" customWidth="1"/>
    <col min="11784" max="11788" width="11.44140625" style="445"/>
    <col min="11789" max="11789" width="2" style="445" customWidth="1"/>
    <col min="11790" max="12038" width="11.44140625" style="445"/>
    <col min="12039" max="12039" width="8.109375" style="445" customWidth="1"/>
    <col min="12040" max="12044" width="11.44140625" style="445"/>
    <col min="12045" max="12045" width="2" style="445" customWidth="1"/>
    <col min="12046" max="12294" width="11.44140625" style="445"/>
    <col min="12295" max="12295" width="8.109375" style="445" customWidth="1"/>
    <col min="12296" max="12300" width="11.44140625" style="445"/>
    <col min="12301" max="12301" width="2" style="445" customWidth="1"/>
    <col min="12302" max="12550" width="11.44140625" style="445"/>
    <col min="12551" max="12551" width="8.109375" style="445" customWidth="1"/>
    <col min="12552" max="12556" width="11.44140625" style="445"/>
    <col min="12557" max="12557" width="2" style="445" customWidth="1"/>
    <col min="12558" max="12806" width="11.44140625" style="445"/>
    <col min="12807" max="12807" width="8.109375" style="445" customWidth="1"/>
    <col min="12808" max="12812" width="11.44140625" style="445"/>
    <col min="12813" max="12813" width="2" style="445" customWidth="1"/>
    <col min="12814" max="13062" width="11.44140625" style="445"/>
    <col min="13063" max="13063" width="8.109375" style="445" customWidth="1"/>
    <col min="13064" max="13068" width="11.44140625" style="445"/>
    <col min="13069" max="13069" width="2" style="445" customWidth="1"/>
    <col min="13070" max="13318" width="11.44140625" style="445"/>
    <col min="13319" max="13319" width="8.109375" style="445" customWidth="1"/>
    <col min="13320" max="13324" width="11.44140625" style="445"/>
    <col min="13325" max="13325" width="2" style="445" customWidth="1"/>
    <col min="13326" max="13574" width="11.44140625" style="445"/>
    <col min="13575" max="13575" width="8.109375" style="445" customWidth="1"/>
    <col min="13576" max="13580" width="11.44140625" style="445"/>
    <col min="13581" max="13581" width="2" style="445" customWidth="1"/>
    <col min="13582" max="13830" width="11.44140625" style="445"/>
    <col min="13831" max="13831" width="8.109375" style="445" customWidth="1"/>
    <col min="13832" max="13836" width="11.44140625" style="445"/>
    <col min="13837" max="13837" width="2" style="445" customWidth="1"/>
    <col min="13838" max="14086" width="11.44140625" style="445"/>
    <col min="14087" max="14087" width="8.109375" style="445" customWidth="1"/>
    <col min="14088" max="14092" width="11.44140625" style="445"/>
    <col min="14093" max="14093" width="2" style="445" customWidth="1"/>
    <col min="14094" max="14342" width="11.44140625" style="445"/>
    <col min="14343" max="14343" width="8.109375" style="445" customWidth="1"/>
    <col min="14344" max="14348" width="11.44140625" style="445"/>
    <col min="14349" max="14349" width="2" style="445" customWidth="1"/>
    <col min="14350" max="14598" width="11.44140625" style="445"/>
    <col min="14599" max="14599" width="8.109375" style="445" customWidth="1"/>
    <col min="14600" max="14604" width="11.44140625" style="445"/>
    <col min="14605" max="14605" width="2" style="445" customWidth="1"/>
    <col min="14606" max="14854" width="11.44140625" style="445"/>
    <col min="14855" max="14855" width="8.109375" style="445" customWidth="1"/>
    <col min="14856" max="14860" width="11.44140625" style="445"/>
    <col min="14861" max="14861" width="2" style="445" customWidth="1"/>
    <col min="14862" max="15110" width="11.44140625" style="445"/>
    <col min="15111" max="15111" width="8.109375" style="445" customWidth="1"/>
    <col min="15112" max="15116" width="11.44140625" style="445"/>
    <col min="15117" max="15117" width="2" style="445" customWidth="1"/>
    <col min="15118" max="15366" width="11.44140625" style="445"/>
    <col min="15367" max="15367" width="8.109375" style="445" customWidth="1"/>
    <col min="15368" max="15372" width="11.44140625" style="445"/>
    <col min="15373" max="15373" width="2" style="445" customWidth="1"/>
    <col min="15374" max="15622" width="11.44140625" style="445"/>
    <col min="15623" max="15623" width="8.109375" style="445" customWidth="1"/>
    <col min="15624" max="15628" width="11.44140625" style="445"/>
    <col min="15629" max="15629" width="2" style="445" customWidth="1"/>
    <col min="15630" max="15878" width="11.44140625" style="445"/>
    <col min="15879" max="15879" width="8.109375" style="445" customWidth="1"/>
    <col min="15880" max="15884" width="11.44140625" style="445"/>
    <col min="15885" max="15885" width="2" style="445" customWidth="1"/>
    <col min="15886" max="16134" width="11.44140625" style="445"/>
    <col min="16135" max="16135" width="8.109375" style="445" customWidth="1"/>
    <col min="16136" max="16140" width="11.44140625" style="445"/>
    <col min="16141" max="16141" width="2" style="445" customWidth="1"/>
    <col min="16142" max="16384" width="11.44140625" style="445"/>
  </cols>
  <sheetData>
    <row r="1" spans="1:25" ht="16.5" customHeight="1">
      <c r="A1" s="505"/>
      <c r="B1" s="508" t="str">
        <f>Datenblatt!C2</f>
        <v>Empfang, Lobby</v>
      </c>
      <c r="C1" s="504"/>
      <c r="D1" s="505"/>
      <c r="E1" s="506"/>
      <c r="F1" s="505"/>
      <c r="G1" s="507"/>
      <c r="H1" s="506"/>
      <c r="I1" s="504"/>
      <c r="J1" s="504"/>
      <c r="K1" s="504"/>
      <c r="L1" s="504"/>
      <c r="M1" s="504"/>
      <c r="N1" s="504"/>
      <c r="O1" s="504"/>
      <c r="P1" s="504"/>
      <c r="Q1" s="504"/>
      <c r="R1" s="504"/>
      <c r="S1" s="504"/>
      <c r="T1" s="504"/>
      <c r="U1" s="504"/>
      <c r="V1" s="504"/>
      <c r="W1" s="504"/>
      <c r="X1" s="504"/>
      <c r="Y1" s="504"/>
    </row>
    <row r="2" spans="1:25" ht="24" customHeight="1">
      <c r="A2" s="509">
        <f>Datenblatt!O2</f>
        <v>2.2000000000000002</v>
      </c>
      <c r="B2" s="509" t="str">
        <f>Datenblatt!C2</f>
        <v>Empfang, Lobby</v>
      </c>
      <c r="C2" s="504"/>
      <c r="D2" s="505"/>
      <c r="E2" s="505"/>
      <c r="F2" s="505"/>
      <c r="G2" s="505"/>
      <c r="H2" s="505"/>
      <c r="I2" s="504"/>
      <c r="J2" s="504"/>
      <c r="K2" s="504"/>
      <c r="L2" s="504"/>
      <c r="M2" s="504"/>
      <c r="N2" s="504"/>
      <c r="O2" s="504"/>
      <c r="P2" s="504"/>
      <c r="Q2" s="504"/>
      <c r="R2" s="504"/>
      <c r="S2" s="504"/>
      <c r="T2" s="504"/>
      <c r="U2" s="504"/>
      <c r="V2" s="504"/>
      <c r="W2" s="504"/>
      <c r="X2" s="504"/>
      <c r="Y2" s="504"/>
    </row>
    <row r="3" spans="1:25" s="482" customFormat="1" ht="24" customHeight="1">
      <c r="A3" s="510"/>
      <c r="B3" s="510"/>
      <c r="D3" s="511"/>
      <c r="E3" s="511"/>
      <c r="F3" s="511"/>
      <c r="G3" s="511"/>
      <c r="H3" s="511"/>
    </row>
    <row r="4" spans="1:25">
      <c r="B4" s="446" t="s">
        <v>301</v>
      </c>
      <c r="H4" s="446" t="s">
        <v>302</v>
      </c>
      <c r="N4" s="446" t="s">
        <v>304</v>
      </c>
      <c r="T4" s="446" t="s">
        <v>303</v>
      </c>
    </row>
    <row r="5" spans="1:25">
      <c r="A5" s="446" t="s">
        <v>12</v>
      </c>
      <c r="P5" s="447"/>
      <c r="Q5" s="448" t="s">
        <v>305</v>
      </c>
      <c r="R5" s="449">
        <f>D270</f>
        <v>0.70000000000000007</v>
      </c>
      <c r="V5" s="447"/>
      <c r="W5" s="448" t="s">
        <v>305</v>
      </c>
      <c r="X5" s="449">
        <f>C270</f>
        <v>0.78333333333333333</v>
      </c>
    </row>
    <row r="15" spans="1:25">
      <c r="A15" s="446" t="s">
        <v>70</v>
      </c>
    </row>
    <row r="24" spans="1:1">
      <c r="A24" s="446" t="s">
        <v>19</v>
      </c>
    </row>
    <row r="34" spans="1:2">
      <c r="A34" s="446" t="s">
        <v>23</v>
      </c>
    </row>
    <row r="35" spans="1:2">
      <c r="B35" s="446" t="s">
        <v>254</v>
      </c>
    </row>
    <row r="61" spans="1:24">
      <c r="K61" s="482"/>
      <c r="L61" s="482"/>
    </row>
    <row r="62" spans="1:24" ht="15.6">
      <c r="A62" s="473" t="s">
        <v>175</v>
      </c>
      <c r="B62" s="460"/>
      <c r="C62" s="460"/>
      <c r="D62" s="460"/>
      <c r="E62" s="460"/>
      <c r="K62" s="482"/>
      <c r="L62" s="482"/>
      <c r="R62"/>
      <c r="S62"/>
      <c r="T62"/>
      <c r="U62"/>
      <c r="V62"/>
      <c r="W62"/>
      <c r="X62"/>
    </row>
    <row r="63" spans="1:24" ht="15.6">
      <c r="A63" s="472"/>
      <c r="B63" s="1825" t="s">
        <v>12</v>
      </c>
      <c r="C63" s="1825"/>
      <c r="D63" s="1824" t="s">
        <v>64</v>
      </c>
      <c r="E63" s="1824"/>
      <c r="F63" s="418" t="s">
        <v>23</v>
      </c>
      <c r="G63" s="418"/>
      <c r="H63" s="419"/>
      <c r="I63" s="418"/>
      <c r="J63" s="419"/>
      <c r="K63" s="869"/>
      <c r="L63" s="870"/>
      <c r="N63" s="528" t="s">
        <v>361</v>
      </c>
      <c r="O63" s="521"/>
      <c r="P63" s="521"/>
      <c r="Q63" s="521"/>
      <c r="R63" s="521"/>
      <c r="S63" s="521"/>
      <c r="T63" s="521"/>
      <c r="W63"/>
      <c r="X63"/>
    </row>
    <row r="64" spans="1:24">
      <c r="F64" s="418" t="s">
        <v>284</v>
      </c>
      <c r="G64" s="418" t="s">
        <v>285</v>
      </c>
      <c r="H64" s="419" t="s">
        <v>286</v>
      </c>
      <c r="I64" s="418" t="s">
        <v>285</v>
      </c>
      <c r="J64" s="419" t="s">
        <v>286</v>
      </c>
      <c r="K64" s="23"/>
      <c r="L64" s="23"/>
      <c r="N64" s="521"/>
      <c r="O64" s="521"/>
      <c r="P64" s="521"/>
      <c r="Q64" s="521"/>
      <c r="R64" s="521"/>
      <c r="S64" s="521"/>
      <c r="T64" s="521">
        <v>500</v>
      </c>
      <c r="W64"/>
      <c r="X64"/>
    </row>
    <row r="65" spans="1:24" ht="24" customHeight="1">
      <c r="A65" s="453" t="s">
        <v>34</v>
      </c>
      <c r="B65" s="468" t="s">
        <v>171</v>
      </c>
      <c r="C65" s="468" t="s">
        <v>27</v>
      </c>
      <c r="D65" s="468" t="s">
        <v>172</v>
      </c>
      <c r="E65" s="468" t="s">
        <v>173</v>
      </c>
      <c r="F65" s="469" t="s">
        <v>254</v>
      </c>
      <c r="G65" s="470" t="s">
        <v>186</v>
      </c>
      <c r="H65" s="470"/>
      <c r="I65" s="470" t="s">
        <v>253</v>
      </c>
      <c r="J65" s="470"/>
      <c r="K65" s="471"/>
      <c r="L65" s="471"/>
      <c r="N65" s="522" t="s">
        <v>306</v>
      </c>
      <c r="O65" s="523" t="s">
        <v>360</v>
      </c>
      <c r="P65" s="524"/>
      <c r="Q65" s="524"/>
      <c r="R65" s="522" t="s">
        <v>307</v>
      </c>
      <c r="S65" s="522" t="s">
        <v>307</v>
      </c>
      <c r="T65" s="522" t="s">
        <v>19</v>
      </c>
      <c r="U65" s="445" t="s">
        <v>783</v>
      </c>
      <c r="W65"/>
      <c r="X65"/>
    </row>
    <row r="66" spans="1:24">
      <c r="A66" s="453" t="s">
        <v>174</v>
      </c>
      <c r="B66" s="454">
        <f t="shared" ref="B66:J66" si="0">SUM(B67:B90)</f>
        <v>11.299999999999999</v>
      </c>
      <c r="C66" s="454">
        <f t="shared" si="0"/>
        <v>20</v>
      </c>
      <c r="D66" s="454">
        <f t="shared" si="0"/>
        <v>11.7</v>
      </c>
      <c r="E66" s="454">
        <f t="shared" si="0"/>
        <v>2.4000000000000008</v>
      </c>
      <c r="F66" s="149">
        <f t="shared" si="0"/>
        <v>22</v>
      </c>
      <c r="G66" s="149">
        <f t="shared" si="0"/>
        <v>16.220000000000002</v>
      </c>
      <c r="H66" s="149">
        <f t="shared" si="0"/>
        <v>11.016012919401017</v>
      </c>
      <c r="I66" s="149">
        <f t="shared" si="0"/>
        <v>13</v>
      </c>
      <c r="J66" s="149">
        <f t="shared" si="0"/>
        <v>10.507551751186636</v>
      </c>
      <c r="K66" s="121"/>
      <c r="L66" s="276"/>
      <c r="N66" s="526" t="s">
        <v>29</v>
      </c>
      <c r="O66" s="527" t="s">
        <v>362</v>
      </c>
      <c r="P66" s="527" t="s">
        <v>3</v>
      </c>
      <c r="Q66" s="524"/>
      <c r="R66" s="525" t="s">
        <v>308</v>
      </c>
      <c r="S66" s="525" t="s">
        <v>309</v>
      </c>
      <c r="T66" s="524"/>
      <c r="W66"/>
      <c r="X66"/>
    </row>
    <row r="67" spans="1:24">
      <c r="A67" s="456">
        <v>1</v>
      </c>
      <c r="B67" s="457">
        <f>INDEX(Eingabedaten!$DA$10:$DX$54,nutzid,A67)</f>
        <v>0</v>
      </c>
      <c r="C67" s="453">
        <f t="shared" ref="C67:C90" si="1">IF(B67&gt;0,1,0)</f>
        <v>0</v>
      </c>
      <c r="D67" s="457">
        <f>IF(INDEX(Eingabedaten!$DY$10:$EV$54,nutzid,A67)=0,INDEX(Eingabedaten!$AV$10:$AV$54,nutzid),INDEX(Eingabedaten!$DY$10:$EV$54,nutzid,A67))</f>
        <v>0.1</v>
      </c>
      <c r="E67" s="458">
        <f>INDEX(Eingabedaten!$AV$10:$AV$54,nutzid)%</f>
        <v>0.1</v>
      </c>
      <c r="F67" s="497">
        <f>IF(OR(Profile!B67&gt;0,Profile!B68&gt;0,Profile!B90&gt;0),1,0)</f>
        <v>1</v>
      </c>
      <c r="G67" s="497">
        <f>IF(OR(Profile!B67&gt;0,Profile!B68&gt;0,Profile!B90&gt;0),IF(Profile!B67&gt;0.66,1,0.66),0)</f>
        <v>0.66</v>
      </c>
      <c r="H67" s="420">
        <f t="shared" ref="H67:H90" si="2">G67^2.5</f>
        <v>0.35388311290594243</v>
      </c>
      <c r="I67" s="497">
        <f>IF(Profile!B67&gt;0,IF(Profile!B67&lt;0.4,0.4,Profile!B67),IF(OR(Profile!B68&gt;0,Profile!B90&gt;0),0.4,0))</f>
        <v>0.4</v>
      </c>
      <c r="J67" s="444">
        <f>I67^1.5</f>
        <v>0.25298221281347039</v>
      </c>
      <c r="K67" s="121"/>
      <c r="L67" s="150"/>
      <c r="N67" s="529">
        <v>0</v>
      </c>
      <c r="O67" s="529">
        <v>199</v>
      </c>
      <c r="P67" s="530">
        <f>O67/10</f>
        <v>19.899999999999999</v>
      </c>
      <c r="Q67" s="524"/>
      <c r="R67" s="524"/>
      <c r="S67" s="524"/>
      <c r="T67" s="524">
        <f>IF(B67=0,0,IF(S67&lt;$T$64,1,0))*U67</f>
        <v>0</v>
      </c>
      <c r="U67" s="445">
        <f>IF(A$20="12.2",1,0)</f>
        <v>0</v>
      </c>
      <c r="W67"/>
      <c r="X67"/>
    </row>
    <row r="68" spans="1:24">
      <c r="A68" s="456">
        <f t="shared" ref="A68:A90" si="3">A67+1</f>
        <v>2</v>
      </c>
      <c r="B68" s="457">
        <f>INDEX(Eingabedaten!$DA$10:$DX$54,nutzid,A68)</f>
        <v>0</v>
      </c>
      <c r="C68" s="453">
        <f t="shared" si="1"/>
        <v>0</v>
      </c>
      <c r="D68" s="457">
        <f>IF(INDEX(Eingabedaten!$DY$10:$EV$54,nutzid,A68)=0,INDEX(Eingabedaten!$AV$10:$AV$54,nutzid),INDEX(Eingabedaten!$DY$10:$EV$54,nutzid,A68))</f>
        <v>0.1</v>
      </c>
      <c r="E68" s="458">
        <f>INDEX(Eingabedaten!$AV$10:$AV$54,nutzid)%</f>
        <v>0.1</v>
      </c>
      <c r="F68" s="497">
        <f>IF(OR(Profile!B68&gt;0,Profile!B69&gt;0,Profile!B67&gt;0),1,0)</f>
        <v>0</v>
      </c>
      <c r="G68" s="497">
        <f>IF(OR(Profile!B68&gt;0,Profile!B69&gt;0,Profile!B67&gt;0),IF(Profile!B68&gt;0.66,1,0.66),0)</f>
        <v>0</v>
      </c>
      <c r="H68" s="420">
        <f t="shared" si="2"/>
        <v>0</v>
      </c>
      <c r="I68" s="497">
        <f>IF(Profile!B68&gt;0,IF(Profile!B68&lt;0.4,0.4,Profile!B68),IF(OR(Profile!B69&gt;0,Profile!B67&gt;0),0.4,0))</f>
        <v>0</v>
      </c>
      <c r="J68" s="444">
        <f t="shared" ref="J68:J90" si="4">I68^1.5</f>
        <v>0</v>
      </c>
      <c r="K68" s="121"/>
      <c r="L68" s="150"/>
      <c r="N68" s="529">
        <v>0</v>
      </c>
      <c r="O68" s="529">
        <v>193</v>
      </c>
      <c r="P68" s="530">
        <f t="shared" ref="P68:P90" si="5">O68/10</f>
        <v>19.3</v>
      </c>
      <c r="Q68" s="524"/>
      <c r="R68" s="524"/>
      <c r="S68" s="524"/>
      <c r="T68" s="524">
        <f t="shared" ref="T68:T90" si="6">IF(B68=0,0,IF(S68&lt;$T$64,1,0))*U68</f>
        <v>0</v>
      </c>
      <c r="U68" s="445">
        <f>IF(A$20="12.2",1,0)</f>
        <v>0</v>
      </c>
      <c r="W68"/>
      <c r="X68"/>
    </row>
    <row r="69" spans="1:24">
      <c r="A69" s="456">
        <f t="shared" si="3"/>
        <v>3</v>
      </c>
      <c r="B69" s="457">
        <f>INDEX(Eingabedaten!$DA$10:$DX$54,nutzid,A69)</f>
        <v>0</v>
      </c>
      <c r="C69" s="453">
        <f t="shared" si="1"/>
        <v>0</v>
      </c>
      <c r="D69" s="457">
        <f>IF(INDEX(Eingabedaten!$DY$10:$EV$54,nutzid,A69)=0,INDEX(Eingabedaten!$AV$10:$AV$54,nutzid),INDEX(Eingabedaten!$DY$10:$EV$54,nutzid,A69))</f>
        <v>0.1</v>
      </c>
      <c r="E69" s="458">
        <f>INDEX(Eingabedaten!$AV$10:$AV$54,nutzid)%</f>
        <v>0.1</v>
      </c>
      <c r="F69" s="497">
        <f>IF(OR(Profile!B69&gt;0,Profile!B70&gt;0,Profile!B68&gt;0),1,0)</f>
        <v>0</v>
      </c>
      <c r="G69" s="497">
        <f>IF(OR(Profile!B69&gt;0,Profile!B70&gt;0,Profile!B68&gt;0),IF(Profile!B69&gt;0.66,1,0.66),0)</f>
        <v>0</v>
      </c>
      <c r="H69" s="420">
        <f t="shared" si="2"/>
        <v>0</v>
      </c>
      <c r="I69" s="497">
        <f>IF(Profile!B69&gt;0,IF(Profile!B69&lt;0.4,0.4,Profile!B69),IF(OR(Profile!B70&gt;0,Profile!B68&gt;0),0.4,0))</f>
        <v>0</v>
      </c>
      <c r="J69" s="444">
        <f t="shared" si="4"/>
        <v>0</v>
      </c>
      <c r="K69" s="121"/>
      <c r="L69" s="150"/>
      <c r="N69" s="529">
        <v>0</v>
      </c>
      <c r="O69" s="529">
        <v>188</v>
      </c>
      <c r="P69" s="530">
        <f t="shared" si="5"/>
        <v>18.8</v>
      </c>
      <c r="Q69" s="524"/>
      <c r="R69" s="524"/>
      <c r="S69" s="524"/>
      <c r="T69" s="524">
        <f t="shared" si="6"/>
        <v>0</v>
      </c>
      <c r="U69" s="445">
        <f>IF(A$20="12.2",1,0)</f>
        <v>0</v>
      </c>
      <c r="W69"/>
      <c r="X69"/>
    </row>
    <row r="70" spans="1:24">
      <c r="A70" s="456">
        <f t="shared" si="3"/>
        <v>4</v>
      </c>
      <c r="B70" s="457">
        <f>INDEX(Eingabedaten!$DA$10:$DX$54,nutzid,A70)</f>
        <v>0</v>
      </c>
      <c r="C70" s="453">
        <f t="shared" si="1"/>
        <v>0</v>
      </c>
      <c r="D70" s="457">
        <f>IF(INDEX(Eingabedaten!$DY$10:$EV$54,nutzid,A70)=0,INDEX(Eingabedaten!$AV$10:$AV$54,nutzid),INDEX(Eingabedaten!$DY$10:$EV$54,nutzid,A70))</f>
        <v>0.1</v>
      </c>
      <c r="E70" s="458">
        <f>INDEX(Eingabedaten!$AV$10:$AV$54,nutzid)%</f>
        <v>0.1</v>
      </c>
      <c r="F70" s="497">
        <f>IF(OR(Profile!B70&gt;0,Profile!B71&gt;0,Profile!B69&gt;0),1,0)</f>
        <v>1</v>
      </c>
      <c r="G70" s="497">
        <f>IF(OR(Profile!B70&gt;0,Profile!B71&gt;0,Profile!B69&gt;0),IF(Profile!B70&gt;0.66,1,0.66),0)</f>
        <v>0.66</v>
      </c>
      <c r="H70" s="420">
        <f t="shared" si="2"/>
        <v>0.35388311290594243</v>
      </c>
      <c r="I70" s="497">
        <f>IF(Profile!B70&gt;0,IF(Profile!B70&lt;0.4,0.4,Profile!B70),IF(OR(Profile!B71&gt;0,Profile!B69&gt;0),0.4,0))</f>
        <v>0.4</v>
      </c>
      <c r="J70" s="444">
        <f t="shared" si="4"/>
        <v>0.25298221281347039</v>
      </c>
      <c r="K70" s="121"/>
      <c r="L70" s="150"/>
      <c r="N70" s="529">
        <v>0</v>
      </c>
      <c r="O70" s="529">
        <v>184</v>
      </c>
      <c r="P70" s="530">
        <f t="shared" si="5"/>
        <v>18.399999999999999</v>
      </c>
      <c r="Q70" s="524"/>
      <c r="R70" s="524"/>
      <c r="S70" s="524"/>
      <c r="T70" s="524">
        <f t="shared" si="6"/>
        <v>0</v>
      </c>
      <c r="U70" s="445">
        <f>IF(A$20="12.2",1,0)</f>
        <v>0</v>
      </c>
      <c r="W70"/>
      <c r="X70"/>
    </row>
    <row r="71" spans="1:24">
      <c r="A71" s="456">
        <f t="shared" si="3"/>
        <v>5</v>
      </c>
      <c r="B71" s="457">
        <f>INDEX(Eingabedaten!$DA$10:$DX$54,nutzid,A71)</f>
        <v>0.1</v>
      </c>
      <c r="C71" s="453">
        <f t="shared" si="1"/>
        <v>1</v>
      </c>
      <c r="D71" s="457">
        <f>IF(INDEX(Eingabedaten!$DY$10:$EV$54,nutzid,A71)=0,INDEX(Eingabedaten!$AV$10:$AV$54,nutzid),INDEX(Eingabedaten!$DY$10:$EV$54,nutzid,A71))</f>
        <v>0.1</v>
      </c>
      <c r="E71" s="458">
        <f>INDEX(Eingabedaten!$AV$10:$AV$54,nutzid)%</f>
        <v>0.1</v>
      </c>
      <c r="F71" s="497">
        <f>IF(OR(Profile!B71&gt;0,Profile!B72&gt;0,Profile!B70&gt;0),1,0)</f>
        <v>1</v>
      </c>
      <c r="G71" s="497">
        <f>IF(OR(Profile!B71&gt;0,Profile!B72&gt;0,Profile!B70&gt;0),IF(Profile!B71&gt;0.66,1,0.66),0)</f>
        <v>0.66</v>
      </c>
      <c r="H71" s="420">
        <f t="shared" si="2"/>
        <v>0.35388311290594243</v>
      </c>
      <c r="I71" s="497">
        <f>IF(Profile!B71&gt;0,IF(Profile!B71&lt;0.4,0.4,Profile!B71),IF(OR(Profile!B72&gt;0,Profile!B70&gt;0),0.4,0))</f>
        <v>0.4</v>
      </c>
      <c r="J71" s="444">
        <f t="shared" si="4"/>
        <v>0.25298221281347039</v>
      </c>
      <c r="K71" s="121"/>
      <c r="L71" s="150"/>
      <c r="N71" s="529">
        <v>3</v>
      </c>
      <c r="O71" s="529">
        <v>183</v>
      </c>
      <c r="P71" s="530">
        <f t="shared" si="5"/>
        <v>18.3</v>
      </c>
      <c r="Q71" s="524"/>
      <c r="R71" s="524"/>
      <c r="S71" s="524"/>
      <c r="T71" s="524">
        <f t="shared" si="6"/>
        <v>0</v>
      </c>
      <c r="U71" s="445">
        <v>0</v>
      </c>
      <c r="W71"/>
      <c r="X71"/>
    </row>
    <row r="72" spans="1:24">
      <c r="A72" s="456">
        <f t="shared" si="3"/>
        <v>6</v>
      </c>
      <c r="B72" s="457">
        <f>INDEX(Eingabedaten!$DA$10:$DX$54,nutzid,A72)</f>
        <v>0.1</v>
      </c>
      <c r="C72" s="453">
        <f t="shared" si="1"/>
        <v>1</v>
      </c>
      <c r="D72" s="457">
        <f>IF(INDEX(Eingabedaten!$DY$10:$EV$54,nutzid,A72)=0,INDEX(Eingabedaten!$AV$10:$AV$54,nutzid),INDEX(Eingabedaten!$DY$10:$EV$54,nutzid,A72))</f>
        <v>0.1</v>
      </c>
      <c r="E72" s="458">
        <f>INDEX(Eingabedaten!$AV$10:$AV$54,nutzid)%</f>
        <v>0.1</v>
      </c>
      <c r="F72" s="497">
        <f>IF(OR(Profile!B72&gt;0,Profile!B73&gt;0,Profile!B71&gt;0),1,0)</f>
        <v>1</v>
      </c>
      <c r="G72" s="497">
        <f>IF(OR(Profile!B72&gt;0,Profile!B73&gt;0,Profile!B71&gt;0),IF(Profile!B72&gt;0.66,1,0.66),0)</f>
        <v>0.66</v>
      </c>
      <c r="H72" s="420">
        <f t="shared" si="2"/>
        <v>0.35388311290594243</v>
      </c>
      <c r="I72" s="497">
        <f>IF(Profile!B72&gt;0,IF(Profile!B72&lt;0.4,0.4,Profile!B72),IF(OR(Profile!B73&gt;0,Profile!B71&gt;0),0.4,0))</f>
        <v>0.4</v>
      </c>
      <c r="J72" s="444">
        <f t="shared" si="4"/>
        <v>0.25298221281347039</v>
      </c>
      <c r="K72" s="121"/>
      <c r="L72" s="150"/>
      <c r="N72" s="529">
        <v>33</v>
      </c>
      <c r="O72" s="529">
        <v>189</v>
      </c>
      <c r="P72" s="530">
        <f t="shared" si="5"/>
        <v>18.899999999999999</v>
      </c>
      <c r="Q72" s="524"/>
      <c r="R72" s="531">
        <f t="shared" ref="R72:R86" si="7">N72*0.5*0.3*100*6/20</f>
        <v>148.5</v>
      </c>
      <c r="S72" s="524">
        <f t="shared" ref="S72:S86" si="8">IF(N72&gt;200,R72/5,R72)</f>
        <v>148.5</v>
      </c>
      <c r="T72" s="524">
        <f t="shared" si="6"/>
        <v>0</v>
      </c>
      <c r="U72" s="445">
        <f>IF(A$20="12.2",1,0)</f>
        <v>0</v>
      </c>
      <c r="W72"/>
      <c r="X72"/>
    </row>
    <row r="73" spans="1:24">
      <c r="A73" s="456">
        <f t="shared" si="3"/>
        <v>7</v>
      </c>
      <c r="B73" s="457">
        <f>INDEX(Eingabedaten!$DA$10:$DX$54,nutzid,A73)</f>
        <v>0.5</v>
      </c>
      <c r="C73" s="453">
        <f t="shared" si="1"/>
        <v>1</v>
      </c>
      <c r="D73" s="457">
        <f>IF(INDEX(Eingabedaten!$DY$10:$EV$54,nutzid,A73)=0,INDEX(Eingabedaten!$AV$10:$AV$54,nutzid),INDEX(Eingabedaten!$DY$10:$EV$54,nutzid,A73))</f>
        <v>0.5</v>
      </c>
      <c r="E73" s="458">
        <f>INDEX(Eingabedaten!$AV$10:$AV$54,nutzid)%</f>
        <v>0.1</v>
      </c>
      <c r="F73" s="497">
        <f>IF(OR(Profile!B73&gt;0,Profile!B74&gt;0,Profile!B72&gt;0),1,0)</f>
        <v>1</v>
      </c>
      <c r="G73" s="497">
        <f>IF(OR(Profile!B73&gt;0,Profile!B74&gt;0,Profile!B72&gt;0),IF(Profile!B73&gt;0.66,1,0.66),0)</f>
        <v>0.66</v>
      </c>
      <c r="H73" s="420">
        <f t="shared" si="2"/>
        <v>0.35388311290594243</v>
      </c>
      <c r="I73" s="497">
        <f>IF(Profile!B73&gt;0,IF(Profile!B73&lt;0.4,0.4,Profile!B73),IF(OR(Profile!B74&gt;0,Profile!B72&gt;0),0.4,0))</f>
        <v>0.5</v>
      </c>
      <c r="J73" s="444">
        <f t="shared" si="4"/>
        <v>0.35355339059327379</v>
      </c>
      <c r="K73" s="121"/>
      <c r="L73" s="150"/>
      <c r="N73" s="529">
        <v>72</v>
      </c>
      <c r="O73" s="529">
        <v>203</v>
      </c>
      <c r="P73" s="530">
        <f t="shared" si="5"/>
        <v>20.3</v>
      </c>
      <c r="Q73" s="524"/>
      <c r="R73" s="531">
        <f t="shared" si="7"/>
        <v>324</v>
      </c>
      <c r="S73" s="524">
        <f t="shared" si="8"/>
        <v>324</v>
      </c>
      <c r="T73" s="524">
        <f t="shared" si="6"/>
        <v>1</v>
      </c>
      <c r="U73" s="445">
        <v>1</v>
      </c>
      <c r="W73"/>
      <c r="X73"/>
    </row>
    <row r="74" spans="1:24">
      <c r="A74" s="456">
        <f t="shared" si="3"/>
        <v>8</v>
      </c>
      <c r="B74" s="457">
        <f>INDEX(Eingabedaten!$DA$10:$DX$54,nutzid,A74)</f>
        <v>1</v>
      </c>
      <c r="C74" s="453">
        <f t="shared" si="1"/>
        <v>1</v>
      </c>
      <c r="D74" s="457">
        <f>IF(INDEX(Eingabedaten!$DY$10:$EV$54,nutzid,A74)=0,INDEX(Eingabedaten!$AV$10:$AV$54,nutzid),INDEX(Eingabedaten!$DY$10:$EV$54,nutzid,A74))</f>
        <v>1</v>
      </c>
      <c r="E74" s="458">
        <f>INDEX(Eingabedaten!$AV$10:$AV$54,nutzid)%</f>
        <v>0.1</v>
      </c>
      <c r="F74" s="497">
        <f>IF(OR(Profile!B74&gt;0,Profile!B75&gt;0,Profile!B73&gt;0),1,0)</f>
        <v>1</v>
      </c>
      <c r="G74" s="497">
        <f>IF(OR(Profile!B74&gt;0,Profile!B75&gt;0,Profile!B73&gt;0),IF(Profile!B74&gt;0.66,1,0.66),0)</f>
        <v>1</v>
      </c>
      <c r="H74" s="420">
        <f t="shared" si="2"/>
        <v>1</v>
      </c>
      <c r="I74" s="497">
        <f>IF(Profile!B74&gt;0,IF(Profile!B74&lt;0.4,0.4,Profile!B74),IF(OR(Profile!B75&gt;0,Profile!B73&gt;0),0.4,0))</f>
        <v>1</v>
      </c>
      <c r="J74" s="444">
        <f t="shared" si="4"/>
        <v>1</v>
      </c>
      <c r="K74" s="121"/>
      <c r="L74" s="150"/>
      <c r="N74" s="529">
        <v>150</v>
      </c>
      <c r="O74" s="529">
        <v>219</v>
      </c>
      <c r="P74" s="530">
        <f t="shared" si="5"/>
        <v>21.9</v>
      </c>
      <c r="Q74" s="524"/>
      <c r="R74" s="531">
        <f t="shared" si="7"/>
        <v>675</v>
      </c>
      <c r="S74" s="524">
        <f t="shared" si="8"/>
        <v>675</v>
      </c>
      <c r="T74" s="524">
        <f t="shared" si="6"/>
        <v>0</v>
      </c>
      <c r="U74" s="445">
        <v>1</v>
      </c>
      <c r="W74"/>
      <c r="X74"/>
    </row>
    <row r="75" spans="1:24">
      <c r="A75" s="456">
        <f t="shared" si="3"/>
        <v>9</v>
      </c>
      <c r="B75" s="457">
        <f>INDEX(Eingabedaten!$DA$10:$DX$54,nutzid,A75)</f>
        <v>1</v>
      </c>
      <c r="C75" s="453">
        <f t="shared" si="1"/>
        <v>1</v>
      </c>
      <c r="D75" s="457">
        <f>IF(INDEX(Eingabedaten!$DY$10:$EV$54,nutzid,A75)=0,INDEX(Eingabedaten!$AV$10:$AV$54,nutzid),INDEX(Eingabedaten!$DY$10:$EV$54,nutzid,A75))</f>
        <v>1</v>
      </c>
      <c r="E75" s="458">
        <f>INDEX(Eingabedaten!$AV$10:$AV$54,nutzid)%</f>
        <v>0.1</v>
      </c>
      <c r="F75" s="497">
        <f>IF(OR(Profile!B75&gt;0,Profile!B76&gt;0,Profile!B74&gt;0),1,0)</f>
        <v>1</v>
      </c>
      <c r="G75" s="497">
        <f>IF(OR(Profile!B75&gt;0,Profile!B76&gt;0,Profile!B74&gt;0),IF(Profile!B75&gt;0.66,1,0.66),0)</f>
        <v>1</v>
      </c>
      <c r="H75" s="420">
        <f t="shared" si="2"/>
        <v>1</v>
      </c>
      <c r="I75" s="497">
        <f>IF(Profile!B75&gt;0,IF(Profile!B75&lt;0.4,0.4,Profile!B75),IF(OR(Profile!B76&gt;0,Profile!B74&gt;0),0.4,0))</f>
        <v>1</v>
      </c>
      <c r="J75" s="444">
        <f t="shared" si="4"/>
        <v>1</v>
      </c>
      <c r="K75" s="121"/>
      <c r="L75" s="150"/>
      <c r="N75" s="529">
        <v>299</v>
      </c>
      <c r="O75" s="529">
        <v>240</v>
      </c>
      <c r="P75" s="530">
        <f t="shared" si="5"/>
        <v>24</v>
      </c>
      <c r="Q75" s="524"/>
      <c r="R75" s="531">
        <f t="shared" si="7"/>
        <v>1345.5</v>
      </c>
      <c r="S75" s="524">
        <f t="shared" si="8"/>
        <v>269.10000000000002</v>
      </c>
      <c r="T75" s="524">
        <f t="shared" si="6"/>
        <v>1</v>
      </c>
      <c r="U75" s="445">
        <v>1</v>
      </c>
      <c r="W75"/>
      <c r="X75"/>
    </row>
    <row r="76" spans="1:24">
      <c r="A76" s="456">
        <f t="shared" si="3"/>
        <v>10</v>
      </c>
      <c r="B76" s="457">
        <f>INDEX(Eingabedaten!$DA$10:$DX$54,nutzid,A76)</f>
        <v>0.5</v>
      </c>
      <c r="C76" s="453">
        <f t="shared" si="1"/>
        <v>1</v>
      </c>
      <c r="D76" s="457">
        <f>IF(INDEX(Eingabedaten!$DY$10:$EV$54,nutzid,A76)=0,INDEX(Eingabedaten!$AV$10:$AV$54,nutzid),INDEX(Eingabedaten!$DY$10:$EV$54,nutzid,A76))</f>
        <v>0.5</v>
      </c>
      <c r="E76" s="458">
        <f>INDEX(Eingabedaten!$AV$10:$AV$54,nutzid)%</f>
        <v>0.1</v>
      </c>
      <c r="F76" s="497">
        <f>IF(OR(Profile!B76&gt;0,Profile!B77&gt;0,Profile!B75&gt;0),1,0)</f>
        <v>1</v>
      </c>
      <c r="G76" s="497">
        <f>IF(OR(Profile!B76&gt;0,Profile!B77&gt;0,Profile!B75&gt;0),IF(Profile!B76&gt;0.66,1,0.66),0)</f>
        <v>0.66</v>
      </c>
      <c r="H76" s="420">
        <f t="shared" si="2"/>
        <v>0.35388311290594243</v>
      </c>
      <c r="I76" s="497">
        <f>IF(Profile!B76&gt;0,IF(Profile!B76&lt;0.4,0.4,Profile!B76),IF(OR(Profile!B77&gt;0,Profile!B75&gt;0),0.4,0))</f>
        <v>0.5</v>
      </c>
      <c r="J76" s="444">
        <f t="shared" si="4"/>
        <v>0.35355339059327379</v>
      </c>
      <c r="K76" s="121"/>
      <c r="L76" s="150"/>
      <c r="N76" s="529">
        <v>425</v>
      </c>
      <c r="O76" s="529">
        <v>250</v>
      </c>
      <c r="P76" s="530">
        <f t="shared" si="5"/>
        <v>25</v>
      </c>
      <c r="Q76" s="524"/>
      <c r="R76" s="531">
        <f t="shared" si="7"/>
        <v>1912.5</v>
      </c>
      <c r="S76" s="524">
        <f t="shared" si="8"/>
        <v>382.5</v>
      </c>
      <c r="T76" s="524">
        <f t="shared" si="6"/>
        <v>1</v>
      </c>
      <c r="U76" s="445">
        <v>1</v>
      </c>
      <c r="W76"/>
      <c r="X76"/>
    </row>
    <row r="77" spans="1:24">
      <c r="A77" s="456">
        <f t="shared" si="3"/>
        <v>11</v>
      </c>
      <c r="B77" s="457">
        <f>INDEX(Eingabedaten!$DA$10:$DX$54,nutzid,A77)</f>
        <v>0.5</v>
      </c>
      <c r="C77" s="453">
        <f t="shared" si="1"/>
        <v>1</v>
      </c>
      <c r="D77" s="457">
        <f>IF(INDEX(Eingabedaten!$DY$10:$EV$54,nutzid,A77)=0,INDEX(Eingabedaten!$AV$10:$AV$54,nutzid),INDEX(Eingabedaten!$DY$10:$EV$54,nutzid,A77))</f>
        <v>0.5</v>
      </c>
      <c r="E77" s="458">
        <f>INDEX(Eingabedaten!$AV$10:$AV$54,nutzid)%</f>
        <v>0.1</v>
      </c>
      <c r="F77" s="497">
        <f>IF(OR(Profile!B77&gt;0,Profile!B78&gt;0,Profile!B76&gt;0),1,0)</f>
        <v>1</v>
      </c>
      <c r="G77" s="497">
        <f>IF(OR(Profile!B77&gt;0,Profile!B78&gt;0,Profile!B76&gt;0),IF(Profile!B77&gt;0.66,1,0.66),0)</f>
        <v>0.66</v>
      </c>
      <c r="H77" s="420">
        <f t="shared" si="2"/>
        <v>0.35388311290594243</v>
      </c>
      <c r="I77" s="497">
        <f>IF(Profile!B77&gt;0,IF(Profile!B77&lt;0.4,0.4,Profile!B77),IF(OR(Profile!B78&gt;0,Profile!B76&gt;0),0.4,0))</f>
        <v>0.5</v>
      </c>
      <c r="J77" s="444">
        <f t="shared" si="4"/>
        <v>0.35355339059327379</v>
      </c>
      <c r="K77" s="121"/>
      <c r="L77" s="150"/>
      <c r="N77" s="529">
        <v>519</v>
      </c>
      <c r="O77" s="529">
        <v>267</v>
      </c>
      <c r="P77" s="530">
        <f t="shared" si="5"/>
        <v>26.7</v>
      </c>
      <c r="Q77" s="524"/>
      <c r="R77" s="531">
        <f t="shared" si="7"/>
        <v>2335.4999999999995</v>
      </c>
      <c r="S77" s="524">
        <f t="shared" si="8"/>
        <v>467.09999999999991</v>
      </c>
      <c r="T77" s="524">
        <f t="shared" si="6"/>
        <v>1</v>
      </c>
      <c r="U77" s="445">
        <v>1</v>
      </c>
      <c r="W77"/>
      <c r="X77"/>
    </row>
    <row r="78" spans="1:24">
      <c r="A78" s="456">
        <f t="shared" si="3"/>
        <v>12</v>
      </c>
      <c r="B78" s="457">
        <f>INDEX(Eingabedaten!$DA$10:$DX$54,nutzid,A78)</f>
        <v>0.5</v>
      </c>
      <c r="C78" s="453">
        <f t="shared" si="1"/>
        <v>1</v>
      </c>
      <c r="D78" s="457">
        <f>IF(INDEX(Eingabedaten!$DY$10:$EV$54,nutzid,A78)=0,INDEX(Eingabedaten!$AV$10:$AV$54,nutzid),INDEX(Eingabedaten!$DY$10:$EV$54,nutzid,A78))</f>
        <v>0.5</v>
      </c>
      <c r="E78" s="458">
        <f>INDEX(Eingabedaten!$AV$10:$AV$54,nutzid)%</f>
        <v>0.1</v>
      </c>
      <c r="F78" s="497">
        <f>IF(OR(Profile!B78&gt;0,Profile!B79&gt;0,Profile!B77&gt;0),1,0)</f>
        <v>1</v>
      </c>
      <c r="G78" s="497">
        <f>IF(OR(Profile!B78&gt;0,Profile!B79&gt;0,Profile!B77&gt;0),IF(Profile!B78&gt;0.66,1,0.66),0)</f>
        <v>0.66</v>
      </c>
      <c r="H78" s="420">
        <f t="shared" si="2"/>
        <v>0.35388311290594243</v>
      </c>
      <c r="I78" s="497">
        <f>IF(Profile!B78&gt;0,IF(Profile!B78&lt;0.4,0.4,Profile!B78),IF(OR(Profile!B79&gt;0,Profile!B77&gt;0),0.4,0))</f>
        <v>0.5</v>
      </c>
      <c r="J78" s="444">
        <f t="shared" si="4"/>
        <v>0.35355339059327379</v>
      </c>
      <c r="K78" s="121"/>
      <c r="L78" s="150"/>
      <c r="N78" s="529">
        <v>566</v>
      </c>
      <c r="O78" s="529">
        <v>282</v>
      </c>
      <c r="P78" s="530">
        <f t="shared" si="5"/>
        <v>28.2</v>
      </c>
      <c r="Q78" s="524"/>
      <c r="R78" s="531">
        <f t="shared" si="7"/>
        <v>2547</v>
      </c>
      <c r="S78" s="524">
        <f t="shared" si="8"/>
        <v>509.4</v>
      </c>
      <c r="T78" s="524">
        <f t="shared" si="6"/>
        <v>0</v>
      </c>
      <c r="U78" s="445">
        <v>1</v>
      </c>
      <c r="W78"/>
      <c r="X78"/>
    </row>
    <row r="79" spans="1:24">
      <c r="A79" s="456">
        <f t="shared" si="3"/>
        <v>13</v>
      </c>
      <c r="B79" s="457">
        <f>INDEX(Eingabedaten!$DA$10:$DX$54,nutzid,A79)</f>
        <v>0.5</v>
      </c>
      <c r="C79" s="453">
        <f t="shared" si="1"/>
        <v>1</v>
      </c>
      <c r="D79" s="457">
        <f>IF(INDEX(Eingabedaten!$DY$10:$EV$54,nutzid,A79)=0,INDEX(Eingabedaten!$AV$10:$AV$54,nutzid),INDEX(Eingabedaten!$DY$10:$EV$54,nutzid,A79))</f>
        <v>0.5</v>
      </c>
      <c r="E79" s="458">
        <f>INDEX(Eingabedaten!$AV$10:$AV$54,nutzid)%</f>
        <v>0.1</v>
      </c>
      <c r="F79" s="497">
        <f>IF(OR(Profile!B79&gt;0,Profile!B80&gt;0,Profile!B78&gt;0),1,0)</f>
        <v>1</v>
      </c>
      <c r="G79" s="497">
        <f>IF(OR(Profile!B79&gt;0,Profile!B80&gt;0,Profile!B78&gt;0),IF(Profile!B79&gt;0.66,1,0.66),0)</f>
        <v>0.66</v>
      </c>
      <c r="H79" s="420">
        <f t="shared" si="2"/>
        <v>0.35388311290594243</v>
      </c>
      <c r="I79" s="497">
        <f>IF(Profile!B79&gt;0,IF(Profile!B79&lt;0.4,0.4,Profile!B79),IF(OR(Profile!B80&gt;0,Profile!B78&gt;0),0.4,0))</f>
        <v>0.5</v>
      </c>
      <c r="J79" s="444">
        <f t="shared" si="4"/>
        <v>0.35355339059327379</v>
      </c>
      <c r="K79" s="23"/>
      <c r="L79" s="23"/>
      <c r="N79" s="529">
        <v>553</v>
      </c>
      <c r="O79" s="529">
        <v>296</v>
      </c>
      <c r="P79" s="530">
        <f t="shared" si="5"/>
        <v>29.6</v>
      </c>
      <c r="Q79" s="524"/>
      <c r="R79" s="531">
        <f t="shared" si="7"/>
        <v>2488.5</v>
      </c>
      <c r="S79" s="524">
        <f t="shared" si="8"/>
        <v>497.7</v>
      </c>
      <c r="T79" s="524">
        <f t="shared" si="6"/>
        <v>1</v>
      </c>
      <c r="U79" s="445">
        <v>1</v>
      </c>
      <c r="W79"/>
      <c r="X79"/>
    </row>
    <row r="80" spans="1:24">
      <c r="A80" s="456">
        <f t="shared" si="3"/>
        <v>14</v>
      </c>
      <c r="B80" s="457">
        <f>INDEX(Eingabedaten!$DA$10:$DX$54,nutzid,A80)</f>
        <v>0.5</v>
      </c>
      <c r="C80" s="453">
        <f t="shared" si="1"/>
        <v>1</v>
      </c>
      <c r="D80" s="457">
        <f>IF(INDEX(Eingabedaten!$DY$10:$EV$54,nutzid,A80)=0,INDEX(Eingabedaten!$AV$10:$AV$54,nutzid),INDEX(Eingabedaten!$DY$10:$EV$54,nutzid,A80))</f>
        <v>0.5</v>
      </c>
      <c r="E80" s="458">
        <f>INDEX(Eingabedaten!$AV$10:$AV$54,nutzid)%</f>
        <v>0.1</v>
      </c>
      <c r="F80" s="497">
        <f>IF(OR(Profile!B80&gt;0,Profile!B81&gt;0,Profile!B79&gt;0),1,0)</f>
        <v>1</v>
      </c>
      <c r="G80" s="497">
        <f>IF(OR(Profile!B80&gt;0,Profile!B81&gt;0,Profile!B79&gt;0),IF(Profile!B80&gt;0.66,1,0.66),0)</f>
        <v>0.66</v>
      </c>
      <c r="H80" s="420">
        <f t="shared" si="2"/>
        <v>0.35388311290594243</v>
      </c>
      <c r="I80" s="497">
        <f>IF(Profile!B80&gt;0,IF(Profile!B80&lt;0.4,0.4,Profile!B80),IF(OR(Profile!B81&gt;0,Profile!B79&gt;0),0.4,0))</f>
        <v>0.5</v>
      </c>
      <c r="J80" s="444">
        <f t="shared" si="4"/>
        <v>0.35355339059327379</v>
      </c>
      <c r="K80" s="23"/>
      <c r="L80" s="23"/>
      <c r="N80" s="529">
        <v>489</v>
      </c>
      <c r="O80" s="529">
        <v>305</v>
      </c>
      <c r="P80" s="530">
        <f t="shared" si="5"/>
        <v>30.5</v>
      </c>
      <c r="Q80" s="524"/>
      <c r="R80" s="531">
        <f t="shared" si="7"/>
        <v>2200.4999999999995</v>
      </c>
      <c r="S80" s="524">
        <f t="shared" si="8"/>
        <v>440.09999999999991</v>
      </c>
      <c r="T80" s="524">
        <f t="shared" si="6"/>
        <v>1</v>
      </c>
      <c r="U80" s="445">
        <v>1</v>
      </c>
      <c r="W80"/>
      <c r="X80"/>
    </row>
    <row r="81" spans="1:24">
      <c r="A81" s="456">
        <f t="shared" si="3"/>
        <v>15</v>
      </c>
      <c r="B81" s="457">
        <f>INDEX(Eingabedaten!$DA$10:$DX$54,nutzid,A81)</f>
        <v>0.5</v>
      </c>
      <c r="C81" s="453">
        <f t="shared" si="1"/>
        <v>1</v>
      </c>
      <c r="D81" s="457">
        <f>IF(INDEX(Eingabedaten!$DY$10:$EV$54,nutzid,A81)=0,INDEX(Eingabedaten!$AV$10:$AV$54,nutzid),INDEX(Eingabedaten!$DY$10:$EV$54,nutzid,A81))</f>
        <v>0.5</v>
      </c>
      <c r="E81" s="458">
        <f>INDEX(Eingabedaten!$AV$10:$AV$54,nutzid)%</f>
        <v>0.1</v>
      </c>
      <c r="F81" s="497">
        <f>IF(OR(Profile!B81&gt;0,Profile!B82&gt;0,Profile!B80&gt;0),1,0)</f>
        <v>1</v>
      </c>
      <c r="G81" s="497">
        <f>IF(OR(Profile!B81&gt;0,Profile!B82&gt;0,Profile!B80&gt;0),IF(Profile!B81&gt;0.66,1,0.66),0)</f>
        <v>0.66</v>
      </c>
      <c r="H81" s="420">
        <f t="shared" si="2"/>
        <v>0.35388311290594243</v>
      </c>
      <c r="I81" s="497">
        <f>IF(Profile!B81&gt;0,IF(Profile!B81&lt;0.4,0.4,Profile!B81),IF(OR(Profile!B82&gt;0,Profile!B80&gt;0),0.4,0))</f>
        <v>0.5</v>
      </c>
      <c r="J81" s="444">
        <f t="shared" si="4"/>
        <v>0.35355339059327379</v>
      </c>
      <c r="K81" s="23"/>
      <c r="L81" s="23"/>
      <c r="N81" s="529">
        <v>386</v>
      </c>
      <c r="O81" s="529">
        <v>314</v>
      </c>
      <c r="P81" s="530">
        <f t="shared" si="5"/>
        <v>31.4</v>
      </c>
      <c r="Q81" s="524"/>
      <c r="R81" s="531">
        <f t="shared" si="7"/>
        <v>1737</v>
      </c>
      <c r="S81" s="524">
        <f t="shared" si="8"/>
        <v>347.4</v>
      </c>
      <c r="T81" s="524">
        <f t="shared" si="6"/>
        <v>1</v>
      </c>
      <c r="U81" s="445">
        <v>1</v>
      </c>
      <c r="W81"/>
      <c r="X81"/>
    </row>
    <row r="82" spans="1:24">
      <c r="A82" s="456">
        <f t="shared" si="3"/>
        <v>16</v>
      </c>
      <c r="B82" s="457">
        <f>INDEX(Eingabedaten!$DA$10:$DX$54,nutzid,A82)</f>
        <v>0.5</v>
      </c>
      <c r="C82" s="453">
        <f t="shared" si="1"/>
        <v>1</v>
      </c>
      <c r="D82" s="457">
        <f>IF(INDEX(Eingabedaten!$DY$10:$EV$54,nutzid,A82)=0,INDEX(Eingabedaten!$AV$10:$AV$54,nutzid),INDEX(Eingabedaten!$DY$10:$EV$54,nutzid,A82))</f>
        <v>0.5</v>
      </c>
      <c r="E82" s="458">
        <f>INDEX(Eingabedaten!$AV$10:$AV$54,nutzid)%</f>
        <v>0.1</v>
      </c>
      <c r="F82" s="497">
        <f>IF(OR(Profile!B82&gt;0,Profile!B83&gt;0,Profile!B81&gt;0),1,0)</f>
        <v>1</v>
      </c>
      <c r="G82" s="497">
        <f>IF(OR(Profile!B82&gt;0,Profile!B83&gt;0,Profile!B81&gt;0),IF(Profile!B82&gt;0.66,1,0.66),0)</f>
        <v>0.66</v>
      </c>
      <c r="H82" s="420">
        <f t="shared" si="2"/>
        <v>0.35388311290594243</v>
      </c>
      <c r="I82" s="497">
        <f>IF(Profile!B82&gt;0,IF(Profile!B82&lt;0.4,0.4,Profile!B82),IF(OR(Profile!B83&gt;0,Profile!B81&gt;0),0.4,0))</f>
        <v>0.5</v>
      </c>
      <c r="J82" s="444">
        <f t="shared" si="4"/>
        <v>0.35355339059327379</v>
      </c>
      <c r="K82" s="23"/>
      <c r="L82" s="23"/>
      <c r="N82" s="529">
        <v>260</v>
      </c>
      <c r="O82" s="529">
        <v>319</v>
      </c>
      <c r="P82" s="530">
        <f t="shared" si="5"/>
        <v>31.9</v>
      </c>
      <c r="Q82" s="524"/>
      <c r="R82" s="531">
        <f t="shared" si="7"/>
        <v>1170</v>
      </c>
      <c r="S82" s="524">
        <f t="shared" si="8"/>
        <v>234</v>
      </c>
      <c r="T82" s="524">
        <f t="shared" si="6"/>
        <v>1</v>
      </c>
      <c r="U82" s="445">
        <v>1</v>
      </c>
      <c r="W82"/>
      <c r="X82"/>
    </row>
    <row r="83" spans="1:24">
      <c r="A83" s="456">
        <f t="shared" si="3"/>
        <v>17</v>
      </c>
      <c r="B83" s="457">
        <f>INDEX(Eingabedaten!$DA$10:$DX$54,nutzid,A83)</f>
        <v>0.5</v>
      </c>
      <c r="C83" s="453">
        <f t="shared" si="1"/>
        <v>1</v>
      </c>
      <c r="D83" s="457">
        <f>IF(INDEX(Eingabedaten!$DY$10:$EV$54,nutzid,A83)=0,INDEX(Eingabedaten!$AV$10:$AV$54,nutzid),INDEX(Eingabedaten!$DY$10:$EV$54,nutzid,A83))</f>
        <v>0.5</v>
      </c>
      <c r="E83" s="458">
        <f>INDEX(Eingabedaten!$AV$10:$AV$54,nutzid)%</f>
        <v>0.1</v>
      </c>
      <c r="F83" s="497">
        <f>IF(OR(Profile!B83&gt;0,Profile!B84&gt;0,Profile!B82&gt;0),1,0)</f>
        <v>1</v>
      </c>
      <c r="G83" s="497">
        <f>IF(OR(Profile!B83&gt;0,Profile!B84&gt;0,Profile!B82&gt;0),IF(Profile!B83&gt;0.66,1,0.66),0)</f>
        <v>0.66</v>
      </c>
      <c r="H83" s="420">
        <f t="shared" si="2"/>
        <v>0.35388311290594243</v>
      </c>
      <c r="I83" s="497">
        <f>IF(Profile!B83&gt;0,IF(Profile!B83&lt;0.4,0.4,Profile!B83),IF(OR(Profile!B84&gt;0,Profile!B82&gt;0),0.4,0))</f>
        <v>0.5</v>
      </c>
      <c r="J83" s="444">
        <f t="shared" si="4"/>
        <v>0.35355339059327379</v>
      </c>
      <c r="K83" s="23"/>
      <c r="L83" s="23"/>
      <c r="N83" s="529">
        <v>119</v>
      </c>
      <c r="O83" s="529">
        <v>320</v>
      </c>
      <c r="P83" s="530">
        <f t="shared" si="5"/>
        <v>32</v>
      </c>
      <c r="Q83" s="524"/>
      <c r="R83" s="531">
        <f t="shared" si="7"/>
        <v>535.49999999999989</v>
      </c>
      <c r="S83" s="524">
        <f t="shared" si="8"/>
        <v>535.49999999999989</v>
      </c>
      <c r="T83" s="524">
        <f t="shared" si="6"/>
        <v>0</v>
      </c>
      <c r="U83" s="445">
        <v>1</v>
      </c>
      <c r="W83"/>
      <c r="X83"/>
    </row>
    <row r="84" spans="1:24">
      <c r="A84" s="456">
        <f t="shared" si="3"/>
        <v>18</v>
      </c>
      <c r="B84" s="457">
        <f>INDEX(Eingabedaten!$DA$10:$DX$54,nutzid,A84)</f>
        <v>1</v>
      </c>
      <c r="C84" s="453">
        <f>IF(B84&gt;0,1,0)</f>
        <v>1</v>
      </c>
      <c r="D84" s="457">
        <f>IF(INDEX(Eingabedaten!$DY$10:$EV$54,nutzid,A84)=0,INDEX(Eingabedaten!$AV$10:$AV$54,nutzid),INDEX(Eingabedaten!$DY$10:$EV$54,nutzid,A84))</f>
        <v>1</v>
      </c>
      <c r="E84" s="458">
        <f>INDEX(Eingabedaten!$AV$10:$AV$54,nutzid)%</f>
        <v>0.1</v>
      </c>
      <c r="F84" s="497">
        <f>IF(OR(Profile!B84&gt;0,Profile!B85&gt;0,Profile!B83&gt;0),1,0)</f>
        <v>1</v>
      </c>
      <c r="G84" s="497">
        <f>IF(OR(Profile!B84&gt;0,Profile!B85&gt;0,Profile!B83&gt;0),IF(Profile!B84&gt;0.66,1,0.66),0)</f>
        <v>1</v>
      </c>
      <c r="H84" s="420">
        <f t="shared" si="2"/>
        <v>1</v>
      </c>
      <c r="I84" s="497">
        <f>IF(Profile!B84&gt;0,IF(Profile!B84&lt;0.4,0.4,Profile!B84),IF(OR(Profile!B85&gt;0,Profile!B83&gt;0),0.4,0))</f>
        <v>1</v>
      </c>
      <c r="J84" s="444">
        <f t="shared" si="4"/>
        <v>1</v>
      </c>
      <c r="K84" s="23"/>
      <c r="L84" s="23"/>
      <c r="N84" s="529">
        <v>57</v>
      </c>
      <c r="O84" s="529">
        <v>306</v>
      </c>
      <c r="P84" s="530">
        <f t="shared" si="5"/>
        <v>30.6</v>
      </c>
      <c r="Q84" s="524"/>
      <c r="R84" s="531">
        <f t="shared" si="7"/>
        <v>256.49999999999994</v>
      </c>
      <c r="S84" s="524">
        <f t="shared" si="8"/>
        <v>256.49999999999994</v>
      </c>
      <c r="T84" s="524">
        <f t="shared" si="6"/>
        <v>1</v>
      </c>
      <c r="U84" s="445">
        <v>1</v>
      </c>
      <c r="W84"/>
      <c r="X84"/>
    </row>
    <row r="85" spans="1:24">
      <c r="A85" s="456">
        <f t="shared" si="3"/>
        <v>19</v>
      </c>
      <c r="B85" s="457">
        <f>INDEX(Eingabedaten!$DA$10:$DX$54,nutzid,A85)</f>
        <v>1</v>
      </c>
      <c r="C85" s="453">
        <f t="shared" si="1"/>
        <v>1</v>
      </c>
      <c r="D85" s="457">
        <f>IF(INDEX(Eingabedaten!$DY$10:$EV$54,nutzid,A85)=0,INDEX(Eingabedaten!$AV$10:$AV$54,nutzid),INDEX(Eingabedaten!$DY$10:$EV$54,nutzid,A85))</f>
        <v>1</v>
      </c>
      <c r="E85" s="458">
        <f>INDEX(Eingabedaten!$AV$10:$AV$54,nutzid)%</f>
        <v>0.1</v>
      </c>
      <c r="F85" s="497">
        <f>IF(OR(Profile!B85&gt;0,Profile!B86&gt;0,Profile!B84&gt;0),1,0)</f>
        <v>1</v>
      </c>
      <c r="G85" s="497">
        <f>IF(OR(Profile!B85&gt;0,Profile!B86&gt;0,Profile!B84&gt;0),IF(Profile!B85&gt;0.66,1,0.66),0)</f>
        <v>1</v>
      </c>
      <c r="H85" s="420">
        <f t="shared" si="2"/>
        <v>1</v>
      </c>
      <c r="I85" s="497">
        <f>IF(Profile!B85&gt;0,IF(Profile!B85&lt;0.4,0.4,Profile!B85),IF(OR(Profile!B86&gt;0,Profile!B84&gt;0),0.4,0))</f>
        <v>1</v>
      </c>
      <c r="J85" s="444">
        <f t="shared" si="4"/>
        <v>1</v>
      </c>
      <c r="K85" s="23"/>
      <c r="L85" s="23"/>
      <c r="N85" s="529">
        <v>23</v>
      </c>
      <c r="O85" s="529">
        <v>274</v>
      </c>
      <c r="P85" s="530">
        <f t="shared" si="5"/>
        <v>27.4</v>
      </c>
      <c r="Q85" s="524"/>
      <c r="R85" s="531">
        <f t="shared" si="7"/>
        <v>103.5</v>
      </c>
      <c r="S85" s="524">
        <f t="shared" si="8"/>
        <v>103.5</v>
      </c>
      <c r="T85" s="524">
        <f t="shared" si="6"/>
        <v>1</v>
      </c>
      <c r="U85" s="445">
        <v>1</v>
      </c>
      <c r="W85"/>
      <c r="X85"/>
    </row>
    <row r="86" spans="1:24">
      <c r="A86" s="456">
        <f t="shared" si="3"/>
        <v>20</v>
      </c>
      <c r="B86" s="457">
        <f>INDEX(Eingabedaten!$DA$10:$DX$54,nutzid,A86)</f>
        <v>1</v>
      </c>
      <c r="C86" s="453">
        <f t="shared" si="1"/>
        <v>1</v>
      </c>
      <c r="D86" s="457">
        <f>IF(INDEX(Eingabedaten!$DY$10:$EV$54,nutzid,A86)=0,INDEX(Eingabedaten!$AV$10:$AV$54,nutzid),INDEX(Eingabedaten!$DY$10:$EV$54,nutzid,A86))</f>
        <v>1</v>
      </c>
      <c r="E86" s="458">
        <f>INDEX(Eingabedaten!$AV$10:$AV$54,nutzid)%</f>
        <v>0.1</v>
      </c>
      <c r="F86" s="497">
        <f>IF(OR(Profile!B86&gt;0,Profile!B87&gt;0,Profile!B85&gt;0),1,0)</f>
        <v>1</v>
      </c>
      <c r="G86" s="497">
        <f>IF(OR(Profile!B86&gt;0,Profile!B87&gt;0,Profile!B85&gt;0),IF(Profile!B86&gt;0.66,1,0.66),0)</f>
        <v>1</v>
      </c>
      <c r="H86" s="420">
        <f t="shared" si="2"/>
        <v>1</v>
      </c>
      <c r="I86" s="497">
        <f>IF(Profile!B86&gt;0,IF(Profile!B86&lt;0.4,0.4,Profile!B86),IF(OR(Profile!B87&gt;0,Profile!B85&gt;0),0.4,0))</f>
        <v>1</v>
      </c>
      <c r="J86" s="444">
        <f t="shared" si="4"/>
        <v>1</v>
      </c>
      <c r="K86" s="23"/>
      <c r="L86" s="23"/>
      <c r="N86" s="529">
        <v>0</v>
      </c>
      <c r="O86" s="529">
        <v>264</v>
      </c>
      <c r="P86" s="530">
        <f t="shared" si="5"/>
        <v>26.4</v>
      </c>
      <c r="Q86" s="524"/>
      <c r="R86" s="531">
        <f t="shared" si="7"/>
        <v>0</v>
      </c>
      <c r="S86" s="524">
        <f t="shared" si="8"/>
        <v>0</v>
      </c>
      <c r="T86" s="524">
        <f t="shared" si="6"/>
        <v>1</v>
      </c>
      <c r="U86" s="445">
        <v>1</v>
      </c>
      <c r="W86"/>
      <c r="X86"/>
    </row>
    <row r="87" spans="1:24">
      <c r="A87" s="456">
        <f t="shared" si="3"/>
        <v>21</v>
      </c>
      <c r="B87" s="457">
        <f>INDEX(Eingabedaten!$DA$10:$DX$54,nutzid,A87)</f>
        <v>0.5</v>
      </c>
      <c r="C87" s="453">
        <f t="shared" si="1"/>
        <v>1</v>
      </c>
      <c r="D87" s="457">
        <f>IF(INDEX(Eingabedaten!$DY$10:$EV$54,nutzid,A87)=0,INDEX(Eingabedaten!$AV$10:$AV$54,nutzid),INDEX(Eingabedaten!$DY$10:$EV$54,nutzid,A87))</f>
        <v>0.5</v>
      </c>
      <c r="E87" s="458">
        <f>INDEX(Eingabedaten!$AV$10:$AV$54,nutzid)%</f>
        <v>0.1</v>
      </c>
      <c r="F87" s="497">
        <f>IF(OR(Profile!B87&gt;0,Profile!B88&gt;0,Profile!B86&gt;0),1,0)</f>
        <v>1</v>
      </c>
      <c r="G87" s="497">
        <f>IF(OR(Profile!B87&gt;0,Profile!B88&gt;0,Profile!B86&gt;0),IF(Profile!B87&gt;0.66,1,0.66),0)</f>
        <v>0.66</v>
      </c>
      <c r="H87" s="420">
        <f t="shared" si="2"/>
        <v>0.35388311290594243</v>
      </c>
      <c r="I87" s="497">
        <f>IF(Profile!B87&gt;0,IF(Profile!B87&lt;0.4,0.4,Profile!B87),IF(OR(Profile!B88&gt;0,Profile!B86&gt;0),0.4,0))</f>
        <v>0.5</v>
      </c>
      <c r="J87" s="444">
        <f t="shared" si="4"/>
        <v>0.35355339059327379</v>
      </c>
      <c r="K87" s="23"/>
      <c r="L87" s="23"/>
      <c r="N87" s="529">
        <v>0</v>
      </c>
      <c r="O87" s="529">
        <v>269</v>
      </c>
      <c r="P87" s="530">
        <f t="shared" si="5"/>
        <v>26.9</v>
      </c>
      <c r="Q87" s="524"/>
      <c r="R87" s="524"/>
      <c r="S87" s="524"/>
      <c r="T87" s="524">
        <f t="shared" si="6"/>
        <v>1</v>
      </c>
      <c r="U87" s="445">
        <v>1</v>
      </c>
      <c r="W87"/>
      <c r="X87"/>
    </row>
    <row r="88" spans="1:24">
      <c r="A88" s="456">
        <f t="shared" si="3"/>
        <v>22</v>
      </c>
      <c r="B88" s="457">
        <f>INDEX(Eingabedaten!$DA$10:$DX$54,nutzid,A88)</f>
        <v>0.5</v>
      </c>
      <c r="C88" s="453">
        <f t="shared" si="1"/>
        <v>1</v>
      </c>
      <c r="D88" s="457">
        <f>IF(INDEX(Eingabedaten!$DY$10:$EV$54,nutzid,A88)=0,INDEX(Eingabedaten!$AV$10:$AV$54,nutzid),INDEX(Eingabedaten!$DY$10:$EV$54,nutzid,A88))</f>
        <v>0.5</v>
      </c>
      <c r="E88" s="458">
        <f>INDEX(Eingabedaten!$AV$10:$AV$54,nutzid)%</f>
        <v>0.1</v>
      </c>
      <c r="F88" s="497">
        <f>IF(OR(Profile!B88&gt;0,Profile!B89&gt;0,Profile!B87&gt;0),1,0)</f>
        <v>1</v>
      </c>
      <c r="G88" s="497">
        <f>IF(OR(Profile!B88&gt;0,Profile!B89&gt;0,Profile!B87&gt;0),IF(Profile!B88&gt;0.66,1,0.66),0)</f>
        <v>0.66</v>
      </c>
      <c r="H88" s="420">
        <f t="shared" si="2"/>
        <v>0.35388311290594243</v>
      </c>
      <c r="I88" s="497">
        <f>IF(Profile!B88&gt;0,IF(Profile!B88&lt;0.4,0.4,Profile!B88),IF(OR(Profile!B89&gt;0,Profile!B87&gt;0),0.4,0))</f>
        <v>0.5</v>
      </c>
      <c r="J88" s="444">
        <f t="shared" si="4"/>
        <v>0.35355339059327379</v>
      </c>
      <c r="K88" s="23"/>
      <c r="L88" s="23"/>
      <c r="N88" s="529">
        <v>0</v>
      </c>
      <c r="O88" s="529">
        <v>249</v>
      </c>
      <c r="P88" s="530">
        <f t="shared" si="5"/>
        <v>24.9</v>
      </c>
      <c r="Q88" s="524"/>
      <c r="R88" s="524"/>
      <c r="S88" s="524"/>
      <c r="T88" s="524">
        <f t="shared" si="6"/>
        <v>1</v>
      </c>
      <c r="U88" s="445">
        <v>1</v>
      </c>
      <c r="W88"/>
      <c r="X88"/>
    </row>
    <row r="89" spans="1:24">
      <c r="A89" s="456">
        <f t="shared" si="3"/>
        <v>23</v>
      </c>
      <c r="B89" s="457">
        <f>INDEX(Eingabedaten!$DA$10:$DX$54,nutzid,A89)</f>
        <v>0.5</v>
      </c>
      <c r="C89" s="453">
        <f t="shared" si="1"/>
        <v>1</v>
      </c>
      <c r="D89" s="457">
        <f>IF(INDEX(Eingabedaten!$DY$10:$EV$54,nutzid,A89)=0,INDEX(Eingabedaten!$AV$10:$AV$54,nutzid),INDEX(Eingabedaten!$DY$10:$EV$54,nutzid,A89))</f>
        <v>0.5</v>
      </c>
      <c r="E89" s="458">
        <f>INDEX(Eingabedaten!$AV$10:$AV$54,nutzid)%</f>
        <v>0.1</v>
      </c>
      <c r="F89" s="497">
        <f>IF(OR(Profile!B89&gt;0,Profile!B90&gt;0,Profile!B88&gt;0),1,0)</f>
        <v>1</v>
      </c>
      <c r="G89" s="497">
        <f>IF(OR(Profile!B89&gt;0,Profile!B90&gt;0,Profile!B88&gt;0),IF(Profile!B89&gt;0.66,1,0.66),0)</f>
        <v>0.66</v>
      </c>
      <c r="H89" s="420">
        <f t="shared" si="2"/>
        <v>0.35388311290594243</v>
      </c>
      <c r="I89" s="497">
        <f>IF(Profile!B89&gt;0,IF(Profile!B89&lt;0.4,0.4,Profile!B89),IF(OR(Profile!B90&gt;0,Profile!B88&gt;0),0.4,0))</f>
        <v>0.5</v>
      </c>
      <c r="J89" s="444">
        <f t="shared" si="4"/>
        <v>0.35355339059327379</v>
      </c>
      <c r="K89" s="23"/>
      <c r="L89" s="23"/>
      <c r="N89" s="529">
        <v>0</v>
      </c>
      <c r="O89" s="529">
        <v>229</v>
      </c>
      <c r="P89" s="530">
        <f t="shared" si="5"/>
        <v>22.9</v>
      </c>
      <c r="Q89" s="524"/>
      <c r="R89" s="524"/>
      <c r="S89" s="524"/>
      <c r="T89" s="524">
        <f t="shared" si="6"/>
        <v>0</v>
      </c>
      <c r="U89" s="445">
        <f>IF(A$20="12.2",1,0)</f>
        <v>0</v>
      </c>
      <c r="W89"/>
      <c r="X89"/>
    </row>
    <row r="90" spans="1:24">
      <c r="A90" s="456">
        <f t="shared" si="3"/>
        <v>24</v>
      </c>
      <c r="B90" s="457">
        <f>INDEX(Eingabedaten!$DA$10:$DX$54,nutzid,A90)</f>
        <v>0.1</v>
      </c>
      <c r="C90" s="453">
        <f t="shared" si="1"/>
        <v>1</v>
      </c>
      <c r="D90" s="457">
        <f>IF(INDEX(Eingabedaten!$DY$10:$EV$54,nutzid,A90)=0,INDEX(Eingabedaten!$AV$10:$AV$54,nutzid),INDEX(Eingabedaten!$DY$10:$EV$54,nutzid,A90))</f>
        <v>0.1</v>
      </c>
      <c r="E90" s="458">
        <f>INDEX(Eingabedaten!$AV$10:$AV$54,nutzid)%</f>
        <v>0.1</v>
      </c>
      <c r="F90" s="497">
        <f>IF(OR(Profile!B90&gt;0,Profile!B67&gt;0,Profile!B89&gt;0),1,0)</f>
        <v>1</v>
      </c>
      <c r="G90" s="497">
        <f>IF(OR(Profile!B90&gt;0,Profile!B67&gt;0,Profile!B89&gt;0),IF(Profile!B90&gt;0.66,1,0.66),0)</f>
        <v>0.66</v>
      </c>
      <c r="H90" s="420">
        <f t="shared" si="2"/>
        <v>0.35388311290594243</v>
      </c>
      <c r="I90" s="497">
        <f>IF(Profile!B90&gt;0,IF(Profile!B90&lt;0.4,0.4,Profile!B90),IF(OR(Profile!B67&gt;0,Profile!B89&gt;0),0.4,0))</f>
        <v>0.4</v>
      </c>
      <c r="J90" s="444">
        <f t="shared" si="4"/>
        <v>0.25298221281347039</v>
      </c>
      <c r="K90" s="16"/>
      <c r="L90" s="21"/>
      <c r="N90" s="529">
        <v>0</v>
      </c>
      <c r="O90" s="529">
        <v>218</v>
      </c>
      <c r="P90" s="530">
        <f t="shared" si="5"/>
        <v>21.8</v>
      </c>
      <c r="Q90" s="524"/>
      <c r="R90" s="524"/>
      <c r="S90" s="524"/>
      <c r="T90" s="524">
        <f t="shared" si="6"/>
        <v>0</v>
      </c>
      <c r="U90" s="445">
        <f>IF(A$20="12.2",1,0)</f>
        <v>0</v>
      </c>
      <c r="W90"/>
      <c r="X90"/>
    </row>
    <row r="91" spans="1:24">
      <c r="R91"/>
      <c r="S91"/>
      <c r="T91"/>
      <c r="U91"/>
      <c r="V91"/>
      <c r="W91"/>
      <c r="X91"/>
    </row>
    <row r="92" spans="1:24">
      <c r="R92"/>
      <c r="S92"/>
      <c r="T92"/>
      <c r="U92"/>
      <c r="V92"/>
      <c r="W92"/>
      <c r="X92"/>
    </row>
    <row r="93" spans="1:24" ht="15.6">
      <c r="A93" s="450" t="s">
        <v>310</v>
      </c>
      <c r="B93" s="451"/>
      <c r="C93" s="451"/>
      <c r="D93" s="451"/>
      <c r="E93" s="451"/>
      <c r="R93"/>
      <c r="S93"/>
      <c r="T93"/>
      <c r="U93"/>
      <c r="V93"/>
      <c r="W93"/>
      <c r="X93"/>
    </row>
    <row r="94" spans="1:24">
      <c r="A94" s="459" t="s">
        <v>311</v>
      </c>
      <c r="B94" s="460"/>
      <c r="C94" s="466">
        <f>7-INDEX(Eingabedaten!$FJ$10:$FJ$54,nutzid,1)</f>
        <v>7</v>
      </c>
      <c r="D94" s="460"/>
      <c r="E94" s="460"/>
      <c r="F94" s="455" t="s">
        <v>312</v>
      </c>
      <c r="G94" s="445">
        <f>INDEX(Eingabedaten!$AV$10:$AV$54,nutzid,1)%</f>
        <v>0.1</v>
      </c>
    </row>
    <row r="95" spans="1:24">
      <c r="A95" s="452"/>
      <c r="D95" s="1825" t="s">
        <v>12</v>
      </c>
      <c r="E95" s="1825"/>
      <c r="F95" s="1824" t="s">
        <v>64</v>
      </c>
      <c r="G95" s="1824"/>
      <c r="H95" s="1824" t="s">
        <v>19</v>
      </c>
      <c r="I95" s="1824"/>
    </row>
    <row r="96" spans="1:24">
      <c r="A96" s="455" t="s">
        <v>313</v>
      </c>
      <c r="B96" s="455" t="s">
        <v>314</v>
      </c>
      <c r="C96" s="453" t="s">
        <v>34</v>
      </c>
      <c r="D96" s="453" t="s">
        <v>171</v>
      </c>
      <c r="E96" s="453" t="s">
        <v>27</v>
      </c>
      <c r="F96" s="453" t="s">
        <v>172</v>
      </c>
      <c r="G96" s="453"/>
      <c r="H96" s="453" t="s">
        <v>19</v>
      </c>
    </row>
    <row r="97" spans="1:8">
      <c r="A97" s="445">
        <f t="shared" ref="A97:A128" si="9">B97+1</f>
        <v>2</v>
      </c>
      <c r="B97" s="445">
        <v>1</v>
      </c>
      <c r="C97" s="456">
        <v>1</v>
      </c>
      <c r="D97" s="445">
        <f t="shared" ref="D97:D120" si="10">IF(B97&lt;=$C$94,B67,0)</f>
        <v>0</v>
      </c>
      <c r="E97" s="453">
        <f t="shared" ref="E97:E128" si="11">IF(D97&gt;0,1,0)</f>
        <v>0</v>
      </c>
      <c r="F97" s="445">
        <f>MAX(IF(B97&lt;=$C$94,D67,0),G$94)</f>
        <v>0.1</v>
      </c>
      <c r="G97" s="461"/>
      <c r="H97" s="445">
        <f t="shared" ref="H97:H120" si="12">IF(B97&lt;=$C$94,T67,0)</f>
        <v>0</v>
      </c>
    </row>
    <row r="98" spans="1:8">
      <c r="A98" s="445">
        <f t="shared" si="9"/>
        <v>2</v>
      </c>
      <c r="B98" s="445">
        <v>1</v>
      </c>
      <c r="C98" s="456">
        <f t="shared" ref="C98:C129" si="13">C97+1</f>
        <v>2</v>
      </c>
      <c r="D98" s="445">
        <f t="shared" si="10"/>
        <v>0</v>
      </c>
      <c r="E98" s="453">
        <f t="shared" si="11"/>
        <v>0</v>
      </c>
      <c r="F98" s="445">
        <f t="shared" ref="F98:F119" si="14">MAX(IF(B98&lt;=$C$94,D68,0),G$94)</f>
        <v>0.1</v>
      </c>
      <c r="H98" s="445">
        <f t="shared" si="12"/>
        <v>0</v>
      </c>
    </row>
    <row r="99" spans="1:8">
      <c r="A99" s="445">
        <f t="shared" si="9"/>
        <v>2</v>
      </c>
      <c r="B99" s="445">
        <v>1</v>
      </c>
      <c r="C99" s="456">
        <f t="shared" si="13"/>
        <v>3</v>
      </c>
      <c r="D99" s="445">
        <f t="shared" si="10"/>
        <v>0</v>
      </c>
      <c r="E99" s="453">
        <f t="shared" si="11"/>
        <v>0</v>
      </c>
      <c r="F99" s="445">
        <f t="shared" si="14"/>
        <v>0.1</v>
      </c>
      <c r="H99" s="445">
        <f t="shared" si="12"/>
        <v>0</v>
      </c>
    </row>
    <row r="100" spans="1:8">
      <c r="A100" s="445">
        <f t="shared" si="9"/>
        <v>2</v>
      </c>
      <c r="B100" s="445">
        <v>1</v>
      </c>
      <c r="C100" s="456">
        <f t="shared" si="13"/>
        <v>4</v>
      </c>
      <c r="D100" s="445">
        <f t="shared" si="10"/>
        <v>0</v>
      </c>
      <c r="E100" s="453">
        <f t="shared" si="11"/>
        <v>0</v>
      </c>
      <c r="F100" s="445">
        <f t="shared" si="14"/>
        <v>0.1</v>
      </c>
      <c r="H100" s="445">
        <f t="shared" si="12"/>
        <v>0</v>
      </c>
    </row>
    <row r="101" spans="1:8">
      <c r="A101" s="445">
        <f t="shared" si="9"/>
        <v>2</v>
      </c>
      <c r="B101" s="445">
        <v>1</v>
      </c>
      <c r="C101" s="456">
        <f t="shared" si="13"/>
        <v>5</v>
      </c>
      <c r="D101" s="445">
        <f t="shared" si="10"/>
        <v>0.1</v>
      </c>
      <c r="E101" s="453">
        <f t="shared" si="11"/>
        <v>1</v>
      </c>
      <c r="F101" s="445">
        <f t="shared" si="14"/>
        <v>0.1</v>
      </c>
      <c r="H101" s="445">
        <f t="shared" si="12"/>
        <v>0</v>
      </c>
    </row>
    <row r="102" spans="1:8">
      <c r="A102" s="445">
        <f t="shared" si="9"/>
        <v>2</v>
      </c>
      <c r="B102" s="445">
        <v>1</v>
      </c>
      <c r="C102" s="456">
        <f t="shared" si="13"/>
        <v>6</v>
      </c>
      <c r="D102" s="445">
        <f t="shared" si="10"/>
        <v>0.1</v>
      </c>
      <c r="E102" s="453">
        <f t="shared" si="11"/>
        <v>1</v>
      </c>
      <c r="F102" s="445">
        <f t="shared" si="14"/>
        <v>0.1</v>
      </c>
      <c r="H102" s="445">
        <f t="shared" si="12"/>
        <v>0</v>
      </c>
    </row>
    <row r="103" spans="1:8">
      <c r="A103" s="445">
        <f t="shared" si="9"/>
        <v>2</v>
      </c>
      <c r="B103" s="445">
        <v>1</v>
      </c>
      <c r="C103" s="456">
        <f t="shared" si="13"/>
        <v>7</v>
      </c>
      <c r="D103" s="445">
        <f t="shared" si="10"/>
        <v>0.5</v>
      </c>
      <c r="E103" s="453">
        <f t="shared" si="11"/>
        <v>1</v>
      </c>
      <c r="F103" s="445">
        <f t="shared" si="14"/>
        <v>0.5</v>
      </c>
      <c r="H103" s="445">
        <f t="shared" si="12"/>
        <v>1</v>
      </c>
    </row>
    <row r="104" spans="1:8">
      <c r="A104" s="445">
        <f t="shared" si="9"/>
        <v>2</v>
      </c>
      <c r="B104" s="445">
        <v>1</v>
      </c>
      <c r="C104" s="456">
        <f t="shared" si="13"/>
        <v>8</v>
      </c>
      <c r="D104" s="445">
        <f t="shared" si="10"/>
        <v>1</v>
      </c>
      <c r="E104" s="453">
        <f t="shared" si="11"/>
        <v>1</v>
      </c>
      <c r="F104" s="445">
        <f t="shared" si="14"/>
        <v>1</v>
      </c>
      <c r="H104" s="445">
        <f t="shared" si="12"/>
        <v>0</v>
      </c>
    </row>
    <row r="105" spans="1:8">
      <c r="A105" s="445">
        <f t="shared" si="9"/>
        <v>2</v>
      </c>
      <c r="B105" s="445">
        <v>1</v>
      </c>
      <c r="C105" s="456">
        <f t="shared" si="13"/>
        <v>9</v>
      </c>
      <c r="D105" s="445">
        <f t="shared" si="10"/>
        <v>1</v>
      </c>
      <c r="E105" s="453">
        <f t="shared" si="11"/>
        <v>1</v>
      </c>
      <c r="F105" s="445">
        <f t="shared" si="14"/>
        <v>1</v>
      </c>
      <c r="H105" s="445">
        <f t="shared" si="12"/>
        <v>1</v>
      </c>
    </row>
    <row r="106" spans="1:8">
      <c r="A106" s="445">
        <f t="shared" si="9"/>
        <v>2</v>
      </c>
      <c r="B106" s="445">
        <v>1</v>
      </c>
      <c r="C106" s="456">
        <f t="shared" si="13"/>
        <v>10</v>
      </c>
      <c r="D106" s="445">
        <f t="shared" si="10"/>
        <v>0.5</v>
      </c>
      <c r="E106" s="453">
        <f t="shared" si="11"/>
        <v>1</v>
      </c>
      <c r="F106" s="445">
        <f t="shared" si="14"/>
        <v>0.5</v>
      </c>
      <c r="H106" s="445">
        <f t="shared" si="12"/>
        <v>1</v>
      </c>
    </row>
    <row r="107" spans="1:8">
      <c r="A107" s="445">
        <f t="shared" si="9"/>
        <v>2</v>
      </c>
      <c r="B107" s="445">
        <v>1</v>
      </c>
      <c r="C107" s="456">
        <f t="shared" si="13"/>
        <v>11</v>
      </c>
      <c r="D107" s="445">
        <f t="shared" si="10"/>
        <v>0.5</v>
      </c>
      <c r="E107" s="453">
        <f t="shared" si="11"/>
        <v>1</v>
      </c>
      <c r="F107" s="445">
        <f t="shared" si="14"/>
        <v>0.5</v>
      </c>
      <c r="H107" s="445">
        <f t="shared" si="12"/>
        <v>1</v>
      </c>
    </row>
    <row r="108" spans="1:8">
      <c r="A108" s="445">
        <f t="shared" si="9"/>
        <v>2</v>
      </c>
      <c r="B108" s="445">
        <v>1</v>
      </c>
      <c r="C108" s="456">
        <f t="shared" si="13"/>
        <v>12</v>
      </c>
      <c r="D108" s="445">
        <f t="shared" si="10"/>
        <v>0.5</v>
      </c>
      <c r="E108" s="453">
        <f t="shared" si="11"/>
        <v>1</v>
      </c>
      <c r="F108" s="445">
        <f t="shared" si="14"/>
        <v>0.5</v>
      </c>
      <c r="H108" s="445">
        <f t="shared" si="12"/>
        <v>0</v>
      </c>
    </row>
    <row r="109" spans="1:8">
      <c r="A109" s="445">
        <f t="shared" si="9"/>
        <v>2</v>
      </c>
      <c r="B109" s="445">
        <v>1</v>
      </c>
      <c r="C109" s="456">
        <f t="shared" si="13"/>
        <v>13</v>
      </c>
      <c r="D109" s="445">
        <f t="shared" si="10"/>
        <v>0.5</v>
      </c>
      <c r="E109" s="453">
        <f t="shared" si="11"/>
        <v>1</v>
      </c>
      <c r="F109" s="445">
        <f t="shared" si="14"/>
        <v>0.5</v>
      </c>
      <c r="H109" s="445">
        <f t="shared" si="12"/>
        <v>1</v>
      </c>
    </row>
    <row r="110" spans="1:8">
      <c r="A110" s="445">
        <f t="shared" si="9"/>
        <v>2</v>
      </c>
      <c r="B110" s="445">
        <v>1</v>
      </c>
      <c r="C110" s="456">
        <f t="shared" si="13"/>
        <v>14</v>
      </c>
      <c r="D110" s="445">
        <f t="shared" si="10"/>
        <v>0.5</v>
      </c>
      <c r="E110" s="453">
        <f t="shared" si="11"/>
        <v>1</v>
      </c>
      <c r="F110" s="445">
        <f t="shared" si="14"/>
        <v>0.5</v>
      </c>
      <c r="H110" s="445">
        <f t="shared" si="12"/>
        <v>1</v>
      </c>
    </row>
    <row r="111" spans="1:8">
      <c r="A111" s="445">
        <f t="shared" si="9"/>
        <v>2</v>
      </c>
      <c r="B111" s="445">
        <v>1</v>
      </c>
      <c r="C111" s="456">
        <f t="shared" si="13"/>
        <v>15</v>
      </c>
      <c r="D111" s="445">
        <f t="shared" si="10"/>
        <v>0.5</v>
      </c>
      <c r="E111" s="453">
        <f t="shared" si="11"/>
        <v>1</v>
      </c>
      <c r="F111" s="445">
        <f t="shared" si="14"/>
        <v>0.5</v>
      </c>
      <c r="H111" s="445">
        <f t="shared" si="12"/>
        <v>1</v>
      </c>
    </row>
    <row r="112" spans="1:8">
      <c r="A112" s="445">
        <f t="shared" si="9"/>
        <v>2</v>
      </c>
      <c r="B112" s="445">
        <v>1</v>
      </c>
      <c r="C112" s="456">
        <f t="shared" si="13"/>
        <v>16</v>
      </c>
      <c r="D112" s="445">
        <f t="shared" si="10"/>
        <v>0.5</v>
      </c>
      <c r="E112" s="453">
        <f t="shared" si="11"/>
        <v>1</v>
      </c>
      <c r="F112" s="445">
        <f t="shared" si="14"/>
        <v>0.5</v>
      </c>
      <c r="H112" s="445">
        <f t="shared" si="12"/>
        <v>1</v>
      </c>
    </row>
    <row r="113" spans="1:8">
      <c r="A113" s="445">
        <f t="shared" si="9"/>
        <v>2</v>
      </c>
      <c r="B113" s="445">
        <v>1</v>
      </c>
      <c r="C113" s="456">
        <f t="shared" si="13"/>
        <v>17</v>
      </c>
      <c r="D113" s="445">
        <f t="shared" si="10"/>
        <v>0.5</v>
      </c>
      <c r="E113" s="453">
        <f t="shared" si="11"/>
        <v>1</v>
      </c>
      <c r="F113" s="445">
        <f t="shared" si="14"/>
        <v>0.5</v>
      </c>
      <c r="H113" s="445">
        <f t="shared" si="12"/>
        <v>0</v>
      </c>
    </row>
    <row r="114" spans="1:8">
      <c r="A114" s="445">
        <f t="shared" si="9"/>
        <v>2</v>
      </c>
      <c r="B114" s="445">
        <v>1</v>
      </c>
      <c r="C114" s="456">
        <f t="shared" si="13"/>
        <v>18</v>
      </c>
      <c r="D114" s="445">
        <f t="shared" si="10"/>
        <v>1</v>
      </c>
      <c r="E114" s="453">
        <f t="shared" si="11"/>
        <v>1</v>
      </c>
      <c r="F114" s="445">
        <f t="shared" si="14"/>
        <v>1</v>
      </c>
      <c r="H114" s="445">
        <f t="shared" si="12"/>
        <v>1</v>
      </c>
    </row>
    <row r="115" spans="1:8">
      <c r="A115" s="445">
        <f t="shared" si="9"/>
        <v>2</v>
      </c>
      <c r="B115" s="445">
        <v>1</v>
      </c>
      <c r="C115" s="456">
        <f t="shared" si="13"/>
        <v>19</v>
      </c>
      <c r="D115" s="445">
        <f t="shared" si="10"/>
        <v>1</v>
      </c>
      <c r="E115" s="453">
        <f t="shared" si="11"/>
        <v>1</v>
      </c>
      <c r="F115" s="445">
        <f t="shared" si="14"/>
        <v>1</v>
      </c>
      <c r="H115" s="445">
        <f t="shared" si="12"/>
        <v>1</v>
      </c>
    </row>
    <row r="116" spans="1:8">
      <c r="A116" s="445">
        <f t="shared" si="9"/>
        <v>2</v>
      </c>
      <c r="B116" s="445">
        <v>1</v>
      </c>
      <c r="C116" s="456">
        <f t="shared" si="13"/>
        <v>20</v>
      </c>
      <c r="D116" s="445">
        <f t="shared" si="10"/>
        <v>1</v>
      </c>
      <c r="E116" s="453">
        <f t="shared" si="11"/>
        <v>1</v>
      </c>
      <c r="F116" s="445">
        <f t="shared" si="14"/>
        <v>1</v>
      </c>
      <c r="H116" s="445">
        <f t="shared" si="12"/>
        <v>1</v>
      </c>
    </row>
    <row r="117" spans="1:8">
      <c r="A117" s="445">
        <f t="shared" si="9"/>
        <v>2</v>
      </c>
      <c r="B117" s="445">
        <v>1</v>
      </c>
      <c r="C117" s="456">
        <f t="shared" si="13"/>
        <v>21</v>
      </c>
      <c r="D117" s="445">
        <f t="shared" si="10"/>
        <v>0.5</v>
      </c>
      <c r="E117" s="453">
        <f t="shared" si="11"/>
        <v>1</v>
      </c>
      <c r="F117" s="445">
        <f t="shared" si="14"/>
        <v>0.5</v>
      </c>
      <c r="H117" s="445">
        <f t="shared" si="12"/>
        <v>1</v>
      </c>
    </row>
    <row r="118" spans="1:8">
      <c r="A118" s="445">
        <f t="shared" si="9"/>
        <v>2</v>
      </c>
      <c r="B118" s="445">
        <v>1</v>
      </c>
      <c r="C118" s="456">
        <f t="shared" si="13"/>
        <v>22</v>
      </c>
      <c r="D118" s="445">
        <f t="shared" si="10"/>
        <v>0.5</v>
      </c>
      <c r="E118" s="453">
        <f t="shared" si="11"/>
        <v>1</v>
      </c>
      <c r="F118" s="445">
        <f t="shared" si="14"/>
        <v>0.5</v>
      </c>
      <c r="H118" s="445">
        <f t="shared" si="12"/>
        <v>1</v>
      </c>
    </row>
    <row r="119" spans="1:8">
      <c r="A119" s="445">
        <f t="shared" si="9"/>
        <v>2</v>
      </c>
      <c r="B119" s="445">
        <v>1</v>
      </c>
      <c r="C119" s="456">
        <f t="shared" si="13"/>
        <v>23</v>
      </c>
      <c r="D119" s="445">
        <f t="shared" si="10"/>
        <v>0.5</v>
      </c>
      <c r="E119" s="453">
        <f t="shared" si="11"/>
        <v>1</v>
      </c>
      <c r="F119" s="445">
        <f t="shared" si="14"/>
        <v>0.5</v>
      </c>
      <c r="H119" s="445">
        <f t="shared" si="12"/>
        <v>0</v>
      </c>
    </row>
    <row r="120" spans="1:8">
      <c r="A120" s="445">
        <f t="shared" si="9"/>
        <v>2</v>
      </c>
      <c r="B120" s="445">
        <v>1</v>
      </c>
      <c r="C120" s="456">
        <f t="shared" si="13"/>
        <v>24</v>
      </c>
      <c r="D120" s="445">
        <f t="shared" si="10"/>
        <v>0.1</v>
      </c>
      <c r="E120" s="453">
        <f t="shared" si="11"/>
        <v>1</v>
      </c>
      <c r="F120" s="445">
        <f t="shared" ref="F120:F144" si="15">MAX(IF(B120&lt;=$C$94,D67,0),G$94)</f>
        <v>0.1</v>
      </c>
      <c r="H120" s="445">
        <f t="shared" si="12"/>
        <v>0</v>
      </c>
    </row>
    <row r="121" spans="1:8">
      <c r="A121" s="445">
        <f t="shared" si="9"/>
        <v>3</v>
      </c>
      <c r="B121" s="445">
        <v>2</v>
      </c>
      <c r="C121" s="456">
        <f t="shared" si="13"/>
        <v>25</v>
      </c>
      <c r="D121" s="445">
        <f t="shared" ref="D121:D144" si="16">IF(B121&lt;=$C$94,B67,0)</f>
        <v>0</v>
      </c>
      <c r="E121" s="453">
        <f t="shared" si="11"/>
        <v>0</v>
      </c>
      <c r="F121" s="445">
        <f t="shared" si="15"/>
        <v>0.1</v>
      </c>
      <c r="H121" s="445">
        <f t="shared" ref="H121:H144" si="17">IF(B121&lt;=$C$94,T67,0)</f>
        <v>0</v>
      </c>
    </row>
    <row r="122" spans="1:8">
      <c r="A122" s="445">
        <f t="shared" si="9"/>
        <v>3</v>
      </c>
      <c r="B122" s="445">
        <v>2</v>
      </c>
      <c r="C122" s="456">
        <f t="shared" si="13"/>
        <v>26</v>
      </c>
      <c r="D122" s="445">
        <f t="shared" si="16"/>
        <v>0</v>
      </c>
      <c r="E122" s="453">
        <f t="shared" si="11"/>
        <v>0</v>
      </c>
      <c r="F122" s="445">
        <f t="shared" si="15"/>
        <v>0.1</v>
      </c>
      <c r="H122" s="445">
        <f t="shared" si="17"/>
        <v>0</v>
      </c>
    </row>
    <row r="123" spans="1:8">
      <c r="A123" s="445">
        <f t="shared" si="9"/>
        <v>3</v>
      </c>
      <c r="B123" s="445">
        <v>2</v>
      </c>
      <c r="C123" s="456">
        <f t="shared" si="13"/>
        <v>27</v>
      </c>
      <c r="D123" s="445">
        <f t="shared" si="16"/>
        <v>0</v>
      </c>
      <c r="E123" s="453">
        <f t="shared" si="11"/>
        <v>0</v>
      </c>
      <c r="F123" s="445">
        <f t="shared" si="15"/>
        <v>0.1</v>
      </c>
      <c r="H123" s="445">
        <f t="shared" si="17"/>
        <v>0</v>
      </c>
    </row>
    <row r="124" spans="1:8">
      <c r="A124" s="445">
        <f t="shared" si="9"/>
        <v>3</v>
      </c>
      <c r="B124" s="445">
        <v>2</v>
      </c>
      <c r="C124" s="456">
        <f t="shared" si="13"/>
        <v>28</v>
      </c>
      <c r="D124" s="445">
        <f t="shared" si="16"/>
        <v>0</v>
      </c>
      <c r="E124" s="453">
        <f t="shared" si="11"/>
        <v>0</v>
      </c>
      <c r="F124" s="445">
        <f t="shared" si="15"/>
        <v>0.1</v>
      </c>
      <c r="H124" s="445">
        <f t="shared" si="17"/>
        <v>0</v>
      </c>
    </row>
    <row r="125" spans="1:8">
      <c r="A125" s="445">
        <f t="shared" si="9"/>
        <v>3</v>
      </c>
      <c r="B125" s="445">
        <v>2</v>
      </c>
      <c r="C125" s="456">
        <f t="shared" si="13"/>
        <v>29</v>
      </c>
      <c r="D125" s="445">
        <f t="shared" si="16"/>
        <v>0.1</v>
      </c>
      <c r="E125" s="453">
        <f t="shared" si="11"/>
        <v>1</v>
      </c>
      <c r="F125" s="445">
        <f t="shared" si="15"/>
        <v>0.1</v>
      </c>
      <c r="H125" s="445">
        <f t="shared" si="17"/>
        <v>0</v>
      </c>
    </row>
    <row r="126" spans="1:8">
      <c r="A126" s="445">
        <f t="shared" si="9"/>
        <v>3</v>
      </c>
      <c r="B126" s="445">
        <v>2</v>
      </c>
      <c r="C126" s="456">
        <f t="shared" si="13"/>
        <v>30</v>
      </c>
      <c r="D126" s="445">
        <f t="shared" si="16"/>
        <v>0.1</v>
      </c>
      <c r="E126" s="453">
        <f t="shared" si="11"/>
        <v>1</v>
      </c>
      <c r="F126" s="445">
        <f t="shared" si="15"/>
        <v>0.5</v>
      </c>
      <c r="H126" s="445">
        <f t="shared" si="17"/>
        <v>0</v>
      </c>
    </row>
    <row r="127" spans="1:8">
      <c r="A127" s="445">
        <f t="shared" si="9"/>
        <v>3</v>
      </c>
      <c r="B127" s="445">
        <v>2</v>
      </c>
      <c r="C127" s="456">
        <f t="shared" si="13"/>
        <v>31</v>
      </c>
      <c r="D127" s="445">
        <f t="shared" si="16"/>
        <v>0.5</v>
      </c>
      <c r="E127" s="453">
        <f t="shared" si="11"/>
        <v>1</v>
      </c>
      <c r="F127" s="445">
        <f t="shared" si="15"/>
        <v>1</v>
      </c>
      <c r="H127" s="445">
        <f t="shared" si="17"/>
        <v>1</v>
      </c>
    </row>
    <row r="128" spans="1:8">
      <c r="A128" s="445">
        <f t="shared" si="9"/>
        <v>3</v>
      </c>
      <c r="B128" s="445">
        <v>2</v>
      </c>
      <c r="C128" s="456">
        <f t="shared" si="13"/>
        <v>32</v>
      </c>
      <c r="D128" s="445">
        <f t="shared" si="16"/>
        <v>1</v>
      </c>
      <c r="E128" s="453">
        <f t="shared" si="11"/>
        <v>1</v>
      </c>
      <c r="F128" s="445">
        <f t="shared" si="15"/>
        <v>1</v>
      </c>
      <c r="H128" s="445">
        <f t="shared" si="17"/>
        <v>0</v>
      </c>
    </row>
    <row r="129" spans="1:8">
      <c r="A129" s="445">
        <f t="shared" ref="A129:A160" si="18">B129+1</f>
        <v>3</v>
      </c>
      <c r="B129" s="445">
        <v>2</v>
      </c>
      <c r="C129" s="456">
        <f t="shared" si="13"/>
        <v>33</v>
      </c>
      <c r="D129" s="445">
        <f t="shared" si="16"/>
        <v>1</v>
      </c>
      <c r="E129" s="453">
        <f t="shared" ref="E129:E160" si="19">IF(D129&gt;0,1,0)</f>
        <v>1</v>
      </c>
      <c r="F129" s="445">
        <f t="shared" si="15"/>
        <v>0.5</v>
      </c>
      <c r="H129" s="445">
        <f t="shared" si="17"/>
        <v>1</v>
      </c>
    </row>
    <row r="130" spans="1:8">
      <c r="A130" s="445">
        <f t="shared" si="18"/>
        <v>3</v>
      </c>
      <c r="B130" s="445">
        <v>2</v>
      </c>
      <c r="C130" s="456">
        <f t="shared" ref="C130:C161" si="20">C129+1</f>
        <v>34</v>
      </c>
      <c r="D130" s="445">
        <f t="shared" si="16"/>
        <v>0.5</v>
      </c>
      <c r="E130" s="453">
        <f t="shared" si="19"/>
        <v>1</v>
      </c>
      <c r="F130" s="445">
        <f t="shared" si="15"/>
        <v>0.5</v>
      </c>
      <c r="H130" s="445">
        <f t="shared" si="17"/>
        <v>1</v>
      </c>
    </row>
    <row r="131" spans="1:8">
      <c r="A131" s="445">
        <f t="shared" si="18"/>
        <v>3</v>
      </c>
      <c r="B131" s="445">
        <v>2</v>
      </c>
      <c r="C131" s="456">
        <f t="shared" si="20"/>
        <v>35</v>
      </c>
      <c r="D131" s="445">
        <f t="shared" si="16"/>
        <v>0.5</v>
      </c>
      <c r="E131" s="453">
        <f t="shared" si="19"/>
        <v>1</v>
      </c>
      <c r="F131" s="445">
        <f t="shared" si="15"/>
        <v>0.5</v>
      </c>
      <c r="H131" s="445">
        <f t="shared" si="17"/>
        <v>1</v>
      </c>
    </row>
    <row r="132" spans="1:8">
      <c r="A132" s="445">
        <f t="shared" si="18"/>
        <v>3</v>
      </c>
      <c r="B132" s="445">
        <v>2</v>
      </c>
      <c r="C132" s="456">
        <f t="shared" si="20"/>
        <v>36</v>
      </c>
      <c r="D132" s="445">
        <f t="shared" si="16"/>
        <v>0.5</v>
      </c>
      <c r="E132" s="453">
        <f t="shared" si="19"/>
        <v>1</v>
      </c>
      <c r="F132" s="445">
        <f t="shared" si="15"/>
        <v>0.5</v>
      </c>
      <c r="H132" s="445">
        <f t="shared" si="17"/>
        <v>0</v>
      </c>
    </row>
    <row r="133" spans="1:8">
      <c r="A133" s="445">
        <f t="shared" si="18"/>
        <v>3</v>
      </c>
      <c r="B133" s="445">
        <v>2</v>
      </c>
      <c r="C133" s="456">
        <f t="shared" si="20"/>
        <v>37</v>
      </c>
      <c r="D133" s="445">
        <f t="shared" si="16"/>
        <v>0.5</v>
      </c>
      <c r="E133" s="453">
        <f t="shared" si="19"/>
        <v>1</v>
      </c>
      <c r="F133" s="445">
        <f t="shared" si="15"/>
        <v>0.5</v>
      </c>
      <c r="H133" s="445">
        <f t="shared" si="17"/>
        <v>1</v>
      </c>
    </row>
    <row r="134" spans="1:8">
      <c r="A134" s="445">
        <f t="shared" si="18"/>
        <v>3</v>
      </c>
      <c r="B134" s="445">
        <v>2</v>
      </c>
      <c r="C134" s="456">
        <f t="shared" si="20"/>
        <v>38</v>
      </c>
      <c r="D134" s="445">
        <f t="shared" si="16"/>
        <v>0.5</v>
      </c>
      <c r="E134" s="453">
        <f t="shared" si="19"/>
        <v>1</v>
      </c>
      <c r="F134" s="445">
        <f t="shared" si="15"/>
        <v>0.5</v>
      </c>
      <c r="H134" s="445">
        <f t="shared" si="17"/>
        <v>1</v>
      </c>
    </row>
    <row r="135" spans="1:8">
      <c r="A135" s="445">
        <f t="shared" si="18"/>
        <v>3</v>
      </c>
      <c r="B135" s="445">
        <v>2</v>
      </c>
      <c r="C135" s="456">
        <f t="shared" si="20"/>
        <v>39</v>
      </c>
      <c r="D135" s="445">
        <f t="shared" si="16"/>
        <v>0.5</v>
      </c>
      <c r="E135" s="453">
        <f t="shared" si="19"/>
        <v>1</v>
      </c>
      <c r="F135" s="445">
        <f t="shared" si="15"/>
        <v>0.5</v>
      </c>
      <c r="H135" s="445">
        <f t="shared" si="17"/>
        <v>1</v>
      </c>
    </row>
    <row r="136" spans="1:8">
      <c r="A136" s="445">
        <f t="shared" si="18"/>
        <v>3</v>
      </c>
      <c r="B136" s="445">
        <v>2</v>
      </c>
      <c r="C136" s="456">
        <f t="shared" si="20"/>
        <v>40</v>
      </c>
      <c r="D136" s="445">
        <f t="shared" si="16"/>
        <v>0.5</v>
      </c>
      <c r="E136" s="453">
        <f t="shared" si="19"/>
        <v>1</v>
      </c>
      <c r="F136" s="445">
        <f t="shared" si="15"/>
        <v>0.5</v>
      </c>
      <c r="H136" s="445">
        <f t="shared" si="17"/>
        <v>1</v>
      </c>
    </row>
    <row r="137" spans="1:8">
      <c r="A137" s="445">
        <f t="shared" si="18"/>
        <v>3</v>
      </c>
      <c r="B137" s="445">
        <v>2</v>
      </c>
      <c r="C137" s="456">
        <f t="shared" si="20"/>
        <v>41</v>
      </c>
      <c r="D137" s="445">
        <f t="shared" si="16"/>
        <v>0.5</v>
      </c>
      <c r="E137" s="453">
        <f t="shared" si="19"/>
        <v>1</v>
      </c>
      <c r="F137" s="445">
        <f t="shared" si="15"/>
        <v>1</v>
      </c>
      <c r="H137" s="445">
        <f t="shared" si="17"/>
        <v>0</v>
      </c>
    </row>
    <row r="138" spans="1:8">
      <c r="A138" s="445">
        <f t="shared" si="18"/>
        <v>3</v>
      </c>
      <c r="B138" s="445">
        <v>2</v>
      </c>
      <c r="C138" s="456">
        <f t="shared" si="20"/>
        <v>42</v>
      </c>
      <c r="D138" s="445">
        <f t="shared" si="16"/>
        <v>1</v>
      </c>
      <c r="E138" s="453">
        <f t="shared" si="19"/>
        <v>1</v>
      </c>
      <c r="F138" s="445">
        <f t="shared" si="15"/>
        <v>1</v>
      </c>
      <c r="H138" s="445">
        <f t="shared" si="17"/>
        <v>1</v>
      </c>
    </row>
    <row r="139" spans="1:8">
      <c r="A139" s="445">
        <f t="shared" si="18"/>
        <v>3</v>
      </c>
      <c r="B139" s="445">
        <v>2</v>
      </c>
      <c r="C139" s="456">
        <f t="shared" si="20"/>
        <v>43</v>
      </c>
      <c r="D139" s="445">
        <f t="shared" si="16"/>
        <v>1</v>
      </c>
      <c r="E139" s="453">
        <f t="shared" si="19"/>
        <v>1</v>
      </c>
      <c r="F139" s="445">
        <f t="shared" si="15"/>
        <v>1</v>
      </c>
      <c r="H139" s="445">
        <f t="shared" si="17"/>
        <v>1</v>
      </c>
    </row>
    <row r="140" spans="1:8">
      <c r="A140" s="445">
        <f t="shared" si="18"/>
        <v>3</v>
      </c>
      <c r="B140" s="445">
        <v>2</v>
      </c>
      <c r="C140" s="456">
        <f t="shared" si="20"/>
        <v>44</v>
      </c>
      <c r="D140" s="445">
        <f t="shared" si="16"/>
        <v>1</v>
      </c>
      <c r="E140" s="453">
        <f t="shared" si="19"/>
        <v>1</v>
      </c>
      <c r="F140" s="445">
        <f t="shared" si="15"/>
        <v>0.5</v>
      </c>
      <c r="H140" s="445">
        <f t="shared" si="17"/>
        <v>1</v>
      </c>
    </row>
    <row r="141" spans="1:8">
      <c r="A141" s="445">
        <f t="shared" si="18"/>
        <v>3</v>
      </c>
      <c r="B141" s="445">
        <v>2</v>
      </c>
      <c r="C141" s="456">
        <f t="shared" si="20"/>
        <v>45</v>
      </c>
      <c r="D141" s="445">
        <f t="shared" si="16"/>
        <v>0.5</v>
      </c>
      <c r="E141" s="453">
        <f t="shared" si="19"/>
        <v>1</v>
      </c>
      <c r="F141" s="445">
        <f t="shared" si="15"/>
        <v>0.5</v>
      </c>
      <c r="H141" s="445">
        <f t="shared" si="17"/>
        <v>1</v>
      </c>
    </row>
    <row r="142" spans="1:8">
      <c r="A142" s="445">
        <f t="shared" si="18"/>
        <v>3</v>
      </c>
      <c r="B142" s="445">
        <v>2</v>
      </c>
      <c r="C142" s="456">
        <f t="shared" si="20"/>
        <v>46</v>
      </c>
      <c r="D142" s="445">
        <f t="shared" si="16"/>
        <v>0.5</v>
      </c>
      <c r="E142" s="453">
        <f t="shared" si="19"/>
        <v>1</v>
      </c>
      <c r="F142" s="445">
        <f t="shared" si="15"/>
        <v>0.5</v>
      </c>
      <c r="H142" s="445">
        <f t="shared" si="17"/>
        <v>1</v>
      </c>
    </row>
    <row r="143" spans="1:8">
      <c r="A143" s="445">
        <f t="shared" si="18"/>
        <v>3</v>
      </c>
      <c r="B143" s="445">
        <v>2</v>
      </c>
      <c r="C143" s="456">
        <f t="shared" si="20"/>
        <v>47</v>
      </c>
      <c r="D143" s="445">
        <f t="shared" si="16"/>
        <v>0.5</v>
      </c>
      <c r="E143" s="453">
        <f t="shared" si="19"/>
        <v>1</v>
      </c>
      <c r="F143" s="445">
        <f t="shared" si="15"/>
        <v>0.1</v>
      </c>
      <c r="H143" s="445">
        <f t="shared" si="17"/>
        <v>0</v>
      </c>
    </row>
    <row r="144" spans="1:8">
      <c r="A144" s="445">
        <f t="shared" si="18"/>
        <v>3</v>
      </c>
      <c r="B144" s="445">
        <v>2</v>
      </c>
      <c r="C144" s="456">
        <f t="shared" si="20"/>
        <v>48</v>
      </c>
      <c r="D144" s="445">
        <f t="shared" si="16"/>
        <v>0.1</v>
      </c>
      <c r="E144" s="453">
        <f t="shared" si="19"/>
        <v>1</v>
      </c>
      <c r="F144" s="445">
        <f t="shared" si="15"/>
        <v>0.1</v>
      </c>
      <c r="H144" s="445">
        <f t="shared" si="17"/>
        <v>0</v>
      </c>
    </row>
    <row r="145" spans="1:8">
      <c r="A145" s="445">
        <f t="shared" si="18"/>
        <v>4</v>
      </c>
      <c r="B145" s="445">
        <v>3</v>
      </c>
      <c r="C145" s="456">
        <f t="shared" si="20"/>
        <v>49</v>
      </c>
      <c r="D145" s="445">
        <f t="shared" ref="D145:D168" si="21">IF(B145&lt;=$C$94,B67,0)</f>
        <v>0</v>
      </c>
      <c r="E145" s="453">
        <f t="shared" si="19"/>
        <v>0</v>
      </c>
      <c r="F145" s="445">
        <f t="shared" ref="F145:F168" si="22">MAX(IF(B145&lt;=$C$94,D67,0),G$94)</f>
        <v>0.1</v>
      </c>
      <c r="H145" s="445">
        <f t="shared" ref="H145:H168" si="23">IF(B145&lt;=$C$94,T67,0)</f>
        <v>0</v>
      </c>
    </row>
    <row r="146" spans="1:8">
      <c r="A146" s="445">
        <f t="shared" si="18"/>
        <v>4</v>
      </c>
      <c r="B146" s="445">
        <v>3</v>
      </c>
      <c r="C146" s="456">
        <f t="shared" si="20"/>
        <v>50</v>
      </c>
      <c r="D146" s="445">
        <f t="shared" si="21"/>
        <v>0</v>
      </c>
      <c r="E146" s="453">
        <f t="shared" si="19"/>
        <v>0</v>
      </c>
      <c r="F146" s="445">
        <f t="shared" si="22"/>
        <v>0.1</v>
      </c>
      <c r="H146" s="445">
        <f t="shared" si="23"/>
        <v>0</v>
      </c>
    </row>
    <row r="147" spans="1:8">
      <c r="A147" s="445">
        <f t="shared" si="18"/>
        <v>4</v>
      </c>
      <c r="B147" s="445">
        <v>3</v>
      </c>
      <c r="C147" s="456">
        <f t="shared" si="20"/>
        <v>51</v>
      </c>
      <c r="D147" s="445">
        <f t="shared" si="21"/>
        <v>0</v>
      </c>
      <c r="E147" s="453">
        <f t="shared" si="19"/>
        <v>0</v>
      </c>
      <c r="F147" s="445">
        <f t="shared" si="22"/>
        <v>0.1</v>
      </c>
      <c r="H147" s="445">
        <f t="shared" si="23"/>
        <v>0</v>
      </c>
    </row>
    <row r="148" spans="1:8">
      <c r="A148" s="445">
        <f t="shared" si="18"/>
        <v>4</v>
      </c>
      <c r="B148" s="445">
        <v>3</v>
      </c>
      <c r="C148" s="456">
        <f t="shared" si="20"/>
        <v>52</v>
      </c>
      <c r="D148" s="445">
        <f t="shared" si="21"/>
        <v>0</v>
      </c>
      <c r="E148" s="453">
        <f t="shared" si="19"/>
        <v>0</v>
      </c>
      <c r="F148" s="445">
        <f t="shared" si="22"/>
        <v>0.1</v>
      </c>
      <c r="H148" s="445">
        <f t="shared" si="23"/>
        <v>0</v>
      </c>
    </row>
    <row r="149" spans="1:8">
      <c r="A149" s="445">
        <f t="shared" si="18"/>
        <v>4</v>
      </c>
      <c r="B149" s="445">
        <v>3</v>
      </c>
      <c r="C149" s="456">
        <f t="shared" si="20"/>
        <v>53</v>
      </c>
      <c r="D149" s="445">
        <f t="shared" si="21"/>
        <v>0.1</v>
      </c>
      <c r="E149" s="453">
        <f t="shared" si="19"/>
        <v>1</v>
      </c>
      <c r="F149" s="445">
        <f t="shared" si="22"/>
        <v>0.1</v>
      </c>
      <c r="H149" s="445">
        <f t="shared" si="23"/>
        <v>0</v>
      </c>
    </row>
    <row r="150" spans="1:8">
      <c r="A150" s="445">
        <f t="shared" si="18"/>
        <v>4</v>
      </c>
      <c r="B150" s="445">
        <v>3</v>
      </c>
      <c r="C150" s="456">
        <f t="shared" si="20"/>
        <v>54</v>
      </c>
      <c r="D150" s="445">
        <f t="shared" si="21"/>
        <v>0.1</v>
      </c>
      <c r="E150" s="453">
        <f t="shared" si="19"/>
        <v>1</v>
      </c>
      <c r="F150" s="445">
        <f t="shared" si="22"/>
        <v>0.1</v>
      </c>
      <c r="H150" s="445">
        <f t="shared" si="23"/>
        <v>0</v>
      </c>
    </row>
    <row r="151" spans="1:8">
      <c r="A151" s="445">
        <f t="shared" si="18"/>
        <v>4</v>
      </c>
      <c r="B151" s="445">
        <v>3</v>
      </c>
      <c r="C151" s="456">
        <f t="shared" si="20"/>
        <v>55</v>
      </c>
      <c r="D151" s="445">
        <f t="shared" si="21"/>
        <v>0.5</v>
      </c>
      <c r="E151" s="453">
        <f t="shared" si="19"/>
        <v>1</v>
      </c>
      <c r="F151" s="445">
        <f t="shared" si="22"/>
        <v>0.5</v>
      </c>
      <c r="H151" s="445">
        <f t="shared" si="23"/>
        <v>1</v>
      </c>
    </row>
    <row r="152" spans="1:8">
      <c r="A152" s="445">
        <f t="shared" si="18"/>
        <v>4</v>
      </c>
      <c r="B152" s="445">
        <v>3</v>
      </c>
      <c r="C152" s="456">
        <f t="shared" si="20"/>
        <v>56</v>
      </c>
      <c r="D152" s="445">
        <f t="shared" si="21"/>
        <v>1</v>
      </c>
      <c r="E152" s="453">
        <f t="shared" si="19"/>
        <v>1</v>
      </c>
      <c r="F152" s="445">
        <f t="shared" si="22"/>
        <v>1</v>
      </c>
      <c r="H152" s="445">
        <f t="shared" si="23"/>
        <v>0</v>
      </c>
    </row>
    <row r="153" spans="1:8">
      <c r="A153" s="445">
        <f t="shared" si="18"/>
        <v>4</v>
      </c>
      <c r="B153" s="445">
        <v>3</v>
      </c>
      <c r="C153" s="456">
        <f t="shared" si="20"/>
        <v>57</v>
      </c>
      <c r="D153" s="445">
        <f t="shared" si="21"/>
        <v>1</v>
      </c>
      <c r="E153" s="453">
        <f t="shared" si="19"/>
        <v>1</v>
      </c>
      <c r="F153" s="445">
        <f t="shared" si="22"/>
        <v>1</v>
      </c>
      <c r="H153" s="445">
        <f t="shared" si="23"/>
        <v>1</v>
      </c>
    </row>
    <row r="154" spans="1:8">
      <c r="A154" s="445">
        <f t="shared" si="18"/>
        <v>4</v>
      </c>
      <c r="B154" s="445">
        <v>3</v>
      </c>
      <c r="C154" s="456">
        <f t="shared" si="20"/>
        <v>58</v>
      </c>
      <c r="D154" s="445">
        <f t="shared" si="21"/>
        <v>0.5</v>
      </c>
      <c r="E154" s="453">
        <f t="shared" si="19"/>
        <v>1</v>
      </c>
      <c r="F154" s="445">
        <f t="shared" si="22"/>
        <v>0.5</v>
      </c>
      <c r="H154" s="445">
        <f t="shared" si="23"/>
        <v>1</v>
      </c>
    </row>
    <row r="155" spans="1:8">
      <c r="A155" s="445">
        <f t="shared" si="18"/>
        <v>4</v>
      </c>
      <c r="B155" s="445">
        <v>3</v>
      </c>
      <c r="C155" s="456">
        <f t="shared" si="20"/>
        <v>59</v>
      </c>
      <c r="D155" s="445">
        <f t="shared" si="21"/>
        <v>0.5</v>
      </c>
      <c r="E155" s="453">
        <f t="shared" si="19"/>
        <v>1</v>
      </c>
      <c r="F155" s="445">
        <f t="shared" si="22"/>
        <v>0.5</v>
      </c>
      <c r="H155" s="445">
        <f t="shared" si="23"/>
        <v>1</v>
      </c>
    </row>
    <row r="156" spans="1:8">
      <c r="A156" s="445">
        <f t="shared" si="18"/>
        <v>4</v>
      </c>
      <c r="B156" s="445">
        <v>3</v>
      </c>
      <c r="C156" s="456">
        <f t="shared" si="20"/>
        <v>60</v>
      </c>
      <c r="D156" s="445">
        <f t="shared" si="21"/>
        <v>0.5</v>
      </c>
      <c r="E156" s="453">
        <f t="shared" si="19"/>
        <v>1</v>
      </c>
      <c r="F156" s="445">
        <f t="shared" si="22"/>
        <v>0.5</v>
      </c>
      <c r="H156" s="445">
        <f t="shared" si="23"/>
        <v>0</v>
      </c>
    </row>
    <row r="157" spans="1:8">
      <c r="A157" s="445">
        <f t="shared" si="18"/>
        <v>4</v>
      </c>
      <c r="B157" s="445">
        <v>3</v>
      </c>
      <c r="C157" s="456">
        <f t="shared" si="20"/>
        <v>61</v>
      </c>
      <c r="D157" s="445">
        <f t="shared" si="21"/>
        <v>0.5</v>
      </c>
      <c r="E157" s="453">
        <f t="shared" si="19"/>
        <v>1</v>
      </c>
      <c r="F157" s="445">
        <f t="shared" si="22"/>
        <v>0.5</v>
      </c>
      <c r="H157" s="445">
        <f t="shared" si="23"/>
        <v>1</v>
      </c>
    </row>
    <row r="158" spans="1:8">
      <c r="A158" s="445">
        <f t="shared" si="18"/>
        <v>4</v>
      </c>
      <c r="B158" s="445">
        <v>3</v>
      </c>
      <c r="C158" s="456">
        <f t="shared" si="20"/>
        <v>62</v>
      </c>
      <c r="D158" s="445">
        <f t="shared" si="21"/>
        <v>0.5</v>
      </c>
      <c r="E158" s="453">
        <f t="shared" si="19"/>
        <v>1</v>
      </c>
      <c r="F158" s="445">
        <f t="shared" si="22"/>
        <v>0.5</v>
      </c>
      <c r="H158" s="445">
        <f t="shared" si="23"/>
        <v>1</v>
      </c>
    </row>
    <row r="159" spans="1:8">
      <c r="A159" s="445">
        <f t="shared" si="18"/>
        <v>4</v>
      </c>
      <c r="B159" s="445">
        <v>3</v>
      </c>
      <c r="C159" s="456">
        <f t="shared" si="20"/>
        <v>63</v>
      </c>
      <c r="D159" s="445">
        <f t="shared" si="21"/>
        <v>0.5</v>
      </c>
      <c r="E159" s="453">
        <f t="shared" si="19"/>
        <v>1</v>
      </c>
      <c r="F159" s="445">
        <f t="shared" si="22"/>
        <v>0.5</v>
      </c>
      <c r="H159" s="445">
        <f t="shared" si="23"/>
        <v>1</v>
      </c>
    </row>
    <row r="160" spans="1:8">
      <c r="A160" s="445">
        <f t="shared" si="18"/>
        <v>4</v>
      </c>
      <c r="B160" s="445">
        <v>3</v>
      </c>
      <c r="C160" s="456">
        <f t="shared" si="20"/>
        <v>64</v>
      </c>
      <c r="D160" s="445">
        <f>IF(B160&lt;=$C$94,B82,0)</f>
        <v>0.5</v>
      </c>
      <c r="E160" s="453">
        <f t="shared" si="19"/>
        <v>1</v>
      </c>
      <c r="F160" s="445">
        <f t="shared" si="22"/>
        <v>0.5</v>
      </c>
      <c r="H160" s="445">
        <f t="shared" si="23"/>
        <v>1</v>
      </c>
    </row>
    <row r="161" spans="1:8">
      <c r="A161" s="445">
        <f t="shared" ref="A161:A192" si="24">B161+1</f>
        <v>4</v>
      </c>
      <c r="B161" s="445">
        <v>3</v>
      </c>
      <c r="C161" s="456">
        <f t="shared" si="20"/>
        <v>65</v>
      </c>
      <c r="D161" s="445">
        <f t="shared" si="21"/>
        <v>0.5</v>
      </c>
      <c r="E161" s="453">
        <f t="shared" ref="E161:E192" si="25">IF(D161&gt;0,1,0)</f>
        <v>1</v>
      </c>
      <c r="F161" s="445">
        <f t="shared" si="22"/>
        <v>0.5</v>
      </c>
      <c r="H161" s="445">
        <f t="shared" si="23"/>
        <v>0</v>
      </c>
    </row>
    <row r="162" spans="1:8">
      <c r="A162" s="445">
        <f t="shared" si="24"/>
        <v>4</v>
      </c>
      <c r="B162" s="445">
        <v>3</v>
      </c>
      <c r="C162" s="456">
        <f t="shared" ref="C162:C193" si="26">C161+1</f>
        <v>66</v>
      </c>
      <c r="D162" s="445">
        <f t="shared" si="21"/>
        <v>1</v>
      </c>
      <c r="E162" s="453">
        <f t="shared" si="25"/>
        <v>1</v>
      </c>
      <c r="F162" s="445">
        <f t="shared" si="22"/>
        <v>1</v>
      </c>
      <c r="H162" s="445">
        <f t="shared" si="23"/>
        <v>1</v>
      </c>
    </row>
    <row r="163" spans="1:8">
      <c r="A163" s="445">
        <f t="shared" si="24"/>
        <v>4</v>
      </c>
      <c r="B163" s="445">
        <v>3</v>
      </c>
      <c r="C163" s="456">
        <f t="shared" si="26"/>
        <v>67</v>
      </c>
      <c r="D163" s="445">
        <f t="shared" si="21"/>
        <v>1</v>
      </c>
      <c r="E163" s="453">
        <f t="shared" si="25"/>
        <v>1</v>
      </c>
      <c r="F163" s="445">
        <f t="shared" si="22"/>
        <v>1</v>
      </c>
      <c r="H163" s="445">
        <f t="shared" si="23"/>
        <v>1</v>
      </c>
    </row>
    <row r="164" spans="1:8">
      <c r="A164" s="445">
        <f t="shared" si="24"/>
        <v>4</v>
      </c>
      <c r="B164" s="445">
        <v>3</v>
      </c>
      <c r="C164" s="456">
        <f t="shared" si="26"/>
        <v>68</v>
      </c>
      <c r="D164" s="445">
        <f t="shared" si="21"/>
        <v>1</v>
      </c>
      <c r="E164" s="453">
        <f t="shared" si="25"/>
        <v>1</v>
      </c>
      <c r="F164" s="445">
        <f t="shared" si="22"/>
        <v>1</v>
      </c>
      <c r="H164" s="445">
        <f t="shared" si="23"/>
        <v>1</v>
      </c>
    </row>
    <row r="165" spans="1:8">
      <c r="A165" s="445">
        <f t="shared" si="24"/>
        <v>4</v>
      </c>
      <c r="B165" s="445">
        <v>3</v>
      </c>
      <c r="C165" s="456">
        <f t="shared" si="26"/>
        <v>69</v>
      </c>
      <c r="D165" s="445">
        <f t="shared" si="21"/>
        <v>0.5</v>
      </c>
      <c r="E165" s="453">
        <f t="shared" si="25"/>
        <v>1</v>
      </c>
      <c r="F165" s="445">
        <f t="shared" si="22"/>
        <v>0.5</v>
      </c>
      <c r="H165" s="445">
        <f t="shared" si="23"/>
        <v>1</v>
      </c>
    </row>
    <row r="166" spans="1:8">
      <c r="A166" s="445">
        <f t="shared" si="24"/>
        <v>4</v>
      </c>
      <c r="B166" s="445">
        <v>3</v>
      </c>
      <c r="C166" s="456">
        <f t="shared" si="26"/>
        <v>70</v>
      </c>
      <c r="D166" s="445">
        <f t="shared" si="21"/>
        <v>0.5</v>
      </c>
      <c r="E166" s="453">
        <f t="shared" si="25"/>
        <v>1</v>
      </c>
      <c r="F166" s="445">
        <f t="shared" si="22"/>
        <v>0.5</v>
      </c>
      <c r="H166" s="445">
        <f t="shared" si="23"/>
        <v>1</v>
      </c>
    </row>
    <row r="167" spans="1:8">
      <c r="A167" s="445">
        <f t="shared" si="24"/>
        <v>4</v>
      </c>
      <c r="B167" s="445">
        <v>3</v>
      </c>
      <c r="C167" s="456">
        <f t="shared" si="26"/>
        <v>71</v>
      </c>
      <c r="D167" s="445">
        <f t="shared" si="21"/>
        <v>0.5</v>
      </c>
      <c r="E167" s="453">
        <f t="shared" si="25"/>
        <v>1</v>
      </c>
      <c r="F167" s="445">
        <f t="shared" si="22"/>
        <v>0.5</v>
      </c>
      <c r="H167" s="445">
        <f t="shared" si="23"/>
        <v>0</v>
      </c>
    </row>
    <row r="168" spans="1:8">
      <c r="A168" s="445">
        <f t="shared" si="24"/>
        <v>4</v>
      </c>
      <c r="B168" s="445">
        <v>3</v>
      </c>
      <c r="C168" s="456">
        <f t="shared" si="26"/>
        <v>72</v>
      </c>
      <c r="D168" s="445">
        <f t="shared" si="21"/>
        <v>0.1</v>
      </c>
      <c r="E168" s="453">
        <f t="shared" si="25"/>
        <v>1</v>
      </c>
      <c r="F168" s="445">
        <f t="shared" si="22"/>
        <v>0.1</v>
      </c>
      <c r="H168" s="445">
        <f t="shared" si="23"/>
        <v>0</v>
      </c>
    </row>
    <row r="169" spans="1:8">
      <c r="A169" s="445">
        <f t="shared" si="24"/>
        <v>5</v>
      </c>
      <c r="B169" s="445">
        <v>4</v>
      </c>
      <c r="C169" s="456">
        <f t="shared" si="26"/>
        <v>73</v>
      </c>
      <c r="D169" s="445">
        <f t="shared" ref="D169:D192" si="27">IF(B169&lt;=$C$94,B67,0)</f>
        <v>0</v>
      </c>
      <c r="E169" s="453">
        <f t="shared" si="25"/>
        <v>0</v>
      </c>
      <c r="F169" s="445">
        <f t="shared" ref="F169:F192" si="28">MAX(IF(B169&lt;=$C$94,D67,0),G$94)</f>
        <v>0.1</v>
      </c>
      <c r="H169" s="445">
        <f t="shared" ref="H169:H192" si="29">IF(B169&lt;=$C$94,T67,0)</f>
        <v>0</v>
      </c>
    </row>
    <row r="170" spans="1:8">
      <c r="A170" s="445">
        <f t="shared" si="24"/>
        <v>5</v>
      </c>
      <c r="B170" s="445">
        <v>4</v>
      </c>
      <c r="C170" s="456">
        <f t="shared" si="26"/>
        <v>74</v>
      </c>
      <c r="D170" s="445">
        <f t="shared" si="27"/>
        <v>0</v>
      </c>
      <c r="E170" s="453">
        <f t="shared" si="25"/>
        <v>0</v>
      </c>
      <c r="F170" s="445">
        <f t="shared" si="28"/>
        <v>0.1</v>
      </c>
      <c r="H170" s="445">
        <f t="shared" si="29"/>
        <v>0</v>
      </c>
    </row>
    <row r="171" spans="1:8">
      <c r="A171" s="445">
        <f t="shared" si="24"/>
        <v>5</v>
      </c>
      <c r="B171" s="445">
        <v>4</v>
      </c>
      <c r="C171" s="456">
        <f t="shared" si="26"/>
        <v>75</v>
      </c>
      <c r="D171" s="445">
        <f t="shared" si="27"/>
        <v>0</v>
      </c>
      <c r="E171" s="453">
        <f t="shared" si="25"/>
        <v>0</v>
      </c>
      <c r="F171" s="445">
        <f t="shared" si="28"/>
        <v>0.1</v>
      </c>
      <c r="H171" s="445">
        <f t="shared" si="29"/>
        <v>0</v>
      </c>
    </row>
    <row r="172" spans="1:8">
      <c r="A172" s="445">
        <f t="shared" si="24"/>
        <v>5</v>
      </c>
      <c r="B172" s="445">
        <v>4</v>
      </c>
      <c r="C172" s="456">
        <f t="shared" si="26"/>
        <v>76</v>
      </c>
      <c r="D172" s="445">
        <f t="shared" si="27"/>
        <v>0</v>
      </c>
      <c r="E172" s="453">
        <f t="shared" si="25"/>
        <v>0</v>
      </c>
      <c r="F172" s="445">
        <f t="shared" si="28"/>
        <v>0.1</v>
      </c>
      <c r="H172" s="445">
        <f t="shared" si="29"/>
        <v>0</v>
      </c>
    </row>
    <row r="173" spans="1:8">
      <c r="A173" s="445">
        <f t="shared" si="24"/>
        <v>5</v>
      </c>
      <c r="B173" s="445">
        <v>4</v>
      </c>
      <c r="C173" s="456">
        <f t="shared" si="26"/>
        <v>77</v>
      </c>
      <c r="D173" s="445">
        <f t="shared" si="27"/>
        <v>0.1</v>
      </c>
      <c r="E173" s="453">
        <f t="shared" si="25"/>
        <v>1</v>
      </c>
      <c r="F173" s="445">
        <f t="shared" si="28"/>
        <v>0.1</v>
      </c>
      <c r="H173" s="445">
        <f t="shared" si="29"/>
        <v>0</v>
      </c>
    </row>
    <row r="174" spans="1:8">
      <c r="A174" s="445">
        <f t="shared" si="24"/>
        <v>5</v>
      </c>
      <c r="B174" s="445">
        <v>4</v>
      </c>
      <c r="C174" s="456">
        <f t="shared" si="26"/>
        <v>78</v>
      </c>
      <c r="D174" s="445">
        <f t="shared" si="27"/>
        <v>0.1</v>
      </c>
      <c r="E174" s="453">
        <f t="shared" si="25"/>
        <v>1</v>
      </c>
      <c r="F174" s="445">
        <f t="shared" si="28"/>
        <v>0.1</v>
      </c>
      <c r="H174" s="445">
        <f t="shared" si="29"/>
        <v>0</v>
      </c>
    </row>
    <row r="175" spans="1:8">
      <c r="A175" s="445">
        <f t="shared" si="24"/>
        <v>5</v>
      </c>
      <c r="B175" s="445">
        <v>4</v>
      </c>
      <c r="C175" s="456">
        <f t="shared" si="26"/>
        <v>79</v>
      </c>
      <c r="D175" s="445">
        <f t="shared" si="27"/>
        <v>0.5</v>
      </c>
      <c r="E175" s="453">
        <f t="shared" si="25"/>
        <v>1</v>
      </c>
      <c r="F175" s="445">
        <f t="shared" si="28"/>
        <v>0.5</v>
      </c>
      <c r="H175" s="445">
        <f t="shared" si="29"/>
        <v>1</v>
      </c>
    </row>
    <row r="176" spans="1:8">
      <c r="A176" s="445">
        <f t="shared" si="24"/>
        <v>5</v>
      </c>
      <c r="B176" s="445">
        <v>4</v>
      </c>
      <c r="C176" s="456">
        <f t="shared" si="26"/>
        <v>80</v>
      </c>
      <c r="D176" s="445">
        <f t="shared" si="27"/>
        <v>1</v>
      </c>
      <c r="E176" s="453">
        <f t="shared" si="25"/>
        <v>1</v>
      </c>
      <c r="F176" s="445">
        <f t="shared" si="28"/>
        <v>1</v>
      </c>
      <c r="H176" s="445">
        <f t="shared" si="29"/>
        <v>0</v>
      </c>
    </row>
    <row r="177" spans="1:8">
      <c r="A177" s="445">
        <f t="shared" si="24"/>
        <v>5</v>
      </c>
      <c r="B177" s="445">
        <v>4</v>
      </c>
      <c r="C177" s="456">
        <f t="shared" si="26"/>
        <v>81</v>
      </c>
      <c r="D177" s="445">
        <f t="shared" si="27"/>
        <v>1</v>
      </c>
      <c r="E177" s="453">
        <f t="shared" si="25"/>
        <v>1</v>
      </c>
      <c r="F177" s="445">
        <f t="shared" si="28"/>
        <v>1</v>
      </c>
      <c r="H177" s="445">
        <f t="shared" si="29"/>
        <v>1</v>
      </c>
    </row>
    <row r="178" spans="1:8">
      <c r="A178" s="445">
        <f t="shared" si="24"/>
        <v>5</v>
      </c>
      <c r="B178" s="445">
        <v>4</v>
      </c>
      <c r="C178" s="456">
        <f t="shared" si="26"/>
        <v>82</v>
      </c>
      <c r="D178" s="445">
        <f t="shared" si="27"/>
        <v>0.5</v>
      </c>
      <c r="E178" s="453">
        <f t="shared" si="25"/>
        <v>1</v>
      </c>
      <c r="F178" s="445">
        <f t="shared" si="28"/>
        <v>0.5</v>
      </c>
      <c r="H178" s="445">
        <f t="shared" si="29"/>
        <v>1</v>
      </c>
    </row>
    <row r="179" spans="1:8">
      <c r="A179" s="445">
        <f t="shared" si="24"/>
        <v>5</v>
      </c>
      <c r="B179" s="445">
        <v>4</v>
      </c>
      <c r="C179" s="456">
        <f t="shared" si="26"/>
        <v>83</v>
      </c>
      <c r="D179" s="445">
        <f t="shared" si="27"/>
        <v>0.5</v>
      </c>
      <c r="E179" s="453">
        <f t="shared" si="25"/>
        <v>1</v>
      </c>
      <c r="F179" s="445">
        <f t="shared" si="28"/>
        <v>0.5</v>
      </c>
      <c r="H179" s="445">
        <f t="shared" si="29"/>
        <v>1</v>
      </c>
    </row>
    <row r="180" spans="1:8">
      <c r="A180" s="445">
        <f t="shared" si="24"/>
        <v>5</v>
      </c>
      <c r="B180" s="445">
        <v>4</v>
      </c>
      <c r="C180" s="456">
        <f t="shared" si="26"/>
        <v>84</v>
      </c>
      <c r="D180" s="445">
        <f t="shared" si="27"/>
        <v>0.5</v>
      </c>
      <c r="E180" s="453">
        <f t="shared" si="25"/>
        <v>1</v>
      </c>
      <c r="F180" s="445">
        <f t="shared" si="28"/>
        <v>0.5</v>
      </c>
      <c r="H180" s="445">
        <f t="shared" si="29"/>
        <v>0</v>
      </c>
    </row>
    <row r="181" spans="1:8">
      <c r="A181" s="445">
        <f t="shared" si="24"/>
        <v>5</v>
      </c>
      <c r="B181" s="445">
        <v>4</v>
      </c>
      <c r="C181" s="456">
        <f t="shared" si="26"/>
        <v>85</v>
      </c>
      <c r="D181" s="445">
        <f t="shared" si="27"/>
        <v>0.5</v>
      </c>
      <c r="E181" s="453">
        <f t="shared" si="25"/>
        <v>1</v>
      </c>
      <c r="F181" s="445">
        <f t="shared" si="28"/>
        <v>0.5</v>
      </c>
      <c r="H181" s="445">
        <f t="shared" si="29"/>
        <v>1</v>
      </c>
    </row>
    <row r="182" spans="1:8">
      <c r="A182" s="445">
        <f t="shared" si="24"/>
        <v>5</v>
      </c>
      <c r="B182" s="445">
        <v>4</v>
      </c>
      <c r="C182" s="456">
        <f t="shared" si="26"/>
        <v>86</v>
      </c>
      <c r="D182" s="445">
        <f t="shared" si="27"/>
        <v>0.5</v>
      </c>
      <c r="E182" s="453">
        <f t="shared" si="25"/>
        <v>1</v>
      </c>
      <c r="F182" s="445">
        <f t="shared" si="28"/>
        <v>0.5</v>
      </c>
      <c r="H182" s="445">
        <f t="shared" si="29"/>
        <v>1</v>
      </c>
    </row>
    <row r="183" spans="1:8">
      <c r="A183" s="445">
        <f t="shared" si="24"/>
        <v>5</v>
      </c>
      <c r="B183" s="445">
        <v>4</v>
      </c>
      <c r="C183" s="456">
        <f t="shared" si="26"/>
        <v>87</v>
      </c>
      <c r="D183" s="445">
        <f t="shared" si="27"/>
        <v>0.5</v>
      </c>
      <c r="E183" s="453">
        <f t="shared" si="25"/>
        <v>1</v>
      </c>
      <c r="F183" s="445">
        <f t="shared" si="28"/>
        <v>0.5</v>
      </c>
      <c r="H183" s="445">
        <f t="shared" si="29"/>
        <v>1</v>
      </c>
    </row>
    <row r="184" spans="1:8">
      <c r="A184" s="445">
        <f t="shared" si="24"/>
        <v>5</v>
      </c>
      <c r="B184" s="445">
        <v>4</v>
      </c>
      <c r="C184" s="456">
        <f t="shared" si="26"/>
        <v>88</v>
      </c>
      <c r="D184" s="445">
        <f t="shared" si="27"/>
        <v>0.5</v>
      </c>
      <c r="E184" s="453">
        <f t="shared" si="25"/>
        <v>1</v>
      </c>
      <c r="F184" s="445">
        <f t="shared" si="28"/>
        <v>0.5</v>
      </c>
      <c r="H184" s="445">
        <f t="shared" si="29"/>
        <v>1</v>
      </c>
    </row>
    <row r="185" spans="1:8">
      <c r="A185" s="445">
        <f t="shared" si="24"/>
        <v>5</v>
      </c>
      <c r="B185" s="445">
        <v>4</v>
      </c>
      <c r="C185" s="456">
        <f t="shared" si="26"/>
        <v>89</v>
      </c>
      <c r="D185" s="445">
        <f t="shared" si="27"/>
        <v>0.5</v>
      </c>
      <c r="E185" s="453">
        <f t="shared" si="25"/>
        <v>1</v>
      </c>
      <c r="F185" s="445">
        <f t="shared" si="28"/>
        <v>0.5</v>
      </c>
      <c r="H185" s="445">
        <f t="shared" si="29"/>
        <v>0</v>
      </c>
    </row>
    <row r="186" spans="1:8">
      <c r="A186" s="445">
        <f t="shared" si="24"/>
        <v>5</v>
      </c>
      <c r="B186" s="445">
        <v>4</v>
      </c>
      <c r="C186" s="456">
        <f t="shared" si="26"/>
        <v>90</v>
      </c>
      <c r="D186" s="445">
        <f t="shared" si="27"/>
        <v>1</v>
      </c>
      <c r="E186" s="453">
        <f t="shared" si="25"/>
        <v>1</v>
      </c>
      <c r="F186" s="445">
        <f t="shared" si="28"/>
        <v>1</v>
      </c>
      <c r="H186" s="445">
        <f t="shared" si="29"/>
        <v>1</v>
      </c>
    </row>
    <row r="187" spans="1:8">
      <c r="A187" s="445">
        <f t="shared" si="24"/>
        <v>5</v>
      </c>
      <c r="B187" s="445">
        <v>4</v>
      </c>
      <c r="C187" s="456">
        <f t="shared" si="26"/>
        <v>91</v>
      </c>
      <c r="D187" s="445">
        <f t="shared" si="27"/>
        <v>1</v>
      </c>
      <c r="E187" s="453">
        <f t="shared" si="25"/>
        <v>1</v>
      </c>
      <c r="F187" s="445">
        <f t="shared" si="28"/>
        <v>1</v>
      </c>
      <c r="H187" s="445">
        <f t="shared" si="29"/>
        <v>1</v>
      </c>
    </row>
    <row r="188" spans="1:8">
      <c r="A188" s="445">
        <f t="shared" si="24"/>
        <v>5</v>
      </c>
      <c r="B188" s="445">
        <v>4</v>
      </c>
      <c r="C188" s="456">
        <f t="shared" si="26"/>
        <v>92</v>
      </c>
      <c r="D188" s="445">
        <f t="shared" si="27"/>
        <v>1</v>
      </c>
      <c r="E188" s="453">
        <f t="shared" si="25"/>
        <v>1</v>
      </c>
      <c r="F188" s="445">
        <f t="shared" si="28"/>
        <v>1</v>
      </c>
      <c r="H188" s="445">
        <f t="shared" si="29"/>
        <v>1</v>
      </c>
    </row>
    <row r="189" spans="1:8">
      <c r="A189" s="445">
        <f t="shared" si="24"/>
        <v>5</v>
      </c>
      <c r="B189" s="445">
        <v>4</v>
      </c>
      <c r="C189" s="456">
        <f t="shared" si="26"/>
        <v>93</v>
      </c>
      <c r="D189" s="445">
        <f t="shared" si="27"/>
        <v>0.5</v>
      </c>
      <c r="E189" s="453">
        <f t="shared" si="25"/>
        <v>1</v>
      </c>
      <c r="F189" s="445">
        <f t="shared" si="28"/>
        <v>0.5</v>
      </c>
      <c r="H189" s="445">
        <f t="shared" si="29"/>
        <v>1</v>
      </c>
    </row>
    <row r="190" spans="1:8">
      <c r="A190" s="445">
        <f t="shared" si="24"/>
        <v>5</v>
      </c>
      <c r="B190" s="445">
        <v>4</v>
      </c>
      <c r="C190" s="456">
        <f t="shared" si="26"/>
        <v>94</v>
      </c>
      <c r="D190" s="445">
        <f t="shared" si="27"/>
        <v>0.5</v>
      </c>
      <c r="E190" s="453">
        <f t="shared" si="25"/>
        <v>1</v>
      </c>
      <c r="F190" s="445">
        <f t="shared" si="28"/>
        <v>0.5</v>
      </c>
      <c r="H190" s="445">
        <f t="shared" si="29"/>
        <v>1</v>
      </c>
    </row>
    <row r="191" spans="1:8">
      <c r="A191" s="445">
        <f t="shared" si="24"/>
        <v>5</v>
      </c>
      <c r="B191" s="445">
        <v>4</v>
      </c>
      <c r="C191" s="456">
        <f t="shared" si="26"/>
        <v>95</v>
      </c>
      <c r="D191" s="445">
        <f t="shared" si="27"/>
        <v>0.5</v>
      </c>
      <c r="E191" s="453">
        <f t="shared" si="25"/>
        <v>1</v>
      </c>
      <c r="F191" s="445">
        <f t="shared" si="28"/>
        <v>0.5</v>
      </c>
      <c r="H191" s="445">
        <f t="shared" si="29"/>
        <v>0</v>
      </c>
    </row>
    <row r="192" spans="1:8">
      <c r="A192" s="445">
        <f t="shared" si="24"/>
        <v>5</v>
      </c>
      <c r="B192" s="445">
        <v>4</v>
      </c>
      <c r="C192" s="456">
        <f t="shared" si="26"/>
        <v>96</v>
      </c>
      <c r="D192" s="445">
        <f t="shared" si="27"/>
        <v>0.1</v>
      </c>
      <c r="E192" s="453">
        <f t="shared" si="25"/>
        <v>1</v>
      </c>
      <c r="F192" s="445">
        <f t="shared" si="28"/>
        <v>0.1</v>
      </c>
      <c r="H192" s="445">
        <f t="shared" si="29"/>
        <v>0</v>
      </c>
    </row>
    <row r="193" spans="1:8">
      <c r="A193" s="445">
        <f t="shared" ref="A193:A224" si="30">B193+1</f>
        <v>6</v>
      </c>
      <c r="B193" s="445">
        <v>5</v>
      </c>
      <c r="C193" s="456">
        <f t="shared" si="26"/>
        <v>97</v>
      </c>
      <c r="D193" s="445">
        <f t="shared" ref="D193:D216" si="31">IF(B193&lt;=$C$94,B67,0)</f>
        <v>0</v>
      </c>
      <c r="E193" s="453">
        <f t="shared" ref="E193:E224" si="32">IF(D193&gt;0,1,0)</f>
        <v>0</v>
      </c>
      <c r="F193" s="445">
        <f t="shared" ref="F193:F216" si="33">MAX(IF(B193&lt;=$C$94,D67,0),G$94)</f>
        <v>0.1</v>
      </c>
      <c r="H193" s="445">
        <f t="shared" ref="H193:H216" si="34">IF(B193&lt;=$C$94,T67,0)</f>
        <v>0</v>
      </c>
    </row>
    <row r="194" spans="1:8">
      <c r="A194" s="445">
        <f t="shared" si="30"/>
        <v>6</v>
      </c>
      <c r="B194" s="445">
        <v>5</v>
      </c>
      <c r="C194" s="456">
        <f t="shared" ref="C194:C225" si="35">C193+1</f>
        <v>98</v>
      </c>
      <c r="D194" s="445">
        <f t="shared" si="31"/>
        <v>0</v>
      </c>
      <c r="E194" s="453">
        <f t="shared" si="32"/>
        <v>0</v>
      </c>
      <c r="F194" s="445">
        <f t="shared" si="33"/>
        <v>0.1</v>
      </c>
      <c r="H194" s="445">
        <f t="shared" si="34"/>
        <v>0</v>
      </c>
    </row>
    <row r="195" spans="1:8">
      <c r="A195" s="445">
        <f t="shared" si="30"/>
        <v>6</v>
      </c>
      <c r="B195" s="445">
        <v>5</v>
      </c>
      <c r="C195" s="456">
        <f t="shared" si="35"/>
        <v>99</v>
      </c>
      <c r="D195" s="445">
        <f t="shared" si="31"/>
        <v>0</v>
      </c>
      <c r="E195" s="453">
        <f t="shared" si="32"/>
        <v>0</v>
      </c>
      <c r="F195" s="445">
        <f t="shared" si="33"/>
        <v>0.1</v>
      </c>
      <c r="H195" s="445">
        <f t="shared" si="34"/>
        <v>0</v>
      </c>
    </row>
    <row r="196" spans="1:8">
      <c r="A196" s="445">
        <f t="shared" si="30"/>
        <v>6</v>
      </c>
      <c r="B196" s="445">
        <v>5</v>
      </c>
      <c r="C196" s="456">
        <f t="shared" si="35"/>
        <v>100</v>
      </c>
      <c r="D196" s="445">
        <f t="shared" si="31"/>
        <v>0</v>
      </c>
      <c r="E196" s="453">
        <f t="shared" si="32"/>
        <v>0</v>
      </c>
      <c r="F196" s="445">
        <f t="shared" si="33"/>
        <v>0.1</v>
      </c>
      <c r="H196" s="445">
        <f t="shared" si="34"/>
        <v>0</v>
      </c>
    </row>
    <row r="197" spans="1:8">
      <c r="A197" s="445">
        <f t="shared" si="30"/>
        <v>6</v>
      </c>
      <c r="B197" s="445">
        <v>5</v>
      </c>
      <c r="C197" s="456">
        <f t="shared" si="35"/>
        <v>101</v>
      </c>
      <c r="D197" s="445">
        <f t="shared" si="31"/>
        <v>0.1</v>
      </c>
      <c r="E197" s="453">
        <f t="shared" si="32"/>
        <v>1</v>
      </c>
      <c r="F197" s="445">
        <f t="shared" si="33"/>
        <v>0.1</v>
      </c>
      <c r="H197" s="445">
        <f t="shared" si="34"/>
        <v>0</v>
      </c>
    </row>
    <row r="198" spans="1:8">
      <c r="A198" s="445">
        <f t="shared" si="30"/>
        <v>6</v>
      </c>
      <c r="B198" s="445">
        <v>5</v>
      </c>
      <c r="C198" s="456">
        <f t="shared" si="35"/>
        <v>102</v>
      </c>
      <c r="D198" s="445">
        <f t="shared" si="31"/>
        <v>0.1</v>
      </c>
      <c r="E198" s="453">
        <f t="shared" si="32"/>
        <v>1</v>
      </c>
      <c r="F198" s="445">
        <f t="shared" si="33"/>
        <v>0.1</v>
      </c>
      <c r="H198" s="445">
        <f t="shared" si="34"/>
        <v>0</v>
      </c>
    </row>
    <row r="199" spans="1:8">
      <c r="A199" s="445">
        <f t="shared" si="30"/>
        <v>6</v>
      </c>
      <c r="B199" s="445">
        <v>5</v>
      </c>
      <c r="C199" s="456">
        <f t="shared" si="35"/>
        <v>103</v>
      </c>
      <c r="D199" s="445">
        <f t="shared" si="31"/>
        <v>0.5</v>
      </c>
      <c r="E199" s="453">
        <f t="shared" si="32"/>
        <v>1</v>
      </c>
      <c r="F199" s="445">
        <f t="shared" si="33"/>
        <v>0.5</v>
      </c>
      <c r="H199" s="445">
        <f t="shared" si="34"/>
        <v>1</v>
      </c>
    </row>
    <row r="200" spans="1:8">
      <c r="A200" s="445">
        <f t="shared" si="30"/>
        <v>6</v>
      </c>
      <c r="B200" s="445">
        <v>5</v>
      </c>
      <c r="C200" s="456">
        <f t="shared" si="35"/>
        <v>104</v>
      </c>
      <c r="D200" s="445">
        <f t="shared" si="31"/>
        <v>1</v>
      </c>
      <c r="E200" s="453">
        <f t="shared" si="32"/>
        <v>1</v>
      </c>
      <c r="F200" s="445">
        <f t="shared" si="33"/>
        <v>1</v>
      </c>
      <c r="H200" s="445">
        <f t="shared" si="34"/>
        <v>0</v>
      </c>
    </row>
    <row r="201" spans="1:8">
      <c r="A201" s="445">
        <f t="shared" si="30"/>
        <v>6</v>
      </c>
      <c r="B201" s="445">
        <v>5</v>
      </c>
      <c r="C201" s="456">
        <f t="shared" si="35"/>
        <v>105</v>
      </c>
      <c r="D201" s="445">
        <f t="shared" si="31"/>
        <v>1</v>
      </c>
      <c r="E201" s="453">
        <f t="shared" si="32"/>
        <v>1</v>
      </c>
      <c r="F201" s="445">
        <f t="shared" si="33"/>
        <v>1</v>
      </c>
      <c r="H201" s="445">
        <f t="shared" si="34"/>
        <v>1</v>
      </c>
    </row>
    <row r="202" spans="1:8">
      <c r="A202" s="445">
        <f t="shared" si="30"/>
        <v>6</v>
      </c>
      <c r="B202" s="445">
        <v>5</v>
      </c>
      <c r="C202" s="456">
        <f t="shared" si="35"/>
        <v>106</v>
      </c>
      <c r="D202" s="445">
        <f t="shared" si="31"/>
        <v>0.5</v>
      </c>
      <c r="E202" s="453">
        <f t="shared" si="32"/>
        <v>1</v>
      </c>
      <c r="F202" s="445">
        <f t="shared" si="33"/>
        <v>0.5</v>
      </c>
      <c r="H202" s="445">
        <f t="shared" si="34"/>
        <v>1</v>
      </c>
    </row>
    <row r="203" spans="1:8">
      <c r="A203" s="445">
        <f t="shared" si="30"/>
        <v>6</v>
      </c>
      <c r="B203" s="445">
        <v>5</v>
      </c>
      <c r="C203" s="456">
        <f t="shared" si="35"/>
        <v>107</v>
      </c>
      <c r="D203" s="445">
        <f t="shared" si="31"/>
        <v>0.5</v>
      </c>
      <c r="E203" s="453">
        <f t="shared" si="32"/>
        <v>1</v>
      </c>
      <c r="F203" s="445">
        <f t="shared" si="33"/>
        <v>0.5</v>
      </c>
      <c r="H203" s="445">
        <f t="shared" si="34"/>
        <v>1</v>
      </c>
    </row>
    <row r="204" spans="1:8">
      <c r="A204" s="445">
        <f t="shared" si="30"/>
        <v>6</v>
      </c>
      <c r="B204" s="445">
        <v>5</v>
      </c>
      <c r="C204" s="456">
        <f t="shared" si="35"/>
        <v>108</v>
      </c>
      <c r="D204" s="445">
        <f t="shared" si="31"/>
        <v>0.5</v>
      </c>
      <c r="E204" s="453">
        <f t="shared" si="32"/>
        <v>1</v>
      </c>
      <c r="F204" s="445">
        <f t="shared" si="33"/>
        <v>0.5</v>
      </c>
      <c r="H204" s="445">
        <f t="shared" si="34"/>
        <v>0</v>
      </c>
    </row>
    <row r="205" spans="1:8">
      <c r="A205" s="445">
        <f t="shared" si="30"/>
        <v>6</v>
      </c>
      <c r="B205" s="445">
        <v>5</v>
      </c>
      <c r="C205" s="456">
        <f t="shared" si="35"/>
        <v>109</v>
      </c>
      <c r="D205" s="445">
        <f t="shared" si="31"/>
        <v>0.5</v>
      </c>
      <c r="E205" s="453">
        <f t="shared" si="32"/>
        <v>1</v>
      </c>
      <c r="F205" s="445">
        <f t="shared" si="33"/>
        <v>0.5</v>
      </c>
      <c r="H205" s="445">
        <f t="shared" si="34"/>
        <v>1</v>
      </c>
    </row>
    <row r="206" spans="1:8">
      <c r="A206" s="445">
        <f t="shared" si="30"/>
        <v>6</v>
      </c>
      <c r="B206" s="445">
        <v>5</v>
      </c>
      <c r="C206" s="456">
        <f t="shared" si="35"/>
        <v>110</v>
      </c>
      <c r="D206" s="445">
        <f t="shared" si="31"/>
        <v>0.5</v>
      </c>
      <c r="E206" s="453">
        <f t="shared" si="32"/>
        <v>1</v>
      </c>
      <c r="F206" s="445">
        <f t="shared" si="33"/>
        <v>0.5</v>
      </c>
      <c r="H206" s="445">
        <f t="shared" si="34"/>
        <v>1</v>
      </c>
    </row>
    <row r="207" spans="1:8">
      <c r="A207" s="445">
        <f t="shared" si="30"/>
        <v>6</v>
      </c>
      <c r="B207" s="445">
        <v>5</v>
      </c>
      <c r="C207" s="456">
        <f t="shared" si="35"/>
        <v>111</v>
      </c>
      <c r="D207" s="445">
        <f t="shared" si="31"/>
        <v>0.5</v>
      </c>
      <c r="E207" s="453">
        <f t="shared" si="32"/>
        <v>1</v>
      </c>
      <c r="F207" s="445">
        <f t="shared" si="33"/>
        <v>0.5</v>
      </c>
      <c r="H207" s="445">
        <f t="shared" si="34"/>
        <v>1</v>
      </c>
    </row>
    <row r="208" spans="1:8">
      <c r="A208" s="445">
        <f t="shared" si="30"/>
        <v>6</v>
      </c>
      <c r="B208" s="445">
        <v>5</v>
      </c>
      <c r="C208" s="456">
        <f t="shared" si="35"/>
        <v>112</v>
      </c>
      <c r="D208" s="445">
        <f t="shared" si="31"/>
        <v>0.5</v>
      </c>
      <c r="E208" s="453">
        <f t="shared" si="32"/>
        <v>1</v>
      </c>
      <c r="F208" s="445">
        <f t="shared" si="33"/>
        <v>0.5</v>
      </c>
      <c r="H208" s="445">
        <f t="shared" si="34"/>
        <v>1</v>
      </c>
    </row>
    <row r="209" spans="1:8">
      <c r="A209" s="445">
        <f t="shared" si="30"/>
        <v>6</v>
      </c>
      <c r="B209" s="445">
        <v>5</v>
      </c>
      <c r="C209" s="456">
        <f t="shared" si="35"/>
        <v>113</v>
      </c>
      <c r="D209" s="445">
        <f t="shared" si="31"/>
        <v>0.5</v>
      </c>
      <c r="E209" s="453">
        <f t="shared" si="32"/>
        <v>1</v>
      </c>
      <c r="F209" s="445">
        <f t="shared" si="33"/>
        <v>0.5</v>
      </c>
      <c r="H209" s="445">
        <f t="shared" si="34"/>
        <v>0</v>
      </c>
    </row>
    <row r="210" spans="1:8">
      <c r="A210" s="445">
        <f t="shared" si="30"/>
        <v>6</v>
      </c>
      <c r="B210" s="445">
        <v>5</v>
      </c>
      <c r="C210" s="456">
        <f t="shared" si="35"/>
        <v>114</v>
      </c>
      <c r="D210" s="445">
        <f t="shared" si="31"/>
        <v>1</v>
      </c>
      <c r="E210" s="453">
        <f t="shared" si="32"/>
        <v>1</v>
      </c>
      <c r="F210" s="445">
        <f t="shared" si="33"/>
        <v>1</v>
      </c>
      <c r="H210" s="445">
        <f t="shared" si="34"/>
        <v>1</v>
      </c>
    </row>
    <row r="211" spans="1:8">
      <c r="A211" s="445">
        <f t="shared" si="30"/>
        <v>6</v>
      </c>
      <c r="B211" s="445">
        <v>5</v>
      </c>
      <c r="C211" s="456">
        <f t="shared" si="35"/>
        <v>115</v>
      </c>
      <c r="D211" s="445">
        <f t="shared" si="31"/>
        <v>1</v>
      </c>
      <c r="E211" s="453">
        <f t="shared" si="32"/>
        <v>1</v>
      </c>
      <c r="F211" s="445">
        <f t="shared" si="33"/>
        <v>1</v>
      </c>
      <c r="H211" s="445">
        <f t="shared" si="34"/>
        <v>1</v>
      </c>
    </row>
    <row r="212" spans="1:8">
      <c r="A212" s="445">
        <f t="shared" si="30"/>
        <v>6</v>
      </c>
      <c r="B212" s="445">
        <v>5</v>
      </c>
      <c r="C212" s="456">
        <f t="shared" si="35"/>
        <v>116</v>
      </c>
      <c r="D212" s="445">
        <f t="shared" si="31"/>
        <v>1</v>
      </c>
      <c r="E212" s="453">
        <f t="shared" si="32"/>
        <v>1</v>
      </c>
      <c r="F212" s="445">
        <f t="shared" si="33"/>
        <v>1</v>
      </c>
      <c r="H212" s="445">
        <f t="shared" si="34"/>
        <v>1</v>
      </c>
    </row>
    <row r="213" spans="1:8">
      <c r="A213" s="445">
        <f t="shared" si="30"/>
        <v>6</v>
      </c>
      <c r="B213" s="445">
        <v>5</v>
      </c>
      <c r="C213" s="456">
        <f t="shared" si="35"/>
        <v>117</v>
      </c>
      <c r="D213" s="445">
        <f t="shared" si="31"/>
        <v>0.5</v>
      </c>
      <c r="E213" s="453">
        <f t="shared" si="32"/>
        <v>1</v>
      </c>
      <c r="F213" s="445">
        <f t="shared" si="33"/>
        <v>0.5</v>
      </c>
      <c r="H213" s="445">
        <f t="shared" si="34"/>
        <v>1</v>
      </c>
    </row>
    <row r="214" spans="1:8">
      <c r="A214" s="445">
        <f t="shared" si="30"/>
        <v>6</v>
      </c>
      <c r="B214" s="445">
        <v>5</v>
      </c>
      <c r="C214" s="456">
        <f t="shared" si="35"/>
        <v>118</v>
      </c>
      <c r="D214" s="445">
        <f t="shared" si="31"/>
        <v>0.5</v>
      </c>
      <c r="E214" s="453">
        <f t="shared" si="32"/>
        <v>1</v>
      </c>
      <c r="F214" s="445">
        <f t="shared" si="33"/>
        <v>0.5</v>
      </c>
      <c r="H214" s="445">
        <f t="shared" si="34"/>
        <v>1</v>
      </c>
    </row>
    <row r="215" spans="1:8">
      <c r="A215" s="445">
        <f t="shared" si="30"/>
        <v>6</v>
      </c>
      <c r="B215" s="445">
        <v>5</v>
      </c>
      <c r="C215" s="456">
        <f t="shared" si="35"/>
        <v>119</v>
      </c>
      <c r="D215" s="445">
        <f t="shared" si="31"/>
        <v>0.5</v>
      </c>
      <c r="E215" s="453">
        <f t="shared" si="32"/>
        <v>1</v>
      </c>
      <c r="F215" s="445">
        <f t="shared" si="33"/>
        <v>0.5</v>
      </c>
      <c r="H215" s="445">
        <f t="shared" si="34"/>
        <v>0</v>
      </c>
    </row>
    <row r="216" spans="1:8">
      <c r="A216" s="445">
        <f t="shared" si="30"/>
        <v>6</v>
      </c>
      <c r="B216" s="445">
        <v>5</v>
      </c>
      <c r="C216" s="456">
        <f t="shared" si="35"/>
        <v>120</v>
      </c>
      <c r="D216" s="445">
        <f t="shared" si="31"/>
        <v>0.1</v>
      </c>
      <c r="E216" s="453">
        <f t="shared" si="32"/>
        <v>1</v>
      </c>
      <c r="F216" s="445">
        <f t="shared" si="33"/>
        <v>0.1</v>
      </c>
      <c r="H216" s="445">
        <f t="shared" si="34"/>
        <v>0</v>
      </c>
    </row>
    <row r="217" spans="1:8">
      <c r="A217" s="445">
        <f t="shared" si="30"/>
        <v>7</v>
      </c>
      <c r="B217" s="445">
        <v>6</v>
      </c>
      <c r="C217" s="456">
        <f t="shared" si="35"/>
        <v>121</v>
      </c>
      <c r="D217" s="445">
        <f>IF(B217&lt;=$C$94,B67,0)</f>
        <v>0</v>
      </c>
      <c r="E217" s="453">
        <f t="shared" si="32"/>
        <v>0</v>
      </c>
      <c r="F217" s="445">
        <f t="shared" ref="F217:F240" si="36">MAX(IF(B217&lt;=$C$94,D67,0),G$94)</f>
        <v>0.1</v>
      </c>
      <c r="H217" s="445">
        <f t="shared" ref="H217:H240" si="37">IF(B217&lt;=$C$94,T67,0)</f>
        <v>0</v>
      </c>
    </row>
    <row r="218" spans="1:8">
      <c r="A218" s="445">
        <f t="shared" si="30"/>
        <v>7</v>
      </c>
      <c r="B218" s="445">
        <v>6</v>
      </c>
      <c r="C218" s="456">
        <f t="shared" si="35"/>
        <v>122</v>
      </c>
      <c r="D218" s="445">
        <f t="shared" ref="D218:D240" si="38">IF(B218&lt;=$C$94,B68,0)</f>
        <v>0</v>
      </c>
      <c r="E218" s="453">
        <f t="shared" si="32"/>
        <v>0</v>
      </c>
      <c r="F218" s="445">
        <f t="shared" si="36"/>
        <v>0.1</v>
      </c>
      <c r="H218" s="445">
        <f t="shared" si="37"/>
        <v>0</v>
      </c>
    </row>
    <row r="219" spans="1:8">
      <c r="A219" s="445">
        <f t="shared" si="30"/>
        <v>7</v>
      </c>
      <c r="B219" s="445">
        <v>6</v>
      </c>
      <c r="C219" s="456">
        <f t="shared" si="35"/>
        <v>123</v>
      </c>
      <c r="D219" s="445">
        <f t="shared" si="38"/>
        <v>0</v>
      </c>
      <c r="E219" s="453">
        <f t="shared" si="32"/>
        <v>0</v>
      </c>
      <c r="F219" s="445">
        <f t="shared" si="36"/>
        <v>0.1</v>
      </c>
      <c r="H219" s="445">
        <f t="shared" si="37"/>
        <v>0</v>
      </c>
    </row>
    <row r="220" spans="1:8">
      <c r="A220" s="445">
        <f t="shared" si="30"/>
        <v>7</v>
      </c>
      <c r="B220" s="445">
        <v>6</v>
      </c>
      <c r="C220" s="456">
        <f t="shared" si="35"/>
        <v>124</v>
      </c>
      <c r="D220" s="445">
        <f t="shared" si="38"/>
        <v>0</v>
      </c>
      <c r="E220" s="453">
        <f t="shared" si="32"/>
        <v>0</v>
      </c>
      <c r="F220" s="445">
        <f t="shared" si="36"/>
        <v>0.1</v>
      </c>
      <c r="H220" s="445">
        <f t="shared" si="37"/>
        <v>0</v>
      </c>
    </row>
    <row r="221" spans="1:8">
      <c r="A221" s="445">
        <f t="shared" si="30"/>
        <v>7</v>
      </c>
      <c r="B221" s="445">
        <v>6</v>
      </c>
      <c r="C221" s="456">
        <f t="shared" si="35"/>
        <v>125</v>
      </c>
      <c r="D221" s="445">
        <f t="shared" si="38"/>
        <v>0.1</v>
      </c>
      <c r="E221" s="453">
        <f t="shared" si="32"/>
        <v>1</v>
      </c>
      <c r="F221" s="445">
        <f t="shared" si="36"/>
        <v>0.1</v>
      </c>
      <c r="H221" s="445">
        <f t="shared" si="37"/>
        <v>0</v>
      </c>
    </row>
    <row r="222" spans="1:8">
      <c r="A222" s="445">
        <f t="shared" si="30"/>
        <v>7</v>
      </c>
      <c r="B222" s="445">
        <v>6</v>
      </c>
      <c r="C222" s="456">
        <f t="shared" si="35"/>
        <v>126</v>
      </c>
      <c r="D222" s="445">
        <f t="shared" si="38"/>
        <v>0.1</v>
      </c>
      <c r="E222" s="453">
        <f t="shared" si="32"/>
        <v>1</v>
      </c>
      <c r="F222" s="445">
        <f t="shared" si="36"/>
        <v>0.1</v>
      </c>
      <c r="H222" s="445">
        <f t="shared" si="37"/>
        <v>0</v>
      </c>
    </row>
    <row r="223" spans="1:8">
      <c r="A223" s="445">
        <f t="shared" si="30"/>
        <v>7</v>
      </c>
      <c r="B223" s="445">
        <v>6</v>
      </c>
      <c r="C223" s="456">
        <f t="shared" si="35"/>
        <v>127</v>
      </c>
      <c r="D223" s="445">
        <f t="shared" si="38"/>
        <v>0.5</v>
      </c>
      <c r="E223" s="453">
        <f t="shared" si="32"/>
        <v>1</v>
      </c>
      <c r="F223" s="445">
        <f t="shared" si="36"/>
        <v>0.5</v>
      </c>
      <c r="H223" s="445">
        <f t="shared" si="37"/>
        <v>1</v>
      </c>
    </row>
    <row r="224" spans="1:8">
      <c r="A224" s="445">
        <f t="shared" si="30"/>
        <v>7</v>
      </c>
      <c r="B224" s="445">
        <v>6</v>
      </c>
      <c r="C224" s="456">
        <f t="shared" si="35"/>
        <v>128</v>
      </c>
      <c r="D224" s="445">
        <f t="shared" si="38"/>
        <v>1</v>
      </c>
      <c r="E224" s="453">
        <f t="shared" si="32"/>
        <v>1</v>
      </c>
      <c r="F224" s="445">
        <f t="shared" si="36"/>
        <v>1</v>
      </c>
      <c r="H224" s="445">
        <f t="shared" si="37"/>
        <v>0</v>
      </c>
    </row>
    <row r="225" spans="1:8">
      <c r="A225" s="445">
        <f t="shared" ref="A225" si="39">B225+1</f>
        <v>7</v>
      </c>
      <c r="B225" s="445">
        <v>6</v>
      </c>
      <c r="C225" s="456">
        <f t="shared" si="35"/>
        <v>129</v>
      </c>
      <c r="D225" s="445">
        <f t="shared" si="38"/>
        <v>1</v>
      </c>
      <c r="E225" s="453">
        <f t="shared" ref="E225:E264" si="40">IF(D225&gt;0,1,0)</f>
        <v>1</v>
      </c>
      <c r="F225" s="445">
        <f t="shared" si="36"/>
        <v>1</v>
      </c>
      <c r="H225" s="445">
        <f t="shared" si="37"/>
        <v>1</v>
      </c>
    </row>
    <row r="226" spans="1:8">
      <c r="A226" s="445">
        <f t="shared" ref="A226:A240" si="41">B226+1</f>
        <v>7</v>
      </c>
      <c r="B226" s="445">
        <v>6</v>
      </c>
      <c r="C226" s="456">
        <f t="shared" ref="C226:C264" si="42">C225+1</f>
        <v>130</v>
      </c>
      <c r="D226" s="445">
        <f t="shared" si="38"/>
        <v>0.5</v>
      </c>
      <c r="E226" s="453">
        <f t="shared" si="40"/>
        <v>1</v>
      </c>
      <c r="F226" s="445">
        <f t="shared" si="36"/>
        <v>0.5</v>
      </c>
      <c r="H226" s="445">
        <f t="shared" si="37"/>
        <v>1</v>
      </c>
    </row>
    <row r="227" spans="1:8">
      <c r="A227" s="445">
        <f t="shared" si="41"/>
        <v>7</v>
      </c>
      <c r="B227" s="445">
        <v>6</v>
      </c>
      <c r="C227" s="456">
        <f t="shared" si="42"/>
        <v>131</v>
      </c>
      <c r="D227" s="445">
        <f t="shared" si="38"/>
        <v>0.5</v>
      </c>
      <c r="E227" s="453">
        <f t="shared" si="40"/>
        <v>1</v>
      </c>
      <c r="F227" s="445">
        <f t="shared" si="36"/>
        <v>0.5</v>
      </c>
      <c r="H227" s="445">
        <f t="shared" si="37"/>
        <v>1</v>
      </c>
    </row>
    <row r="228" spans="1:8">
      <c r="A228" s="445">
        <f t="shared" si="41"/>
        <v>7</v>
      </c>
      <c r="B228" s="445">
        <v>6</v>
      </c>
      <c r="C228" s="456">
        <f t="shared" si="42"/>
        <v>132</v>
      </c>
      <c r="D228" s="445">
        <f t="shared" si="38"/>
        <v>0.5</v>
      </c>
      <c r="E228" s="453">
        <f t="shared" si="40"/>
        <v>1</v>
      </c>
      <c r="F228" s="445">
        <f t="shared" si="36"/>
        <v>0.5</v>
      </c>
      <c r="H228" s="445">
        <f t="shared" si="37"/>
        <v>0</v>
      </c>
    </row>
    <row r="229" spans="1:8">
      <c r="A229" s="445">
        <f t="shared" si="41"/>
        <v>7</v>
      </c>
      <c r="B229" s="445">
        <v>6</v>
      </c>
      <c r="C229" s="456">
        <f t="shared" si="42"/>
        <v>133</v>
      </c>
      <c r="D229" s="445">
        <f t="shared" si="38"/>
        <v>0.5</v>
      </c>
      <c r="E229" s="453">
        <f t="shared" si="40"/>
        <v>1</v>
      </c>
      <c r="F229" s="445">
        <f t="shared" si="36"/>
        <v>0.5</v>
      </c>
      <c r="H229" s="445">
        <f t="shared" si="37"/>
        <v>1</v>
      </c>
    </row>
    <row r="230" spans="1:8">
      <c r="A230" s="445">
        <f t="shared" si="41"/>
        <v>7</v>
      </c>
      <c r="B230" s="445">
        <v>6</v>
      </c>
      <c r="C230" s="456">
        <f t="shared" si="42"/>
        <v>134</v>
      </c>
      <c r="D230" s="445">
        <f t="shared" si="38"/>
        <v>0.5</v>
      </c>
      <c r="E230" s="453">
        <f t="shared" si="40"/>
        <v>1</v>
      </c>
      <c r="F230" s="445">
        <f t="shared" si="36"/>
        <v>0.5</v>
      </c>
      <c r="H230" s="445">
        <f t="shared" si="37"/>
        <v>1</v>
      </c>
    </row>
    <row r="231" spans="1:8">
      <c r="A231" s="445">
        <f t="shared" si="41"/>
        <v>7</v>
      </c>
      <c r="B231" s="445">
        <v>6</v>
      </c>
      <c r="C231" s="456">
        <f t="shared" si="42"/>
        <v>135</v>
      </c>
      <c r="D231" s="445">
        <f t="shared" si="38"/>
        <v>0.5</v>
      </c>
      <c r="E231" s="453">
        <f t="shared" si="40"/>
        <v>1</v>
      </c>
      <c r="F231" s="445">
        <f t="shared" si="36"/>
        <v>0.5</v>
      </c>
      <c r="H231" s="445">
        <f t="shared" si="37"/>
        <v>1</v>
      </c>
    </row>
    <row r="232" spans="1:8">
      <c r="A232" s="445">
        <f t="shared" si="41"/>
        <v>7</v>
      </c>
      <c r="B232" s="445">
        <v>6</v>
      </c>
      <c r="C232" s="456">
        <f t="shared" si="42"/>
        <v>136</v>
      </c>
      <c r="D232" s="445">
        <f t="shared" si="38"/>
        <v>0.5</v>
      </c>
      <c r="E232" s="453">
        <f t="shared" si="40"/>
        <v>1</v>
      </c>
      <c r="F232" s="445">
        <f t="shared" si="36"/>
        <v>0.5</v>
      </c>
      <c r="H232" s="445">
        <f t="shared" si="37"/>
        <v>1</v>
      </c>
    </row>
    <row r="233" spans="1:8">
      <c r="A233" s="445">
        <f t="shared" si="41"/>
        <v>7</v>
      </c>
      <c r="B233" s="445">
        <v>6</v>
      </c>
      <c r="C233" s="456">
        <f t="shared" si="42"/>
        <v>137</v>
      </c>
      <c r="D233" s="445">
        <f t="shared" si="38"/>
        <v>0.5</v>
      </c>
      <c r="E233" s="453">
        <f t="shared" si="40"/>
        <v>1</v>
      </c>
      <c r="F233" s="445">
        <f t="shared" si="36"/>
        <v>0.5</v>
      </c>
      <c r="H233" s="445">
        <f t="shared" si="37"/>
        <v>0</v>
      </c>
    </row>
    <row r="234" spans="1:8">
      <c r="A234" s="445">
        <f t="shared" si="41"/>
        <v>7</v>
      </c>
      <c r="B234" s="445">
        <v>6</v>
      </c>
      <c r="C234" s="456">
        <f t="shared" si="42"/>
        <v>138</v>
      </c>
      <c r="D234" s="445">
        <f t="shared" si="38"/>
        <v>1</v>
      </c>
      <c r="E234" s="453">
        <f t="shared" si="40"/>
        <v>1</v>
      </c>
      <c r="F234" s="445">
        <f t="shared" si="36"/>
        <v>1</v>
      </c>
      <c r="H234" s="445">
        <f t="shared" si="37"/>
        <v>1</v>
      </c>
    </row>
    <row r="235" spans="1:8">
      <c r="A235" s="445">
        <f t="shared" si="41"/>
        <v>7</v>
      </c>
      <c r="B235" s="445">
        <v>6</v>
      </c>
      <c r="C235" s="456">
        <f t="shared" si="42"/>
        <v>139</v>
      </c>
      <c r="D235" s="445">
        <f t="shared" si="38"/>
        <v>1</v>
      </c>
      <c r="E235" s="453">
        <f t="shared" si="40"/>
        <v>1</v>
      </c>
      <c r="F235" s="445">
        <f t="shared" si="36"/>
        <v>1</v>
      </c>
      <c r="H235" s="445">
        <f t="shared" si="37"/>
        <v>1</v>
      </c>
    </row>
    <row r="236" spans="1:8">
      <c r="A236" s="445">
        <f t="shared" si="41"/>
        <v>7</v>
      </c>
      <c r="B236" s="445">
        <v>6</v>
      </c>
      <c r="C236" s="456">
        <f t="shared" si="42"/>
        <v>140</v>
      </c>
      <c r="D236" s="445">
        <f t="shared" si="38"/>
        <v>1</v>
      </c>
      <c r="E236" s="453">
        <f t="shared" si="40"/>
        <v>1</v>
      </c>
      <c r="F236" s="445">
        <f t="shared" si="36"/>
        <v>1</v>
      </c>
      <c r="H236" s="445">
        <f t="shared" si="37"/>
        <v>1</v>
      </c>
    </row>
    <row r="237" spans="1:8">
      <c r="A237" s="445">
        <f t="shared" si="41"/>
        <v>7</v>
      </c>
      <c r="B237" s="445">
        <v>6</v>
      </c>
      <c r="C237" s="456">
        <f t="shared" si="42"/>
        <v>141</v>
      </c>
      <c r="D237" s="445">
        <f t="shared" si="38"/>
        <v>0.5</v>
      </c>
      <c r="E237" s="453">
        <f t="shared" si="40"/>
        <v>1</v>
      </c>
      <c r="F237" s="445">
        <f t="shared" si="36"/>
        <v>0.5</v>
      </c>
      <c r="H237" s="445">
        <f t="shared" si="37"/>
        <v>1</v>
      </c>
    </row>
    <row r="238" spans="1:8">
      <c r="A238" s="445">
        <f t="shared" si="41"/>
        <v>7</v>
      </c>
      <c r="B238" s="445">
        <v>6</v>
      </c>
      <c r="C238" s="456">
        <f t="shared" si="42"/>
        <v>142</v>
      </c>
      <c r="D238" s="445">
        <f t="shared" si="38"/>
        <v>0.5</v>
      </c>
      <c r="E238" s="453">
        <f t="shared" si="40"/>
        <v>1</v>
      </c>
      <c r="F238" s="445">
        <f t="shared" si="36"/>
        <v>0.5</v>
      </c>
      <c r="H238" s="445">
        <f t="shared" si="37"/>
        <v>1</v>
      </c>
    </row>
    <row r="239" spans="1:8">
      <c r="A239" s="445">
        <f t="shared" si="41"/>
        <v>7</v>
      </c>
      <c r="B239" s="445">
        <v>6</v>
      </c>
      <c r="C239" s="456">
        <f t="shared" si="42"/>
        <v>143</v>
      </c>
      <c r="D239" s="445">
        <f t="shared" si="38"/>
        <v>0.5</v>
      </c>
      <c r="E239" s="453">
        <f t="shared" si="40"/>
        <v>1</v>
      </c>
      <c r="F239" s="445">
        <f t="shared" si="36"/>
        <v>0.5</v>
      </c>
      <c r="H239" s="445">
        <f t="shared" si="37"/>
        <v>0</v>
      </c>
    </row>
    <row r="240" spans="1:8">
      <c r="A240" s="445">
        <f t="shared" si="41"/>
        <v>7</v>
      </c>
      <c r="B240" s="445">
        <v>6</v>
      </c>
      <c r="C240" s="456">
        <f t="shared" si="42"/>
        <v>144</v>
      </c>
      <c r="D240" s="445">
        <f t="shared" si="38"/>
        <v>0.1</v>
      </c>
      <c r="E240" s="453">
        <f t="shared" si="40"/>
        <v>1</v>
      </c>
      <c r="F240" s="445">
        <f t="shared" si="36"/>
        <v>0.1</v>
      </c>
      <c r="H240" s="445">
        <f t="shared" si="37"/>
        <v>0</v>
      </c>
    </row>
    <row r="241" spans="1:8">
      <c r="A241" s="445">
        <v>1</v>
      </c>
      <c r="B241" s="445">
        <v>7</v>
      </c>
      <c r="C241" s="456">
        <f t="shared" si="42"/>
        <v>145</v>
      </c>
      <c r="D241" s="445">
        <f t="shared" ref="D241:D264" si="43">IF(B241&lt;=$C$94,B67,0)</f>
        <v>0</v>
      </c>
      <c r="E241" s="453">
        <f t="shared" si="40"/>
        <v>0</v>
      </c>
      <c r="F241" s="445">
        <f t="shared" ref="F241:F264" si="44">MAX(IF(B241&lt;=$C$94,D67,0),G$94)</f>
        <v>0.1</v>
      </c>
      <c r="H241" s="445">
        <f t="shared" ref="H241:H264" si="45">IF(B241&lt;=$C$94,T67,0)</f>
        <v>0</v>
      </c>
    </row>
    <row r="242" spans="1:8">
      <c r="A242" s="445">
        <v>1</v>
      </c>
      <c r="B242" s="445">
        <v>7</v>
      </c>
      <c r="C242" s="456">
        <f t="shared" si="42"/>
        <v>146</v>
      </c>
      <c r="D242" s="445">
        <f t="shared" si="43"/>
        <v>0</v>
      </c>
      <c r="E242" s="453">
        <f t="shared" si="40"/>
        <v>0</v>
      </c>
      <c r="F242" s="445">
        <f t="shared" si="44"/>
        <v>0.1</v>
      </c>
      <c r="H242" s="445">
        <f t="shared" si="45"/>
        <v>0</v>
      </c>
    </row>
    <row r="243" spans="1:8">
      <c r="A243" s="445">
        <v>1</v>
      </c>
      <c r="B243" s="445">
        <v>7</v>
      </c>
      <c r="C243" s="456">
        <f t="shared" si="42"/>
        <v>147</v>
      </c>
      <c r="D243" s="445">
        <f t="shared" si="43"/>
        <v>0</v>
      </c>
      <c r="E243" s="453">
        <f t="shared" si="40"/>
        <v>0</v>
      </c>
      <c r="F243" s="445">
        <f t="shared" si="44"/>
        <v>0.1</v>
      </c>
      <c r="H243" s="445">
        <f t="shared" si="45"/>
        <v>0</v>
      </c>
    </row>
    <row r="244" spans="1:8">
      <c r="A244" s="445">
        <v>1</v>
      </c>
      <c r="B244" s="445">
        <v>7</v>
      </c>
      <c r="C244" s="456">
        <f t="shared" si="42"/>
        <v>148</v>
      </c>
      <c r="D244" s="445">
        <f t="shared" si="43"/>
        <v>0</v>
      </c>
      <c r="E244" s="453">
        <f t="shared" si="40"/>
        <v>0</v>
      </c>
      <c r="F244" s="445">
        <f t="shared" si="44"/>
        <v>0.1</v>
      </c>
      <c r="H244" s="445">
        <f t="shared" si="45"/>
        <v>0</v>
      </c>
    </row>
    <row r="245" spans="1:8">
      <c r="A245" s="445">
        <v>1</v>
      </c>
      <c r="B245" s="445">
        <v>7</v>
      </c>
      <c r="C245" s="456">
        <f t="shared" si="42"/>
        <v>149</v>
      </c>
      <c r="D245" s="445">
        <f t="shared" si="43"/>
        <v>0.1</v>
      </c>
      <c r="E245" s="453">
        <f t="shared" si="40"/>
        <v>1</v>
      </c>
      <c r="F245" s="445">
        <f t="shared" si="44"/>
        <v>0.1</v>
      </c>
      <c r="H245" s="445">
        <f t="shared" si="45"/>
        <v>0</v>
      </c>
    </row>
    <row r="246" spans="1:8">
      <c r="A246" s="445">
        <v>1</v>
      </c>
      <c r="B246" s="445">
        <v>7</v>
      </c>
      <c r="C246" s="456">
        <f t="shared" si="42"/>
        <v>150</v>
      </c>
      <c r="D246" s="445">
        <f t="shared" si="43"/>
        <v>0.1</v>
      </c>
      <c r="E246" s="453">
        <f t="shared" si="40"/>
        <v>1</v>
      </c>
      <c r="F246" s="445">
        <f t="shared" si="44"/>
        <v>0.1</v>
      </c>
      <c r="H246" s="445">
        <f t="shared" si="45"/>
        <v>0</v>
      </c>
    </row>
    <row r="247" spans="1:8">
      <c r="A247" s="445">
        <v>1</v>
      </c>
      <c r="B247" s="445">
        <v>7</v>
      </c>
      <c r="C247" s="456">
        <f t="shared" si="42"/>
        <v>151</v>
      </c>
      <c r="D247" s="445">
        <f t="shared" si="43"/>
        <v>0.5</v>
      </c>
      <c r="E247" s="453">
        <f t="shared" si="40"/>
        <v>1</v>
      </c>
      <c r="F247" s="445">
        <f t="shared" si="44"/>
        <v>0.5</v>
      </c>
      <c r="H247" s="445">
        <f t="shared" si="45"/>
        <v>1</v>
      </c>
    </row>
    <row r="248" spans="1:8">
      <c r="A248" s="445">
        <v>1</v>
      </c>
      <c r="B248" s="445">
        <v>7</v>
      </c>
      <c r="C248" s="456">
        <f t="shared" si="42"/>
        <v>152</v>
      </c>
      <c r="D248" s="445">
        <f t="shared" si="43"/>
        <v>1</v>
      </c>
      <c r="E248" s="453">
        <f t="shared" si="40"/>
        <v>1</v>
      </c>
      <c r="F248" s="445">
        <f t="shared" si="44"/>
        <v>1</v>
      </c>
      <c r="H248" s="445">
        <f t="shared" si="45"/>
        <v>0</v>
      </c>
    </row>
    <row r="249" spans="1:8">
      <c r="A249" s="445">
        <v>1</v>
      </c>
      <c r="B249" s="445">
        <v>7</v>
      </c>
      <c r="C249" s="456">
        <f t="shared" si="42"/>
        <v>153</v>
      </c>
      <c r="D249" s="445">
        <f t="shared" si="43"/>
        <v>1</v>
      </c>
      <c r="E249" s="453">
        <f t="shared" si="40"/>
        <v>1</v>
      </c>
      <c r="F249" s="445">
        <f t="shared" si="44"/>
        <v>1</v>
      </c>
      <c r="H249" s="445">
        <f t="shared" si="45"/>
        <v>1</v>
      </c>
    </row>
    <row r="250" spans="1:8">
      <c r="A250" s="445">
        <v>1</v>
      </c>
      <c r="B250" s="445">
        <v>7</v>
      </c>
      <c r="C250" s="456">
        <f t="shared" si="42"/>
        <v>154</v>
      </c>
      <c r="D250" s="445">
        <f t="shared" si="43"/>
        <v>0.5</v>
      </c>
      <c r="E250" s="453">
        <f t="shared" si="40"/>
        <v>1</v>
      </c>
      <c r="F250" s="445">
        <f t="shared" si="44"/>
        <v>0.5</v>
      </c>
      <c r="H250" s="445">
        <f t="shared" si="45"/>
        <v>1</v>
      </c>
    </row>
    <row r="251" spans="1:8">
      <c r="A251" s="445">
        <v>1</v>
      </c>
      <c r="B251" s="445">
        <v>7</v>
      </c>
      <c r="C251" s="456">
        <f t="shared" si="42"/>
        <v>155</v>
      </c>
      <c r="D251" s="445">
        <f t="shared" si="43"/>
        <v>0.5</v>
      </c>
      <c r="E251" s="453">
        <f t="shared" si="40"/>
        <v>1</v>
      </c>
      <c r="F251" s="445">
        <f t="shared" si="44"/>
        <v>0.5</v>
      </c>
      <c r="H251" s="445">
        <f t="shared" si="45"/>
        <v>1</v>
      </c>
    </row>
    <row r="252" spans="1:8">
      <c r="A252" s="445">
        <v>1</v>
      </c>
      <c r="B252" s="445">
        <v>7</v>
      </c>
      <c r="C252" s="456">
        <f t="shared" si="42"/>
        <v>156</v>
      </c>
      <c r="D252" s="445">
        <f t="shared" si="43"/>
        <v>0.5</v>
      </c>
      <c r="E252" s="453">
        <f t="shared" si="40"/>
        <v>1</v>
      </c>
      <c r="F252" s="445">
        <f t="shared" si="44"/>
        <v>0.5</v>
      </c>
      <c r="H252" s="445">
        <f t="shared" si="45"/>
        <v>0</v>
      </c>
    </row>
    <row r="253" spans="1:8">
      <c r="A253" s="445">
        <v>1</v>
      </c>
      <c r="B253" s="445">
        <v>7</v>
      </c>
      <c r="C253" s="456">
        <f t="shared" si="42"/>
        <v>157</v>
      </c>
      <c r="D253" s="445">
        <f t="shared" si="43"/>
        <v>0.5</v>
      </c>
      <c r="E253" s="453">
        <f t="shared" si="40"/>
        <v>1</v>
      </c>
      <c r="F253" s="445">
        <f t="shared" si="44"/>
        <v>0.5</v>
      </c>
      <c r="H253" s="445">
        <f t="shared" si="45"/>
        <v>1</v>
      </c>
    </row>
    <row r="254" spans="1:8">
      <c r="A254" s="445">
        <v>1</v>
      </c>
      <c r="B254" s="445">
        <v>7</v>
      </c>
      <c r="C254" s="456">
        <f t="shared" si="42"/>
        <v>158</v>
      </c>
      <c r="D254" s="445">
        <f t="shared" si="43"/>
        <v>0.5</v>
      </c>
      <c r="E254" s="453">
        <f t="shared" si="40"/>
        <v>1</v>
      </c>
      <c r="F254" s="445">
        <f t="shared" si="44"/>
        <v>0.5</v>
      </c>
      <c r="H254" s="445">
        <f t="shared" si="45"/>
        <v>1</v>
      </c>
    </row>
    <row r="255" spans="1:8">
      <c r="A255" s="445">
        <v>1</v>
      </c>
      <c r="B255" s="445">
        <v>7</v>
      </c>
      <c r="C255" s="456">
        <f t="shared" si="42"/>
        <v>159</v>
      </c>
      <c r="D255" s="445">
        <f t="shared" si="43"/>
        <v>0.5</v>
      </c>
      <c r="E255" s="453">
        <f t="shared" si="40"/>
        <v>1</v>
      </c>
      <c r="F255" s="445">
        <f t="shared" si="44"/>
        <v>0.5</v>
      </c>
      <c r="H255" s="445">
        <f t="shared" si="45"/>
        <v>1</v>
      </c>
    </row>
    <row r="256" spans="1:8">
      <c r="A256" s="445">
        <v>1</v>
      </c>
      <c r="B256" s="445">
        <v>7</v>
      </c>
      <c r="C256" s="456">
        <f t="shared" si="42"/>
        <v>160</v>
      </c>
      <c r="D256" s="445">
        <f t="shared" si="43"/>
        <v>0.5</v>
      </c>
      <c r="E256" s="453">
        <f t="shared" si="40"/>
        <v>1</v>
      </c>
      <c r="F256" s="445">
        <f t="shared" si="44"/>
        <v>0.5</v>
      </c>
      <c r="H256" s="445">
        <f t="shared" si="45"/>
        <v>1</v>
      </c>
    </row>
    <row r="257" spans="1:9">
      <c r="A257" s="445">
        <v>1</v>
      </c>
      <c r="B257" s="445">
        <v>7</v>
      </c>
      <c r="C257" s="456">
        <f t="shared" si="42"/>
        <v>161</v>
      </c>
      <c r="D257" s="445">
        <f t="shared" si="43"/>
        <v>0.5</v>
      </c>
      <c r="E257" s="453">
        <f t="shared" si="40"/>
        <v>1</v>
      </c>
      <c r="F257" s="445">
        <f t="shared" si="44"/>
        <v>0.5</v>
      </c>
      <c r="H257" s="445">
        <f t="shared" si="45"/>
        <v>0</v>
      </c>
    </row>
    <row r="258" spans="1:9">
      <c r="A258" s="445">
        <v>1</v>
      </c>
      <c r="B258" s="445">
        <v>7</v>
      </c>
      <c r="C258" s="456">
        <f t="shared" si="42"/>
        <v>162</v>
      </c>
      <c r="D258" s="445">
        <f t="shared" si="43"/>
        <v>1</v>
      </c>
      <c r="E258" s="453">
        <f t="shared" si="40"/>
        <v>1</v>
      </c>
      <c r="F258" s="445">
        <f t="shared" si="44"/>
        <v>1</v>
      </c>
      <c r="H258" s="445">
        <f t="shared" si="45"/>
        <v>1</v>
      </c>
    </row>
    <row r="259" spans="1:9">
      <c r="A259" s="445">
        <v>1</v>
      </c>
      <c r="B259" s="445">
        <v>7</v>
      </c>
      <c r="C259" s="456">
        <f t="shared" si="42"/>
        <v>163</v>
      </c>
      <c r="D259" s="445">
        <f t="shared" si="43"/>
        <v>1</v>
      </c>
      <c r="E259" s="453">
        <f t="shared" si="40"/>
        <v>1</v>
      </c>
      <c r="F259" s="445">
        <f t="shared" si="44"/>
        <v>1</v>
      </c>
      <c r="H259" s="445">
        <f t="shared" si="45"/>
        <v>1</v>
      </c>
    </row>
    <row r="260" spans="1:9">
      <c r="A260" s="445">
        <v>1</v>
      </c>
      <c r="B260" s="445">
        <v>7</v>
      </c>
      <c r="C260" s="456">
        <f t="shared" si="42"/>
        <v>164</v>
      </c>
      <c r="D260" s="445">
        <f t="shared" si="43"/>
        <v>1</v>
      </c>
      <c r="E260" s="453">
        <f t="shared" si="40"/>
        <v>1</v>
      </c>
      <c r="F260" s="445">
        <f t="shared" si="44"/>
        <v>1</v>
      </c>
      <c r="H260" s="445">
        <f t="shared" si="45"/>
        <v>1</v>
      </c>
    </row>
    <row r="261" spans="1:9">
      <c r="A261" s="445">
        <v>1</v>
      </c>
      <c r="B261" s="445">
        <v>7</v>
      </c>
      <c r="C261" s="456">
        <f t="shared" si="42"/>
        <v>165</v>
      </c>
      <c r="D261" s="445">
        <f t="shared" si="43"/>
        <v>0.5</v>
      </c>
      <c r="E261" s="453">
        <f t="shared" si="40"/>
        <v>1</v>
      </c>
      <c r="F261" s="445">
        <f t="shared" si="44"/>
        <v>0.5</v>
      </c>
      <c r="H261" s="445">
        <f t="shared" si="45"/>
        <v>1</v>
      </c>
    </row>
    <row r="262" spans="1:9">
      <c r="A262" s="445">
        <v>1</v>
      </c>
      <c r="B262" s="445">
        <v>7</v>
      </c>
      <c r="C262" s="456">
        <f t="shared" si="42"/>
        <v>166</v>
      </c>
      <c r="D262" s="445">
        <f t="shared" si="43"/>
        <v>0.5</v>
      </c>
      <c r="E262" s="453">
        <f t="shared" si="40"/>
        <v>1</v>
      </c>
      <c r="F262" s="445">
        <f t="shared" si="44"/>
        <v>0.5</v>
      </c>
      <c r="H262" s="445">
        <f t="shared" si="45"/>
        <v>1</v>
      </c>
    </row>
    <row r="263" spans="1:9">
      <c r="A263" s="445">
        <v>1</v>
      </c>
      <c r="B263" s="445">
        <v>7</v>
      </c>
      <c r="C263" s="456">
        <f t="shared" si="42"/>
        <v>167</v>
      </c>
      <c r="D263" s="445">
        <f t="shared" si="43"/>
        <v>0.5</v>
      </c>
      <c r="E263" s="453">
        <f t="shared" si="40"/>
        <v>1</v>
      </c>
      <c r="F263" s="445">
        <f t="shared" si="44"/>
        <v>0.5</v>
      </c>
      <c r="H263" s="445">
        <f t="shared" si="45"/>
        <v>0</v>
      </c>
    </row>
    <row r="264" spans="1:9">
      <c r="A264" s="445">
        <v>1</v>
      </c>
      <c r="B264" s="445">
        <v>7</v>
      </c>
      <c r="C264" s="456">
        <f t="shared" si="42"/>
        <v>168</v>
      </c>
      <c r="D264" s="445">
        <f t="shared" si="43"/>
        <v>0.1</v>
      </c>
      <c r="E264" s="453">
        <f t="shared" si="40"/>
        <v>1</v>
      </c>
      <c r="F264" s="445">
        <f t="shared" si="44"/>
        <v>0.1</v>
      </c>
      <c r="H264" s="445">
        <f t="shared" si="45"/>
        <v>0</v>
      </c>
    </row>
    <row r="265" spans="1:9">
      <c r="A265" s="456"/>
    </row>
    <row r="268" spans="1:9" ht="15.6">
      <c r="A268" s="462" t="s">
        <v>166</v>
      </c>
      <c r="B268" s="463"/>
      <c r="F268" s="462" t="s">
        <v>332</v>
      </c>
      <c r="G268" s="463"/>
      <c r="H268" s="463"/>
      <c r="I268" s="463"/>
    </row>
    <row r="269" spans="1:9">
      <c r="A269" s="464" t="s">
        <v>169</v>
      </c>
      <c r="B269" s="464"/>
      <c r="C269" s="445" t="s">
        <v>331</v>
      </c>
      <c r="D269" s="445" t="s">
        <v>330</v>
      </c>
      <c r="F269" s="464" t="s">
        <v>314</v>
      </c>
    </row>
    <row r="270" spans="1:9">
      <c r="A270" s="464"/>
      <c r="C270" s="465">
        <f>SUM(C271:C282)/12</f>
        <v>0.78333333333333333</v>
      </c>
      <c r="D270" s="465">
        <f>SUM(D271:D282)/12</f>
        <v>0.70000000000000007</v>
      </c>
      <c r="F270" s="464"/>
    </row>
    <row r="271" spans="1:9">
      <c r="A271" s="445">
        <v>1</v>
      </c>
      <c r="B271" s="464" t="s">
        <v>50</v>
      </c>
      <c r="C271" s="457">
        <f>INDEX(Eingabedaten!$GL$10:$GW$54,nutzid,A271)</f>
        <v>0.8</v>
      </c>
      <c r="D271" s="457">
        <f>INDEX(Eingabedaten!$EX$10:$FI$54,nutzid,A271)</f>
        <v>0.7</v>
      </c>
      <c r="F271" s="445">
        <v>1</v>
      </c>
      <c r="G271" s="445" t="s">
        <v>323</v>
      </c>
      <c r="H271" s="479">
        <f>INDEX(Eingabedaten!$HB$10:$HH$54,nutzid,A271)</f>
        <v>1</v>
      </c>
    </row>
    <row r="272" spans="1:9">
      <c r="A272" s="445">
        <f>A271+1</f>
        <v>2</v>
      </c>
      <c r="B272" s="464" t="s">
        <v>51</v>
      </c>
      <c r="C272" s="457">
        <f>INDEX(Eingabedaten!$GL$10:$GW$54,nutzid,A272)</f>
        <v>0.6</v>
      </c>
      <c r="D272" s="457">
        <f>INDEX(Eingabedaten!$EX$10:$FI$54,nutzid,A272)</f>
        <v>0.7</v>
      </c>
      <c r="F272" s="445">
        <f>F271+1</f>
        <v>2</v>
      </c>
      <c r="G272" s="445" t="s">
        <v>324</v>
      </c>
      <c r="H272" s="479">
        <f>INDEX(Eingabedaten!$HB$10:$HH$54,nutzid,A272)</f>
        <v>1</v>
      </c>
    </row>
    <row r="273" spans="1:8">
      <c r="A273" s="445">
        <f t="shared" ref="A273:A282" si="46">A272+1</f>
        <v>3</v>
      </c>
      <c r="B273" s="464" t="s">
        <v>74</v>
      </c>
      <c r="C273" s="457">
        <f>INDEX(Eingabedaten!$GL$10:$GW$54,nutzid,A273)</f>
        <v>1</v>
      </c>
      <c r="D273" s="457">
        <f>INDEX(Eingabedaten!$EX$10:$FI$54,nutzid,A273)</f>
        <v>0.7</v>
      </c>
      <c r="F273" s="445">
        <f t="shared" ref="F273:F277" si="47">F272+1</f>
        <v>3</v>
      </c>
      <c r="G273" s="445" t="s">
        <v>325</v>
      </c>
      <c r="H273" s="479">
        <f>INDEX(Eingabedaten!$HB$10:$HH$54,nutzid,A273)</f>
        <v>1</v>
      </c>
    </row>
    <row r="274" spans="1:8">
      <c r="A274" s="445">
        <f t="shared" si="46"/>
        <v>4</v>
      </c>
      <c r="B274" s="464" t="s">
        <v>52</v>
      </c>
      <c r="C274" s="457">
        <f>INDEX(Eingabedaten!$GL$10:$GW$54,nutzid,A274)</f>
        <v>0.8</v>
      </c>
      <c r="D274" s="457">
        <f>INDEX(Eingabedaten!$EX$10:$FI$54,nutzid,A274)</f>
        <v>0.7</v>
      </c>
      <c r="F274" s="445">
        <f t="shared" si="47"/>
        <v>4</v>
      </c>
      <c r="G274" s="445" t="s">
        <v>326</v>
      </c>
      <c r="H274" s="479">
        <f>INDEX(Eingabedaten!$HB$10:$HH$54,nutzid,A274)</f>
        <v>1</v>
      </c>
    </row>
    <row r="275" spans="1:8">
      <c r="A275" s="445">
        <f t="shared" si="46"/>
        <v>5</v>
      </c>
      <c r="B275" s="464" t="s">
        <v>53</v>
      </c>
      <c r="C275" s="457">
        <f>INDEX(Eingabedaten!$GL$10:$GW$54,nutzid,A275)</f>
        <v>0.6</v>
      </c>
      <c r="D275" s="457">
        <f>INDEX(Eingabedaten!$EX$10:$FI$54,nutzid,A275)</f>
        <v>0.7</v>
      </c>
      <c r="F275" s="445">
        <f t="shared" si="47"/>
        <v>5</v>
      </c>
      <c r="G275" s="445" t="s">
        <v>327</v>
      </c>
      <c r="H275" s="479">
        <f>INDEX(Eingabedaten!$HB$10:$HH$54,nutzid,A275)</f>
        <v>1</v>
      </c>
    </row>
    <row r="276" spans="1:8">
      <c r="A276" s="445">
        <f t="shared" si="46"/>
        <v>6</v>
      </c>
      <c r="B276" s="464" t="s">
        <v>54</v>
      </c>
      <c r="C276" s="457">
        <f>INDEX(Eingabedaten!$GL$10:$GW$54,nutzid,A276)</f>
        <v>1</v>
      </c>
      <c r="D276" s="457">
        <f>INDEX(Eingabedaten!$EX$10:$FI$54,nutzid,A276)</f>
        <v>0.7</v>
      </c>
      <c r="F276" s="445">
        <f t="shared" si="47"/>
        <v>6</v>
      </c>
      <c r="G276" s="445" t="s">
        <v>328</v>
      </c>
      <c r="H276" s="479">
        <f>INDEX(Eingabedaten!$HB$10:$HH$54,nutzid,A276)</f>
        <v>1</v>
      </c>
    </row>
    <row r="277" spans="1:8">
      <c r="A277" s="445">
        <f t="shared" si="46"/>
        <v>7</v>
      </c>
      <c r="B277" s="464" t="s">
        <v>55</v>
      </c>
      <c r="C277" s="457">
        <f>INDEX(Eingabedaten!$GL$10:$GW$54,nutzid,A277)</f>
        <v>0.6</v>
      </c>
      <c r="D277" s="457">
        <f>INDEX(Eingabedaten!$EX$10:$FI$54,nutzid,A277)</f>
        <v>0.7</v>
      </c>
      <c r="F277" s="445">
        <f t="shared" si="47"/>
        <v>7</v>
      </c>
      <c r="G277" s="445" t="s">
        <v>329</v>
      </c>
      <c r="H277" s="479">
        <f>INDEX(Eingabedaten!$HB$10:$HH$54,nutzid,A277)</f>
        <v>1</v>
      </c>
    </row>
    <row r="278" spans="1:8">
      <c r="A278" s="445">
        <f t="shared" si="46"/>
        <v>8</v>
      </c>
      <c r="B278" s="464" t="s">
        <v>56</v>
      </c>
      <c r="C278" s="457">
        <f>INDEX(Eingabedaten!$GL$10:$GW$54,nutzid,A278)</f>
        <v>0.6</v>
      </c>
      <c r="D278" s="457">
        <f>INDEX(Eingabedaten!$EX$10:$FI$54,nutzid,A278)</f>
        <v>0.7</v>
      </c>
    </row>
    <row r="279" spans="1:8">
      <c r="A279" s="445">
        <f t="shared" si="46"/>
        <v>9</v>
      </c>
      <c r="B279" s="464" t="s">
        <v>57</v>
      </c>
      <c r="C279" s="457">
        <f>INDEX(Eingabedaten!$GL$10:$GW$54,nutzid,A279)</f>
        <v>1</v>
      </c>
      <c r="D279" s="457">
        <f>INDEX(Eingabedaten!$EX$10:$FI$54,nutzid,A279)</f>
        <v>0.7</v>
      </c>
    </row>
    <row r="280" spans="1:8">
      <c r="A280" s="445">
        <f t="shared" si="46"/>
        <v>10</v>
      </c>
      <c r="B280" s="464" t="s">
        <v>58</v>
      </c>
      <c r="C280" s="457">
        <f>INDEX(Eingabedaten!$GL$10:$GW$54,nutzid,A280)</f>
        <v>0.8</v>
      </c>
      <c r="D280" s="457">
        <f>INDEX(Eingabedaten!$EX$10:$FI$54,nutzid,A280)</f>
        <v>0.7</v>
      </c>
    </row>
    <row r="281" spans="1:8">
      <c r="A281" s="445">
        <f t="shared" si="46"/>
        <v>11</v>
      </c>
      <c r="B281" s="464" t="s">
        <v>59</v>
      </c>
      <c r="C281" s="457">
        <f>INDEX(Eingabedaten!$GL$10:$GW$54,nutzid,A281)</f>
        <v>1</v>
      </c>
      <c r="D281" s="457">
        <f>INDEX(Eingabedaten!$EX$10:$FI$54,nutzid,A281)</f>
        <v>0.7</v>
      </c>
    </row>
    <row r="282" spans="1:8">
      <c r="A282" s="445">
        <f t="shared" si="46"/>
        <v>12</v>
      </c>
      <c r="B282" s="464" t="s">
        <v>60</v>
      </c>
      <c r="C282" s="457">
        <f>INDEX(Eingabedaten!$GL$10:$GW$54,nutzid,A282)</f>
        <v>0.6</v>
      </c>
      <c r="D282" s="457">
        <f>INDEX(Eingabedaten!$EX$10:$FI$54,nutzid,A282)</f>
        <v>0.7</v>
      </c>
    </row>
    <row r="287" spans="1:8" ht="15.6">
      <c r="A287" s="450" t="s">
        <v>315</v>
      </c>
      <c r="B287" s="451"/>
      <c r="C287" s="451"/>
      <c r="D287" s="483" t="s">
        <v>334</v>
      </c>
      <c r="E287" s="483"/>
      <c r="F287" s="487" t="s">
        <v>655</v>
      </c>
    </row>
    <row r="288" spans="1:8">
      <c r="A288" s="459" t="s">
        <v>311</v>
      </c>
      <c r="B288" s="460"/>
      <c r="C288" s="460">
        <v>5</v>
      </c>
      <c r="D288" s="460"/>
      <c r="E288" s="460"/>
    </row>
    <row r="289" spans="1:20">
      <c r="A289" s="452"/>
      <c r="F289" s="481" t="s">
        <v>333</v>
      </c>
      <c r="G289" s="482" t="s">
        <v>316</v>
      </c>
      <c r="I289" s="477" t="s">
        <v>12</v>
      </c>
      <c r="J289" s="475"/>
      <c r="L289" s="478" t="s">
        <v>64</v>
      </c>
      <c r="M289" s="467"/>
      <c r="N289" s="485"/>
      <c r="O289" s="478" t="s">
        <v>23</v>
      </c>
      <c r="P289" s="474" t="s">
        <v>320</v>
      </c>
      <c r="Q289" s="478" t="s">
        <v>23</v>
      </c>
      <c r="R289" s="474" t="s">
        <v>338</v>
      </c>
      <c r="S289" s="478" t="s">
        <v>23</v>
      </c>
      <c r="T289" s="474" t="s">
        <v>253</v>
      </c>
    </row>
    <row r="290" spans="1:20">
      <c r="A290" s="455" t="s">
        <v>169</v>
      </c>
      <c r="B290" s="445" t="s">
        <v>314</v>
      </c>
      <c r="C290" s="455" t="s">
        <v>317</v>
      </c>
      <c r="D290" s="455" t="s">
        <v>318</v>
      </c>
      <c r="E290" s="453" t="s">
        <v>337</v>
      </c>
      <c r="F290" s="453" t="s">
        <v>319</v>
      </c>
      <c r="G290" s="453" t="s">
        <v>319</v>
      </c>
      <c r="I290" s="486" t="s">
        <v>321</v>
      </c>
      <c r="J290" s="455" t="s">
        <v>335</v>
      </c>
      <c r="K290" s="455"/>
      <c r="L290" s="486" t="s">
        <v>321</v>
      </c>
      <c r="M290" s="455" t="s">
        <v>335</v>
      </c>
      <c r="N290" s="453"/>
      <c r="O290" s="486" t="s">
        <v>285</v>
      </c>
      <c r="P290" s="486" t="s">
        <v>336</v>
      </c>
      <c r="Q290" s="486" t="s">
        <v>285</v>
      </c>
      <c r="R290" s="486" t="s">
        <v>336</v>
      </c>
      <c r="S290" s="486" t="s">
        <v>285</v>
      </c>
      <c r="T290" s="486" t="s">
        <v>336</v>
      </c>
    </row>
    <row r="291" spans="1:20">
      <c r="A291" s="455"/>
      <c r="C291" s="455"/>
      <c r="D291" s="455"/>
      <c r="E291" s="453"/>
      <c r="F291" s="453"/>
      <c r="G291" s="453"/>
      <c r="H291" s="488" t="s">
        <v>339</v>
      </c>
      <c r="I291" s="489">
        <f>SUM(I292:I656)</f>
        <v>2887.1499999999937</v>
      </c>
      <c r="J291" s="490"/>
      <c r="K291" s="490"/>
      <c r="L291" s="489">
        <f>SUM(L292:L656)</f>
        <v>2989.3500000000163</v>
      </c>
      <c r="M291" s="490"/>
      <c r="N291" s="491"/>
      <c r="O291" s="489">
        <f t="shared" ref="O291:T291" si="48">SUM(O292:O656)</f>
        <v>5620.9999999999809</v>
      </c>
      <c r="P291" s="489">
        <f t="shared" si="48"/>
        <v>5620.9999999999809</v>
      </c>
      <c r="Q291" s="489">
        <f t="shared" si="48"/>
        <v>4144.2099999999737</v>
      </c>
      <c r="R291" s="489">
        <f t="shared" si="48"/>
        <v>2814.5913009069754</v>
      </c>
      <c r="S291" s="489">
        <f t="shared" si="48"/>
        <v>3321.4999999999791</v>
      </c>
      <c r="T291" s="492">
        <f t="shared" si="48"/>
        <v>2684.6794724281999</v>
      </c>
    </row>
    <row r="292" spans="1:20">
      <c r="A292" s="445">
        <v>1</v>
      </c>
      <c r="B292" s="445">
        <f>$F$271</f>
        <v>1</v>
      </c>
      <c r="C292" s="445">
        <v>1</v>
      </c>
      <c r="D292" s="456">
        <v>1</v>
      </c>
      <c r="E292" s="480">
        <f>INDEX($H$271:$H$277,B292)</f>
        <v>1</v>
      </c>
      <c r="F292" s="453">
        <f>INDEX($C$271:$C$282,A292)</f>
        <v>0.8</v>
      </c>
      <c r="G292" s="445">
        <f t="shared" ref="G292:G355" si="49">INDEX($D$271:$D$282,A292)</f>
        <v>0.7</v>
      </c>
      <c r="I292" s="476">
        <f>IF($F$287="bisherig", $E292*$B$66*F292, $E292*$B$66*G292)</f>
        <v>7.9099999999999984</v>
      </c>
      <c r="J292" s="445">
        <f>IF($F$287="bisherig",$E292*MAX($B$67:$B$90)*F292,$E292*MAX($B$67:$B$90)*G292)</f>
        <v>0.7</v>
      </c>
      <c r="L292" s="476">
        <f>IF($F$287="bisherig", IF(E292=1, $D$66*F292,$E$66*F292), IF(E292=1, $D$66*G292,$E$66*G292))</f>
        <v>8.19</v>
      </c>
      <c r="M292" s="484">
        <f>IF($F$287="bisherig", IF(E292=1, MAX($D$67:$D$90)*F292,MAX($E$67:$E$90)*F292), IF(E292=1,MAX($D$67:$D$90)*G292,MAX($E$67:$E$90)*G292))</f>
        <v>0.7</v>
      </c>
      <c r="N292" s="482"/>
      <c r="O292" s="482">
        <f>IF($F$287="bisherig", $E292*$F$66*F292, $E292*$F$66*G292)</f>
        <v>15.399999999999999</v>
      </c>
      <c r="P292" s="482">
        <f>IF($F$287="bisherig", $E292*$F$66*F292, $E292*$F$66*G292)</f>
        <v>15.399999999999999</v>
      </c>
      <c r="Q292" s="484">
        <f t="shared" ref="Q292:Q355" si="50">IF($F$287="bisherig", $E292*$G$66*F292, $E292*$G$66*G292)</f>
        <v>11.354000000000001</v>
      </c>
      <c r="R292" s="484">
        <f t="shared" ref="R292:R355" si="51">IF($F$287="bisherig", $E292*$H$66*F292, $E292*$H$66*G292)</f>
        <v>7.7112090435807117</v>
      </c>
      <c r="S292" s="484">
        <f t="shared" ref="S292:S355" si="52">IF($F$287="bisherig", $E292*$I$66*F292, $E292*$I$66*G292)</f>
        <v>9.1</v>
      </c>
      <c r="T292" s="484">
        <f>IF($F$287="bisherig", $E292*$J$66*F292, $E292*$J$66*G292)</f>
        <v>7.3552862258306444</v>
      </c>
    </row>
    <row r="293" spans="1:20">
      <c r="A293" s="445">
        <f>A292</f>
        <v>1</v>
      </c>
      <c r="B293" s="445">
        <f>$F$272</f>
        <v>2</v>
      </c>
      <c r="C293" s="445">
        <f>C292+1</f>
        <v>2</v>
      </c>
      <c r="D293" s="445">
        <f>D292+1</f>
        <v>2</v>
      </c>
      <c r="E293" s="480">
        <f t="shared" ref="E293:E356" si="53">INDEX($H$271:$H$277,B293)</f>
        <v>1</v>
      </c>
      <c r="F293" s="453">
        <f t="shared" ref="F293:F355" si="54">INDEX($C$271:$C$282,A293)</f>
        <v>0.8</v>
      </c>
      <c r="G293" s="445">
        <f t="shared" si="49"/>
        <v>0.7</v>
      </c>
      <c r="I293" s="476">
        <f t="shared" ref="I293:I356" si="55">IF($F$287="bisherig", $E293*$B$66*F293, $E293*$B$66*G293)</f>
        <v>7.9099999999999984</v>
      </c>
      <c r="J293" s="445">
        <f t="shared" ref="J293:J356" si="56">IF($F$287="bisherig",$E293*MAX($B$67:$B$90)*F293,$E293*MAX($B$67:$B$90)*G293)</f>
        <v>0.7</v>
      </c>
      <c r="L293" s="476">
        <f t="shared" ref="L293:L356" si="57">IF($F$287="bisherig", IF(E293=1, $D$66*F293,$E$66*F293), IF(E293=1, $D$66*G293,$E$66*G293))</f>
        <v>8.19</v>
      </c>
      <c r="M293" s="484">
        <f t="shared" ref="M293:M356" si="58">IF($F$287="bisherig", IF(E293=1, MAX($D$67:$D$90)*F293,MAX($E$67:$E$90)*F293), IF(E293=1,MAX($D$67:$D$90)*G293,MAX($E$67:$E$90)*G293))</f>
        <v>0.7</v>
      </c>
      <c r="O293" s="482">
        <f t="shared" ref="O293:O355" si="59">IF($F$287="bisherig", $E293*$F$66*F293, $E293*$F$66*G293)</f>
        <v>15.399999999999999</v>
      </c>
      <c r="P293" s="482">
        <f t="shared" ref="P293:P355" si="60">IF($F$287="bisherig", $E293*$F$66*F293, $E293*$F$66*G293)</f>
        <v>15.399999999999999</v>
      </c>
      <c r="Q293" s="484">
        <f t="shared" si="50"/>
        <v>11.354000000000001</v>
      </c>
      <c r="R293" s="484">
        <f t="shared" si="51"/>
        <v>7.7112090435807117</v>
      </c>
      <c r="S293" s="484">
        <f t="shared" si="52"/>
        <v>9.1</v>
      </c>
      <c r="T293" s="484">
        <f t="shared" ref="T293:T355" si="61">IF($F$287="bisherig", $E293*$J$66*F293, $E293*$J$66*G293)</f>
        <v>7.3552862258306444</v>
      </c>
    </row>
    <row r="294" spans="1:20">
      <c r="A294" s="445">
        <f t="shared" ref="A294:A357" si="62">A293</f>
        <v>1</v>
      </c>
      <c r="B294" s="445">
        <f>$F$273</f>
        <v>3</v>
      </c>
      <c r="C294" s="445">
        <f t="shared" ref="C294:D309" si="63">C293+1</f>
        <v>3</v>
      </c>
      <c r="D294" s="445">
        <f t="shared" si="63"/>
        <v>3</v>
      </c>
      <c r="E294" s="480">
        <f t="shared" si="53"/>
        <v>1</v>
      </c>
      <c r="F294" s="453">
        <f t="shared" si="54"/>
        <v>0.8</v>
      </c>
      <c r="G294" s="445">
        <f t="shared" si="49"/>
        <v>0.7</v>
      </c>
      <c r="I294" s="476">
        <f t="shared" si="55"/>
        <v>7.9099999999999984</v>
      </c>
      <c r="J294" s="445">
        <f t="shared" si="56"/>
        <v>0.7</v>
      </c>
      <c r="L294" s="476">
        <f t="shared" si="57"/>
        <v>8.19</v>
      </c>
      <c r="M294" s="484">
        <f t="shared" si="58"/>
        <v>0.7</v>
      </c>
      <c r="O294" s="482">
        <f t="shared" si="59"/>
        <v>15.399999999999999</v>
      </c>
      <c r="P294" s="482">
        <f t="shared" si="60"/>
        <v>15.399999999999999</v>
      </c>
      <c r="Q294" s="484">
        <f t="shared" si="50"/>
        <v>11.354000000000001</v>
      </c>
      <c r="R294" s="484">
        <f t="shared" si="51"/>
        <v>7.7112090435807117</v>
      </c>
      <c r="S294" s="484">
        <f t="shared" si="52"/>
        <v>9.1</v>
      </c>
      <c r="T294" s="484">
        <f t="shared" si="61"/>
        <v>7.3552862258306444</v>
      </c>
    </row>
    <row r="295" spans="1:20">
      <c r="A295" s="445">
        <f t="shared" si="62"/>
        <v>1</v>
      </c>
      <c r="B295" s="445">
        <f>$F$274</f>
        <v>4</v>
      </c>
      <c r="C295" s="445">
        <f t="shared" si="63"/>
        <v>4</v>
      </c>
      <c r="D295" s="445">
        <f t="shared" si="63"/>
        <v>4</v>
      </c>
      <c r="E295" s="480">
        <f t="shared" si="53"/>
        <v>1</v>
      </c>
      <c r="F295" s="453">
        <f t="shared" si="54"/>
        <v>0.8</v>
      </c>
      <c r="G295" s="445">
        <f t="shared" si="49"/>
        <v>0.7</v>
      </c>
      <c r="I295" s="476">
        <f t="shared" si="55"/>
        <v>7.9099999999999984</v>
      </c>
      <c r="J295" s="445">
        <f t="shared" si="56"/>
        <v>0.7</v>
      </c>
      <c r="L295" s="476">
        <f t="shared" si="57"/>
        <v>8.19</v>
      </c>
      <c r="M295" s="484">
        <f t="shared" si="58"/>
        <v>0.7</v>
      </c>
      <c r="O295" s="482">
        <f t="shared" si="59"/>
        <v>15.399999999999999</v>
      </c>
      <c r="P295" s="482">
        <f t="shared" si="60"/>
        <v>15.399999999999999</v>
      </c>
      <c r="Q295" s="484">
        <f t="shared" si="50"/>
        <v>11.354000000000001</v>
      </c>
      <c r="R295" s="484">
        <f t="shared" si="51"/>
        <v>7.7112090435807117</v>
      </c>
      <c r="S295" s="484">
        <f t="shared" si="52"/>
        <v>9.1</v>
      </c>
      <c r="T295" s="484">
        <f t="shared" si="61"/>
        <v>7.3552862258306444</v>
      </c>
    </row>
    <row r="296" spans="1:20">
      <c r="A296" s="445">
        <f t="shared" si="62"/>
        <v>1</v>
      </c>
      <c r="B296" s="445">
        <f>$F$275</f>
        <v>5</v>
      </c>
      <c r="C296" s="445">
        <f t="shared" si="63"/>
        <v>5</v>
      </c>
      <c r="D296" s="445">
        <f t="shared" si="63"/>
        <v>5</v>
      </c>
      <c r="E296" s="480">
        <f t="shared" si="53"/>
        <v>1</v>
      </c>
      <c r="F296" s="453">
        <f t="shared" si="54"/>
        <v>0.8</v>
      </c>
      <c r="G296" s="445">
        <f t="shared" si="49"/>
        <v>0.7</v>
      </c>
      <c r="I296" s="476">
        <f t="shared" si="55"/>
        <v>7.9099999999999984</v>
      </c>
      <c r="J296" s="445">
        <f t="shared" si="56"/>
        <v>0.7</v>
      </c>
      <c r="L296" s="476">
        <f t="shared" si="57"/>
        <v>8.19</v>
      </c>
      <c r="M296" s="484">
        <f t="shared" si="58"/>
        <v>0.7</v>
      </c>
      <c r="O296" s="482">
        <f t="shared" si="59"/>
        <v>15.399999999999999</v>
      </c>
      <c r="P296" s="482">
        <f t="shared" si="60"/>
        <v>15.399999999999999</v>
      </c>
      <c r="Q296" s="484">
        <f t="shared" si="50"/>
        <v>11.354000000000001</v>
      </c>
      <c r="R296" s="484">
        <f t="shared" si="51"/>
        <v>7.7112090435807117</v>
      </c>
      <c r="S296" s="484">
        <f t="shared" si="52"/>
        <v>9.1</v>
      </c>
      <c r="T296" s="484">
        <f t="shared" si="61"/>
        <v>7.3552862258306444</v>
      </c>
    </row>
    <row r="297" spans="1:20">
      <c r="A297" s="445">
        <f t="shared" si="62"/>
        <v>1</v>
      </c>
      <c r="B297" s="445">
        <f>$F$276</f>
        <v>6</v>
      </c>
      <c r="C297" s="445">
        <f t="shared" si="63"/>
        <v>6</v>
      </c>
      <c r="D297" s="445">
        <f t="shared" si="63"/>
        <v>6</v>
      </c>
      <c r="E297" s="480">
        <f t="shared" si="53"/>
        <v>1</v>
      </c>
      <c r="F297" s="453">
        <f t="shared" si="54"/>
        <v>0.8</v>
      </c>
      <c r="G297" s="445">
        <f t="shared" si="49"/>
        <v>0.7</v>
      </c>
      <c r="I297" s="476">
        <f t="shared" si="55"/>
        <v>7.9099999999999984</v>
      </c>
      <c r="J297" s="445">
        <f t="shared" si="56"/>
        <v>0.7</v>
      </c>
      <c r="L297" s="476">
        <f t="shared" si="57"/>
        <v>8.19</v>
      </c>
      <c r="M297" s="484">
        <f t="shared" si="58"/>
        <v>0.7</v>
      </c>
      <c r="O297" s="482">
        <f t="shared" si="59"/>
        <v>15.399999999999999</v>
      </c>
      <c r="P297" s="482">
        <f t="shared" si="60"/>
        <v>15.399999999999999</v>
      </c>
      <c r="Q297" s="484">
        <f t="shared" si="50"/>
        <v>11.354000000000001</v>
      </c>
      <c r="R297" s="484">
        <f t="shared" si="51"/>
        <v>7.7112090435807117</v>
      </c>
      <c r="S297" s="484">
        <f t="shared" si="52"/>
        <v>9.1</v>
      </c>
      <c r="T297" s="484">
        <f t="shared" si="61"/>
        <v>7.3552862258306444</v>
      </c>
    </row>
    <row r="298" spans="1:20">
      <c r="A298" s="445">
        <f t="shared" si="62"/>
        <v>1</v>
      </c>
      <c r="B298" s="445">
        <f>$F$277</f>
        <v>7</v>
      </c>
      <c r="C298" s="445">
        <f t="shared" si="63"/>
        <v>7</v>
      </c>
      <c r="D298" s="445">
        <f t="shared" si="63"/>
        <v>7</v>
      </c>
      <c r="E298" s="480">
        <f t="shared" si="53"/>
        <v>1</v>
      </c>
      <c r="F298" s="453">
        <f t="shared" si="54"/>
        <v>0.8</v>
      </c>
      <c r="G298" s="445">
        <f t="shared" si="49"/>
        <v>0.7</v>
      </c>
      <c r="I298" s="476">
        <f t="shared" si="55"/>
        <v>7.9099999999999984</v>
      </c>
      <c r="J298" s="445">
        <f t="shared" si="56"/>
        <v>0.7</v>
      </c>
      <c r="L298" s="476">
        <f t="shared" si="57"/>
        <v>8.19</v>
      </c>
      <c r="M298" s="484">
        <f t="shared" si="58"/>
        <v>0.7</v>
      </c>
      <c r="O298" s="482">
        <f t="shared" si="59"/>
        <v>15.399999999999999</v>
      </c>
      <c r="P298" s="482">
        <f t="shared" si="60"/>
        <v>15.399999999999999</v>
      </c>
      <c r="Q298" s="484">
        <f t="shared" si="50"/>
        <v>11.354000000000001</v>
      </c>
      <c r="R298" s="484">
        <f t="shared" si="51"/>
        <v>7.7112090435807117</v>
      </c>
      <c r="S298" s="484">
        <f t="shared" si="52"/>
        <v>9.1</v>
      </c>
      <c r="T298" s="484">
        <f t="shared" si="61"/>
        <v>7.3552862258306444</v>
      </c>
    </row>
    <row r="299" spans="1:20">
      <c r="A299" s="445">
        <f t="shared" si="62"/>
        <v>1</v>
      </c>
      <c r="B299" s="445">
        <f>$F$271</f>
        <v>1</v>
      </c>
      <c r="C299" s="445">
        <f t="shared" si="63"/>
        <v>8</v>
      </c>
      <c r="D299" s="445">
        <f t="shared" si="63"/>
        <v>8</v>
      </c>
      <c r="E299" s="480">
        <f t="shared" si="53"/>
        <v>1</v>
      </c>
      <c r="F299" s="453">
        <f t="shared" si="54"/>
        <v>0.8</v>
      </c>
      <c r="G299" s="445">
        <f t="shared" si="49"/>
        <v>0.7</v>
      </c>
      <c r="I299" s="476">
        <f t="shared" si="55"/>
        <v>7.9099999999999984</v>
      </c>
      <c r="J299" s="445">
        <f t="shared" si="56"/>
        <v>0.7</v>
      </c>
      <c r="L299" s="476">
        <f t="shared" si="57"/>
        <v>8.19</v>
      </c>
      <c r="M299" s="484">
        <f t="shared" si="58"/>
        <v>0.7</v>
      </c>
      <c r="O299" s="482">
        <f t="shared" si="59"/>
        <v>15.399999999999999</v>
      </c>
      <c r="P299" s="482">
        <f t="shared" si="60"/>
        <v>15.399999999999999</v>
      </c>
      <c r="Q299" s="484">
        <f t="shared" si="50"/>
        <v>11.354000000000001</v>
      </c>
      <c r="R299" s="484">
        <f t="shared" si="51"/>
        <v>7.7112090435807117</v>
      </c>
      <c r="S299" s="484">
        <f t="shared" si="52"/>
        <v>9.1</v>
      </c>
      <c r="T299" s="484">
        <f t="shared" si="61"/>
        <v>7.3552862258306444</v>
      </c>
    </row>
    <row r="300" spans="1:20">
      <c r="A300" s="445">
        <f t="shared" si="62"/>
        <v>1</v>
      </c>
      <c r="B300" s="445">
        <f>$F$272</f>
        <v>2</v>
      </c>
      <c r="C300" s="445">
        <f t="shared" si="63"/>
        <v>9</v>
      </c>
      <c r="D300" s="445">
        <f t="shared" si="63"/>
        <v>9</v>
      </c>
      <c r="E300" s="480">
        <f t="shared" si="53"/>
        <v>1</v>
      </c>
      <c r="F300" s="453">
        <f t="shared" si="54"/>
        <v>0.8</v>
      </c>
      <c r="G300" s="445">
        <f t="shared" si="49"/>
        <v>0.7</v>
      </c>
      <c r="I300" s="476">
        <f t="shared" si="55"/>
        <v>7.9099999999999984</v>
      </c>
      <c r="J300" s="445">
        <f t="shared" si="56"/>
        <v>0.7</v>
      </c>
      <c r="L300" s="476">
        <f t="shared" si="57"/>
        <v>8.19</v>
      </c>
      <c r="M300" s="484">
        <f t="shared" si="58"/>
        <v>0.7</v>
      </c>
      <c r="O300" s="482">
        <f t="shared" si="59"/>
        <v>15.399999999999999</v>
      </c>
      <c r="P300" s="482">
        <f t="shared" si="60"/>
        <v>15.399999999999999</v>
      </c>
      <c r="Q300" s="484">
        <f t="shared" si="50"/>
        <v>11.354000000000001</v>
      </c>
      <c r="R300" s="484">
        <f t="shared" si="51"/>
        <v>7.7112090435807117</v>
      </c>
      <c r="S300" s="484">
        <f t="shared" si="52"/>
        <v>9.1</v>
      </c>
      <c r="T300" s="484">
        <f t="shared" si="61"/>
        <v>7.3552862258306444</v>
      </c>
    </row>
    <row r="301" spans="1:20">
      <c r="A301" s="445">
        <f t="shared" si="62"/>
        <v>1</v>
      </c>
      <c r="B301" s="445">
        <f>$F$273</f>
        <v>3</v>
      </c>
      <c r="C301" s="445">
        <f t="shared" si="63"/>
        <v>10</v>
      </c>
      <c r="D301" s="445">
        <f t="shared" si="63"/>
        <v>10</v>
      </c>
      <c r="E301" s="480">
        <f t="shared" si="53"/>
        <v>1</v>
      </c>
      <c r="F301" s="453">
        <f t="shared" si="54"/>
        <v>0.8</v>
      </c>
      <c r="G301" s="445">
        <f t="shared" si="49"/>
        <v>0.7</v>
      </c>
      <c r="I301" s="476">
        <f t="shared" si="55"/>
        <v>7.9099999999999984</v>
      </c>
      <c r="J301" s="445">
        <f t="shared" si="56"/>
        <v>0.7</v>
      </c>
      <c r="L301" s="476">
        <f t="shared" si="57"/>
        <v>8.19</v>
      </c>
      <c r="M301" s="484">
        <f t="shared" si="58"/>
        <v>0.7</v>
      </c>
      <c r="O301" s="482">
        <f t="shared" si="59"/>
        <v>15.399999999999999</v>
      </c>
      <c r="P301" s="482">
        <f t="shared" si="60"/>
        <v>15.399999999999999</v>
      </c>
      <c r="Q301" s="484">
        <f t="shared" si="50"/>
        <v>11.354000000000001</v>
      </c>
      <c r="R301" s="484">
        <f t="shared" si="51"/>
        <v>7.7112090435807117</v>
      </c>
      <c r="S301" s="484">
        <f t="shared" si="52"/>
        <v>9.1</v>
      </c>
      <c r="T301" s="484">
        <f t="shared" si="61"/>
        <v>7.3552862258306444</v>
      </c>
    </row>
    <row r="302" spans="1:20">
      <c r="A302" s="445">
        <f t="shared" si="62"/>
        <v>1</v>
      </c>
      <c r="B302" s="445">
        <f>$F$274</f>
        <v>4</v>
      </c>
      <c r="C302" s="445">
        <f t="shared" si="63"/>
        <v>11</v>
      </c>
      <c r="D302" s="445">
        <f t="shared" si="63"/>
        <v>11</v>
      </c>
      <c r="E302" s="480">
        <f t="shared" si="53"/>
        <v>1</v>
      </c>
      <c r="F302" s="453">
        <f t="shared" si="54"/>
        <v>0.8</v>
      </c>
      <c r="G302" s="445">
        <f t="shared" si="49"/>
        <v>0.7</v>
      </c>
      <c r="I302" s="476">
        <f t="shared" si="55"/>
        <v>7.9099999999999984</v>
      </c>
      <c r="J302" s="445">
        <f t="shared" si="56"/>
        <v>0.7</v>
      </c>
      <c r="L302" s="476">
        <f t="shared" si="57"/>
        <v>8.19</v>
      </c>
      <c r="M302" s="484">
        <f t="shared" si="58"/>
        <v>0.7</v>
      </c>
      <c r="O302" s="482">
        <f t="shared" si="59"/>
        <v>15.399999999999999</v>
      </c>
      <c r="P302" s="482">
        <f t="shared" si="60"/>
        <v>15.399999999999999</v>
      </c>
      <c r="Q302" s="484">
        <f t="shared" si="50"/>
        <v>11.354000000000001</v>
      </c>
      <c r="R302" s="484">
        <f t="shared" si="51"/>
        <v>7.7112090435807117</v>
      </c>
      <c r="S302" s="484">
        <f t="shared" si="52"/>
        <v>9.1</v>
      </c>
      <c r="T302" s="484">
        <f t="shared" si="61"/>
        <v>7.3552862258306444</v>
      </c>
    </row>
    <row r="303" spans="1:20">
      <c r="A303" s="445">
        <f t="shared" si="62"/>
        <v>1</v>
      </c>
      <c r="B303" s="445">
        <f>$F$275</f>
        <v>5</v>
      </c>
      <c r="C303" s="445">
        <f t="shared" si="63"/>
        <v>12</v>
      </c>
      <c r="D303" s="445">
        <f t="shared" si="63"/>
        <v>12</v>
      </c>
      <c r="E303" s="480">
        <f t="shared" si="53"/>
        <v>1</v>
      </c>
      <c r="F303" s="453">
        <f t="shared" si="54"/>
        <v>0.8</v>
      </c>
      <c r="G303" s="445">
        <f t="shared" si="49"/>
        <v>0.7</v>
      </c>
      <c r="I303" s="476">
        <f t="shared" si="55"/>
        <v>7.9099999999999984</v>
      </c>
      <c r="J303" s="445">
        <f t="shared" si="56"/>
        <v>0.7</v>
      </c>
      <c r="L303" s="476">
        <f t="shared" si="57"/>
        <v>8.19</v>
      </c>
      <c r="M303" s="484">
        <f t="shared" si="58"/>
        <v>0.7</v>
      </c>
      <c r="O303" s="482">
        <f t="shared" si="59"/>
        <v>15.399999999999999</v>
      </c>
      <c r="P303" s="482">
        <f t="shared" si="60"/>
        <v>15.399999999999999</v>
      </c>
      <c r="Q303" s="484">
        <f t="shared" si="50"/>
        <v>11.354000000000001</v>
      </c>
      <c r="R303" s="484">
        <f t="shared" si="51"/>
        <v>7.7112090435807117</v>
      </c>
      <c r="S303" s="484">
        <f t="shared" si="52"/>
        <v>9.1</v>
      </c>
      <c r="T303" s="484">
        <f t="shared" si="61"/>
        <v>7.3552862258306444</v>
      </c>
    </row>
    <row r="304" spans="1:20">
      <c r="A304" s="445">
        <f t="shared" si="62"/>
        <v>1</v>
      </c>
      <c r="B304" s="445">
        <f>$F$276</f>
        <v>6</v>
      </c>
      <c r="C304" s="445">
        <f t="shared" si="63"/>
        <v>13</v>
      </c>
      <c r="D304" s="445">
        <f t="shared" si="63"/>
        <v>13</v>
      </c>
      <c r="E304" s="480">
        <f t="shared" si="53"/>
        <v>1</v>
      </c>
      <c r="F304" s="453">
        <f t="shared" si="54"/>
        <v>0.8</v>
      </c>
      <c r="G304" s="445">
        <f t="shared" si="49"/>
        <v>0.7</v>
      </c>
      <c r="I304" s="476">
        <f t="shared" si="55"/>
        <v>7.9099999999999984</v>
      </c>
      <c r="J304" s="445">
        <f t="shared" si="56"/>
        <v>0.7</v>
      </c>
      <c r="L304" s="476">
        <f t="shared" si="57"/>
        <v>8.19</v>
      </c>
      <c r="M304" s="484">
        <f t="shared" si="58"/>
        <v>0.7</v>
      </c>
      <c r="O304" s="482">
        <f t="shared" si="59"/>
        <v>15.399999999999999</v>
      </c>
      <c r="P304" s="482">
        <f t="shared" si="60"/>
        <v>15.399999999999999</v>
      </c>
      <c r="Q304" s="484">
        <f t="shared" si="50"/>
        <v>11.354000000000001</v>
      </c>
      <c r="R304" s="484">
        <f t="shared" si="51"/>
        <v>7.7112090435807117</v>
      </c>
      <c r="S304" s="484">
        <f t="shared" si="52"/>
        <v>9.1</v>
      </c>
      <c r="T304" s="484">
        <f t="shared" si="61"/>
        <v>7.3552862258306444</v>
      </c>
    </row>
    <row r="305" spans="1:20">
      <c r="A305" s="445">
        <f t="shared" si="62"/>
        <v>1</v>
      </c>
      <c r="B305" s="445">
        <f>$F$277</f>
        <v>7</v>
      </c>
      <c r="C305" s="445">
        <f t="shared" si="63"/>
        <v>14</v>
      </c>
      <c r="D305" s="445">
        <f t="shared" si="63"/>
        <v>14</v>
      </c>
      <c r="E305" s="480">
        <f>INDEX($H$271:$H$277,B305)</f>
        <v>1</v>
      </c>
      <c r="F305" s="453">
        <f t="shared" si="54"/>
        <v>0.8</v>
      </c>
      <c r="G305" s="445">
        <f t="shared" si="49"/>
        <v>0.7</v>
      </c>
      <c r="I305" s="476">
        <f t="shared" si="55"/>
        <v>7.9099999999999984</v>
      </c>
      <c r="J305" s="445">
        <f t="shared" si="56"/>
        <v>0.7</v>
      </c>
      <c r="L305" s="476">
        <f t="shared" si="57"/>
        <v>8.19</v>
      </c>
      <c r="M305" s="484">
        <f t="shared" si="58"/>
        <v>0.7</v>
      </c>
      <c r="O305" s="482">
        <f t="shared" si="59"/>
        <v>15.399999999999999</v>
      </c>
      <c r="P305" s="482">
        <f t="shared" si="60"/>
        <v>15.399999999999999</v>
      </c>
      <c r="Q305" s="484">
        <f t="shared" si="50"/>
        <v>11.354000000000001</v>
      </c>
      <c r="R305" s="484">
        <f t="shared" si="51"/>
        <v>7.7112090435807117</v>
      </c>
      <c r="S305" s="484">
        <f t="shared" si="52"/>
        <v>9.1</v>
      </c>
      <c r="T305" s="484">
        <f t="shared" si="61"/>
        <v>7.3552862258306444</v>
      </c>
    </row>
    <row r="306" spans="1:20">
      <c r="A306" s="445">
        <f t="shared" si="62"/>
        <v>1</v>
      </c>
      <c r="B306" s="445">
        <f t="shared" ref="B306" si="64">$F$271</f>
        <v>1</v>
      </c>
      <c r="C306" s="445">
        <f t="shared" si="63"/>
        <v>15</v>
      </c>
      <c r="D306" s="445">
        <f t="shared" si="63"/>
        <v>15</v>
      </c>
      <c r="E306" s="480">
        <f t="shared" si="53"/>
        <v>1</v>
      </c>
      <c r="F306" s="453">
        <f t="shared" si="54"/>
        <v>0.8</v>
      </c>
      <c r="G306" s="445">
        <f t="shared" si="49"/>
        <v>0.7</v>
      </c>
      <c r="I306" s="476">
        <f t="shared" si="55"/>
        <v>7.9099999999999984</v>
      </c>
      <c r="J306" s="445">
        <f t="shared" si="56"/>
        <v>0.7</v>
      </c>
      <c r="L306" s="476">
        <f t="shared" si="57"/>
        <v>8.19</v>
      </c>
      <c r="M306" s="484">
        <f t="shared" si="58"/>
        <v>0.7</v>
      </c>
      <c r="O306" s="482">
        <f t="shared" si="59"/>
        <v>15.399999999999999</v>
      </c>
      <c r="P306" s="482">
        <f t="shared" si="60"/>
        <v>15.399999999999999</v>
      </c>
      <c r="Q306" s="484">
        <f t="shared" si="50"/>
        <v>11.354000000000001</v>
      </c>
      <c r="R306" s="484">
        <f t="shared" si="51"/>
        <v>7.7112090435807117</v>
      </c>
      <c r="S306" s="484">
        <f t="shared" si="52"/>
        <v>9.1</v>
      </c>
      <c r="T306" s="484">
        <f t="shared" si="61"/>
        <v>7.3552862258306444</v>
      </c>
    </row>
    <row r="307" spans="1:20">
      <c r="A307" s="445">
        <f t="shared" si="62"/>
        <v>1</v>
      </c>
      <c r="B307" s="445">
        <f t="shared" ref="B307" si="65">$F$272</f>
        <v>2</v>
      </c>
      <c r="C307" s="445">
        <f t="shared" si="63"/>
        <v>16</v>
      </c>
      <c r="D307" s="445">
        <f t="shared" si="63"/>
        <v>16</v>
      </c>
      <c r="E307" s="480">
        <f t="shared" si="53"/>
        <v>1</v>
      </c>
      <c r="F307" s="453">
        <f t="shared" si="54"/>
        <v>0.8</v>
      </c>
      <c r="G307" s="445">
        <f t="shared" si="49"/>
        <v>0.7</v>
      </c>
      <c r="I307" s="476">
        <f t="shared" si="55"/>
        <v>7.9099999999999984</v>
      </c>
      <c r="J307" s="445">
        <f t="shared" si="56"/>
        <v>0.7</v>
      </c>
      <c r="L307" s="476">
        <f t="shared" si="57"/>
        <v>8.19</v>
      </c>
      <c r="M307" s="484">
        <f t="shared" si="58"/>
        <v>0.7</v>
      </c>
      <c r="O307" s="482">
        <f t="shared" si="59"/>
        <v>15.399999999999999</v>
      </c>
      <c r="P307" s="482">
        <f t="shared" si="60"/>
        <v>15.399999999999999</v>
      </c>
      <c r="Q307" s="484">
        <f t="shared" si="50"/>
        <v>11.354000000000001</v>
      </c>
      <c r="R307" s="484">
        <f t="shared" si="51"/>
        <v>7.7112090435807117</v>
      </c>
      <c r="S307" s="484">
        <f t="shared" si="52"/>
        <v>9.1</v>
      </c>
      <c r="T307" s="484">
        <f t="shared" si="61"/>
        <v>7.3552862258306444</v>
      </c>
    </row>
    <row r="308" spans="1:20">
      <c r="A308" s="445">
        <f t="shared" si="62"/>
        <v>1</v>
      </c>
      <c r="B308" s="445">
        <f t="shared" ref="B308" si="66">$F$273</f>
        <v>3</v>
      </c>
      <c r="C308" s="445">
        <f t="shared" si="63"/>
        <v>17</v>
      </c>
      <c r="D308" s="445">
        <f t="shared" si="63"/>
        <v>17</v>
      </c>
      <c r="E308" s="480">
        <f t="shared" si="53"/>
        <v>1</v>
      </c>
      <c r="F308" s="453">
        <f t="shared" si="54"/>
        <v>0.8</v>
      </c>
      <c r="G308" s="445">
        <f t="shared" si="49"/>
        <v>0.7</v>
      </c>
      <c r="I308" s="476">
        <f t="shared" si="55"/>
        <v>7.9099999999999984</v>
      </c>
      <c r="J308" s="445">
        <f t="shared" si="56"/>
        <v>0.7</v>
      </c>
      <c r="L308" s="476">
        <f t="shared" si="57"/>
        <v>8.19</v>
      </c>
      <c r="M308" s="484">
        <f t="shared" si="58"/>
        <v>0.7</v>
      </c>
      <c r="O308" s="482">
        <f t="shared" si="59"/>
        <v>15.399999999999999</v>
      </c>
      <c r="P308" s="482">
        <f t="shared" si="60"/>
        <v>15.399999999999999</v>
      </c>
      <c r="Q308" s="484">
        <f t="shared" si="50"/>
        <v>11.354000000000001</v>
      </c>
      <c r="R308" s="484">
        <f t="shared" si="51"/>
        <v>7.7112090435807117</v>
      </c>
      <c r="S308" s="484">
        <f t="shared" si="52"/>
        <v>9.1</v>
      </c>
      <c r="T308" s="484">
        <f t="shared" si="61"/>
        <v>7.3552862258306444</v>
      </c>
    </row>
    <row r="309" spans="1:20">
      <c r="A309" s="445">
        <f t="shared" si="62"/>
        <v>1</v>
      </c>
      <c r="B309" s="445">
        <f t="shared" ref="B309" si="67">$F$274</f>
        <v>4</v>
      </c>
      <c r="C309" s="445">
        <f t="shared" si="63"/>
        <v>18</v>
      </c>
      <c r="D309" s="445">
        <f t="shared" si="63"/>
        <v>18</v>
      </c>
      <c r="E309" s="480">
        <f>INDEX($H$271:$H$277,B309)</f>
        <v>1</v>
      </c>
      <c r="F309" s="453">
        <f t="shared" si="54"/>
        <v>0.8</v>
      </c>
      <c r="G309" s="445">
        <f t="shared" si="49"/>
        <v>0.7</v>
      </c>
      <c r="I309" s="476">
        <f t="shared" si="55"/>
        <v>7.9099999999999984</v>
      </c>
      <c r="J309" s="445">
        <f t="shared" si="56"/>
        <v>0.7</v>
      </c>
      <c r="L309" s="476">
        <f t="shared" si="57"/>
        <v>8.19</v>
      </c>
      <c r="M309" s="484">
        <f t="shared" si="58"/>
        <v>0.7</v>
      </c>
      <c r="O309" s="482">
        <f t="shared" si="59"/>
        <v>15.399999999999999</v>
      </c>
      <c r="P309" s="482">
        <f t="shared" si="60"/>
        <v>15.399999999999999</v>
      </c>
      <c r="Q309" s="484">
        <f t="shared" si="50"/>
        <v>11.354000000000001</v>
      </c>
      <c r="R309" s="484">
        <f t="shared" si="51"/>
        <v>7.7112090435807117</v>
      </c>
      <c r="S309" s="484">
        <f t="shared" si="52"/>
        <v>9.1</v>
      </c>
      <c r="T309" s="484">
        <f t="shared" si="61"/>
        <v>7.3552862258306444</v>
      </c>
    </row>
    <row r="310" spans="1:20">
      <c r="A310" s="445">
        <f t="shared" si="62"/>
        <v>1</v>
      </c>
      <c r="B310" s="445">
        <f t="shared" ref="B310" si="68">$F$275</f>
        <v>5</v>
      </c>
      <c r="C310" s="445">
        <f t="shared" ref="C310:D325" si="69">C309+1</f>
        <v>19</v>
      </c>
      <c r="D310" s="445">
        <f t="shared" si="69"/>
        <v>19</v>
      </c>
      <c r="E310" s="480">
        <f t="shared" si="53"/>
        <v>1</v>
      </c>
      <c r="F310" s="453">
        <f t="shared" si="54"/>
        <v>0.8</v>
      </c>
      <c r="G310" s="445">
        <f t="shared" si="49"/>
        <v>0.7</v>
      </c>
      <c r="I310" s="476">
        <f t="shared" si="55"/>
        <v>7.9099999999999984</v>
      </c>
      <c r="J310" s="445">
        <f t="shared" si="56"/>
        <v>0.7</v>
      </c>
      <c r="L310" s="476">
        <f t="shared" si="57"/>
        <v>8.19</v>
      </c>
      <c r="M310" s="484">
        <f t="shared" si="58"/>
        <v>0.7</v>
      </c>
      <c r="O310" s="482">
        <f t="shared" si="59"/>
        <v>15.399999999999999</v>
      </c>
      <c r="P310" s="482">
        <f t="shared" si="60"/>
        <v>15.399999999999999</v>
      </c>
      <c r="Q310" s="484">
        <f t="shared" si="50"/>
        <v>11.354000000000001</v>
      </c>
      <c r="R310" s="484">
        <f t="shared" si="51"/>
        <v>7.7112090435807117</v>
      </c>
      <c r="S310" s="484">
        <f t="shared" si="52"/>
        <v>9.1</v>
      </c>
      <c r="T310" s="484">
        <f t="shared" si="61"/>
        <v>7.3552862258306444</v>
      </c>
    </row>
    <row r="311" spans="1:20">
      <c r="A311" s="445">
        <f t="shared" si="62"/>
        <v>1</v>
      </c>
      <c r="B311" s="445">
        <f t="shared" ref="B311" si="70">$F$276</f>
        <v>6</v>
      </c>
      <c r="C311" s="445">
        <f t="shared" si="69"/>
        <v>20</v>
      </c>
      <c r="D311" s="445">
        <f t="shared" si="69"/>
        <v>20</v>
      </c>
      <c r="E311" s="480">
        <f t="shared" si="53"/>
        <v>1</v>
      </c>
      <c r="F311" s="453">
        <f t="shared" si="54"/>
        <v>0.8</v>
      </c>
      <c r="G311" s="445">
        <f t="shared" si="49"/>
        <v>0.7</v>
      </c>
      <c r="I311" s="476">
        <f t="shared" si="55"/>
        <v>7.9099999999999984</v>
      </c>
      <c r="J311" s="445">
        <f t="shared" si="56"/>
        <v>0.7</v>
      </c>
      <c r="L311" s="476">
        <f t="shared" si="57"/>
        <v>8.19</v>
      </c>
      <c r="M311" s="484">
        <f t="shared" si="58"/>
        <v>0.7</v>
      </c>
      <c r="O311" s="482">
        <f t="shared" si="59"/>
        <v>15.399999999999999</v>
      </c>
      <c r="P311" s="482">
        <f t="shared" si="60"/>
        <v>15.399999999999999</v>
      </c>
      <c r="Q311" s="484">
        <f t="shared" si="50"/>
        <v>11.354000000000001</v>
      </c>
      <c r="R311" s="484">
        <f t="shared" si="51"/>
        <v>7.7112090435807117</v>
      </c>
      <c r="S311" s="484">
        <f t="shared" si="52"/>
        <v>9.1</v>
      </c>
      <c r="T311" s="484">
        <f t="shared" si="61"/>
        <v>7.3552862258306444</v>
      </c>
    </row>
    <row r="312" spans="1:20">
      <c r="A312" s="445">
        <f t="shared" si="62"/>
        <v>1</v>
      </c>
      <c r="B312" s="445">
        <f t="shared" ref="B312" si="71">$F$277</f>
        <v>7</v>
      </c>
      <c r="C312" s="445">
        <f t="shared" si="69"/>
        <v>21</v>
      </c>
      <c r="D312" s="445">
        <f t="shared" si="69"/>
        <v>21</v>
      </c>
      <c r="E312" s="480">
        <f t="shared" si="53"/>
        <v>1</v>
      </c>
      <c r="F312" s="453">
        <f t="shared" si="54"/>
        <v>0.8</v>
      </c>
      <c r="G312" s="445">
        <f t="shared" si="49"/>
        <v>0.7</v>
      </c>
      <c r="I312" s="476">
        <f t="shared" si="55"/>
        <v>7.9099999999999984</v>
      </c>
      <c r="J312" s="445">
        <f t="shared" si="56"/>
        <v>0.7</v>
      </c>
      <c r="L312" s="476">
        <f t="shared" si="57"/>
        <v>8.19</v>
      </c>
      <c r="M312" s="484">
        <f t="shared" si="58"/>
        <v>0.7</v>
      </c>
      <c r="O312" s="482">
        <f t="shared" si="59"/>
        <v>15.399999999999999</v>
      </c>
      <c r="P312" s="482">
        <f t="shared" si="60"/>
        <v>15.399999999999999</v>
      </c>
      <c r="Q312" s="484">
        <f t="shared" si="50"/>
        <v>11.354000000000001</v>
      </c>
      <c r="R312" s="484">
        <f t="shared" si="51"/>
        <v>7.7112090435807117</v>
      </c>
      <c r="S312" s="484">
        <f t="shared" si="52"/>
        <v>9.1</v>
      </c>
      <c r="T312" s="484">
        <f t="shared" si="61"/>
        <v>7.3552862258306444</v>
      </c>
    </row>
    <row r="313" spans="1:20">
      <c r="A313" s="445">
        <f t="shared" si="62"/>
        <v>1</v>
      </c>
      <c r="B313" s="445">
        <f t="shared" ref="B313" si="72">$F$271</f>
        <v>1</v>
      </c>
      <c r="C313" s="445">
        <f t="shared" si="69"/>
        <v>22</v>
      </c>
      <c r="D313" s="445">
        <f t="shared" si="69"/>
        <v>22</v>
      </c>
      <c r="E313" s="480">
        <f t="shared" si="53"/>
        <v>1</v>
      </c>
      <c r="F313" s="453">
        <f t="shared" si="54"/>
        <v>0.8</v>
      </c>
      <c r="G313" s="445">
        <f t="shared" si="49"/>
        <v>0.7</v>
      </c>
      <c r="I313" s="476">
        <f t="shared" si="55"/>
        <v>7.9099999999999984</v>
      </c>
      <c r="J313" s="445">
        <f t="shared" si="56"/>
        <v>0.7</v>
      </c>
      <c r="L313" s="476">
        <f t="shared" si="57"/>
        <v>8.19</v>
      </c>
      <c r="M313" s="484">
        <f t="shared" si="58"/>
        <v>0.7</v>
      </c>
      <c r="O313" s="482">
        <f t="shared" si="59"/>
        <v>15.399999999999999</v>
      </c>
      <c r="P313" s="482">
        <f t="shared" si="60"/>
        <v>15.399999999999999</v>
      </c>
      <c r="Q313" s="484">
        <f t="shared" si="50"/>
        <v>11.354000000000001</v>
      </c>
      <c r="R313" s="484">
        <f t="shared" si="51"/>
        <v>7.7112090435807117</v>
      </c>
      <c r="S313" s="484">
        <f t="shared" si="52"/>
        <v>9.1</v>
      </c>
      <c r="T313" s="484">
        <f t="shared" si="61"/>
        <v>7.3552862258306444</v>
      </c>
    </row>
    <row r="314" spans="1:20">
      <c r="A314" s="445">
        <f t="shared" si="62"/>
        <v>1</v>
      </c>
      <c r="B314" s="445">
        <f t="shared" ref="B314" si="73">$F$272</f>
        <v>2</v>
      </c>
      <c r="C314" s="445">
        <f t="shared" si="69"/>
        <v>23</v>
      </c>
      <c r="D314" s="445">
        <f t="shared" si="69"/>
        <v>23</v>
      </c>
      <c r="E314" s="480">
        <f t="shared" si="53"/>
        <v>1</v>
      </c>
      <c r="F314" s="453">
        <f t="shared" si="54"/>
        <v>0.8</v>
      </c>
      <c r="G314" s="445">
        <f t="shared" si="49"/>
        <v>0.7</v>
      </c>
      <c r="I314" s="476">
        <f t="shared" si="55"/>
        <v>7.9099999999999984</v>
      </c>
      <c r="J314" s="445">
        <f t="shared" si="56"/>
        <v>0.7</v>
      </c>
      <c r="L314" s="476">
        <f t="shared" si="57"/>
        <v>8.19</v>
      </c>
      <c r="M314" s="484">
        <f t="shared" si="58"/>
        <v>0.7</v>
      </c>
      <c r="O314" s="482">
        <f t="shared" si="59"/>
        <v>15.399999999999999</v>
      </c>
      <c r="P314" s="482">
        <f t="shared" si="60"/>
        <v>15.399999999999999</v>
      </c>
      <c r="Q314" s="484">
        <f t="shared" si="50"/>
        <v>11.354000000000001</v>
      </c>
      <c r="R314" s="484">
        <f t="shared" si="51"/>
        <v>7.7112090435807117</v>
      </c>
      <c r="S314" s="484">
        <f t="shared" si="52"/>
        <v>9.1</v>
      </c>
      <c r="T314" s="484">
        <f t="shared" si="61"/>
        <v>7.3552862258306444</v>
      </c>
    </row>
    <row r="315" spans="1:20">
      <c r="A315" s="445">
        <f t="shared" si="62"/>
        <v>1</v>
      </c>
      <c r="B315" s="445">
        <f t="shared" ref="B315" si="74">$F$273</f>
        <v>3</v>
      </c>
      <c r="C315" s="445">
        <f t="shared" si="69"/>
        <v>24</v>
      </c>
      <c r="D315" s="445">
        <f t="shared" si="69"/>
        <v>24</v>
      </c>
      <c r="E315" s="480">
        <f t="shared" si="53"/>
        <v>1</v>
      </c>
      <c r="F315" s="453">
        <f t="shared" si="54"/>
        <v>0.8</v>
      </c>
      <c r="G315" s="445">
        <f t="shared" si="49"/>
        <v>0.7</v>
      </c>
      <c r="I315" s="476">
        <f t="shared" si="55"/>
        <v>7.9099999999999984</v>
      </c>
      <c r="J315" s="445">
        <f t="shared" si="56"/>
        <v>0.7</v>
      </c>
      <c r="L315" s="476">
        <f t="shared" si="57"/>
        <v>8.19</v>
      </c>
      <c r="M315" s="484">
        <f t="shared" si="58"/>
        <v>0.7</v>
      </c>
      <c r="O315" s="482">
        <f t="shared" si="59"/>
        <v>15.399999999999999</v>
      </c>
      <c r="P315" s="482">
        <f t="shared" si="60"/>
        <v>15.399999999999999</v>
      </c>
      <c r="Q315" s="484">
        <f t="shared" si="50"/>
        <v>11.354000000000001</v>
      </c>
      <c r="R315" s="484">
        <f t="shared" si="51"/>
        <v>7.7112090435807117</v>
      </c>
      <c r="S315" s="484">
        <f t="shared" si="52"/>
        <v>9.1</v>
      </c>
      <c r="T315" s="484">
        <f t="shared" si="61"/>
        <v>7.3552862258306444</v>
      </c>
    </row>
    <row r="316" spans="1:20">
      <c r="A316" s="445">
        <f t="shared" si="62"/>
        <v>1</v>
      </c>
      <c r="B316" s="445">
        <f t="shared" ref="B316" si="75">$F$274</f>
        <v>4</v>
      </c>
      <c r="C316" s="445">
        <f t="shared" si="69"/>
        <v>25</v>
      </c>
      <c r="D316" s="445">
        <f t="shared" si="69"/>
        <v>25</v>
      </c>
      <c r="E316" s="480">
        <f t="shared" si="53"/>
        <v>1</v>
      </c>
      <c r="F316" s="453">
        <f t="shared" si="54"/>
        <v>0.8</v>
      </c>
      <c r="G316" s="445">
        <f t="shared" si="49"/>
        <v>0.7</v>
      </c>
      <c r="I316" s="476">
        <f t="shared" si="55"/>
        <v>7.9099999999999984</v>
      </c>
      <c r="J316" s="445">
        <f t="shared" si="56"/>
        <v>0.7</v>
      </c>
      <c r="L316" s="476">
        <f t="shared" si="57"/>
        <v>8.19</v>
      </c>
      <c r="M316" s="484">
        <f t="shared" si="58"/>
        <v>0.7</v>
      </c>
      <c r="O316" s="482">
        <f t="shared" si="59"/>
        <v>15.399999999999999</v>
      </c>
      <c r="P316" s="482">
        <f t="shared" si="60"/>
        <v>15.399999999999999</v>
      </c>
      <c r="Q316" s="484">
        <f t="shared" si="50"/>
        <v>11.354000000000001</v>
      </c>
      <c r="R316" s="484">
        <f t="shared" si="51"/>
        <v>7.7112090435807117</v>
      </c>
      <c r="S316" s="484">
        <f t="shared" si="52"/>
        <v>9.1</v>
      </c>
      <c r="T316" s="484">
        <f t="shared" si="61"/>
        <v>7.3552862258306444</v>
      </c>
    </row>
    <row r="317" spans="1:20">
      <c r="A317" s="445">
        <f t="shared" si="62"/>
        <v>1</v>
      </c>
      <c r="B317" s="445">
        <f t="shared" ref="B317" si="76">$F$275</f>
        <v>5</v>
      </c>
      <c r="C317" s="445">
        <f t="shared" si="69"/>
        <v>26</v>
      </c>
      <c r="D317" s="445">
        <f t="shared" si="69"/>
        <v>26</v>
      </c>
      <c r="E317" s="480">
        <f t="shared" si="53"/>
        <v>1</v>
      </c>
      <c r="F317" s="453">
        <f t="shared" si="54"/>
        <v>0.8</v>
      </c>
      <c r="G317" s="445">
        <f t="shared" si="49"/>
        <v>0.7</v>
      </c>
      <c r="I317" s="476">
        <f t="shared" si="55"/>
        <v>7.9099999999999984</v>
      </c>
      <c r="J317" s="445">
        <f t="shared" si="56"/>
        <v>0.7</v>
      </c>
      <c r="L317" s="476">
        <f t="shared" si="57"/>
        <v>8.19</v>
      </c>
      <c r="M317" s="484">
        <f t="shared" si="58"/>
        <v>0.7</v>
      </c>
      <c r="O317" s="482">
        <f t="shared" si="59"/>
        <v>15.399999999999999</v>
      </c>
      <c r="P317" s="482">
        <f t="shared" si="60"/>
        <v>15.399999999999999</v>
      </c>
      <c r="Q317" s="484">
        <f t="shared" si="50"/>
        <v>11.354000000000001</v>
      </c>
      <c r="R317" s="484">
        <f t="shared" si="51"/>
        <v>7.7112090435807117</v>
      </c>
      <c r="S317" s="484">
        <f t="shared" si="52"/>
        <v>9.1</v>
      </c>
      <c r="T317" s="484">
        <f t="shared" si="61"/>
        <v>7.3552862258306444</v>
      </c>
    </row>
    <row r="318" spans="1:20">
      <c r="A318" s="445">
        <f t="shared" si="62"/>
        <v>1</v>
      </c>
      <c r="B318" s="445">
        <f t="shared" ref="B318" si="77">$F$276</f>
        <v>6</v>
      </c>
      <c r="C318" s="445">
        <f t="shared" si="69"/>
        <v>27</v>
      </c>
      <c r="D318" s="445">
        <f t="shared" si="69"/>
        <v>27</v>
      </c>
      <c r="E318" s="480">
        <f t="shared" si="53"/>
        <v>1</v>
      </c>
      <c r="F318" s="453">
        <f t="shared" si="54"/>
        <v>0.8</v>
      </c>
      <c r="G318" s="445">
        <f t="shared" si="49"/>
        <v>0.7</v>
      </c>
      <c r="I318" s="476">
        <f t="shared" si="55"/>
        <v>7.9099999999999984</v>
      </c>
      <c r="J318" s="445">
        <f t="shared" si="56"/>
        <v>0.7</v>
      </c>
      <c r="L318" s="476">
        <f t="shared" si="57"/>
        <v>8.19</v>
      </c>
      <c r="M318" s="484">
        <f t="shared" si="58"/>
        <v>0.7</v>
      </c>
      <c r="O318" s="482">
        <f t="shared" si="59"/>
        <v>15.399999999999999</v>
      </c>
      <c r="P318" s="482">
        <f t="shared" si="60"/>
        <v>15.399999999999999</v>
      </c>
      <c r="Q318" s="484">
        <f t="shared" si="50"/>
        <v>11.354000000000001</v>
      </c>
      <c r="R318" s="484">
        <f t="shared" si="51"/>
        <v>7.7112090435807117</v>
      </c>
      <c r="S318" s="484">
        <f t="shared" si="52"/>
        <v>9.1</v>
      </c>
      <c r="T318" s="484">
        <f t="shared" si="61"/>
        <v>7.3552862258306444</v>
      </c>
    </row>
    <row r="319" spans="1:20">
      <c r="A319" s="445">
        <f t="shared" si="62"/>
        <v>1</v>
      </c>
      <c r="B319" s="445">
        <f t="shared" ref="B319" si="78">$F$277</f>
        <v>7</v>
      </c>
      <c r="C319" s="445">
        <f t="shared" si="69"/>
        <v>28</v>
      </c>
      <c r="D319" s="445">
        <f t="shared" si="69"/>
        <v>28</v>
      </c>
      <c r="E319" s="480">
        <f t="shared" si="53"/>
        <v>1</v>
      </c>
      <c r="F319" s="453">
        <f t="shared" si="54"/>
        <v>0.8</v>
      </c>
      <c r="G319" s="445">
        <f t="shared" si="49"/>
        <v>0.7</v>
      </c>
      <c r="I319" s="476">
        <f t="shared" si="55"/>
        <v>7.9099999999999984</v>
      </c>
      <c r="J319" s="445">
        <f t="shared" si="56"/>
        <v>0.7</v>
      </c>
      <c r="L319" s="476">
        <f t="shared" si="57"/>
        <v>8.19</v>
      </c>
      <c r="M319" s="484">
        <f t="shared" si="58"/>
        <v>0.7</v>
      </c>
      <c r="O319" s="482">
        <f t="shared" si="59"/>
        <v>15.399999999999999</v>
      </c>
      <c r="P319" s="482">
        <f t="shared" si="60"/>
        <v>15.399999999999999</v>
      </c>
      <c r="Q319" s="484">
        <f t="shared" si="50"/>
        <v>11.354000000000001</v>
      </c>
      <c r="R319" s="484">
        <f t="shared" si="51"/>
        <v>7.7112090435807117</v>
      </c>
      <c r="S319" s="484">
        <f t="shared" si="52"/>
        <v>9.1</v>
      </c>
      <c r="T319" s="484">
        <f t="shared" si="61"/>
        <v>7.3552862258306444</v>
      </c>
    </row>
    <row r="320" spans="1:20">
      <c r="A320" s="445">
        <f t="shared" si="62"/>
        <v>1</v>
      </c>
      <c r="B320" s="445">
        <f t="shared" ref="B320:B383" si="79">$F$271</f>
        <v>1</v>
      </c>
      <c r="C320" s="445">
        <f t="shared" si="69"/>
        <v>29</v>
      </c>
      <c r="D320" s="445">
        <f t="shared" si="69"/>
        <v>29</v>
      </c>
      <c r="E320" s="480">
        <f t="shared" si="53"/>
        <v>1</v>
      </c>
      <c r="F320" s="453">
        <f t="shared" si="54"/>
        <v>0.8</v>
      </c>
      <c r="G320" s="445">
        <f t="shared" si="49"/>
        <v>0.7</v>
      </c>
      <c r="I320" s="476">
        <f t="shared" si="55"/>
        <v>7.9099999999999984</v>
      </c>
      <c r="J320" s="445">
        <f t="shared" si="56"/>
        <v>0.7</v>
      </c>
      <c r="L320" s="476">
        <f t="shared" si="57"/>
        <v>8.19</v>
      </c>
      <c r="M320" s="484">
        <f t="shared" si="58"/>
        <v>0.7</v>
      </c>
      <c r="O320" s="482">
        <f t="shared" si="59"/>
        <v>15.399999999999999</v>
      </c>
      <c r="P320" s="482">
        <f t="shared" si="60"/>
        <v>15.399999999999999</v>
      </c>
      <c r="Q320" s="484">
        <f t="shared" si="50"/>
        <v>11.354000000000001</v>
      </c>
      <c r="R320" s="484">
        <f t="shared" si="51"/>
        <v>7.7112090435807117</v>
      </c>
      <c r="S320" s="484">
        <f t="shared" si="52"/>
        <v>9.1</v>
      </c>
      <c r="T320" s="484">
        <f t="shared" si="61"/>
        <v>7.3552862258306444</v>
      </c>
    </row>
    <row r="321" spans="1:20">
      <c r="A321" s="445">
        <f t="shared" si="62"/>
        <v>1</v>
      </c>
      <c r="B321" s="445">
        <f t="shared" ref="B321:B384" si="80">$F$272</f>
        <v>2</v>
      </c>
      <c r="C321" s="445">
        <f t="shared" si="69"/>
        <v>30</v>
      </c>
      <c r="D321" s="445">
        <f t="shared" si="69"/>
        <v>30</v>
      </c>
      <c r="E321" s="480">
        <f t="shared" si="53"/>
        <v>1</v>
      </c>
      <c r="F321" s="453">
        <f t="shared" si="54"/>
        <v>0.8</v>
      </c>
      <c r="G321" s="445">
        <f t="shared" si="49"/>
        <v>0.7</v>
      </c>
      <c r="I321" s="476">
        <f t="shared" si="55"/>
        <v>7.9099999999999984</v>
      </c>
      <c r="J321" s="445">
        <f t="shared" si="56"/>
        <v>0.7</v>
      </c>
      <c r="L321" s="476">
        <f t="shared" si="57"/>
        <v>8.19</v>
      </c>
      <c r="M321" s="484">
        <f t="shared" si="58"/>
        <v>0.7</v>
      </c>
      <c r="O321" s="482">
        <f t="shared" si="59"/>
        <v>15.399999999999999</v>
      </c>
      <c r="P321" s="482">
        <f t="shared" si="60"/>
        <v>15.399999999999999</v>
      </c>
      <c r="Q321" s="484">
        <f t="shared" si="50"/>
        <v>11.354000000000001</v>
      </c>
      <c r="R321" s="484">
        <f t="shared" si="51"/>
        <v>7.7112090435807117</v>
      </c>
      <c r="S321" s="484">
        <f t="shared" si="52"/>
        <v>9.1</v>
      </c>
      <c r="T321" s="484">
        <f t="shared" si="61"/>
        <v>7.3552862258306444</v>
      </c>
    </row>
    <row r="322" spans="1:20">
      <c r="A322" s="445">
        <f t="shared" si="62"/>
        <v>1</v>
      </c>
      <c r="B322" s="445">
        <f t="shared" ref="B322" si="81">$F$273</f>
        <v>3</v>
      </c>
      <c r="C322" s="445">
        <f t="shared" si="69"/>
        <v>31</v>
      </c>
      <c r="D322" s="445">
        <f t="shared" si="69"/>
        <v>31</v>
      </c>
      <c r="E322" s="480">
        <f t="shared" si="53"/>
        <v>1</v>
      </c>
      <c r="F322" s="453">
        <f t="shared" si="54"/>
        <v>0.8</v>
      </c>
      <c r="G322" s="445">
        <f t="shared" si="49"/>
        <v>0.7</v>
      </c>
      <c r="I322" s="476">
        <f t="shared" si="55"/>
        <v>7.9099999999999984</v>
      </c>
      <c r="J322" s="445">
        <f t="shared" si="56"/>
        <v>0.7</v>
      </c>
      <c r="L322" s="476">
        <f t="shared" si="57"/>
        <v>8.19</v>
      </c>
      <c r="M322" s="484">
        <f t="shared" si="58"/>
        <v>0.7</v>
      </c>
      <c r="O322" s="482">
        <f t="shared" si="59"/>
        <v>15.399999999999999</v>
      </c>
      <c r="P322" s="482">
        <f t="shared" si="60"/>
        <v>15.399999999999999</v>
      </c>
      <c r="Q322" s="484">
        <f t="shared" si="50"/>
        <v>11.354000000000001</v>
      </c>
      <c r="R322" s="484">
        <f t="shared" si="51"/>
        <v>7.7112090435807117</v>
      </c>
      <c r="S322" s="484">
        <f t="shared" si="52"/>
        <v>9.1</v>
      </c>
      <c r="T322" s="484">
        <f t="shared" si="61"/>
        <v>7.3552862258306444</v>
      </c>
    </row>
    <row r="323" spans="1:20">
      <c r="A323" s="445">
        <v>2</v>
      </c>
      <c r="B323" s="445">
        <f t="shared" ref="B323" si="82">$F$274</f>
        <v>4</v>
      </c>
      <c r="C323" s="445">
        <v>1</v>
      </c>
      <c r="D323" s="445">
        <f t="shared" si="69"/>
        <v>32</v>
      </c>
      <c r="E323" s="480">
        <f t="shared" si="53"/>
        <v>1</v>
      </c>
      <c r="F323" s="453">
        <f t="shared" si="54"/>
        <v>0.6</v>
      </c>
      <c r="G323" s="445">
        <f t="shared" si="49"/>
        <v>0.7</v>
      </c>
      <c r="I323" s="476">
        <f t="shared" si="55"/>
        <v>7.9099999999999984</v>
      </c>
      <c r="J323" s="445">
        <f t="shared" si="56"/>
        <v>0.7</v>
      </c>
      <c r="L323" s="476">
        <f t="shared" si="57"/>
        <v>8.19</v>
      </c>
      <c r="M323" s="484">
        <f t="shared" si="58"/>
        <v>0.7</v>
      </c>
      <c r="O323" s="482">
        <f t="shared" si="59"/>
        <v>15.399999999999999</v>
      </c>
      <c r="P323" s="482">
        <f t="shared" si="60"/>
        <v>15.399999999999999</v>
      </c>
      <c r="Q323" s="484">
        <f t="shared" si="50"/>
        <v>11.354000000000001</v>
      </c>
      <c r="R323" s="484">
        <f t="shared" si="51"/>
        <v>7.7112090435807117</v>
      </c>
      <c r="S323" s="484">
        <f t="shared" si="52"/>
        <v>9.1</v>
      </c>
      <c r="T323" s="484">
        <f t="shared" si="61"/>
        <v>7.3552862258306444</v>
      </c>
    </row>
    <row r="324" spans="1:20">
      <c r="A324" s="445">
        <f t="shared" si="62"/>
        <v>2</v>
      </c>
      <c r="B324" s="445">
        <f t="shared" ref="B324" si="83">$F$275</f>
        <v>5</v>
      </c>
      <c r="C324" s="445">
        <f>C323+1</f>
        <v>2</v>
      </c>
      <c r="D324" s="445">
        <f t="shared" si="69"/>
        <v>33</v>
      </c>
      <c r="E324" s="480">
        <f t="shared" si="53"/>
        <v>1</v>
      </c>
      <c r="F324" s="453">
        <f t="shared" si="54"/>
        <v>0.6</v>
      </c>
      <c r="G324" s="445">
        <f t="shared" si="49"/>
        <v>0.7</v>
      </c>
      <c r="I324" s="476">
        <f t="shared" si="55"/>
        <v>7.9099999999999984</v>
      </c>
      <c r="J324" s="445">
        <f t="shared" si="56"/>
        <v>0.7</v>
      </c>
      <c r="L324" s="476">
        <f t="shared" si="57"/>
        <v>8.19</v>
      </c>
      <c r="M324" s="484">
        <f t="shared" si="58"/>
        <v>0.7</v>
      </c>
      <c r="O324" s="482">
        <f t="shared" si="59"/>
        <v>15.399999999999999</v>
      </c>
      <c r="P324" s="482">
        <f t="shared" si="60"/>
        <v>15.399999999999999</v>
      </c>
      <c r="Q324" s="484">
        <f t="shared" si="50"/>
        <v>11.354000000000001</v>
      </c>
      <c r="R324" s="484">
        <f t="shared" si="51"/>
        <v>7.7112090435807117</v>
      </c>
      <c r="S324" s="484">
        <f t="shared" si="52"/>
        <v>9.1</v>
      </c>
      <c r="T324" s="484">
        <f t="shared" si="61"/>
        <v>7.3552862258306444</v>
      </c>
    </row>
    <row r="325" spans="1:20">
      <c r="A325" s="445">
        <f t="shared" si="62"/>
        <v>2</v>
      </c>
      <c r="B325" s="445">
        <f t="shared" ref="B325" si="84">$F$276</f>
        <v>6</v>
      </c>
      <c r="C325" s="445">
        <f t="shared" ref="C325:D340" si="85">C324+1</f>
        <v>3</v>
      </c>
      <c r="D325" s="445">
        <f t="shared" si="69"/>
        <v>34</v>
      </c>
      <c r="E325" s="480">
        <f t="shared" si="53"/>
        <v>1</v>
      </c>
      <c r="F325" s="453">
        <f t="shared" si="54"/>
        <v>0.6</v>
      </c>
      <c r="G325" s="445">
        <f t="shared" si="49"/>
        <v>0.7</v>
      </c>
      <c r="I325" s="476">
        <f t="shared" si="55"/>
        <v>7.9099999999999984</v>
      </c>
      <c r="J325" s="445">
        <f t="shared" si="56"/>
        <v>0.7</v>
      </c>
      <c r="L325" s="476">
        <f t="shared" si="57"/>
        <v>8.19</v>
      </c>
      <c r="M325" s="484">
        <f t="shared" si="58"/>
        <v>0.7</v>
      </c>
      <c r="O325" s="482">
        <f t="shared" si="59"/>
        <v>15.399999999999999</v>
      </c>
      <c r="P325" s="482">
        <f t="shared" si="60"/>
        <v>15.399999999999999</v>
      </c>
      <c r="Q325" s="484">
        <f t="shared" si="50"/>
        <v>11.354000000000001</v>
      </c>
      <c r="R325" s="484">
        <f t="shared" si="51"/>
        <v>7.7112090435807117</v>
      </c>
      <c r="S325" s="484">
        <f t="shared" si="52"/>
        <v>9.1</v>
      </c>
      <c r="T325" s="484">
        <f t="shared" si="61"/>
        <v>7.3552862258306444</v>
      </c>
    </row>
    <row r="326" spans="1:20">
      <c r="A326" s="445">
        <f t="shared" si="62"/>
        <v>2</v>
      </c>
      <c r="B326" s="445">
        <f t="shared" ref="B326:B389" si="86">$F$277</f>
        <v>7</v>
      </c>
      <c r="C326" s="445">
        <f t="shared" si="85"/>
        <v>4</v>
      </c>
      <c r="D326" s="445">
        <f t="shared" si="85"/>
        <v>35</v>
      </c>
      <c r="E326" s="480">
        <f t="shared" si="53"/>
        <v>1</v>
      </c>
      <c r="F326" s="453">
        <f t="shared" si="54"/>
        <v>0.6</v>
      </c>
      <c r="G326" s="445">
        <f t="shared" si="49"/>
        <v>0.7</v>
      </c>
      <c r="I326" s="476">
        <f t="shared" si="55"/>
        <v>7.9099999999999984</v>
      </c>
      <c r="J326" s="445">
        <f t="shared" si="56"/>
        <v>0.7</v>
      </c>
      <c r="L326" s="476">
        <f t="shared" si="57"/>
        <v>8.19</v>
      </c>
      <c r="M326" s="484">
        <f t="shared" si="58"/>
        <v>0.7</v>
      </c>
      <c r="O326" s="482">
        <f t="shared" si="59"/>
        <v>15.399999999999999</v>
      </c>
      <c r="P326" s="482">
        <f t="shared" si="60"/>
        <v>15.399999999999999</v>
      </c>
      <c r="Q326" s="484">
        <f t="shared" si="50"/>
        <v>11.354000000000001</v>
      </c>
      <c r="R326" s="484">
        <f t="shared" si="51"/>
        <v>7.7112090435807117</v>
      </c>
      <c r="S326" s="484">
        <f t="shared" si="52"/>
        <v>9.1</v>
      </c>
      <c r="T326" s="484">
        <f t="shared" si="61"/>
        <v>7.3552862258306444</v>
      </c>
    </row>
    <row r="327" spans="1:20">
      <c r="A327" s="445">
        <f t="shared" si="62"/>
        <v>2</v>
      </c>
      <c r="B327" s="445">
        <f t="shared" si="79"/>
        <v>1</v>
      </c>
      <c r="C327" s="445">
        <f t="shared" si="85"/>
        <v>5</v>
      </c>
      <c r="D327" s="445">
        <f t="shared" si="85"/>
        <v>36</v>
      </c>
      <c r="E327" s="480">
        <f t="shared" si="53"/>
        <v>1</v>
      </c>
      <c r="F327" s="453">
        <f t="shared" si="54"/>
        <v>0.6</v>
      </c>
      <c r="G327" s="445">
        <f t="shared" si="49"/>
        <v>0.7</v>
      </c>
      <c r="I327" s="476">
        <f t="shared" si="55"/>
        <v>7.9099999999999984</v>
      </c>
      <c r="J327" s="445">
        <f t="shared" si="56"/>
        <v>0.7</v>
      </c>
      <c r="L327" s="476">
        <f t="shared" si="57"/>
        <v>8.19</v>
      </c>
      <c r="M327" s="484">
        <f t="shared" si="58"/>
        <v>0.7</v>
      </c>
      <c r="O327" s="482">
        <f t="shared" si="59"/>
        <v>15.399999999999999</v>
      </c>
      <c r="P327" s="482">
        <f t="shared" si="60"/>
        <v>15.399999999999999</v>
      </c>
      <c r="Q327" s="484">
        <f t="shared" si="50"/>
        <v>11.354000000000001</v>
      </c>
      <c r="R327" s="484">
        <f t="shared" si="51"/>
        <v>7.7112090435807117</v>
      </c>
      <c r="S327" s="484">
        <f t="shared" si="52"/>
        <v>9.1</v>
      </c>
      <c r="T327" s="484">
        <f t="shared" si="61"/>
        <v>7.3552862258306444</v>
      </c>
    </row>
    <row r="328" spans="1:20">
      <c r="A328" s="445">
        <f t="shared" si="62"/>
        <v>2</v>
      </c>
      <c r="B328" s="445">
        <f t="shared" si="80"/>
        <v>2</v>
      </c>
      <c r="C328" s="445">
        <f t="shared" si="85"/>
        <v>6</v>
      </c>
      <c r="D328" s="445">
        <f t="shared" si="85"/>
        <v>37</v>
      </c>
      <c r="E328" s="480">
        <f t="shared" si="53"/>
        <v>1</v>
      </c>
      <c r="F328" s="453">
        <f t="shared" si="54"/>
        <v>0.6</v>
      </c>
      <c r="G328" s="445">
        <f t="shared" si="49"/>
        <v>0.7</v>
      </c>
      <c r="I328" s="476">
        <f t="shared" si="55"/>
        <v>7.9099999999999984</v>
      </c>
      <c r="J328" s="445">
        <f t="shared" si="56"/>
        <v>0.7</v>
      </c>
      <c r="L328" s="476">
        <f t="shared" si="57"/>
        <v>8.19</v>
      </c>
      <c r="M328" s="484">
        <f t="shared" si="58"/>
        <v>0.7</v>
      </c>
      <c r="O328" s="482">
        <f t="shared" si="59"/>
        <v>15.399999999999999</v>
      </c>
      <c r="P328" s="482">
        <f t="shared" si="60"/>
        <v>15.399999999999999</v>
      </c>
      <c r="Q328" s="484">
        <f t="shared" si="50"/>
        <v>11.354000000000001</v>
      </c>
      <c r="R328" s="484">
        <f t="shared" si="51"/>
        <v>7.7112090435807117</v>
      </c>
      <c r="S328" s="484">
        <f t="shared" si="52"/>
        <v>9.1</v>
      </c>
      <c r="T328" s="484">
        <f t="shared" si="61"/>
        <v>7.3552862258306444</v>
      </c>
    </row>
    <row r="329" spans="1:20">
      <c r="A329" s="445">
        <f t="shared" si="62"/>
        <v>2</v>
      </c>
      <c r="B329" s="445">
        <f t="shared" ref="B329:B392" si="87">$F$273</f>
        <v>3</v>
      </c>
      <c r="C329" s="445">
        <f t="shared" si="85"/>
        <v>7</v>
      </c>
      <c r="D329" s="445">
        <f t="shared" si="85"/>
        <v>38</v>
      </c>
      <c r="E329" s="480">
        <f t="shared" si="53"/>
        <v>1</v>
      </c>
      <c r="F329" s="453">
        <f t="shared" si="54"/>
        <v>0.6</v>
      </c>
      <c r="G329" s="445">
        <f t="shared" si="49"/>
        <v>0.7</v>
      </c>
      <c r="I329" s="476">
        <f t="shared" si="55"/>
        <v>7.9099999999999984</v>
      </c>
      <c r="J329" s="445">
        <f t="shared" si="56"/>
        <v>0.7</v>
      </c>
      <c r="L329" s="476">
        <f t="shared" si="57"/>
        <v>8.19</v>
      </c>
      <c r="M329" s="484">
        <f t="shared" si="58"/>
        <v>0.7</v>
      </c>
      <c r="O329" s="482">
        <f t="shared" si="59"/>
        <v>15.399999999999999</v>
      </c>
      <c r="P329" s="482">
        <f t="shared" si="60"/>
        <v>15.399999999999999</v>
      </c>
      <c r="Q329" s="484">
        <f t="shared" si="50"/>
        <v>11.354000000000001</v>
      </c>
      <c r="R329" s="484">
        <f t="shared" si="51"/>
        <v>7.7112090435807117</v>
      </c>
      <c r="S329" s="484">
        <f t="shared" si="52"/>
        <v>9.1</v>
      </c>
      <c r="T329" s="484">
        <f t="shared" si="61"/>
        <v>7.3552862258306444</v>
      </c>
    </row>
    <row r="330" spans="1:20">
      <c r="A330" s="445">
        <f t="shared" si="62"/>
        <v>2</v>
      </c>
      <c r="B330" s="445">
        <f t="shared" ref="B330:B393" si="88">$F$274</f>
        <v>4</v>
      </c>
      <c r="C330" s="445">
        <f t="shared" si="85"/>
        <v>8</v>
      </c>
      <c r="D330" s="445">
        <f t="shared" si="85"/>
        <v>39</v>
      </c>
      <c r="E330" s="480">
        <f t="shared" si="53"/>
        <v>1</v>
      </c>
      <c r="F330" s="453">
        <f t="shared" si="54"/>
        <v>0.6</v>
      </c>
      <c r="G330" s="445">
        <f t="shared" si="49"/>
        <v>0.7</v>
      </c>
      <c r="I330" s="476">
        <f t="shared" si="55"/>
        <v>7.9099999999999984</v>
      </c>
      <c r="J330" s="445">
        <f t="shared" si="56"/>
        <v>0.7</v>
      </c>
      <c r="L330" s="476">
        <f t="shared" si="57"/>
        <v>8.19</v>
      </c>
      <c r="M330" s="484">
        <f t="shared" si="58"/>
        <v>0.7</v>
      </c>
      <c r="O330" s="482">
        <f t="shared" si="59"/>
        <v>15.399999999999999</v>
      </c>
      <c r="P330" s="482">
        <f t="shared" si="60"/>
        <v>15.399999999999999</v>
      </c>
      <c r="Q330" s="484">
        <f t="shared" si="50"/>
        <v>11.354000000000001</v>
      </c>
      <c r="R330" s="484">
        <f t="shared" si="51"/>
        <v>7.7112090435807117</v>
      </c>
      <c r="S330" s="484">
        <f t="shared" si="52"/>
        <v>9.1</v>
      </c>
      <c r="T330" s="484">
        <f t="shared" si="61"/>
        <v>7.3552862258306444</v>
      </c>
    </row>
    <row r="331" spans="1:20">
      <c r="A331" s="445">
        <f t="shared" si="62"/>
        <v>2</v>
      </c>
      <c r="B331" s="445">
        <f t="shared" ref="B331:B394" si="89">$F$275</f>
        <v>5</v>
      </c>
      <c r="C331" s="445">
        <f t="shared" si="85"/>
        <v>9</v>
      </c>
      <c r="D331" s="445">
        <f t="shared" si="85"/>
        <v>40</v>
      </c>
      <c r="E331" s="480">
        <f t="shared" si="53"/>
        <v>1</v>
      </c>
      <c r="F331" s="453">
        <f t="shared" si="54"/>
        <v>0.6</v>
      </c>
      <c r="G331" s="445">
        <f t="shared" si="49"/>
        <v>0.7</v>
      </c>
      <c r="I331" s="476">
        <f t="shared" si="55"/>
        <v>7.9099999999999984</v>
      </c>
      <c r="J331" s="445">
        <f t="shared" si="56"/>
        <v>0.7</v>
      </c>
      <c r="L331" s="476">
        <f t="shared" si="57"/>
        <v>8.19</v>
      </c>
      <c r="M331" s="484">
        <f t="shared" si="58"/>
        <v>0.7</v>
      </c>
      <c r="O331" s="482">
        <f t="shared" si="59"/>
        <v>15.399999999999999</v>
      </c>
      <c r="P331" s="482">
        <f t="shared" si="60"/>
        <v>15.399999999999999</v>
      </c>
      <c r="Q331" s="484">
        <f t="shared" si="50"/>
        <v>11.354000000000001</v>
      </c>
      <c r="R331" s="484">
        <f t="shared" si="51"/>
        <v>7.7112090435807117</v>
      </c>
      <c r="S331" s="484">
        <f t="shared" si="52"/>
        <v>9.1</v>
      </c>
      <c r="T331" s="484">
        <f t="shared" si="61"/>
        <v>7.3552862258306444</v>
      </c>
    </row>
    <row r="332" spans="1:20">
      <c r="A332" s="445">
        <f t="shared" si="62"/>
        <v>2</v>
      </c>
      <c r="B332" s="445">
        <f t="shared" ref="B332:B395" si="90">$F$276</f>
        <v>6</v>
      </c>
      <c r="C332" s="445">
        <f t="shared" si="85"/>
        <v>10</v>
      </c>
      <c r="D332" s="445">
        <f t="shared" si="85"/>
        <v>41</v>
      </c>
      <c r="E332" s="480">
        <f t="shared" si="53"/>
        <v>1</v>
      </c>
      <c r="F332" s="453">
        <f t="shared" si="54"/>
        <v>0.6</v>
      </c>
      <c r="G332" s="445">
        <f t="shared" si="49"/>
        <v>0.7</v>
      </c>
      <c r="I332" s="476">
        <f t="shared" si="55"/>
        <v>7.9099999999999984</v>
      </c>
      <c r="J332" s="445">
        <f t="shared" si="56"/>
        <v>0.7</v>
      </c>
      <c r="L332" s="476">
        <f t="shared" si="57"/>
        <v>8.19</v>
      </c>
      <c r="M332" s="484">
        <f t="shared" si="58"/>
        <v>0.7</v>
      </c>
      <c r="O332" s="482">
        <f t="shared" si="59"/>
        <v>15.399999999999999</v>
      </c>
      <c r="P332" s="482">
        <f t="shared" si="60"/>
        <v>15.399999999999999</v>
      </c>
      <c r="Q332" s="484">
        <f t="shared" si="50"/>
        <v>11.354000000000001</v>
      </c>
      <c r="R332" s="484">
        <f t="shared" si="51"/>
        <v>7.7112090435807117</v>
      </c>
      <c r="S332" s="484">
        <f t="shared" si="52"/>
        <v>9.1</v>
      </c>
      <c r="T332" s="484">
        <f t="shared" si="61"/>
        <v>7.3552862258306444</v>
      </c>
    </row>
    <row r="333" spans="1:20">
      <c r="A333" s="445">
        <f t="shared" si="62"/>
        <v>2</v>
      </c>
      <c r="B333" s="445">
        <f t="shared" si="86"/>
        <v>7</v>
      </c>
      <c r="C333" s="445">
        <f t="shared" si="85"/>
        <v>11</v>
      </c>
      <c r="D333" s="445">
        <f t="shared" si="85"/>
        <v>42</v>
      </c>
      <c r="E333" s="480">
        <f t="shared" si="53"/>
        <v>1</v>
      </c>
      <c r="F333" s="453">
        <f t="shared" si="54"/>
        <v>0.6</v>
      </c>
      <c r="G333" s="445">
        <f t="shared" si="49"/>
        <v>0.7</v>
      </c>
      <c r="I333" s="476">
        <f t="shared" si="55"/>
        <v>7.9099999999999984</v>
      </c>
      <c r="J333" s="445">
        <f t="shared" si="56"/>
        <v>0.7</v>
      </c>
      <c r="L333" s="476">
        <f t="shared" si="57"/>
        <v>8.19</v>
      </c>
      <c r="M333" s="484">
        <f t="shared" si="58"/>
        <v>0.7</v>
      </c>
      <c r="O333" s="482">
        <f t="shared" si="59"/>
        <v>15.399999999999999</v>
      </c>
      <c r="P333" s="482">
        <f t="shared" si="60"/>
        <v>15.399999999999999</v>
      </c>
      <c r="Q333" s="484">
        <f t="shared" si="50"/>
        <v>11.354000000000001</v>
      </c>
      <c r="R333" s="484">
        <f t="shared" si="51"/>
        <v>7.7112090435807117</v>
      </c>
      <c r="S333" s="484">
        <f t="shared" si="52"/>
        <v>9.1</v>
      </c>
      <c r="T333" s="484">
        <f t="shared" si="61"/>
        <v>7.3552862258306444</v>
      </c>
    </row>
    <row r="334" spans="1:20">
      <c r="A334" s="445">
        <f t="shared" si="62"/>
        <v>2</v>
      </c>
      <c r="B334" s="445">
        <f t="shared" si="79"/>
        <v>1</v>
      </c>
      <c r="C334" s="445">
        <f t="shared" si="85"/>
        <v>12</v>
      </c>
      <c r="D334" s="445">
        <f t="shared" si="85"/>
        <v>43</v>
      </c>
      <c r="E334" s="480">
        <f t="shared" si="53"/>
        <v>1</v>
      </c>
      <c r="F334" s="453">
        <f t="shared" si="54"/>
        <v>0.6</v>
      </c>
      <c r="G334" s="445">
        <f t="shared" si="49"/>
        <v>0.7</v>
      </c>
      <c r="I334" s="476">
        <f t="shared" si="55"/>
        <v>7.9099999999999984</v>
      </c>
      <c r="J334" s="445">
        <f t="shared" si="56"/>
        <v>0.7</v>
      </c>
      <c r="L334" s="476">
        <f t="shared" si="57"/>
        <v>8.19</v>
      </c>
      <c r="M334" s="484">
        <f t="shared" si="58"/>
        <v>0.7</v>
      </c>
      <c r="O334" s="482">
        <f t="shared" si="59"/>
        <v>15.399999999999999</v>
      </c>
      <c r="P334" s="482">
        <f t="shared" si="60"/>
        <v>15.399999999999999</v>
      </c>
      <c r="Q334" s="484">
        <f t="shared" si="50"/>
        <v>11.354000000000001</v>
      </c>
      <c r="R334" s="484">
        <f t="shared" si="51"/>
        <v>7.7112090435807117</v>
      </c>
      <c r="S334" s="484">
        <f t="shared" si="52"/>
        <v>9.1</v>
      </c>
      <c r="T334" s="484">
        <f t="shared" si="61"/>
        <v>7.3552862258306444</v>
      </c>
    </row>
    <row r="335" spans="1:20">
      <c r="A335" s="445">
        <f t="shared" si="62"/>
        <v>2</v>
      </c>
      <c r="B335" s="445">
        <f t="shared" si="80"/>
        <v>2</v>
      </c>
      <c r="C335" s="445">
        <f t="shared" si="85"/>
        <v>13</v>
      </c>
      <c r="D335" s="445">
        <f t="shared" si="85"/>
        <v>44</v>
      </c>
      <c r="E335" s="480">
        <f t="shared" si="53"/>
        <v>1</v>
      </c>
      <c r="F335" s="453">
        <f t="shared" si="54"/>
        <v>0.6</v>
      </c>
      <c r="G335" s="445">
        <f t="shared" si="49"/>
        <v>0.7</v>
      </c>
      <c r="I335" s="476">
        <f t="shared" si="55"/>
        <v>7.9099999999999984</v>
      </c>
      <c r="J335" s="445">
        <f t="shared" si="56"/>
        <v>0.7</v>
      </c>
      <c r="L335" s="476">
        <f t="shared" si="57"/>
        <v>8.19</v>
      </c>
      <c r="M335" s="484">
        <f t="shared" si="58"/>
        <v>0.7</v>
      </c>
      <c r="O335" s="482">
        <f t="shared" si="59"/>
        <v>15.399999999999999</v>
      </c>
      <c r="P335" s="482">
        <f t="shared" si="60"/>
        <v>15.399999999999999</v>
      </c>
      <c r="Q335" s="484">
        <f t="shared" si="50"/>
        <v>11.354000000000001</v>
      </c>
      <c r="R335" s="484">
        <f t="shared" si="51"/>
        <v>7.7112090435807117</v>
      </c>
      <c r="S335" s="484">
        <f t="shared" si="52"/>
        <v>9.1</v>
      </c>
      <c r="T335" s="484">
        <f t="shared" si="61"/>
        <v>7.3552862258306444</v>
      </c>
    </row>
    <row r="336" spans="1:20">
      <c r="A336" s="445">
        <f t="shared" si="62"/>
        <v>2</v>
      </c>
      <c r="B336" s="445">
        <f t="shared" si="87"/>
        <v>3</v>
      </c>
      <c r="C336" s="445">
        <f t="shared" si="85"/>
        <v>14</v>
      </c>
      <c r="D336" s="445">
        <f t="shared" si="85"/>
        <v>45</v>
      </c>
      <c r="E336" s="480">
        <f t="shared" si="53"/>
        <v>1</v>
      </c>
      <c r="F336" s="453">
        <f t="shared" si="54"/>
        <v>0.6</v>
      </c>
      <c r="G336" s="445">
        <f t="shared" si="49"/>
        <v>0.7</v>
      </c>
      <c r="I336" s="476">
        <f t="shared" si="55"/>
        <v>7.9099999999999984</v>
      </c>
      <c r="J336" s="445">
        <f t="shared" si="56"/>
        <v>0.7</v>
      </c>
      <c r="L336" s="476">
        <f t="shared" si="57"/>
        <v>8.19</v>
      </c>
      <c r="M336" s="484">
        <f t="shared" si="58"/>
        <v>0.7</v>
      </c>
      <c r="O336" s="482">
        <f t="shared" si="59"/>
        <v>15.399999999999999</v>
      </c>
      <c r="P336" s="482">
        <f t="shared" si="60"/>
        <v>15.399999999999999</v>
      </c>
      <c r="Q336" s="484">
        <f t="shared" si="50"/>
        <v>11.354000000000001</v>
      </c>
      <c r="R336" s="484">
        <f t="shared" si="51"/>
        <v>7.7112090435807117</v>
      </c>
      <c r="S336" s="484">
        <f t="shared" si="52"/>
        <v>9.1</v>
      </c>
      <c r="T336" s="484">
        <f t="shared" si="61"/>
        <v>7.3552862258306444</v>
      </c>
    </row>
    <row r="337" spans="1:20">
      <c r="A337" s="445">
        <f t="shared" si="62"/>
        <v>2</v>
      </c>
      <c r="B337" s="445">
        <f t="shared" si="88"/>
        <v>4</v>
      </c>
      <c r="C337" s="445">
        <f t="shared" si="85"/>
        <v>15</v>
      </c>
      <c r="D337" s="445">
        <f t="shared" si="85"/>
        <v>46</v>
      </c>
      <c r="E337" s="480">
        <f t="shared" si="53"/>
        <v>1</v>
      </c>
      <c r="F337" s="453">
        <f t="shared" si="54"/>
        <v>0.6</v>
      </c>
      <c r="G337" s="445">
        <f t="shared" si="49"/>
        <v>0.7</v>
      </c>
      <c r="I337" s="476">
        <f t="shared" si="55"/>
        <v>7.9099999999999984</v>
      </c>
      <c r="J337" s="445">
        <f t="shared" si="56"/>
        <v>0.7</v>
      </c>
      <c r="L337" s="476">
        <f t="shared" si="57"/>
        <v>8.19</v>
      </c>
      <c r="M337" s="484">
        <f t="shared" si="58"/>
        <v>0.7</v>
      </c>
      <c r="O337" s="482">
        <f t="shared" si="59"/>
        <v>15.399999999999999</v>
      </c>
      <c r="P337" s="482">
        <f t="shared" si="60"/>
        <v>15.399999999999999</v>
      </c>
      <c r="Q337" s="484">
        <f t="shared" si="50"/>
        <v>11.354000000000001</v>
      </c>
      <c r="R337" s="484">
        <f t="shared" si="51"/>
        <v>7.7112090435807117</v>
      </c>
      <c r="S337" s="484">
        <f t="shared" si="52"/>
        <v>9.1</v>
      </c>
      <c r="T337" s="484">
        <f t="shared" si="61"/>
        <v>7.3552862258306444</v>
      </c>
    </row>
    <row r="338" spans="1:20">
      <c r="A338" s="445">
        <f t="shared" si="62"/>
        <v>2</v>
      </c>
      <c r="B338" s="445">
        <f t="shared" si="89"/>
        <v>5</v>
      </c>
      <c r="C338" s="445">
        <f t="shared" si="85"/>
        <v>16</v>
      </c>
      <c r="D338" s="445">
        <f t="shared" si="85"/>
        <v>47</v>
      </c>
      <c r="E338" s="480">
        <f t="shared" si="53"/>
        <v>1</v>
      </c>
      <c r="F338" s="453">
        <f t="shared" si="54"/>
        <v>0.6</v>
      </c>
      <c r="G338" s="445">
        <f t="shared" si="49"/>
        <v>0.7</v>
      </c>
      <c r="I338" s="476">
        <f t="shared" si="55"/>
        <v>7.9099999999999984</v>
      </c>
      <c r="J338" s="445">
        <f t="shared" si="56"/>
        <v>0.7</v>
      </c>
      <c r="L338" s="476">
        <f t="shared" si="57"/>
        <v>8.19</v>
      </c>
      <c r="M338" s="484">
        <f t="shared" si="58"/>
        <v>0.7</v>
      </c>
      <c r="O338" s="482">
        <f t="shared" si="59"/>
        <v>15.399999999999999</v>
      </c>
      <c r="P338" s="482">
        <f t="shared" si="60"/>
        <v>15.399999999999999</v>
      </c>
      <c r="Q338" s="484">
        <f t="shared" si="50"/>
        <v>11.354000000000001</v>
      </c>
      <c r="R338" s="484">
        <f t="shared" si="51"/>
        <v>7.7112090435807117</v>
      </c>
      <c r="S338" s="484">
        <f t="shared" si="52"/>
        <v>9.1</v>
      </c>
      <c r="T338" s="484">
        <f t="shared" si="61"/>
        <v>7.3552862258306444</v>
      </c>
    </row>
    <row r="339" spans="1:20">
      <c r="A339" s="445">
        <f t="shared" si="62"/>
        <v>2</v>
      </c>
      <c r="B339" s="445">
        <f t="shared" si="90"/>
        <v>6</v>
      </c>
      <c r="C339" s="445">
        <f t="shared" si="85"/>
        <v>17</v>
      </c>
      <c r="D339" s="445">
        <f t="shared" si="85"/>
        <v>48</v>
      </c>
      <c r="E339" s="480">
        <f t="shared" si="53"/>
        <v>1</v>
      </c>
      <c r="F339" s="453">
        <f t="shared" si="54"/>
        <v>0.6</v>
      </c>
      <c r="G339" s="445">
        <f t="shared" si="49"/>
        <v>0.7</v>
      </c>
      <c r="I339" s="476">
        <f t="shared" si="55"/>
        <v>7.9099999999999984</v>
      </c>
      <c r="J339" s="445">
        <f t="shared" si="56"/>
        <v>0.7</v>
      </c>
      <c r="L339" s="476">
        <f t="shared" si="57"/>
        <v>8.19</v>
      </c>
      <c r="M339" s="484">
        <f t="shared" si="58"/>
        <v>0.7</v>
      </c>
      <c r="O339" s="482">
        <f t="shared" si="59"/>
        <v>15.399999999999999</v>
      </c>
      <c r="P339" s="482">
        <f t="shared" si="60"/>
        <v>15.399999999999999</v>
      </c>
      <c r="Q339" s="484">
        <f t="shared" si="50"/>
        <v>11.354000000000001</v>
      </c>
      <c r="R339" s="484">
        <f t="shared" si="51"/>
        <v>7.7112090435807117</v>
      </c>
      <c r="S339" s="484">
        <f t="shared" si="52"/>
        <v>9.1</v>
      </c>
      <c r="T339" s="484">
        <f t="shared" si="61"/>
        <v>7.3552862258306444</v>
      </c>
    </row>
    <row r="340" spans="1:20">
      <c r="A340" s="445">
        <f t="shared" si="62"/>
        <v>2</v>
      </c>
      <c r="B340" s="445">
        <f t="shared" si="86"/>
        <v>7</v>
      </c>
      <c r="C340" s="445">
        <f t="shared" si="85"/>
        <v>18</v>
      </c>
      <c r="D340" s="445">
        <f t="shared" si="85"/>
        <v>49</v>
      </c>
      <c r="E340" s="480">
        <f t="shared" si="53"/>
        <v>1</v>
      </c>
      <c r="F340" s="453">
        <f t="shared" si="54"/>
        <v>0.6</v>
      </c>
      <c r="G340" s="445">
        <f t="shared" si="49"/>
        <v>0.7</v>
      </c>
      <c r="I340" s="476">
        <f t="shared" si="55"/>
        <v>7.9099999999999984</v>
      </c>
      <c r="J340" s="445">
        <f t="shared" si="56"/>
        <v>0.7</v>
      </c>
      <c r="L340" s="476">
        <f t="shared" si="57"/>
        <v>8.19</v>
      </c>
      <c r="M340" s="484">
        <f t="shared" si="58"/>
        <v>0.7</v>
      </c>
      <c r="O340" s="482">
        <f t="shared" si="59"/>
        <v>15.399999999999999</v>
      </c>
      <c r="P340" s="482">
        <f t="shared" si="60"/>
        <v>15.399999999999999</v>
      </c>
      <c r="Q340" s="484">
        <f t="shared" si="50"/>
        <v>11.354000000000001</v>
      </c>
      <c r="R340" s="484">
        <f t="shared" si="51"/>
        <v>7.7112090435807117</v>
      </c>
      <c r="S340" s="484">
        <f t="shared" si="52"/>
        <v>9.1</v>
      </c>
      <c r="T340" s="484">
        <f t="shared" si="61"/>
        <v>7.3552862258306444</v>
      </c>
    </row>
    <row r="341" spans="1:20">
      <c r="A341" s="445">
        <f t="shared" si="62"/>
        <v>2</v>
      </c>
      <c r="B341" s="445">
        <f t="shared" si="79"/>
        <v>1</v>
      </c>
      <c r="C341" s="445">
        <f t="shared" ref="C341:D356" si="91">C340+1</f>
        <v>19</v>
      </c>
      <c r="D341" s="445">
        <f t="shared" si="91"/>
        <v>50</v>
      </c>
      <c r="E341" s="480">
        <f t="shared" si="53"/>
        <v>1</v>
      </c>
      <c r="F341" s="453">
        <f t="shared" si="54"/>
        <v>0.6</v>
      </c>
      <c r="G341" s="445">
        <f t="shared" si="49"/>
        <v>0.7</v>
      </c>
      <c r="I341" s="476">
        <f t="shared" si="55"/>
        <v>7.9099999999999984</v>
      </c>
      <c r="J341" s="445">
        <f t="shared" si="56"/>
        <v>0.7</v>
      </c>
      <c r="L341" s="476">
        <f t="shared" si="57"/>
        <v>8.19</v>
      </c>
      <c r="M341" s="484">
        <f t="shared" si="58"/>
        <v>0.7</v>
      </c>
      <c r="O341" s="482">
        <f t="shared" si="59"/>
        <v>15.399999999999999</v>
      </c>
      <c r="P341" s="482">
        <f t="shared" si="60"/>
        <v>15.399999999999999</v>
      </c>
      <c r="Q341" s="484">
        <f t="shared" si="50"/>
        <v>11.354000000000001</v>
      </c>
      <c r="R341" s="484">
        <f t="shared" si="51"/>
        <v>7.7112090435807117</v>
      </c>
      <c r="S341" s="484">
        <f t="shared" si="52"/>
        <v>9.1</v>
      </c>
      <c r="T341" s="484">
        <f t="shared" si="61"/>
        <v>7.3552862258306444</v>
      </c>
    </row>
    <row r="342" spans="1:20">
      <c r="A342" s="445">
        <f t="shared" si="62"/>
        <v>2</v>
      </c>
      <c r="B342" s="445">
        <f t="shared" si="80"/>
        <v>2</v>
      </c>
      <c r="C342" s="445">
        <f t="shared" si="91"/>
        <v>20</v>
      </c>
      <c r="D342" s="445">
        <f t="shared" si="91"/>
        <v>51</v>
      </c>
      <c r="E342" s="480">
        <f t="shared" si="53"/>
        <v>1</v>
      </c>
      <c r="F342" s="453">
        <f t="shared" si="54"/>
        <v>0.6</v>
      </c>
      <c r="G342" s="445">
        <f t="shared" si="49"/>
        <v>0.7</v>
      </c>
      <c r="I342" s="476">
        <f t="shared" si="55"/>
        <v>7.9099999999999984</v>
      </c>
      <c r="J342" s="445">
        <f t="shared" si="56"/>
        <v>0.7</v>
      </c>
      <c r="L342" s="476">
        <f t="shared" si="57"/>
        <v>8.19</v>
      </c>
      <c r="M342" s="484">
        <f t="shared" si="58"/>
        <v>0.7</v>
      </c>
      <c r="O342" s="482">
        <f t="shared" si="59"/>
        <v>15.399999999999999</v>
      </c>
      <c r="P342" s="482">
        <f t="shared" si="60"/>
        <v>15.399999999999999</v>
      </c>
      <c r="Q342" s="484">
        <f t="shared" si="50"/>
        <v>11.354000000000001</v>
      </c>
      <c r="R342" s="484">
        <f t="shared" si="51"/>
        <v>7.7112090435807117</v>
      </c>
      <c r="S342" s="484">
        <f t="shared" si="52"/>
        <v>9.1</v>
      </c>
      <c r="T342" s="484">
        <f t="shared" si="61"/>
        <v>7.3552862258306444</v>
      </c>
    </row>
    <row r="343" spans="1:20">
      <c r="A343" s="445">
        <f t="shared" si="62"/>
        <v>2</v>
      </c>
      <c r="B343" s="445">
        <f t="shared" si="87"/>
        <v>3</v>
      </c>
      <c r="C343" s="445">
        <f t="shared" si="91"/>
        <v>21</v>
      </c>
      <c r="D343" s="445">
        <f t="shared" si="91"/>
        <v>52</v>
      </c>
      <c r="E343" s="480">
        <f t="shared" si="53"/>
        <v>1</v>
      </c>
      <c r="F343" s="453">
        <f t="shared" si="54"/>
        <v>0.6</v>
      </c>
      <c r="G343" s="445">
        <f t="shared" si="49"/>
        <v>0.7</v>
      </c>
      <c r="I343" s="476">
        <f t="shared" si="55"/>
        <v>7.9099999999999984</v>
      </c>
      <c r="J343" s="445">
        <f t="shared" si="56"/>
        <v>0.7</v>
      </c>
      <c r="L343" s="476">
        <f t="shared" si="57"/>
        <v>8.19</v>
      </c>
      <c r="M343" s="484">
        <f t="shared" si="58"/>
        <v>0.7</v>
      </c>
      <c r="O343" s="482">
        <f t="shared" si="59"/>
        <v>15.399999999999999</v>
      </c>
      <c r="P343" s="482">
        <f t="shared" si="60"/>
        <v>15.399999999999999</v>
      </c>
      <c r="Q343" s="484">
        <f t="shared" si="50"/>
        <v>11.354000000000001</v>
      </c>
      <c r="R343" s="484">
        <f t="shared" si="51"/>
        <v>7.7112090435807117</v>
      </c>
      <c r="S343" s="484">
        <f t="shared" si="52"/>
        <v>9.1</v>
      </c>
      <c r="T343" s="484">
        <f t="shared" si="61"/>
        <v>7.3552862258306444</v>
      </c>
    </row>
    <row r="344" spans="1:20">
      <c r="A344" s="445">
        <f t="shared" si="62"/>
        <v>2</v>
      </c>
      <c r="B344" s="445">
        <f t="shared" si="88"/>
        <v>4</v>
      </c>
      <c r="C344" s="445">
        <f t="shared" si="91"/>
        <v>22</v>
      </c>
      <c r="D344" s="445">
        <f t="shared" si="91"/>
        <v>53</v>
      </c>
      <c r="E344" s="480">
        <f t="shared" si="53"/>
        <v>1</v>
      </c>
      <c r="F344" s="453">
        <f t="shared" si="54"/>
        <v>0.6</v>
      </c>
      <c r="G344" s="445">
        <f t="shared" si="49"/>
        <v>0.7</v>
      </c>
      <c r="I344" s="476">
        <f t="shared" si="55"/>
        <v>7.9099999999999984</v>
      </c>
      <c r="J344" s="445">
        <f t="shared" si="56"/>
        <v>0.7</v>
      </c>
      <c r="L344" s="476">
        <f t="shared" si="57"/>
        <v>8.19</v>
      </c>
      <c r="M344" s="484">
        <f t="shared" si="58"/>
        <v>0.7</v>
      </c>
      <c r="O344" s="482">
        <f t="shared" si="59"/>
        <v>15.399999999999999</v>
      </c>
      <c r="P344" s="482">
        <f t="shared" si="60"/>
        <v>15.399999999999999</v>
      </c>
      <c r="Q344" s="484">
        <f t="shared" si="50"/>
        <v>11.354000000000001</v>
      </c>
      <c r="R344" s="484">
        <f t="shared" si="51"/>
        <v>7.7112090435807117</v>
      </c>
      <c r="S344" s="484">
        <f t="shared" si="52"/>
        <v>9.1</v>
      </c>
      <c r="T344" s="484">
        <f t="shared" si="61"/>
        <v>7.3552862258306444</v>
      </c>
    </row>
    <row r="345" spans="1:20">
      <c r="A345" s="445">
        <f t="shared" si="62"/>
        <v>2</v>
      </c>
      <c r="B345" s="445">
        <f t="shared" si="89"/>
        <v>5</v>
      </c>
      <c r="C345" s="445">
        <f t="shared" si="91"/>
        <v>23</v>
      </c>
      <c r="D345" s="445">
        <f t="shared" si="91"/>
        <v>54</v>
      </c>
      <c r="E345" s="480">
        <f t="shared" si="53"/>
        <v>1</v>
      </c>
      <c r="F345" s="453">
        <f t="shared" si="54"/>
        <v>0.6</v>
      </c>
      <c r="G345" s="445">
        <f t="shared" si="49"/>
        <v>0.7</v>
      </c>
      <c r="I345" s="476">
        <f t="shared" si="55"/>
        <v>7.9099999999999984</v>
      </c>
      <c r="J345" s="445">
        <f t="shared" si="56"/>
        <v>0.7</v>
      </c>
      <c r="L345" s="476">
        <f t="shared" si="57"/>
        <v>8.19</v>
      </c>
      <c r="M345" s="484">
        <f t="shared" si="58"/>
        <v>0.7</v>
      </c>
      <c r="O345" s="482">
        <f t="shared" si="59"/>
        <v>15.399999999999999</v>
      </c>
      <c r="P345" s="482">
        <f t="shared" si="60"/>
        <v>15.399999999999999</v>
      </c>
      <c r="Q345" s="484">
        <f t="shared" si="50"/>
        <v>11.354000000000001</v>
      </c>
      <c r="R345" s="484">
        <f t="shared" si="51"/>
        <v>7.7112090435807117</v>
      </c>
      <c r="S345" s="484">
        <f t="shared" si="52"/>
        <v>9.1</v>
      </c>
      <c r="T345" s="484">
        <f t="shared" si="61"/>
        <v>7.3552862258306444</v>
      </c>
    </row>
    <row r="346" spans="1:20">
      <c r="A346" s="445">
        <f t="shared" si="62"/>
        <v>2</v>
      </c>
      <c r="B346" s="445">
        <f t="shared" si="90"/>
        <v>6</v>
      </c>
      <c r="C346" s="445">
        <f t="shared" si="91"/>
        <v>24</v>
      </c>
      <c r="D346" s="445">
        <f t="shared" si="91"/>
        <v>55</v>
      </c>
      <c r="E346" s="480">
        <f t="shared" si="53"/>
        <v>1</v>
      </c>
      <c r="F346" s="453">
        <f t="shared" si="54"/>
        <v>0.6</v>
      </c>
      <c r="G346" s="445">
        <f t="shared" si="49"/>
        <v>0.7</v>
      </c>
      <c r="I346" s="476">
        <f t="shared" si="55"/>
        <v>7.9099999999999984</v>
      </c>
      <c r="J346" s="445">
        <f t="shared" si="56"/>
        <v>0.7</v>
      </c>
      <c r="L346" s="476">
        <f t="shared" si="57"/>
        <v>8.19</v>
      </c>
      <c r="M346" s="484">
        <f t="shared" si="58"/>
        <v>0.7</v>
      </c>
      <c r="O346" s="482">
        <f t="shared" si="59"/>
        <v>15.399999999999999</v>
      </c>
      <c r="P346" s="482">
        <f t="shared" si="60"/>
        <v>15.399999999999999</v>
      </c>
      <c r="Q346" s="484">
        <f t="shared" si="50"/>
        <v>11.354000000000001</v>
      </c>
      <c r="R346" s="484">
        <f t="shared" si="51"/>
        <v>7.7112090435807117</v>
      </c>
      <c r="S346" s="484">
        <f t="shared" si="52"/>
        <v>9.1</v>
      </c>
      <c r="T346" s="484">
        <f t="shared" si="61"/>
        <v>7.3552862258306444</v>
      </c>
    </row>
    <row r="347" spans="1:20">
      <c r="A347" s="445">
        <f t="shared" si="62"/>
        <v>2</v>
      </c>
      <c r="B347" s="445">
        <f t="shared" si="86"/>
        <v>7</v>
      </c>
      <c r="C347" s="445">
        <f t="shared" si="91"/>
        <v>25</v>
      </c>
      <c r="D347" s="445">
        <f t="shared" si="91"/>
        <v>56</v>
      </c>
      <c r="E347" s="480">
        <f t="shared" si="53"/>
        <v>1</v>
      </c>
      <c r="F347" s="453">
        <f t="shared" si="54"/>
        <v>0.6</v>
      </c>
      <c r="G347" s="445">
        <f t="shared" si="49"/>
        <v>0.7</v>
      </c>
      <c r="I347" s="476">
        <f t="shared" si="55"/>
        <v>7.9099999999999984</v>
      </c>
      <c r="J347" s="445">
        <f t="shared" si="56"/>
        <v>0.7</v>
      </c>
      <c r="L347" s="476">
        <f t="shared" si="57"/>
        <v>8.19</v>
      </c>
      <c r="M347" s="484">
        <f t="shared" si="58"/>
        <v>0.7</v>
      </c>
      <c r="O347" s="482">
        <f t="shared" si="59"/>
        <v>15.399999999999999</v>
      </c>
      <c r="P347" s="482">
        <f t="shared" si="60"/>
        <v>15.399999999999999</v>
      </c>
      <c r="Q347" s="484">
        <f t="shared" si="50"/>
        <v>11.354000000000001</v>
      </c>
      <c r="R347" s="484">
        <f t="shared" si="51"/>
        <v>7.7112090435807117</v>
      </c>
      <c r="S347" s="484">
        <f t="shared" si="52"/>
        <v>9.1</v>
      </c>
      <c r="T347" s="484">
        <f t="shared" si="61"/>
        <v>7.3552862258306444</v>
      </c>
    </row>
    <row r="348" spans="1:20">
      <c r="A348" s="445">
        <f t="shared" si="62"/>
        <v>2</v>
      </c>
      <c r="B348" s="445">
        <f t="shared" si="79"/>
        <v>1</v>
      </c>
      <c r="C348" s="445">
        <f t="shared" si="91"/>
        <v>26</v>
      </c>
      <c r="D348" s="445">
        <f t="shared" si="91"/>
        <v>57</v>
      </c>
      <c r="E348" s="480">
        <f t="shared" si="53"/>
        <v>1</v>
      </c>
      <c r="F348" s="453">
        <f t="shared" si="54"/>
        <v>0.6</v>
      </c>
      <c r="G348" s="445">
        <f t="shared" si="49"/>
        <v>0.7</v>
      </c>
      <c r="I348" s="476">
        <f t="shared" si="55"/>
        <v>7.9099999999999984</v>
      </c>
      <c r="J348" s="445">
        <f t="shared" si="56"/>
        <v>0.7</v>
      </c>
      <c r="L348" s="476">
        <f t="shared" si="57"/>
        <v>8.19</v>
      </c>
      <c r="M348" s="484">
        <f t="shared" si="58"/>
        <v>0.7</v>
      </c>
      <c r="O348" s="482">
        <f t="shared" si="59"/>
        <v>15.399999999999999</v>
      </c>
      <c r="P348" s="482">
        <f t="shared" si="60"/>
        <v>15.399999999999999</v>
      </c>
      <c r="Q348" s="484">
        <f t="shared" si="50"/>
        <v>11.354000000000001</v>
      </c>
      <c r="R348" s="484">
        <f t="shared" si="51"/>
        <v>7.7112090435807117</v>
      </c>
      <c r="S348" s="484">
        <f t="shared" si="52"/>
        <v>9.1</v>
      </c>
      <c r="T348" s="484">
        <f t="shared" si="61"/>
        <v>7.3552862258306444</v>
      </c>
    </row>
    <row r="349" spans="1:20">
      <c r="A349" s="445">
        <f t="shared" si="62"/>
        <v>2</v>
      </c>
      <c r="B349" s="445">
        <f t="shared" si="80"/>
        <v>2</v>
      </c>
      <c r="C349" s="445">
        <f t="shared" si="91"/>
        <v>27</v>
      </c>
      <c r="D349" s="445">
        <f t="shared" si="91"/>
        <v>58</v>
      </c>
      <c r="E349" s="480">
        <f t="shared" si="53"/>
        <v>1</v>
      </c>
      <c r="F349" s="453">
        <f t="shared" si="54"/>
        <v>0.6</v>
      </c>
      <c r="G349" s="445">
        <f t="shared" si="49"/>
        <v>0.7</v>
      </c>
      <c r="I349" s="476">
        <f t="shared" si="55"/>
        <v>7.9099999999999984</v>
      </c>
      <c r="J349" s="445">
        <f t="shared" si="56"/>
        <v>0.7</v>
      </c>
      <c r="L349" s="476">
        <f t="shared" si="57"/>
        <v>8.19</v>
      </c>
      <c r="M349" s="484">
        <f t="shared" si="58"/>
        <v>0.7</v>
      </c>
      <c r="O349" s="482">
        <f t="shared" si="59"/>
        <v>15.399999999999999</v>
      </c>
      <c r="P349" s="482">
        <f t="shared" si="60"/>
        <v>15.399999999999999</v>
      </c>
      <c r="Q349" s="484">
        <f t="shared" si="50"/>
        <v>11.354000000000001</v>
      </c>
      <c r="R349" s="484">
        <f t="shared" si="51"/>
        <v>7.7112090435807117</v>
      </c>
      <c r="S349" s="484">
        <f t="shared" si="52"/>
        <v>9.1</v>
      </c>
      <c r="T349" s="484">
        <f t="shared" si="61"/>
        <v>7.3552862258306444</v>
      </c>
    </row>
    <row r="350" spans="1:20">
      <c r="A350" s="445">
        <f t="shared" si="62"/>
        <v>2</v>
      </c>
      <c r="B350" s="445">
        <f t="shared" si="87"/>
        <v>3</v>
      </c>
      <c r="C350" s="445">
        <f t="shared" si="91"/>
        <v>28</v>
      </c>
      <c r="D350" s="445">
        <f t="shared" si="91"/>
        <v>59</v>
      </c>
      <c r="E350" s="480">
        <f t="shared" si="53"/>
        <v>1</v>
      </c>
      <c r="F350" s="453">
        <f t="shared" si="54"/>
        <v>0.6</v>
      </c>
      <c r="G350" s="445">
        <f t="shared" si="49"/>
        <v>0.7</v>
      </c>
      <c r="I350" s="476">
        <f t="shared" si="55"/>
        <v>7.9099999999999984</v>
      </c>
      <c r="J350" s="445">
        <f t="shared" si="56"/>
        <v>0.7</v>
      </c>
      <c r="L350" s="476">
        <f t="shared" si="57"/>
        <v>8.19</v>
      </c>
      <c r="M350" s="484">
        <f t="shared" si="58"/>
        <v>0.7</v>
      </c>
      <c r="O350" s="482">
        <f t="shared" si="59"/>
        <v>15.399999999999999</v>
      </c>
      <c r="P350" s="482">
        <f t="shared" si="60"/>
        <v>15.399999999999999</v>
      </c>
      <c r="Q350" s="484">
        <f t="shared" si="50"/>
        <v>11.354000000000001</v>
      </c>
      <c r="R350" s="484">
        <f t="shared" si="51"/>
        <v>7.7112090435807117</v>
      </c>
      <c r="S350" s="484">
        <f t="shared" si="52"/>
        <v>9.1</v>
      </c>
      <c r="T350" s="484">
        <f t="shared" si="61"/>
        <v>7.3552862258306444</v>
      </c>
    </row>
    <row r="351" spans="1:20">
      <c r="A351" s="445">
        <v>3</v>
      </c>
      <c r="B351" s="445">
        <f t="shared" si="88"/>
        <v>4</v>
      </c>
      <c r="C351" s="445">
        <v>1</v>
      </c>
      <c r="D351" s="445">
        <f t="shared" si="91"/>
        <v>60</v>
      </c>
      <c r="E351" s="480">
        <f t="shared" si="53"/>
        <v>1</v>
      </c>
      <c r="F351" s="453">
        <f t="shared" si="54"/>
        <v>1</v>
      </c>
      <c r="G351" s="445">
        <f t="shared" si="49"/>
        <v>0.7</v>
      </c>
      <c r="I351" s="476">
        <f t="shared" si="55"/>
        <v>7.9099999999999984</v>
      </c>
      <c r="J351" s="445">
        <f t="shared" si="56"/>
        <v>0.7</v>
      </c>
      <c r="L351" s="476">
        <f t="shared" si="57"/>
        <v>8.19</v>
      </c>
      <c r="M351" s="484">
        <f t="shared" si="58"/>
        <v>0.7</v>
      </c>
      <c r="O351" s="482">
        <f t="shared" si="59"/>
        <v>15.399999999999999</v>
      </c>
      <c r="P351" s="482">
        <f t="shared" si="60"/>
        <v>15.399999999999999</v>
      </c>
      <c r="Q351" s="484">
        <f t="shared" si="50"/>
        <v>11.354000000000001</v>
      </c>
      <c r="R351" s="484">
        <f t="shared" si="51"/>
        <v>7.7112090435807117</v>
      </c>
      <c r="S351" s="484">
        <f t="shared" si="52"/>
        <v>9.1</v>
      </c>
      <c r="T351" s="484">
        <f t="shared" si="61"/>
        <v>7.3552862258306444</v>
      </c>
    </row>
    <row r="352" spans="1:20">
      <c r="A352" s="445">
        <f t="shared" si="62"/>
        <v>3</v>
      </c>
      <c r="B352" s="445">
        <f t="shared" si="89"/>
        <v>5</v>
      </c>
      <c r="C352" s="445">
        <f t="shared" si="91"/>
        <v>2</v>
      </c>
      <c r="D352" s="445">
        <f t="shared" si="91"/>
        <v>61</v>
      </c>
      <c r="E352" s="480">
        <f t="shared" si="53"/>
        <v>1</v>
      </c>
      <c r="F352" s="453">
        <f t="shared" si="54"/>
        <v>1</v>
      </c>
      <c r="G352" s="445">
        <f t="shared" si="49"/>
        <v>0.7</v>
      </c>
      <c r="I352" s="476">
        <f t="shared" si="55"/>
        <v>7.9099999999999984</v>
      </c>
      <c r="J352" s="445">
        <f t="shared" si="56"/>
        <v>0.7</v>
      </c>
      <c r="L352" s="476">
        <f t="shared" si="57"/>
        <v>8.19</v>
      </c>
      <c r="M352" s="484">
        <f t="shared" si="58"/>
        <v>0.7</v>
      </c>
      <c r="O352" s="482">
        <f t="shared" si="59"/>
        <v>15.399999999999999</v>
      </c>
      <c r="P352" s="482">
        <f t="shared" si="60"/>
        <v>15.399999999999999</v>
      </c>
      <c r="Q352" s="484">
        <f t="shared" si="50"/>
        <v>11.354000000000001</v>
      </c>
      <c r="R352" s="484">
        <f t="shared" si="51"/>
        <v>7.7112090435807117</v>
      </c>
      <c r="S352" s="484">
        <f t="shared" si="52"/>
        <v>9.1</v>
      </c>
      <c r="T352" s="484">
        <f t="shared" si="61"/>
        <v>7.3552862258306444</v>
      </c>
    </row>
    <row r="353" spans="1:20">
      <c r="A353" s="445">
        <f t="shared" si="62"/>
        <v>3</v>
      </c>
      <c r="B353" s="445">
        <f t="shared" si="90"/>
        <v>6</v>
      </c>
      <c r="C353" s="445">
        <f t="shared" si="91"/>
        <v>3</v>
      </c>
      <c r="D353" s="445">
        <f t="shared" si="91"/>
        <v>62</v>
      </c>
      <c r="E353" s="480">
        <f t="shared" si="53"/>
        <v>1</v>
      </c>
      <c r="F353" s="453">
        <f t="shared" si="54"/>
        <v>1</v>
      </c>
      <c r="G353" s="445">
        <f t="shared" si="49"/>
        <v>0.7</v>
      </c>
      <c r="I353" s="476">
        <f t="shared" si="55"/>
        <v>7.9099999999999984</v>
      </c>
      <c r="J353" s="445">
        <f t="shared" si="56"/>
        <v>0.7</v>
      </c>
      <c r="L353" s="476">
        <f t="shared" si="57"/>
        <v>8.19</v>
      </c>
      <c r="M353" s="484">
        <f t="shared" si="58"/>
        <v>0.7</v>
      </c>
      <c r="O353" s="482">
        <f t="shared" si="59"/>
        <v>15.399999999999999</v>
      </c>
      <c r="P353" s="482">
        <f t="shared" si="60"/>
        <v>15.399999999999999</v>
      </c>
      <c r="Q353" s="484">
        <f t="shared" si="50"/>
        <v>11.354000000000001</v>
      </c>
      <c r="R353" s="484">
        <f t="shared" si="51"/>
        <v>7.7112090435807117</v>
      </c>
      <c r="S353" s="484">
        <f t="shared" si="52"/>
        <v>9.1</v>
      </c>
      <c r="T353" s="484">
        <f t="shared" si="61"/>
        <v>7.3552862258306444</v>
      </c>
    </row>
    <row r="354" spans="1:20">
      <c r="A354" s="445">
        <f t="shared" si="62"/>
        <v>3</v>
      </c>
      <c r="B354" s="445">
        <f t="shared" si="86"/>
        <v>7</v>
      </c>
      <c r="C354" s="445">
        <f t="shared" si="91"/>
        <v>4</v>
      </c>
      <c r="D354" s="445">
        <f t="shared" si="91"/>
        <v>63</v>
      </c>
      <c r="E354" s="480">
        <f t="shared" si="53"/>
        <v>1</v>
      </c>
      <c r="F354" s="453">
        <f t="shared" si="54"/>
        <v>1</v>
      </c>
      <c r="G354" s="445">
        <f t="shared" si="49"/>
        <v>0.7</v>
      </c>
      <c r="I354" s="476">
        <f t="shared" si="55"/>
        <v>7.9099999999999984</v>
      </c>
      <c r="J354" s="445">
        <f t="shared" si="56"/>
        <v>0.7</v>
      </c>
      <c r="L354" s="476">
        <f t="shared" si="57"/>
        <v>8.19</v>
      </c>
      <c r="M354" s="484">
        <f t="shared" si="58"/>
        <v>0.7</v>
      </c>
      <c r="O354" s="482">
        <f t="shared" si="59"/>
        <v>15.399999999999999</v>
      </c>
      <c r="P354" s="482">
        <f t="shared" si="60"/>
        <v>15.399999999999999</v>
      </c>
      <c r="Q354" s="484">
        <f t="shared" si="50"/>
        <v>11.354000000000001</v>
      </c>
      <c r="R354" s="484">
        <f t="shared" si="51"/>
        <v>7.7112090435807117</v>
      </c>
      <c r="S354" s="484">
        <f t="shared" si="52"/>
        <v>9.1</v>
      </c>
      <c r="T354" s="484">
        <f t="shared" si="61"/>
        <v>7.3552862258306444</v>
      </c>
    </row>
    <row r="355" spans="1:20">
      <c r="A355" s="445">
        <f t="shared" si="62"/>
        <v>3</v>
      </c>
      <c r="B355" s="445">
        <f t="shared" si="79"/>
        <v>1</v>
      </c>
      <c r="C355" s="445">
        <f t="shared" si="91"/>
        <v>5</v>
      </c>
      <c r="D355" s="445">
        <f t="shared" si="91"/>
        <v>64</v>
      </c>
      <c r="E355" s="480">
        <f t="shared" si="53"/>
        <v>1</v>
      </c>
      <c r="F355" s="453">
        <f t="shared" si="54"/>
        <v>1</v>
      </c>
      <c r="G355" s="445">
        <f t="shared" si="49"/>
        <v>0.7</v>
      </c>
      <c r="I355" s="476">
        <f t="shared" si="55"/>
        <v>7.9099999999999984</v>
      </c>
      <c r="J355" s="445">
        <f t="shared" si="56"/>
        <v>0.7</v>
      </c>
      <c r="L355" s="476">
        <f t="shared" si="57"/>
        <v>8.19</v>
      </c>
      <c r="M355" s="484">
        <f t="shared" si="58"/>
        <v>0.7</v>
      </c>
      <c r="O355" s="482">
        <f t="shared" si="59"/>
        <v>15.399999999999999</v>
      </c>
      <c r="P355" s="482">
        <f t="shared" si="60"/>
        <v>15.399999999999999</v>
      </c>
      <c r="Q355" s="484">
        <f t="shared" si="50"/>
        <v>11.354000000000001</v>
      </c>
      <c r="R355" s="484">
        <f t="shared" si="51"/>
        <v>7.7112090435807117</v>
      </c>
      <c r="S355" s="484">
        <f t="shared" si="52"/>
        <v>9.1</v>
      </c>
      <c r="T355" s="484">
        <f t="shared" si="61"/>
        <v>7.3552862258306444</v>
      </c>
    </row>
    <row r="356" spans="1:20">
      <c r="A356" s="445">
        <f t="shared" si="62"/>
        <v>3</v>
      </c>
      <c r="B356" s="445">
        <f t="shared" si="80"/>
        <v>2</v>
      </c>
      <c r="C356" s="445">
        <f t="shared" si="91"/>
        <v>6</v>
      </c>
      <c r="D356" s="445">
        <f t="shared" si="91"/>
        <v>65</v>
      </c>
      <c r="E356" s="480">
        <f t="shared" si="53"/>
        <v>1</v>
      </c>
      <c r="F356" s="453">
        <f t="shared" ref="F356:F419" si="92">INDEX($C$271:$C$282,A356)</f>
        <v>1</v>
      </c>
      <c r="G356" s="445">
        <f t="shared" ref="G356:G419" si="93">INDEX($D$271:$D$282,A356)</f>
        <v>0.7</v>
      </c>
      <c r="I356" s="476">
        <f t="shared" si="55"/>
        <v>7.9099999999999984</v>
      </c>
      <c r="J356" s="445">
        <f t="shared" si="56"/>
        <v>0.7</v>
      </c>
      <c r="L356" s="476">
        <f t="shared" si="57"/>
        <v>8.19</v>
      </c>
      <c r="M356" s="484">
        <f t="shared" si="58"/>
        <v>0.7</v>
      </c>
      <c r="O356" s="482">
        <f t="shared" ref="O356:O419" si="94">IF($F$287="bisherig", $E356*$F$66*F356, $E356*$F$66*G356)</f>
        <v>15.399999999999999</v>
      </c>
      <c r="P356" s="482">
        <f t="shared" ref="P356:P419" si="95">IF($F$287="bisherig", $E356*$F$66*F356, $E356*$F$66*G356)</f>
        <v>15.399999999999999</v>
      </c>
      <c r="Q356" s="484">
        <f t="shared" ref="Q356:Q419" si="96">IF($F$287="bisherig", $E356*$G$66*F356, $E356*$G$66*G356)</f>
        <v>11.354000000000001</v>
      </c>
      <c r="R356" s="484">
        <f t="shared" ref="R356:R419" si="97">IF($F$287="bisherig", $E356*$H$66*F356, $E356*$H$66*G356)</f>
        <v>7.7112090435807117</v>
      </c>
      <c r="S356" s="484">
        <f t="shared" ref="S356:S419" si="98">IF($F$287="bisherig", $E356*$I$66*F356, $E356*$I$66*G356)</f>
        <v>9.1</v>
      </c>
      <c r="T356" s="484">
        <f t="shared" ref="T356:T419" si="99">IF($F$287="bisherig", $E356*$J$66*F356, $E356*$J$66*G356)</f>
        <v>7.3552862258306444</v>
      </c>
    </row>
    <row r="357" spans="1:20">
      <c r="A357" s="445">
        <f t="shared" si="62"/>
        <v>3</v>
      </c>
      <c r="B357" s="445">
        <f t="shared" si="87"/>
        <v>3</v>
      </c>
      <c r="C357" s="445">
        <f t="shared" ref="C357:D372" si="100">C356+1</f>
        <v>7</v>
      </c>
      <c r="D357" s="445">
        <f t="shared" si="100"/>
        <v>66</v>
      </c>
      <c r="E357" s="480">
        <f t="shared" ref="E357:E420" si="101">INDEX($H$271:$H$277,B357)</f>
        <v>1</v>
      </c>
      <c r="F357" s="453">
        <f t="shared" si="92"/>
        <v>1</v>
      </c>
      <c r="G357" s="445">
        <f t="shared" si="93"/>
        <v>0.7</v>
      </c>
      <c r="I357" s="476">
        <f t="shared" ref="I357:I420" si="102">IF($F$287="bisherig", $E357*$B$66*F357, $E357*$B$66*G357)</f>
        <v>7.9099999999999984</v>
      </c>
      <c r="J357" s="445">
        <f t="shared" ref="J357:J420" si="103">IF($F$287="bisherig",$E357*MAX($B$67:$B$90)*F357,$E357*MAX($B$67:$B$90)*G357)</f>
        <v>0.7</v>
      </c>
      <c r="L357" s="476">
        <f t="shared" ref="L357:L420" si="104">IF($F$287="bisherig", IF(E357=1, $D$66*F357,$E$66*F357), IF(E357=1, $D$66*G357,$E$66*G357))</f>
        <v>8.19</v>
      </c>
      <c r="M357" s="484">
        <f t="shared" ref="M357:M420" si="105">IF($F$287="bisherig", IF(E357=1, MAX($D$67:$D$90)*F357,MAX($E$67:$E$90)*F357), IF(E357=1,MAX($D$67:$D$90)*G357,MAX($E$67:$E$90)*G357))</f>
        <v>0.7</v>
      </c>
      <c r="O357" s="482">
        <f t="shared" si="94"/>
        <v>15.399999999999999</v>
      </c>
      <c r="P357" s="482">
        <f t="shared" si="95"/>
        <v>15.399999999999999</v>
      </c>
      <c r="Q357" s="484">
        <f t="shared" si="96"/>
        <v>11.354000000000001</v>
      </c>
      <c r="R357" s="484">
        <f t="shared" si="97"/>
        <v>7.7112090435807117</v>
      </c>
      <c r="S357" s="484">
        <f t="shared" si="98"/>
        <v>9.1</v>
      </c>
      <c r="T357" s="484">
        <f t="shared" si="99"/>
        <v>7.3552862258306444</v>
      </c>
    </row>
    <row r="358" spans="1:20">
      <c r="A358" s="445">
        <f t="shared" ref="A358:A421" si="106">A357</f>
        <v>3</v>
      </c>
      <c r="B358" s="445">
        <f t="shared" si="88"/>
        <v>4</v>
      </c>
      <c r="C358" s="445">
        <f t="shared" si="100"/>
        <v>8</v>
      </c>
      <c r="D358" s="445">
        <f t="shared" si="100"/>
        <v>67</v>
      </c>
      <c r="E358" s="480">
        <f t="shared" si="101"/>
        <v>1</v>
      </c>
      <c r="F358" s="453">
        <f t="shared" si="92"/>
        <v>1</v>
      </c>
      <c r="G358" s="445">
        <f t="shared" si="93"/>
        <v>0.7</v>
      </c>
      <c r="I358" s="476">
        <f t="shared" si="102"/>
        <v>7.9099999999999984</v>
      </c>
      <c r="J358" s="445">
        <f t="shared" si="103"/>
        <v>0.7</v>
      </c>
      <c r="L358" s="476">
        <f t="shared" si="104"/>
        <v>8.19</v>
      </c>
      <c r="M358" s="484">
        <f t="shared" si="105"/>
        <v>0.7</v>
      </c>
      <c r="O358" s="482">
        <f t="shared" si="94"/>
        <v>15.399999999999999</v>
      </c>
      <c r="P358" s="482">
        <f t="shared" si="95"/>
        <v>15.399999999999999</v>
      </c>
      <c r="Q358" s="484">
        <f t="shared" si="96"/>
        <v>11.354000000000001</v>
      </c>
      <c r="R358" s="484">
        <f t="shared" si="97"/>
        <v>7.7112090435807117</v>
      </c>
      <c r="S358" s="484">
        <f t="shared" si="98"/>
        <v>9.1</v>
      </c>
      <c r="T358" s="484">
        <f t="shared" si="99"/>
        <v>7.3552862258306444</v>
      </c>
    </row>
    <row r="359" spans="1:20">
      <c r="A359" s="445">
        <f t="shared" si="106"/>
        <v>3</v>
      </c>
      <c r="B359" s="445">
        <f t="shared" si="89"/>
        <v>5</v>
      </c>
      <c r="C359" s="445">
        <f t="shared" si="100"/>
        <v>9</v>
      </c>
      <c r="D359" s="445">
        <f t="shared" si="100"/>
        <v>68</v>
      </c>
      <c r="E359" s="480">
        <f t="shared" si="101"/>
        <v>1</v>
      </c>
      <c r="F359" s="453">
        <f t="shared" si="92"/>
        <v>1</v>
      </c>
      <c r="G359" s="445">
        <f t="shared" si="93"/>
        <v>0.7</v>
      </c>
      <c r="I359" s="476">
        <f t="shared" si="102"/>
        <v>7.9099999999999984</v>
      </c>
      <c r="J359" s="445">
        <f t="shared" si="103"/>
        <v>0.7</v>
      </c>
      <c r="L359" s="476">
        <f t="shared" si="104"/>
        <v>8.19</v>
      </c>
      <c r="M359" s="484">
        <f t="shared" si="105"/>
        <v>0.7</v>
      </c>
      <c r="O359" s="482">
        <f t="shared" si="94"/>
        <v>15.399999999999999</v>
      </c>
      <c r="P359" s="482">
        <f t="shared" si="95"/>
        <v>15.399999999999999</v>
      </c>
      <c r="Q359" s="484">
        <f t="shared" si="96"/>
        <v>11.354000000000001</v>
      </c>
      <c r="R359" s="484">
        <f t="shared" si="97"/>
        <v>7.7112090435807117</v>
      </c>
      <c r="S359" s="484">
        <f t="shared" si="98"/>
        <v>9.1</v>
      </c>
      <c r="T359" s="484">
        <f t="shared" si="99"/>
        <v>7.3552862258306444</v>
      </c>
    </row>
    <row r="360" spans="1:20">
      <c r="A360" s="445">
        <f t="shared" si="106"/>
        <v>3</v>
      </c>
      <c r="B360" s="445">
        <f t="shared" si="90"/>
        <v>6</v>
      </c>
      <c r="C360" s="445">
        <f t="shared" si="100"/>
        <v>10</v>
      </c>
      <c r="D360" s="445">
        <f t="shared" si="100"/>
        <v>69</v>
      </c>
      <c r="E360" s="480">
        <f t="shared" si="101"/>
        <v>1</v>
      </c>
      <c r="F360" s="453">
        <f t="shared" si="92"/>
        <v>1</v>
      </c>
      <c r="G360" s="445">
        <f t="shared" si="93"/>
        <v>0.7</v>
      </c>
      <c r="I360" s="476">
        <f t="shared" si="102"/>
        <v>7.9099999999999984</v>
      </c>
      <c r="J360" s="445">
        <f t="shared" si="103"/>
        <v>0.7</v>
      </c>
      <c r="L360" s="476">
        <f t="shared" si="104"/>
        <v>8.19</v>
      </c>
      <c r="M360" s="484">
        <f t="shared" si="105"/>
        <v>0.7</v>
      </c>
      <c r="O360" s="482">
        <f t="shared" si="94"/>
        <v>15.399999999999999</v>
      </c>
      <c r="P360" s="482">
        <f t="shared" si="95"/>
        <v>15.399999999999999</v>
      </c>
      <c r="Q360" s="484">
        <f t="shared" si="96"/>
        <v>11.354000000000001</v>
      </c>
      <c r="R360" s="484">
        <f t="shared" si="97"/>
        <v>7.7112090435807117</v>
      </c>
      <c r="S360" s="484">
        <f t="shared" si="98"/>
        <v>9.1</v>
      </c>
      <c r="T360" s="484">
        <f t="shared" si="99"/>
        <v>7.3552862258306444</v>
      </c>
    </row>
    <row r="361" spans="1:20">
      <c r="A361" s="445">
        <f t="shared" si="106"/>
        <v>3</v>
      </c>
      <c r="B361" s="445">
        <f t="shared" si="86"/>
        <v>7</v>
      </c>
      <c r="C361" s="445">
        <f t="shared" si="100"/>
        <v>11</v>
      </c>
      <c r="D361" s="445">
        <f t="shared" si="100"/>
        <v>70</v>
      </c>
      <c r="E361" s="480">
        <f t="shared" si="101"/>
        <v>1</v>
      </c>
      <c r="F361" s="453">
        <f t="shared" si="92"/>
        <v>1</v>
      </c>
      <c r="G361" s="445">
        <f t="shared" si="93"/>
        <v>0.7</v>
      </c>
      <c r="I361" s="476">
        <f t="shared" si="102"/>
        <v>7.9099999999999984</v>
      </c>
      <c r="J361" s="445">
        <f t="shared" si="103"/>
        <v>0.7</v>
      </c>
      <c r="L361" s="476">
        <f t="shared" si="104"/>
        <v>8.19</v>
      </c>
      <c r="M361" s="484">
        <f t="shared" si="105"/>
        <v>0.7</v>
      </c>
      <c r="O361" s="482">
        <f t="shared" si="94"/>
        <v>15.399999999999999</v>
      </c>
      <c r="P361" s="482">
        <f t="shared" si="95"/>
        <v>15.399999999999999</v>
      </c>
      <c r="Q361" s="484">
        <f t="shared" si="96"/>
        <v>11.354000000000001</v>
      </c>
      <c r="R361" s="484">
        <f t="shared" si="97"/>
        <v>7.7112090435807117</v>
      </c>
      <c r="S361" s="484">
        <f t="shared" si="98"/>
        <v>9.1</v>
      </c>
      <c r="T361" s="484">
        <f t="shared" si="99"/>
        <v>7.3552862258306444</v>
      </c>
    </row>
    <row r="362" spans="1:20">
      <c r="A362" s="445">
        <f t="shared" si="106"/>
        <v>3</v>
      </c>
      <c r="B362" s="445">
        <f t="shared" si="79"/>
        <v>1</v>
      </c>
      <c r="C362" s="445">
        <f t="shared" si="100"/>
        <v>12</v>
      </c>
      <c r="D362" s="445">
        <f t="shared" si="100"/>
        <v>71</v>
      </c>
      <c r="E362" s="480">
        <f t="shared" si="101"/>
        <v>1</v>
      </c>
      <c r="F362" s="453">
        <f t="shared" si="92"/>
        <v>1</v>
      </c>
      <c r="G362" s="445">
        <f t="shared" si="93"/>
        <v>0.7</v>
      </c>
      <c r="I362" s="476">
        <f t="shared" si="102"/>
        <v>7.9099999999999984</v>
      </c>
      <c r="J362" s="445">
        <f t="shared" si="103"/>
        <v>0.7</v>
      </c>
      <c r="L362" s="476">
        <f t="shared" si="104"/>
        <v>8.19</v>
      </c>
      <c r="M362" s="484">
        <f t="shared" si="105"/>
        <v>0.7</v>
      </c>
      <c r="O362" s="482">
        <f t="shared" si="94"/>
        <v>15.399999999999999</v>
      </c>
      <c r="P362" s="482">
        <f t="shared" si="95"/>
        <v>15.399999999999999</v>
      </c>
      <c r="Q362" s="484">
        <f t="shared" si="96"/>
        <v>11.354000000000001</v>
      </c>
      <c r="R362" s="484">
        <f t="shared" si="97"/>
        <v>7.7112090435807117</v>
      </c>
      <c r="S362" s="484">
        <f t="shared" si="98"/>
        <v>9.1</v>
      </c>
      <c r="T362" s="484">
        <f t="shared" si="99"/>
        <v>7.3552862258306444</v>
      </c>
    </row>
    <row r="363" spans="1:20">
      <c r="A363" s="445">
        <f t="shared" si="106"/>
        <v>3</v>
      </c>
      <c r="B363" s="445">
        <f t="shared" si="80"/>
        <v>2</v>
      </c>
      <c r="C363" s="445">
        <f t="shared" si="100"/>
        <v>13</v>
      </c>
      <c r="D363" s="445">
        <f t="shared" si="100"/>
        <v>72</v>
      </c>
      <c r="E363" s="480">
        <f t="shared" si="101"/>
        <v>1</v>
      </c>
      <c r="F363" s="453">
        <f t="shared" si="92"/>
        <v>1</v>
      </c>
      <c r="G363" s="445">
        <f t="shared" si="93"/>
        <v>0.7</v>
      </c>
      <c r="I363" s="476">
        <f t="shared" si="102"/>
        <v>7.9099999999999984</v>
      </c>
      <c r="J363" s="445">
        <f t="shared" si="103"/>
        <v>0.7</v>
      </c>
      <c r="L363" s="476">
        <f t="shared" si="104"/>
        <v>8.19</v>
      </c>
      <c r="M363" s="484">
        <f t="shared" si="105"/>
        <v>0.7</v>
      </c>
      <c r="O363" s="482">
        <f t="shared" si="94"/>
        <v>15.399999999999999</v>
      </c>
      <c r="P363" s="482">
        <f t="shared" si="95"/>
        <v>15.399999999999999</v>
      </c>
      <c r="Q363" s="484">
        <f t="shared" si="96"/>
        <v>11.354000000000001</v>
      </c>
      <c r="R363" s="484">
        <f t="shared" si="97"/>
        <v>7.7112090435807117</v>
      </c>
      <c r="S363" s="484">
        <f t="shared" si="98"/>
        <v>9.1</v>
      </c>
      <c r="T363" s="484">
        <f t="shared" si="99"/>
        <v>7.3552862258306444</v>
      </c>
    </row>
    <row r="364" spans="1:20">
      <c r="A364" s="445">
        <f t="shared" si="106"/>
        <v>3</v>
      </c>
      <c r="B364" s="445">
        <f t="shared" si="87"/>
        <v>3</v>
      </c>
      <c r="C364" s="445">
        <f t="shared" si="100"/>
        <v>14</v>
      </c>
      <c r="D364" s="445">
        <f t="shared" si="100"/>
        <v>73</v>
      </c>
      <c r="E364" s="480">
        <f t="shared" si="101"/>
        <v>1</v>
      </c>
      <c r="F364" s="453">
        <f t="shared" si="92"/>
        <v>1</v>
      </c>
      <c r="G364" s="445">
        <f t="shared" si="93"/>
        <v>0.7</v>
      </c>
      <c r="I364" s="476">
        <f t="shared" si="102"/>
        <v>7.9099999999999984</v>
      </c>
      <c r="J364" s="445">
        <f t="shared" si="103"/>
        <v>0.7</v>
      </c>
      <c r="L364" s="476">
        <f t="shared" si="104"/>
        <v>8.19</v>
      </c>
      <c r="M364" s="484">
        <f t="shared" si="105"/>
        <v>0.7</v>
      </c>
      <c r="O364" s="482">
        <f t="shared" si="94"/>
        <v>15.399999999999999</v>
      </c>
      <c r="P364" s="482">
        <f t="shared" si="95"/>
        <v>15.399999999999999</v>
      </c>
      <c r="Q364" s="484">
        <f t="shared" si="96"/>
        <v>11.354000000000001</v>
      </c>
      <c r="R364" s="484">
        <f t="shared" si="97"/>
        <v>7.7112090435807117</v>
      </c>
      <c r="S364" s="484">
        <f t="shared" si="98"/>
        <v>9.1</v>
      </c>
      <c r="T364" s="484">
        <f t="shared" si="99"/>
        <v>7.3552862258306444</v>
      </c>
    </row>
    <row r="365" spans="1:20">
      <c r="A365" s="445">
        <f t="shared" si="106"/>
        <v>3</v>
      </c>
      <c r="B365" s="445">
        <f t="shared" si="88"/>
        <v>4</v>
      </c>
      <c r="C365" s="445">
        <f t="shared" si="100"/>
        <v>15</v>
      </c>
      <c r="D365" s="445">
        <f t="shared" si="100"/>
        <v>74</v>
      </c>
      <c r="E365" s="480">
        <f t="shared" si="101"/>
        <v>1</v>
      </c>
      <c r="F365" s="453">
        <f t="shared" si="92"/>
        <v>1</v>
      </c>
      <c r="G365" s="445">
        <f t="shared" si="93"/>
        <v>0.7</v>
      </c>
      <c r="I365" s="476">
        <f t="shared" si="102"/>
        <v>7.9099999999999984</v>
      </c>
      <c r="J365" s="445">
        <f t="shared" si="103"/>
        <v>0.7</v>
      </c>
      <c r="L365" s="476">
        <f t="shared" si="104"/>
        <v>8.19</v>
      </c>
      <c r="M365" s="484">
        <f t="shared" si="105"/>
        <v>0.7</v>
      </c>
      <c r="O365" s="482">
        <f t="shared" si="94"/>
        <v>15.399999999999999</v>
      </c>
      <c r="P365" s="482">
        <f t="shared" si="95"/>
        <v>15.399999999999999</v>
      </c>
      <c r="Q365" s="484">
        <f t="shared" si="96"/>
        <v>11.354000000000001</v>
      </c>
      <c r="R365" s="484">
        <f t="shared" si="97"/>
        <v>7.7112090435807117</v>
      </c>
      <c r="S365" s="484">
        <f t="shared" si="98"/>
        <v>9.1</v>
      </c>
      <c r="T365" s="484">
        <f t="shared" si="99"/>
        <v>7.3552862258306444</v>
      </c>
    </row>
    <row r="366" spans="1:20">
      <c r="A366" s="445">
        <f t="shared" si="106"/>
        <v>3</v>
      </c>
      <c r="B366" s="445">
        <f t="shared" si="89"/>
        <v>5</v>
      </c>
      <c r="C366" s="445">
        <f t="shared" si="100"/>
        <v>16</v>
      </c>
      <c r="D366" s="445">
        <f t="shared" si="100"/>
        <v>75</v>
      </c>
      <c r="E366" s="480">
        <f t="shared" si="101"/>
        <v>1</v>
      </c>
      <c r="F366" s="453">
        <f t="shared" si="92"/>
        <v>1</v>
      </c>
      <c r="G366" s="445">
        <f t="shared" si="93"/>
        <v>0.7</v>
      </c>
      <c r="I366" s="476">
        <f t="shared" si="102"/>
        <v>7.9099999999999984</v>
      </c>
      <c r="J366" s="445">
        <f t="shared" si="103"/>
        <v>0.7</v>
      </c>
      <c r="L366" s="476">
        <f t="shared" si="104"/>
        <v>8.19</v>
      </c>
      <c r="M366" s="484">
        <f t="shared" si="105"/>
        <v>0.7</v>
      </c>
      <c r="O366" s="482">
        <f t="shared" si="94"/>
        <v>15.399999999999999</v>
      </c>
      <c r="P366" s="482">
        <f t="shared" si="95"/>
        <v>15.399999999999999</v>
      </c>
      <c r="Q366" s="484">
        <f t="shared" si="96"/>
        <v>11.354000000000001</v>
      </c>
      <c r="R366" s="484">
        <f t="shared" si="97"/>
        <v>7.7112090435807117</v>
      </c>
      <c r="S366" s="484">
        <f t="shared" si="98"/>
        <v>9.1</v>
      </c>
      <c r="T366" s="484">
        <f t="shared" si="99"/>
        <v>7.3552862258306444</v>
      </c>
    </row>
    <row r="367" spans="1:20">
      <c r="A367" s="445">
        <f t="shared" si="106"/>
        <v>3</v>
      </c>
      <c r="B367" s="445">
        <f t="shared" si="90"/>
        <v>6</v>
      </c>
      <c r="C367" s="445">
        <f t="shared" si="100"/>
        <v>17</v>
      </c>
      <c r="D367" s="445">
        <f t="shared" si="100"/>
        <v>76</v>
      </c>
      <c r="E367" s="480">
        <f t="shared" si="101"/>
        <v>1</v>
      </c>
      <c r="F367" s="453">
        <f t="shared" si="92"/>
        <v>1</v>
      </c>
      <c r="G367" s="445">
        <f t="shared" si="93"/>
        <v>0.7</v>
      </c>
      <c r="I367" s="476">
        <f t="shared" si="102"/>
        <v>7.9099999999999984</v>
      </c>
      <c r="J367" s="445">
        <f t="shared" si="103"/>
        <v>0.7</v>
      </c>
      <c r="L367" s="476">
        <f t="shared" si="104"/>
        <v>8.19</v>
      </c>
      <c r="M367" s="484">
        <f t="shared" si="105"/>
        <v>0.7</v>
      </c>
      <c r="O367" s="482">
        <f t="shared" si="94"/>
        <v>15.399999999999999</v>
      </c>
      <c r="P367" s="482">
        <f t="shared" si="95"/>
        <v>15.399999999999999</v>
      </c>
      <c r="Q367" s="484">
        <f t="shared" si="96"/>
        <v>11.354000000000001</v>
      </c>
      <c r="R367" s="484">
        <f t="shared" si="97"/>
        <v>7.7112090435807117</v>
      </c>
      <c r="S367" s="484">
        <f t="shared" si="98"/>
        <v>9.1</v>
      </c>
      <c r="T367" s="484">
        <f t="shared" si="99"/>
        <v>7.3552862258306444</v>
      </c>
    </row>
    <row r="368" spans="1:20">
      <c r="A368" s="445">
        <f t="shared" si="106"/>
        <v>3</v>
      </c>
      <c r="B368" s="445">
        <f t="shared" si="86"/>
        <v>7</v>
      </c>
      <c r="C368" s="445">
        <f t="shared" si="100"/>
        <v>18</v>
      </c>
      <c r="D368" s="445">
        <f t="shared" si="100"/>
        <v>77</v>
      </c>
      <c r="E368" s="480">
        <f t="shared" si="101"/>
        <v>1</v>
      </c>
      <c r="F368" s="453">
        <f t="shared" si="92"/>
        <v>1</v>
      </c>
      <c r="G368" s="445">
        <f t="shared" si="93"/>
        <v>0.7</v>
      </c>
      <c r="I368" s="476">
        <f t="shared" si="102"/>
        <v>7.9099999999999984</v>
      </c>
      <c r="J368" s="445">
        <f t="shared" si="103"/>
        <v>0.7</v>
      </c>
      <c r="L368" s="476">
        <f t="shared" si="104"/>
        <v>8.19</v>
      </c>
      <c r="M368" s="484">
        <f t="shared" si="105"/>
        <v>0.7</v>
      </c>
      <c r="O368" s="482">
        <f t="shared" si="94"/>
        <v>15.399999999999999</v>
      </c>
      <c r="P368" s="482">
        <f t="shared" si="95"/>
        <v>15.399999999999999</v>
      </c>
      <c r="Q368" s="484">
        <f t="shared" si="96"/>
        <v>11.354000000000001</v>
      </c>
      <c r="R368" s="484">
        <f t="shared" si="97"/>
        <v>7.7112090435807117</v>
      </c>
      <c r="S368" s="484">
        <f t="shared" si="98"/>
        <v>9.1</v>
      </c>
      <c r="T368" s="484">
        <f t="shared" si="99"/>
        <v>7.3552862258306444</v>
      </c>
    </row>
    <row r="369" spans="1:20">
      <c r="A369" s="445">
        <f t="shared" si="106"/>
        <v>3</v>
      </c>
      <c r="B369" s="445">
        <f t="shared" si="79"/>
        <v>1</v>
      </c>
      <c r="C369" s="445">
        <f t="shared" si="100"/>
        <v>19</v>
      </c>
      <c r="D369" s="445">
        <f t="shared" si="100"/>
        <v>78</v>
      </c>
      <c r="E369" s="480">
        <f t="shared" si="101"/>
        <v>1</v>
      </c>
      <c r="F369" s="453">
        <f t="shared" si="92"/>
        <v>1</v>
      </c>
      <c r="G369" s="445">
        <f t="shared" si="93"/>
        <v>0.7</v>
      </c>
      <c r="I369" s="476">
        <f t="shared" si="102"/>
        <v>7.9099999999999984</v>
      </c>
      <c r="J369" s="445">
        <f t="shared" si="103"/>
        <v>0.7</v>
      </c>
      <c r="L369" s="476">
        <f t="shared" si="104"/>
        <v>8.19</v>
      </c>
      <c r="M369" s="484">
        <f t="shared" si="105"/>
        <v>0.7</v>
      </c>
      <c r="O369" s="482">
        <f t="shared" si="94"/>
        <v>15.399999999999999</v>
      </c>
      <c r="P369" s="482">
        <f t="shared" si="95"/>
        <v>15.399999999999999</v>
      </c>
      <c r="Q369" s="484">
        <f t="shared" si="96"/>
        <v>11.354000000000001</v>
      </c>
      <c r="R369" s="484">
        <f t="shared" si="97"/>
        <v>7.7112090435807117</v>
      </c>
      <c r="S369" s="484">
        <f t="shared" si="98"/>
        <v>9.1</v>
      </c>
      <c r="T369" s="484">
        <f t="shared" si="99"/>
        <v>7.3552862258306444</v>
      </c>
    </row>
    <row r="370" spans="1:20">
      <c r="A370" s="445">
        <f t="shared" si="106"/>
        <v>3</v>
      </c>
      <c r="B370" s="445">
        <f t="shared" si="80"/>
        <v>2</v>
      </c>
      <c r="C370" s="445">
        <f t="shared" si="100"/>
        <v>20</v>
      </c>
      <c r="D370" s="445">
        <f t="shared" si="100"/>
        <v>79</v>
      </c>
      <c r="E370" s="480">
        <f t="shared" si="101"/>
        <v>1</v>
      </c>
      <c r="F370" s="453">
        <f t="shared" si="92"/>
        <v>1</v>
      </c>
      <c r="G370" s="445">
        <f t="shared" si="93"/>
        <v>0.7</v>
      </c>
      <c r="I370" s="476">
        <f t="shared" si="102"/>
        <v>7.9099999999999984</v>
      </c>
      <c r="J370" s="445">
        <f t="shared" si="103"/>
        <v>0.7</v>
      </c>
      <c r="L370" s="476">
        <f t="shared" si="104"/>
        <v>8.19</v>
      </c>
      <c r="M370" s="484">
        <f t="shared" si="105"/>
        <v>0.7</v>
      </c>
      <c r="O370" s="482">
        <f t="shared" si="94"/>
        <v>15.399999999999999</v>
      </c>
      <c r="P370" s="482">
        <f t="shared" si="95"/>
        <v>15.399999999999999</v>
      </c>
      <c r="Q370" s="484">
        <f t="shared" si="96"/>
        <v>11.354000000000001</v>
      </c>
      <c r="R370" s="484">
        <f t="shared" si="97"/>
        <v>7.7112090435807117</v>
      </c>
      <c r="S370" s="484">
        <f t="shared" si="98"/>
        <v>9.1</v>
      </c>
      <c r="T370" s="484">
        <f t="shared" si="99"/>
        <v>7.3552862258306444</v>
      </c>
    </row>
    <row r="371" spans="1:20">
      <c r="A371" s="445">
        <f t="shared" si="106"/>
        <v>3</v>
      </c>
      <c r="B371" s="445">
        <f t="shared" si="87"/>
        <v>3</v>
      </c>
      <c r="C371" s="445">
        <f t="shared" si="100"/>
        <v>21</v>
      </c>
      <c r="D371" s="445">
        <f t="shared" si="100"/>
        <v>80</v>
      </c>
      <c r="E371" s="480">
        <f t="shared" si="101"/>
        <v>1</v>
      </c>
      <c r="F371" s="453">
        <f t="shared" si="92"/>
        <v>1</v>
      </c>
      <c r="G371" s="445">
        <f t="shared" si="93"/>
        <v>0.7</v>
      </c>
      <c r="I371" s="476">
        <f t="shared" si="102"/>
        <v>7.9099999999999984</v>
      </c>
      <c r="J371" s="445">
        <f t="shared" si="103"/>
        <v>0.7</v>
      </c>
      <c r="L371" s="476">
        <f t="shared" si="104"/>
        <v>8.19</v>
      </c>
      <c r="M371" s="484">
        <f t="shared" si="105"/>
        <v>0.7</v>
      </c>
      <c r="O371" s="482">
        <f t="shared" si="94"/>
        <v>15.399999999999999</v>
      </c>
      <c r="P371" s="482">
        <f t="shared" si="95"/>
        <v>15.399999999999999</v>
      </c>
      <c r="Q371" s="484">
        <f t="shared" si="96"/>
        <v>11.354000000000001</v>
      </c>
      <c r="R371" s="484">
        <f t="shared" si="97"/>
        <v>7.7112090435807117</v>
      </c>
      <c r="S371" s="484">
        <f t="shared" si="98"/>
        <v>9.1</v>
      </c>
      <c r="T371" s="484">
        <f t="shared" si="99"/>
        <v>7.3552862258306444</v>
      </c>
    </row>
    <row r="372" spans="1:20">
      <c r="A372" s="445">
        <f t="shared" si="106"/>
        <v>3</v>
      </c>
      <c r="B372" s="445">
        <f t="shared" si="88"/>
        <v>4</v>
      </c>
      <c r="C372" s="445">
        <f t="shared" si="100"/>
        <v>22</v>
      </c>
      <c r="D372" s="445">
        <f t="shared" si="100"/>
        <v>81</v>
      </c>
      <c r="E372" s="480">
        <f t="shared" si="101"/>
        <v>1</v>
      </c>
      <c r="F372" s="453">
        <f t="shared" si="92"/>
        <v>1</v>
      </c>
      <c r="G372" s="445">
        <f t="shared" si="93"/>
        <v>0.7</v>
      </c>
      <c r="I372" s="476">
        <f t="shared" si="102"/>
        <v>7.9099999999999984</v>
      </c>
      <c r="J372" s="445">
        <f t="shared" si="103"/>
        <v>0.7</v>
      </c>
      <c r="L372" s="476">
        <f t="shared" si="104"/>
        <v>8.19</v>
      </c>
      <c r="M372" s="484">
        <f t="shared" si="105"/>
        <v>0.7</v>
      </c>
      <c r="O372" s="482">
        <f t="shared" si="94"/>
        <v>15.399999999999999</v>
      </c>
      <c r="P372" s="482">
        <f t="shared" si="95"/>
        <v>15.399999999999999</v>
      </c>
      <c r="Q372" s="484">
        <f t="shared" si="96"/>
        <v>11.354000000000001</v>
      </c>
      <c r="R372" s="484">
        <f t="shared" si="97"/>
        <v>7.7112090435807117</v>
      </c>
      <c r="S372" s="484">
        <f t="shared" si="98"/>
        <v>9.1</v>
      </c>
      <c r="T372" s="484">
        <f t="shared" si="99"/>
        <v>7.3552862258306444</v>
      </c>
    </row>
    <row r="373" spans="1:20">
      <c r="A373" s="445">
        <f t="shared" si="106"/>
        <v>3</v>
      </c>
      <c r="B373" s="445">
        <f t="shared" si="89"/>
        <v>5</v>
      </c>
      <c r="C373" s="445">
        <f t="shared" ref="C373:D388" si="107">C372+1</f>
        <v>23</v>
      </c>
      <c r="D373" s="445">
        <f t="shared" si="107"/>
        <v>82</v>
      </c>
      <c r="E373" s="480">
        <f t="shared" si="101"/>
        <v>1</v>
      </c>
      <c r="F373" s="453">
        <f t="shared" si="92"/>
        <v>1</v>
      </c>
      <c r="G373" s="445">
        <f t="shared" si="93"/>
        <v>0.7</v>
      </c>
      <c r="I373" s="476">
        <f t="shared" si="102"/>
        <v>7.9099999999999984</v>
      </c>
      <c r="J373" s="445">
        <f t="shared" si="103"/>
        <v>0.7</v>
      </c>
      <c r="L373" s="476">
        <f t="shared" si="104"/>
        <v>8.19</v>
      </c>
      <c r="M373" s="484">
        <f t="shared" si="105"/>
        <v>0.7</v>
      </c>
      <c r="O373" s="482">
        <f t="shared" si="94"/>
        <v>15.399999999999999</v>
      </c>
      <c r="P373" s="482">
        <f t="shared" si="95"/>
        <v>15.399999999999999</v>
      </c>
      <c r="Q373" s="484">
        <f t="shared" si="96"/>
        <v>11.354000000000001</v>
      </c>
      <c r="R373" s="484">
        <f t="shared" si="97"/>
        <v>7.7112090435807117</v>
      </c>
      <c r="S373" s="484">
        <f t="shared" si="98"/>
        <v>9.1</v>
      </c>
      <c r="T373" s="484">
        <f t="shared" si="99"/>
        <v>7.3552862258306444</v>
      </c>
    </row>
    <row r="374" spans="1:20">
      <c r="A374" s="445">
        <f t="shared" si="106"/>
        <v>3</v>
      </c>
      <c r="B374" s="445">
        <f t="shared" si="90"/>
        <v>6</v>
      </c>
      <c r="C374" s="445">
        <f t="shared" si="107"/>
        <v>24</v>
      </c>
      <c r="D374" s="445">
        <f t="shared" si="107"/>
        <v>83</v>
      </c>
      <c r="E374" s="480">
        <f t="shared" si="101"/>
        <v>1</v>
      </c>
      <c r="F374" s="453">
        <f t="shared" si="92"/>
        <v>1</v>
      </c>
      <c r="G374" s="445">
        <f t="shared" si="93"/>
        <v>0.7</v>
      </c>
      <c r="I374" s="476">
        <f t="shared" si="102"/>
        <v>7.9099999999999984</v>
      </c>
      <c r="J374" s="445">
        <f t="shared" si="103"/>
        <v>0.7</v>
      </c>
      <c r="L374" s="476">
        <f t="shared" si="104"/>
        <v>8.19</v>
      </c>
      <c r="M374" s="484">
        <f t="shared" si="105"/>
        <v>0.7</v>
      </c>
      <c r="O374" s="482">
        <f t="shared" si="94"/>
        <v>15.399999999999999</v>
      </c>
      <c r="P374" s="482">
        <f t="shared" si="95"/>
        <v>15.399999999999999</v>
      </c>
      <c r="Q374" s="484">
        <f t="shared" si="96"/>
        <v>11.354000000000001</v>
      </c>
      <c r="R374" s="484">
        <f t="shared" si="97"/>
        <v>7.7112090435807117</v>
      </c>
      <c r="S374" s="484">
        <f t="shared" si="98"/>
        <v>9.1</v>
      </c>
      <c r="T374" s="484">
        <f t="shared" si="99"/>
        <v>7.3552862258306444</v>
      </c>
    </row>
    <row r="375" spans="1:20">
      <c r="A375" s="445">
        <f t="shared" si="106"/>
        <v>3</v>
      </c>
      <c r="B375" s="445">
        <f t="shared" si="86"/>
        <v>7</v>
      </c>
      <c r="C375" s="445">
        <f t="shared" si="107"/>
        <v>25</v>
      </c>
      <c r="D375" s="445">
        <f t="shared" si="107"/>
        <v>84</v>
      </c>
      <c r="E375" s="480">
        <f t="shared" si="101"/>
        <v>1</v>
      </c>
      <c r="F375" s="453">
        <f t="shared" si="92"/>
        <v>1</v>
      </c>
      <c r="G375" s="445">
        <f t="shared" si="93"/>
        <v>0.7</v>
      </c>
      <c r="I375" s="476">
        <f t="shared" si="102"/>
        <v>7.9099999999999984</v>
      </c>
      <c r="J375" s="445">
        <f t="shared" si="103"/>
        <v>0.7</v>
      </c>
      <c r="L375" s="476">
        <f t="shared" si="104"/>
        <v>8.19</v>
      </c>
      <c r="M375" s="484">
        <f t="shared" si="105"/>
        <v>0.7</v>
      </c>
      <c r="O375" s="482">
        <f t="shared" si="94"/>
        <v>15.399999999999999</v>
      </c>
      <c r="P375" s="482">
        <f t="shared" si="95"/>
        <v>15.399999999999999</v>
      </c>
      <c r="Q375" s="484">
        <f t="shared" si="96"/>
        <v>11.354000000000001</v>
      </c>
      <c r="R375" s="484">
        <f t="shared" si="97"/>
        <v>7.7112090435807117</v>
      </c>
      <c r="S375" s="484">
        <f t="shared" si="98"/>
        <v>9.1</v>
      </c>
      <c r="T375" s="484">
        <f t="shared" si="99"/>
        <v>7.3552862258306444</v>
      </c>
    </row>
    <row r="376" spans="1:20">
      <c r="A376" s="445">
        <f t="shared" si="106"/>
        <v>3</v>
      </c>
      <c r="B376" s="445">
        <f t="shared" si="79"/>
        <v>1</v>
      </c>
      <c r="C376" s="445">
        <f t="shared" si="107"/>
        <v>26</v>
      </c>
      <c r="D376" s="445">
        <f t="shared" si="107"/>
        <v>85</v>
      </c>
      <c r="E376" s="480">
        <f t="shared" si="101"/>
        <v>1</v>
      </c>
      <c r="F376" s="453">
        <f t="shared" si="92"/>
        <v>1</v>
      </c>
      <c r="G376" s="445">
        <f t="shared" si="93"/>
        <v>0.7</v>
      </c>
      <c r="I376" s="476">
        <f t="shared" si="102"/>
        <v>7.9099999999999984</v>
      </c>
      <c r="J376" s="445">
        <f t="shared" si="103"/>
        <v>0.7</v>
      </c>
      <c r="L376" s="476">
        <f t="shared" si="104"/>
        <v>8.19</v>
      </c>
      <c r="M376" s="484">
        <f t="shared" si="105"/>
        <v>0.7</v>
      </c>
      <c r="O376" s="482">
        <f t="shared" si="94"/>
        <v>15.399999999999999</v>
      </c>
      <c r="P376" s="482">
        <f t="shared" si="95"/>
        <v>15.399999999999999</v>
      </c>
      <c r="Q376" s="484">
        <f t="shared" si="96"/>
        <v>11.354000000000001</v>
      </c>
      <c r="R376" s="484">
        <f t="shared" si="97"/>
        <v>7.7112090435807117</v>
      </c>
      <c r="S376" s="484">
        <f t="shared" si="98"/>
        <v>9.1</v>
      </c>
      <c r="T376" s="484">
        <f t="shared" si="99"/>
        <v>7.3552862258306444</v>
      </c>
    </row>
    <row r="377" spans="1:20">
      <c r="A377" s="445">
        <f t="shared" si="106"/>
        <v>3</v>
      </c>
      <c r="B377" s="445">
        <f t="shared" si="80"/>
        <v>2</v>
      </c>
      <c r="C377" s="445">
        <f t="shared" si="107"/>
        <v>27</v>
      </c>
      <c r="D377" s="445">
        <f t="shared" si="107"/>
        <v>86</v>
      </c>
      <c r="E377" s="480">
        <f t="shared" si="101"/>
        <v>1</v>
      </c>
      <c r="F377" s="453">
        <f t="shared" si="92"/>
        <v>1</v>
      </c>
      <c r="G377" s="445">
        <f t="shared" si="93"/>
        <v>0.7</v>
      </c>
      <c r="I377" s="476">
        <f t="shared" si="102"/>
        <v>7.9099999999999984</v>
      </c>
      <c r="J377" s="445">
        <f t="shared" si="103"/>
        <v>0.7</v>
      </c>
      <c r="L377" s="476">
        <f t="shared" si="104"/>
        <v>8.19</v>
      </c>
      <c r="M377" s="484">
        <f t="shared" si="105"/>
        <v>0.7</v>
      </c>
      <c r="O377" s="482">
        <f t="shared" si="94"/>
        <v>15.399999999999999</v>
      </c>
      <c r="P377" s="482">
        <f t="shared" si="95"/>
        <v>15.399999999999999</v>
      </c>
      <c r="Q377" s="484">
        <f t="shared" si="96"/>
        <v>11.354000000000001</v>
      </c>
      <c r="R377" s="484">
        <f t="shared" si="97"/>
        <v>7.7112090435807117</v>
      </c>
      <c r="S377" s="484">
        <f t="shared" si="98"/>
        <v>9.1</v>
      </c>
      <c r="T377" s="484">
        <f t="shared" si="99"/>
        <v>7.3552862258306444</v>
      </c>
    </row>
    <row r="378" spans="1:20">
      <c r="A378" s="445">
        <f t="shared" si="106"/>
        <v>3</v>
      </c>
      <c r="B378" s="445">
        <f t="shared" si="87"/>
        <v>3</v>
      </c>
      <c r="C378" s="445">
        <f t="shared" si="107"/>
        <v>28</v>
      </c>
      <c r="D378" s="445">
        <f t="shared" si="107"/>
        <v>87</v>
      </c>
      <c r="E378" s="480">
        <f t="shared" si="101"/>
        <v>1</v>
      </c>
      <c r="F378" s="453">
        <f t="shared" si="92"/>
        <v>1</v>
      </c>
      <c r="G378" s="445">
        <f t="shared" si="93"/>
        <v>0.7</v>
      </c>
      <c r="I378" s="476">
        <f t="shared" si="102"/>
        <v>7.9099999999999984</v>
      </c>
      <c r="J378" s="445">
        <f t="shared" si="103"/>
        <v>0.7</v>
      </c>
      <c r="L378" s="476">
        <f t="shared" si="104"/>
        <v>8.19</v>
      </c>
      <c r="M378" s="484">
        <f t="shared" si="105"/>
        <v>0.7</v>
      </c>
      <c r="O378" s="482">
        <f t="shared" si="94"/>
        <v>15.399999999999999</v>
      </c>
      <c r="P378" s="482">
        <f t="shared" si="95"/>
        <v>15.399999999999999</v>
      </c>
      <c r="Q378" s="484">
        <f t="shared" si="96"/>
        <v>11.354000000000001</v>
      </c>
      <c r="R378" s="484">
        <f t="shared" si="97"/>
        <v>7.7112090435807117</v>
      </c>
      <c r="S378" s="484">
        <f t="shared" si="98"/>
        <v>9.1</v>
      </c>
      <c r="T378" s="484">
        <f t="shared" si="99"/>
        <v>7.3552862258306444</v>
      </c>
    </row>
    <row r="379" spans="1:20">
      <c r="A379" s="445">
        <f t="shared" si="106"/>
        <v>3</v>
      </c>
      <c r="B379" s="445">
        <f t="shared" si="88"/>
        <v>4</v>
      </c>
      <c r="C379" s="445">
        <f t="shared" si="107"/>
        <v>29</v>
      </c>
      <c r="D379" s="445">
        <f t="shared" si="107"/>
        <v>88</v>
      </c>
      <c r="E379" s="480">
        <f t="shared" si="101"/>
        <v>1</v>
      </c>
      <c r="F379" s="453">
        <f t="shared" si="92"/>
        <v>1</v>
      </c>
      <c r="G379" s="445">
        <f t="shared" si="93"/>
        <v>0.7</v>
      </c>
      <c r="I379" s="476">
        <f t="shared" si="102"/>
        <v>7.9099999999999984</v>
      </c>
      <c r="J379" s="445">
        <f t="shared" si="103"/>
        <v>0.7</v>
      </c>
      <c r="L379" s="476">
        <f t="shared" si="104"/>
        <v>8.19</v>
      </c>
      <c r="M379" s="484">
        <f t="shared" si="105"/>
        <v>0.7</v>
      </c>
      <c r="O379" s="482">
        <f t="shared" si="94"/>
        <v>15.399999999999999</v>
      </c>
      <c r="P379" s="482">
        <f t="shared" si="95"/>
        <v>15.399999999999999</v>
      </c>
      <c r="Q379" s="484">
        <f t="shared" si="96"/>
        <v>11.354000000000001</v>
      </c>
      <c r="R379" s="484">
        <f t="shared" si="97"/>
        <v>7.7112090435807117</v>
      </c>
      <c r="S379" s="484">
        <f t="shared" si="98"/>
        <v>9.1</v>
      </c>
      <c r="T379" s="484">
        <f t="shared" si="99"/>
        <v>7.3552862258306444</v>
      </c>
    </row>
    <row r="380" spans="1:20">
      <c r="A380" s="445">
        <f t="shared" si="106"/>
        <v>3</v>
      </c>
      <c r="B380" s="445">
        <f t="shared" si="89"/>
        <v>5</v>
      </c>
      <c r="C380" s="445">
        <f t="shared" si="107"/>
        <v>30</v>
      </c>
      <c r="D380" s="445">
        <f t="shared" si="107"/>
        <v>89</v>
      </c>
      <c r="E380" s="480">
        <f t="shared" si="101"/>
        <v>1</v>
      </c>
      <c r="F380" s="453">
        <f t="shared" si="92"/>
        <v>1</v>
      </c>
      <c r="G380" s="445">
        <f t="shared" si="93"/>
        <v>0.7</v>
      </c>
      <c r="I380" s="476">
        <f t="shared" si="102"/>
        <v>7.9099999999999984</v>
      </c>
      <c r="J380" s="445">
        <f t="shared" si="103"/>
        <v>0.7</v>
      </c>
      <c r="L380" s="476">
        <f t="shared" si="104"/>
        <v>8.19</v>
      </c>
      <c r="M380" s="484">
        <f t="shared" si="105"/>
        <v>0.7</v>
      </c>
      <c r="O380" s="482">
        <f t="shared" si="94"/>
        <v>15.399999999999999</v>
      </c>
      <c r="P380" s="482">
        <f t="shared" si="95"/>
        <v>15.399999999999999</v>
      </c>
      <c r="Q380" s="484">
        <f t="shared" si="96"/>
        <v>11.354000000000001</v>
      </c>
      <c r="R380" s="484">
        <f t="shared" si="97"/>
        <v>7.7112090435807117</v>
      </c>
      <c r="S380" s="484">
        <f t="shared" si="98"/>
        <v>9.1</v>
      </c>
      <c r="T380" s="484">
        <f t="shared" si="99"/>
        <v>7.3552862258306444</v>
      </c>
    </row>
    <row r="381" spans="1:20">
      <c r="A381" s="445">
        <f t="shared" si="106"/>
        <v>3</v>
      </c>
      <c r="B381" s="445">
        <f t="shared" si="90"/>
        <v>6</v>
      </c>
      <c r="C381" s="445">
        <f t="shared" si="107"/>
        <v>31</v>
      </c>
      <c r="D381" s="445">
        <f t="shared" si="107"/>
        <v>90</v>
      </c>
      <c r="E381" s="480">
        <f t="shared" si="101"/>
        <v>1</v>
      </c>
      <c r="F381" s="453">
        <f t="shared" si="92"/>
        <v>1</v>
      </c>
      <c r="G381" s="445">
        <f t="shared" si="93"/>
        <v>0.7</v>
      </c>
      <c r="I381" s="476">
        <f t="shared" si="102"/>
        <v>7.9099999999999984</v>
      </c>
      <c r="J381" s="445">
        <f t="shared" si="103"/>
        <v>0.7</v>
      </c>
      <c r="L381" s="476">
        <f t="shared" si="104"/>
        <v>8.19</v>
      </c>
      <c r="M381" s="484">
        <f t="shared" si="105"/>
        <v>0.7</v>
      </c>
      <c r="O381" s="482">
        <f t="shared" si="94"/>
        <v>15.399999999999999</v>
      </c>
      <c r="P381" s="482">
        <f t="shared" si="95"/>
        <v>15.399999999999999</v>
      </c>
      <c r="Q381" s="484">
        <f t="shared" si="96"/>
        <v>11.354000000000001</v>
      </c>
      <c r="R381" s="484">
        <f t="shared" si="97"/>
        <v>7.7112090435807117</v>
      </c>
      <c r="S381" s="484">
        <f t="shared" si="98"/>
        <v>9.1</v>
      </c>
      <c r="T381" s="484">
        <f t="shared" si="99"/>
        <v>7.3552862258306444</v>
      </c>
    </row>
    <row r="382" spans="1:20">
      <c r="A382" s="445">
        <v>4</v>
      </c>
      <c r="B382" s="445">
        <f t="shared" si="86"/>
        <v>7</v>
      </c>
      <c r="C382" s="445">
        <v>1</v>
      </c>
      <c r="D382" s="445">
        <f t="shared" si="107"/>
        <v>91</v>
      </c>
      <c r="E382" s="480">
        <f t="shared" si="101"/>
        <v>1</v>
      </c>
      <c r="F382" s="453">
        <f t="shared" si="92"/>
        <v>0.8</v>
      </c>
      <c r="G382" s="445">
        <f t="shared" si="93"/>
        <v>0.7</v>
      </c>
      <c r="I382" s="476">
        <f t="shared" si="102"/>
        <v>7.9099999999999984</v>
      </c>
      <c r="J382" s="445">
        <f t="shared" si="103"/>
        <v>0.7</v>
      </c>
      <c r="L382" s="476">
        <f t="shared" si="104"/>
        <v>8.19</v>
      </c>
      <c r="M382" s="484">
        <f t="shared" si="105"/>
        <v>0.7</v>
      </c>
      <c r="O382" s="482">
        <f t="shared" si="94"/>
        <v>15.399999999999999</v>
      </c>
      <c r="P382" s="482">
        <f t="shared" si="95"/>
        <v>15.399999999999999</v>
      </c>
      <c r="Q382" s="484">
        <f t="shared" si="96"/>
        <v>11.354000000000001</v>
      </c>
      <c r="R382" s="484">
        <f t="shared" si="97"/>
        <v>7.7112090435807117</v>
      </c>
      <c r="S382" s="484">
        <f t="shared" si="98"/>
        <v>9.1</v>
      </c>
      <c r="T382" s="484">
        <f t="shared" si="99"/>
        <v>7.3552862258306444</v>
      </c>
    </row>
    <row r="383" spans="1:20">
      <c r="A383" s="445">
        <f t="shared" si="106"/>
        <v>4</v>
      </c>
      <c r="B383" s="445">
        <f t="shared" si="79"/>
        <v>1</v>
      </c>
      <c r="C383" s="445">
        <f t="shared" si="107"/>
        <v>2</v>
      </c>
      <c r="D383" s="445">
        <f t="shared" si="107"/>
        <v>92</v>
      </c>
      <c r="E383" s="480">
        <f t="shared" si="101"/>
        <v>1</v>
      </c>
      <c r="F383" s="453">
        <f t="shared" si="92"/>
        <v>0.8</v>
      </c>
      <c r="G383" s="445">
        <f t="shared" si="93"/>
        <v>0.7</v>
      </c>
      <c r="I383" s="476">
        <f t="shared" si="102"/>
        <v>7.9099999999999984</v>
      </c>
      <c r="J383" s="445">
        <f t="shared" si="103"/>
        <v>0.7</v>
      </c>
      <c r="L383" s="476">
        <f t="shared" si="104"/>
        <v>8.19</v>
      </c>
      <c r="M383" s="484">
        <f t="shared" si="105"/>
        <v>0.7</v>
      </c>
      <c r="O383" s="482">
        <f t="shared" si="94"/>
        <v>15.399999999999999</v>
      </c>
      <c r="P383" s="482">
        <f t="shared" si="95"/>
        <v>15.399999999999999</v>
      </c>
      <c r="Q383" s="484">
        <f t="shared" si="96"/>
        <v>11.354000000000001</v>
      </c>
      <c r="R383" s="484">
        <f t="shared" si="97"/>
        <v>7.7112090435807117</v>
      </c>
      <c r="S383" s="484">
        <f t="shared" si="98"/>
        <v>9.1</v>
      </c>
      <c r="T383" s="484">
        <f t="shared" si="99"/>
        <v>7.3552862258306444</v>
      </c>
    </row>
    <row r="384" spans="1:20">
      <c r="A384" s="445">
        <f t="shared" si="106"/>
        <v>4</v>
      </c>
      <c r="B384" s="445">
        <f t="shared" si="80"/>
        <v>2</v>
      </c>
      <c r="C384" s="445">
        <f t="shared" si="107"/>
        <v>3</v>
      </c>
      <c r="D384" s="445">
        <f t="shared" si="107"/>
        <v>93</v>
      </c>
      <c r="E384" s="480">
        <f t="shared" si="101"/>
        <v>1</v>
      </c>
      <c r="F384" s="453">
        <f t="shared" si="92"/>
        <v>0.8</v>
      </c>
      <c r="G384" s="445">
        <f t="shared" si="93"/>
        <v>0.7</v>
      </c>
      <c r="I384" s="476">
        <f t="shared" si="102"/>
        <v>7.9099999999999984</v>
      </c>
      <c r="J384" s="445">
        <f t="shared" si="103"/>
        <v>0.7</v>
      </c>
      <c r="L384" s="476">
        <f t="shared" si="104"/>
        <v>8.19</v>
      </c>
      <c r="M384" s="484">
        <f t="shared" si="105"/>
        <v>0.7</v>
      </c>
      <c r="O384" s="482">
        <f t="shared" si="94"/>
        <v>15.399999999999999</v>
      </c>
      <c r="P384" s="482">
        <f t="shared" si="95"/>
        <v>15.399999999999999</v>
      </c>
      <c r="Q384" s="484">
        <f t="shared" si="96"/>
        <v>11.354000000000001</v>
      </c>
      <c r="R384" s="484">
        <f t="shared" si="97"/>
        <v>7.7112090435807117</v>
      </c>
      <c r="S384" s="484">
        <f t="shared" si="98"/>
        <v>9.1</v>
      </c>
      <c r="T384" s="484">
        <f t="shared" si="99"/>
        <v>7.3552862258306444</v>
      </c>
    </row>
    <row r="385" spans="1:20">
      <c r="A385" s="445">
        <f t="shared" si="106"/>
        <v>4</v>
      </c>
      <c r="B385" s="445">
        <f t="shared" si="87"/>
        <v>3</v>
      </c>
      <c r="C385" s="445">
        <f t="shared" si="107"/>
        <v>4</v>
      </c>
      <c r="D385" s="445">
        <f t="shared" si="107"/>
        <v>94</v>
      </c>
      <c r="E385" s="480">
        <f t="shared" si="101"/>
        <v>1</v>
      </c>
      <c r="F385" s="453">
        <f t="shared" si="92"/>
        <v>0.8</v>
      </c>
      <c r="G385" s="445">
        <f t="shared" si="93"/>
        <v>0.7</v>
      </c>
      <c r="I385" s="476">
        <f t="shared" si="102"/>
        <v>7.9099999999999984</v>
      </c>
      <c r="J385" s="445">
        <f t="shared" si="103"/>
        <v>0.7</v>
      </c>
      <c r="L385" s="476">
        <f t="shared" si="104"/>
        <v>8.19</v>
      </c>
      <c r="M385" s="484">
        <f t="shared" si="105"/>
        <v>0.7</v>
      </c>
      <c r="O385" s="482">
        <f t="shared" si="94"/>
        <v>15.399999999999999</v>
      </c>
      <c r="P385" s="482">
        <f t="shared" si="95"/>
        <v>15.399999999999999</v>
      </c>
      <c r="Q385" s="484">
        <f t="shared" si="96"/>
        <v>11.354000000000001</v>
      </c>
      <c r="R385" s="484">
        <f t="shared" si="97"/>
        <v>7.7112090435807117</v>
      </c>
      <c r="S385" s="484">
        <f t="shared" si="98"/>
        <v>9.1</v>
      </c>
      <c r="T385" s="484">
        <f t="shared" si="99"/>
        <v>7.3552862258306444</v>
      </c>
    </row>
    <row r="386" spans="1:20">
      <c r="A386" s="445">
        <f t="shared" si="106"/>
        <v>4</v>
      </c>
      <c r="B386" s="445">
        <f t="shared" si="88"/>
        <v>4</v>
      </c>
      <c r="C386" s="445">
        <f t="shared" si="107"/>
        <v>5</v>
      </c>
      <c r="D386" s="445">
        <f t="shared" si="107"/>
        <v>95</v>
      </c>
      <c r="E386" s="480">
        <f t="shared" si="101"/>
        <v>1</v>
      </c>
      <c r="F386" s="453">
        <f t="shared" si="92"/>
        <v>0.8</v>
      </c>
      <c r="G386" s="445">
        <f t="shared" si="93"/>
        <v>0.7</v>
      </c>
      <c r="I386" s="476">
        <f t="shared" si="102"/>
        <v>7.9099999999999984</v>
      </c>
      <c r="J386" s="445">
        <f t="shared" si="103"/>
        <v>0.7</v>
      </c>
      <c r="L386" s="476">
        <f t="shared" si="104"/>
        <v>8.19</v>
      </c>
      <c r="M386" s="484">
        <f t="shared" si="105"/>
        <v>0.7</v>
      </c>
      <c r="O386" s="482">
        <f t="shared" si="94"/>
        <v>15.399999999999999</v>
      </c>
      <c r="P386" s="482">
        <f t="shared" si="95"/>
        <v>15.399999999999999</v>
      </c>
      <c r="Q386" s="484">
        <f t="shared" si="96"/>
        <v>11.354000000000001</v>
      </c>
      <c r="R386" s="484">
        <f t="shared" si="97"/>
        <v>7.7112090435807117</v>
      </c>
      <c r="S386" s="484">
        <f t="shared" si="98"/>
        <v>9.1</v>
      </c>
      <c r="T386" s="484">
        <f t="shared" si="99"/>
        <v>7.3552862258306444</v>
      </c>
    </row>
    <row r="387" spans="1:20">
      <c r="A387" s="445">
        <f t="shared" si="106"/>
        <v>4</v>
      </c>
      <c r="B387" s="445">
        <f t="shared" si="89"/>
        <v>5</v>
      </c>
      <c r="C387" s="445">
        <f t="shared" si="107"/>
        <v>6</v>
      </c>
      <c r="D387" s="445">
        <f t="shared" si="107"/>
        <v>96</v>
      </c>
      <c r="E387" s="480">
        <f t="shared" si="101"/>
        <v>1</v>
      </c>
      <c r="F387" s="453">
        <f t="shared" si="92"/>
        <v>0.8</v>
      </c>
      <c r="G387" s="445">
        <f t="shared" si="93"/>
        <v>0.7</v>
      </c>
      <c r="I387" s="476">
        <f t="shared" si="102"/>
        <v>7.9099999999999984</v>
      </c>
      <c r="J387" s="445">
        <f t="shared" si="103"/>
        <v>0.7</v>
      </c>
      <c r="L387" s="476">
        <f t="shared" si="104"/>
        <v>8.19</v>
      </c>
      <c r="M387" s="484">
        <f t="shared" si="105"/>
        <v>0.7</v>
      </c>
      <c r="O387" s="482">
        <f t="shared" si="94"/>
        <v>15.399999999999999</v>
      </c>
      <c r="P387" s="482">
        <f t="shared" si="95"/>
        <v>15.399999999999999</v>
      </c>
      <c r="Q387" s="484">
        <f t="shared" si="96"/>
        <v>11.354000000000001</v>
      </c>
      <c r="R387" s="484">
        <f t="shared" si="97"/>
        <v>7.7112090435807117</v>
      </c>
      <c r="S387" s="484">
        <f t="shared" si="98"/>
        <v>9.1</v>
      </c>
      <c r="T387" s="484">
        <f t="shared" si="99"/>
        <v>7.3552862258306444</v>
      </c>
    </row>
    <row r="388" spans="1:20">
      <c r="A388" s="445">
        <f t="shared" si="106"/>
        <v>4</v>
      </c>
      <c r="B388" s="445">
        <f t="shared" si="90"/>
        <v>6</v>
      </c>
      <c r="C388" s="445">
        <f t="shared" si="107"/>
        <v>7</v>
      </c>
      <c r="D388" s="445">
        <f t="shared" si="107"/>
        <v>97</v>
      </c>
      <c r="E388" s="480">
        <f t="shared" si="101"/>
        <v>1</v>
      </c>
      <c r="F388" s="453">
        <f t="shared" si="92"/>
        <v>0.8</v>
      </c>
      <c r="G388" s="445">
        <f t="shared" si="93"/>
        <v>0.7</v>
      </c>
      <c r="I388" s="476">
        <f t="shared" si="102"/>
        <v>7.9099999999999984</v>
      </c>
      <c r="J388" s="445">
        <f t="shared" si="103"/>
        <v>0.7</v>
      </c>
      <c r="L388" s="476">
        <f t="shared" si="104"/>
        <v>8.19</v>
      </c>
      <c r="M388" s="484">
        <f t="shared" si="105"/>
        <v>0.7</v>
      </c>
      <c r="O388" s="482">
        <f t="shared" si="94"/>
        <v>15.399999999999999</v>
      </c>
      <c r="P388" s="482">
        <f t="shared" si="95"/>
        <v>15.399999999999999</v>
      </c>
      <c r="Q388" s="484">
        <f t="shared" si="96"/>
        <v>11.354000000000001</v>
      </c>
      <c r="R388" s="484">
        <f t="shared" si="97"/>
        <v>7.7112090435807117</v>
      </c>
      <c r="S388" s="484">
        <f t="shared" si="98"/>
        <v>9.1</v>
      </c>
      <c r="T388" s="484">
        <f t="shared" si="99"/>
        <v>7.3552862258306444</v>
      </c>
    </row>
    <row r="389" spans="1:20">
      <c r="A389" s="445">
        <f t="shared" si="106"/>
        <v>4</v>
      </c>
      <c r="B389" s="445">
        <f t="shared" si="86"/>
        <v>7</v>
      </c>
      <c r="C389" s="445">
        <f t="shared" ref="C389:D404" si="108">C388+1</f>
        <v>8</v>
      </c>
      <c r="D389" s="445">
        <f t="shared" si="108"/>
        <v>98</v>
      </c>
      <c r="E389" s="480">
        <f t="shared" si="101"/>
        <v>1</v>
      </c>
      <c r="F389" s="453">
        <f t="shared" si="92"/>
        <v>0.8</v>
      </c>
      <c r="G389" s="445">
        <f t="shared" si="93"/>
        <v>0.7</v>
      </c>
      <c r="I389" s="476">
        <f t="shared" si="102"/>
        <v>7.9099999999999984</v>
      </c>
      <c r="J389" s="445">
        <f t="shared" si="103"/>
        <v>0.7</v>
      </c>
      <c r="L389" s="476">
        <f t="shared" si="104"/>
        <v>8.19</v>
      </c>
      <c r="M389" s="484">
        <f t="shared" si="105"/>
        <v>0.7</v>
      </c>
      <c r="O389" s="482">
        <f t="shared" si="94"/>
        <v>15.399999999999999</v>
      </c>
      <c r="P389" s="482">
        <f t="shared" si="95"/>
        <v>15.399999999999999</v>
      </c>
      <c r="Q389" s="484">
        <f t="shared" si="96"/>
        <v>11.354000000000001</v>
      </c>
      <c r="R389" s="484">
        <f t="shared" si="97"/>
        <v>7.7112090435807117</v>
      </c>
      <c r="S389" s="484">
        <f t="shared" si="98"/>
        <v>9.1</v>
      </c>
      <c r="T389" s="484">
        <f t="shared" si="99"/>
        <v>7.3552862258306444</v>
      </c>
    </row>
    <row r="390" spans="1:20">
      <c r="A390" s="445">
        <f t="shared" si="106"/>
        <v>4</v>
      </c>
      <c r="B390" s="445">
        <f t="shared" ref="B390:B453" si="109">$F$271</f>
        <v>1</v>
      </c>
      <c r="C390" s="445">
        <f t="shared" si="108"/>
        <v>9</v>
      </c>
      <c r="D390" s="445">
        <f t="shared" si="108"/>
        <v>99</v>
      </c>
      <c r="E390" s="480">
        <f t="shared" si="101"/>
        <v>1</v>
      </c>
      <c r="F390" s="453">
        <f t="shared" si="92"/>
        <v>0.8</v>
      </c>
      <c r="G390" s="445">
        <f t="shared" si="93"/>
        <v>0.7</v>
      </c>
      <c r="I390" s="476">
        <f t="shared" si="102"/>
        <v>7.9099999999999984</v>
      </c>
      <c r="J390" s="445">
        <f t="shared" si="103"/>
        <v>0.7</v>
      </c>
      <c r="L390" s="476">
        <f t="shared" si="104"/>
        <v>8.19</v>
      </c>
      <c r="M390" s="484">
        <f t="shared" si="105"/>
        <v>0.7</v>
      </c>
      <c r="O390" s="482">
        <f t="shared" si="94"/>
        <v>15.399999999999999</v>
      </c>
      <c r="P390" s="482">
        <f t="shared" si="95"/>
        <v>15.399999999999999</v>
      </c>
      <c r="Q390" s="484">
        <f t="shared" si="96"/>
        <v>11.354000000000001</v>
      </c>
      <c r="R390" s="484">
        <f t="shared" si="97"/>
        <v>7.7112090435807117</v>
      </c>
      <c r="S390" s="484">
        <f t="shared" si="98"/>
        <v>9.1</v>
      </c>
      <c r="T390" s="484">
        <f t="shared" si="99"/>
        <v>7.3552862258306444</v>
      </c>
    </row>
    <row r="391" spans="1:20">
      <c r="A391" s="445">
        <f t="shared" si="106"/>
        <v>4</v>
      </c>
      <c r="B391" s="445">
        <f t="shared" ref="B391:B454" si="110">$F$272</f>
        <v>2</v>
      </c>
      <c r="C391" s="445">
        <f t="shared" si="108"/>
        <v>10</v>
      </c>
      <c r="D391" s="445">
        <f t="shared" si="108"/>
        <v>100</v>
      </c>
      <c r="E391" s="480">
        <f t="shared" si="101"/>
        <v>1</v>
      </c>
      <c r="F391" s="453">
        <f t="shared" si="92"/>
        <v>0.8</v>
      </c>
      <c r="G391" s="445">
        <f t="shared" si="93"/>
        <v>0.7</v>
      </c>
      <c r="I391" s="476">
        <f t="shared" si="102"/>
        <v>7.9099999999999984</v>
      </c>
      <c r="J391" s="445">
        <f t="shared" si="103"/>
        <v>0.7</v>
      </c>
      <c r="L391" s="476">
        <f t="shared" si="104"/>
        <v>8.19</v>
      </c>
      <c r="M391" s="484">
        <f t="shared" si="105"/>
        <v>0.7</v>
      </c>
      <c r="O391" s="482">
        <f t="shared" si="94"/>
        <v>15.399999999999999</v>
      </c>
      <c r="P391" s="482">
        <f t="shared" si="95"/>
        <v>15.399999999999999</v>
      </c>
      <c r="Q391" s="484">
        <f t="shared" si="96"/>
        <v>11.354000000000001</v>
      </c>
      <c r="R391" s="484">
        <f t="shared" si="97"/>
        <v>7.7112090435807117</v>
      </c>
      <c r="S391" s="484">
        <f t="shared" si="98"/>
        <v>9.1</v>
      </c>
      <c r="T391" s="484">
        <f t="shared" si="99"/>
        <v>7.3552862258306444</v>
      </c>
    </row>
    <row r="392" spans="1:20">
      <c r="A392" s="445">
        <f t="shared" si="106"/>
        <v>4</v>
      </c>
      <c r="B392" s="445">
        <f t="shared" si="87"/>
        <v>3</v>
      </c>
      <c r="C392" s="445">
        <f t="shared" si="108"/>
        <v>11</v>
      </c>
      <c r="D392" s="445">
        <f t="shared" si="108"/>
        <v>101</v>
      </c>
      <c r="E392" s="480">
        <f t="shared" si="101"/>
        <v>1</v>
      </c>
      <c r="F392" s="453">
        <f t="shared" si="92"/>
        <v>0.8</v>
      </c>
      <c r="G392" s="445">
        <f t="shared" si="93"/>
        <v>0.7</v>
      </c>
      <c r="I392" s="476">
        <f t="shared" si="102"/>
        <v>7.9099999999999984</v>
      </c>
      <c r="J392" s="445">
        <f t="shared" si="103"/>
        <v>0.7</v>
      </c>
      <c r="L392" s="476">
        <f t="shared" si="104"/>
        <v>8.19</v>
      </c>
      <c r="M392" s="484">
        <f t="shared" si="105"/>
        <v>0.7</v>
      </c>
      <c r="O392" s="482">
        <f t="shared" si="94"/>
        <v>15.399999999999999</v>
      </c>
      <c r="P392" s="482">
        <f t="shared" si="95"/>
        <v>15.399999999999999</v>
      </c>
      <c r="Q392" s="484">
        <f t="shared" si="96"/>
        <v>11.354000000000001</v>
      </c>
      <c r="R392" s="484">
        <f t="shared" si="97"/>
        <v>7.7112090435807117</v>
      </c>
      <c r="S392" s="484">
        <f t="shared" si="98"/>
        <v>9.1</v>
      </c>
      <c r="T392" s="484">
        <f t="shared" si="99"/>
        <v>7.3552862258306444</v>
      </c>
    </row>
    <row r="393" spans="1:20">
      <c r="A393" s="445">
        <f t="shared" si="106"/>
        <v>4</v>
      </c>
      <c r="B393" s="445">
        <f t="shared" si="88"/>
        <v>4</v>
      </c>
      <c r="C393" s="445">
        <f t="shared" si="108"/>
        <v>12</v>
      </c>
      <c r="D393" s="445">
        <f t="shared" si="108"/>
        <v>102</v>
      </c>
      <c r="E393" s="480">
        <f t="shared" si="101"/>
        <v>1</v>
      </c>
      <c r="F393" s="453">
        <f t="shared" si="92"/>
        <v>0.8</v>
      </c>
      <c r="G393" s="445">
        <f t="shared" si="93"/>
        <v>0.7</v>
      </c>
      <c r="I393" s="476">
        <f t="shared" si="102"/>
        <v>7.9099999999999984</v>
      </c>
      <c r="J393" s="445">
        <f t="shared" si="103"/>
        <v>0.7</v>
      </c>
      <c r="L393" s="476">
        <f t="shared" si="104"/>
        <v>8.19</v>
      </c>
      <c r="M393" s="484">
        <f t="shared" si="105"/>
        <v>0.7</v>
      </c>
      <c r="O393" s="482">
        <f t="shared" si="94"/>
        <v>15.399999999999999</v>
      </c>
      <c r="P393" s="482">
        <f t="shared" si="95"/>
        <v>15.399999999999999</v>
      </c>
      <c r="Q393" s="484">
        <f t="shared" si="96"/>
        <v>11.354000000000001</v>
      </c>
      <c r="R393" s="484">
        <f t="shared" si="97"/>
        <v>7.7112090435807117</v>
      </c>
      <c r="S393" s="484">
        <f t="shared" si="98"/>
        <v>9.1</v>
      </c>
      <c r="T393" s="484">
        <f t="shared" si="99"/>
        <v>7.3552862258306444</v>
      </c>
    </row>
    <row r="394" spans="1:20">
      <c r="A394" s="445">
        <f t="shared" si="106"/>
        <v>4</v>
      </c>
      <c r="B394" s="445">
        <f t="shared" si="89"/>
        <v>5</v>
      </c>
      <c r="C394" s="445">
        <f t="shared" si="108"/>
        <v>13</v>
      </c>
      <c r="D394" s="445">
        <f t="shared" si="108"/>
        <v>103</v>
      </c>
      <c r="E394" s="480">
        <f t="shared" si="101"/>
        <v>1</v>
      </c>
      <c r="F394" s="453">
        <f t="shared" si="92"/>
        <v>0.8</v>
      </c>
      <c r="G394" s="445">
        <f t="shared" si="93"/>
        <v>0.7</v>
      </c>
      <c r="I394" s="476">
        <f t="shared" si="102"/>
        <v>7.9099999999999984</v>
      </c>
      <c r="J394" s="445">
        <f t="shared" si="103"/>
        <v>0.7</v>
      </c>
      <c r="L394" s="476">
        <f t="shared" si="104"/>
        <v>8.19</v>
      </c>
      <c r="M394" s="484">
        <f t="shared" si="105"/>
        <v>0.7</v>
      </c>
      <c r="O394" s="482">
        <f t="shared" si="94"/>
        <v>15.399999999999999</v>
      </c>
      <c r="P394" s="482">
        <f t="shared" si="95"/>
        <v>15.399999999999999</v>
      </c>
      <c r="Q394" s="484">
        <f t="shared" si="96"/>
        <v>11.354000000000001</v>
      </c>
      <c r="R394" s="484">
        <f t="shared" si="97"/>
        <v>7.7112090435807117</v>
      </c>
      <c r="S394" s="484">
        <f t="shared" si="98"/>
        <v>9.1</v>
      </c>
      <c r="T394" s="484">
        <f t="shared" si="99"/>
        <v>7.3552862258306444</v>
      </c>
    </row>
    <row r="395" spans="1:20">
      <c r="A395" s="445">
        <f t="shared" si="106"/>
        <v>4</v>
      </c>
      <c r="B395" s="445">
        <f t="shared" si="90"/>
        <v>6</v>
      </c>
      <c r="C395" s="445">
        <f t="shared" si="108"/>
        <v>14</v>
      </c>
      <c r="D395" s="445">
        <f t="shared" si="108"/>
        <v>104</v>
      </c>
      <c r="E395" s="480">
        <f t="shared" si="101"/>
        <v>1</v>
      </c>
      <c r="F395" s="453">
        <f t="shared" si="92"/>
        <v>0.8</v>
      </c>
      <c r="G395" s="445">
        <f t="shared" si="93"/>
        <v>0.7</v>
      </c>
      <c r="I395" s="476">
        <f t="shared" si="102"/>
        <v>7.9099999999999984</v>
      </c>
      <c r="J395" s="445">
        <f t="shared" si="103"/>
        <v>0.7</v>
      </c>
      <c r="L395" s="476">
        <f t="shared" si="104"/>
        <v>8.19</v>
      </c>
      <c r="M395" s="484">
        <f t="shared" si="105"/>
        <v>0.7</v>
      </c>
      <c r="O395" s="482">
        <f t="shared" si="94"/>
        <v>15.399999999999999</v>
      </c>
      <c r="P395" s="482">
        <f t="shared" si="95"/>
        <v>15.399999999999999</v>
      </c>
      <c r="Q395" s="484">
        <f t="shared" si="96"/>
        <v>11.354000000000001</v>
      </c>
      <c r="R395" s="484">
        <f t="shared" si="97"/>
        <v>7.7112090435807117</v>
      </c>
      <c r="S395" s="484">
        <f t="shared" si="98"/>
        <v>9.1</v>
      </c>
      <c r="T395" s="484">
        <f t="shared" si="99"/>
        <v>7.3552862258306444</v>
      </c>
    </row>
    <row r="396" spans="1:20">
      <c r="A396" s="445">
        <f t="shared" si="106"/>
        <v>4</v>
      </c>
      <c r="B396" s="445">
        <f t="shared" ref="B396:B459" si="111">$F$277</f>
        <v>7</v>
      </c>
      <c r="C396" s="445">
        <f t="shared" si="108"/>
        <v>15</v>
      </c>
      <c r="D396" s="445">
        <f t="shared" si="108"/>
        <v>105</v>
      </c>
      <c r="E396" s="480">
        <f t="shared" si="101"/>
        <v>1</v>
      </c>
      <c r="F396" s="453">
        <f t="shared" si="92"/>
        <v>0.8</v>
      </c>
      <c r="G396" s="445">
        <f t="shared" si="93"/>
        <v>0.7</v>
      </c>
      <c r="I396" s="476">
        <f t="shared" si="102"/>
        <v>7.9099999999999984</v>
      </c>
      <c r="J396" s="445">
        <f t="shared" si="103"/>
        <v>0.7</v>
      </c>
      <c r="L396" s="476">
        <f t="shared" si="104"/>
        <v>8.19</v>
      </c>
      <c r="M396" s="484">
        <f t="shared" si="105"/>
        <v>0.7</v>
      </c>
      <c r="O396" s="482">
        <f t="shared" si="94"/>
        <v>15.399999999999999</v>
      </c>
      <c r="P396" s="482">
        <f t="shared" si="95"/>
        <v>15.399999999999999</v>
      </c>
      <c r="Q396" s="484">
        <f t="shared" si="96"/>
        <v>11.354000000000001</v>
      </c>
      <c r="R396" s="484">
        <f t="shared" si="97"/>
        <v>7.7112090435807117</v>
      </c>
      <c r="S396" s="484">
        <f t="shared" si="98"/>
        <v>9.1</v>
      </c>
      <c r="T396" s="484">
        <f t="shared" si="99"/>
        <v>7.3552862258306444</v>
      </c>
    </row>
    <row r="397" spans="1:20">
      <c r="A397" s="445">
        <f t="shared" si="106"/>
        <v>4</v>
      </c>
      <c r="B397" s="445">
        <f t="shared" si="109"/>
        <v>1</v>
      </c>
      <c r="C397" s="445">
        <f t="shared" si="108"/>
        <v>16</v>
      </c>
      <c r="D397" s="445">
        <f t="shared" si="108"/>
        <v>106</v>
      </c>
      <c r="E397" s="480">
        <f t="shared" si="101"/>
        <v>1</v>
      </c>
      <c r="F397" s="453">
        <f t="shared" si="92"/>
        <v>0.8</v>
      </c>
      <c r="G397" s="445">
        <f t="shared" si="93"/>
        <v>0.7</v>
      </c>
      <c r="I397" s="476">
        <f t="shared" si="102"/>
        <v>7.9099999999999984</v>
      </c>
      <c r="J397" s="445">
        <f t="shared" si="103"/>
        <v>0.7</v>
      </c>
      <c r="L397" s="476">
        <f t="shared" si="104"/>
        <v>8.19</v>
      </c>
      <c r="M397" s="484">
        <f t="shared" si="105"/>
        <v>0.7</v>
      </c>
      <c r="O397" s="482">
        <f t="shared" si="94"/>
        <v>15.399999999999999</v>
      </c>
      <c r="P397" s="482">
        <f t="shared" si="95"/>
        <v>15.399999999999999</v>
      </c>
      <c r="Q397" s="484">
        <f t="shared" si="96"/>
        <v>11.354000000000001</v>
      </c>
      <c r="R397" s="484">
        <f t="shared" si="97"/>
        <v>7.7112090435807117</v>
      </c>
      <c r="S397" s="484">
        <f t="shared" si="98"/>
        <v>9.1</v>
      </c>
      <c r="T397" s="484">
        <f t="shared" si="99"/>
        <v>7.3552862258306444</v>
      </c>
    </row>
    <row r="398" spans="1:20">
      <c r="A398" s="445">
        <f t="shared" si="106"/>
        <v>4</v>
      </c>
      <c r="B398" s="445">
        <f t="shared" si="110"/>
        <v>2</v>
      </c>
      <c r="C398" s="445">
        <f t="shared" si="108"/>
        <v>17</v>
      </c>
      <c r="D398" s="445">
        <f t="shared" si="108"/>
        <v>107</v>
      </c>
      <c r="E398" s="480">
        <f t="shared" si="101"/>
        <v>1</v>
      </c>
      <c r="F398" s="453">
        <f t="shared" si="92"/>
        <v>0.8</v>
      </c>
      <c r="G398" s="445">
        <f t="shared" si="93"/>
        <v>0.7</v>
      </c>
      <c r="I398" s="476">
        <f t="shared" si="102"/>
        <v>7.9099999999999984</v>
      </c>
      <c r="J398" s="445">
        <f t="shared" si="103"/>
        <v>0.7</v>
      </c>
      <c r="L398" s="476">
        <f t="shared" si="104"/>
        <v>8.19</v>
      </c>
      <c r="M398" s="484">
        <f t="shared" si="105"/>
        <v>0.7</v>
      </c>
      <c r="O398" s="482">
        <f t="shared" si="94"/>
        <v>15.399999999999999</v>
      </c>
      <c r="P398" s="482">
        <f t="shared" si="95"/>
        <v>15.399999999999999</v>
      </c>
      <c r="Q398" s="484">
        <f t="shared" si="96"/>
        <v>11.354000000000001</v>
      </c>
      <c r="R398" s="484">
        <f t="shared" si="97"/>
        <v>7.7112090435807117</v>
      </c>
      <c r="S398" s="484">
        <f t="shared" si="98"/>
        <v>9.1</v>
      </c>
      <c r="T398" s="484">
        <f t="shared" si="99"/>
        <v>7.3552862258306444</v>
      </c>
    </row>
    <row r="399" spans="1:20">
      <c r="A399" s="445">
        <f t="shared" si="106"/>
        <v>4</v>
      </c>
      <c r="B399" s="445">
        <f t="shared" ref="B399:B462" si="112">$F$273</f>
        <v>3</v>
      </c>
      <c r="C399" s="445">
        <f t="shared" si="108"/>
        <v>18</v>
      </c>
      <c r="D399" s="445">
        <f t="shared" si="108"/>
        <v>108</v>
      </c>
      <c r="E399" s="480">
        <f t="shared" si="101"/>
        <v>1</v>
      </c>
      <c r="F399" s="453">
        <f t="shared" si="92"/>
        <v>0.8</v>
      </c>
      <c r="G399" s="445">
        <f t="shared" si="93"/>
        <v>0.7</v>
      </c>
      <c r="I399" s="476">
        <f t="shared" si="102"/>
        <v>7.9099999999999984</v>
      </c>
      <c r="J399" s="445">
        <f t="shared" si="103"/>
        <v>0.7</v>
      </c>
      <c r="L399" s="476">
        <f t="shared" si="104"/>
        <v>8.19</v>
      </c>
      <c r="M399" s="484">
        <f t="shared" si="105"/>
        <v>0.7</v>
      </c>
      <c r="O399" s="482">
        <f t="shared" si="94"/>
        <v>15.399999999999999</v>
      </c>
      <c r="P399" s="482">
        <f t="shared" si="95"/>
        <v>15.399999999999999</v>
      </c>
      <c r="Q399" s="484">
        <f t="shared" si="96"/>
        <v>11.354000000000001</v>
      </c>
      <c r="R399" s="484">
        <f t="shared" si="97"/>
        <v>7.7112090435807117</v>
      </c>
      <c r="S399" s="484">
        <f t="shared" si="98"/>
        <v>9.1</v>
      </c>
      <c r="T399" s="484">
        <f t="shared" si="99"/>
        <v>7.3552862258306444</v>
      </c>
    </row>
    <row r="400" spans="1:20">
      <c r="A400" s="445">
        <f t="shared" si="106"/>
        <v>4</v>
      </c>
      <c r="B400" s="445">
        <f t="shared" ref="B400:B463" si="113">$F$274</f>
        <v>4</v>
      </c>
      <c r="C400" s="445">
        <f t="shared" si="108"/>
        <v>19</v>
      </c>
      <c r="D400" s="445">
        <f t="shared" si="108"/>
        <v>109</v>
      </c>
      <c r="E400" s="480">
        <f t="shared" si="101"/>
        <v>1</v>
      </c>
      <c r="F400" s="453">
        <f t="shared" si="92"/>
        <v>0.8</v>
      </c>
      <c r="G400" s="445">
        <f t="shared" si="93"/>
        <v>0.7</v>
      </c>
      <c r="I400" s="476">
        <f t="shared" si="102"/>
        <v>7.9099999999999984</v>
      </c>
      <c r="J400" s="445">
        <f t="shared" si="103"/>
        <v>0.7</v>
      </c>
      <c r="L400" s="476">
        <f t="shared" si="104"/>
        <v>8.19</v>
      </c>
      <c r="M400" s="484">
        <f t="shared" si="105"/>
        <v>0.7</v>
      </c>
      <c r="O400" s="482">
        <f t="shared" si="94"/>
        <v>15.399999999999999</v>
      </c>
      <c r="P400" s="482">
        <f t="shared" si="95"/>
        <v>15.399999999999999</v>
      </c>
      <c r="Q400" s="484">
        <f t="shared" si="96"/>
        <v>11.354000000000001</v>
      </c>
      <c r="R400" s="484">
        <f t="shared" si="97"/>
        <v>7.7112090435807117</v>
      </c>
      <c r="S400" s="484">
        <f t="shared" si="98"/>
        <v>9.1</v>
      </c>
      <c r="T400" s="484">
        <f t="shared" si="99"/>
        <v>7.3552862258306444</v>
      </c>
    </row>
    <row r="401" spans="1:20">
      <c r="A401" s="445">
        <f t="shared" si="106"/>
        <v>4</v>
      </c>
      <c r="B401" s="445">
        <f t="shared" ref="B401:B464" si="114">$F$275</f>
        <v>5</v>
      </c>
      <c r="C401" s="445">
        <f t="shared" si="108"/>
        <v>20</v>
      </c>
      <c r="D401" s="445">
        <f t="shared" si="108"/>
        <v>110</v>
      </c>
      <c r="E401" s="480">
        <f t="shared" si="101"/>
        <v>1</v>
      </c>
      <c r="F401" s="453">
        <f t="shared" si="92"/>
        <v>0.8</v>
      </c>
      <c r="G401" s="445">
        <f t="shared" si="93"/>
        <v>0.7</v>
      </c>
      <c r="I401" s="476">
        <f t="shared" si="102"/>
        <v>7.9099999999999984</v>
      </c>
      <c r="J401" s="445">
        <f t="shared" si="103"/>
        <v>0.7</v>
      </c>
      <c r="L401" s="476">
        <f t="shared" si="104"/>
        <v>8.19</v>
      </c>
      <c r="M401" s="484">
        <f t="shared" si="105"/>
        <v>0.7</v>
      </c>
      <c r="O401" s="482">
        <f t="shared" si="94"/>
        <v>15.399999999999999</v>
      </c>
      <c r="P401" s="482">
        <f t="shared" si="95"/>
        <v>15.399999999999999</v>
      </c>
      <c r="Q401" s="484">
        <f t="shared" si="96"/>
        <v>11.354000000000001</v>
      </c>
      <c r="R401" s="484">
        <f t="shared" si="97"/>
        <v>7.7112090435807117</v>
      </c>
      <c r="S401" s="484">
        <f t="shared" si="98"/>
        <v>9.1</v>
      </c>
      <c r="T401" s="484">
        <f t="shared" si="99"/>
        <v>7.3552862258306444</v>
      </c>
    </row>
    <row r="402" spans="1:20">
      <c r="A402" s="445">
        <f t="shared" si="106"/>
        <v>4</v>
      </c>
      <c r="B402" s="445">
        <f t="shared" ref="B402:B465" si="115">$F$276</f>
        <v>6</v>
      </c>
      <c r="C402" s="445">
        <f t="shared" si="108"/>
        <v>21</v>
      </c>
      <c r="D402" s="445">
        <f t="shared" si="108"/>
        <v>111</v>
      </c>
      <c r="E402" s="480">
        <f t="shared" si="101"/>
        <v>1</v>
      </c>
      <c r="F402" s="453">
        <f t="shared" si="92"/>
        <v>0.8</v>
      </c>
      <c r="G402" s="445">
        <f t="shared" si="93"/>
        <v>0.7</v>
      </c>
      <c r="I402" s="476">
        <f t="shared" si="102"/>
        <v>7.9099999999999984</v>
      </c>
      <c r="J402" s="445">
        <f t="shared" si="103"/>
        <v>0.7</v>
      </c>
      <c r="L402" s="476">
        <f t="shared" si="104"/>
        <v>8.19</v>
      </c>
      <c r="M402" s="484">
        <f t="shared" si="105"/>
        <v>0.7</v>
      </c>
      <c r="O402" s="482">
        <f t="shared" si="94"/>
        <v>15.399999999999999</v>
      </c>
      <c r="P402" s="482">
        <f t="shared" si="95"/>
        <v>15.399999999999999</v>
      </c>
      <c r="Q402" s="484">
        <f t="shared" si="96"/>
        <v>11.354000000000001</v>
      </c>
      <c r="R402" s="484">
        <f t="shared" si="97"/>
        <v>7.7112090435807117</v>
      </c>
      <c r="S402" s="484">
        <f t="shared" si="98"/>
        <v>9.1</v>
      </c>
      <c r="T402" s="484">
        <f t="shared" si="99"/>
        <v>7.3552862258306444</v>
      </c>
    </row>
    <row r="403" spans="1:20">
      <c r="A403" s="445">
        <f t="shared" si="106"/>
        <v>4</v>
      </c>
      <c r="B403" s="445">
        <f t="shared" si="111"/>
        <v>7</v>
      </c>
      <c r="C403" s="445">
        <f t="shared" si="108"/>
        <v>22</v>
      </c>
      <c r="D403" s="445">
        <f t="shared" si="108"/>
        <v>112</v>
      </c>
      <c r="E403" s="480">
        <f t="shared" si="101"/>
        <v>1</v>
      </c>
      <c r="F403" s="453">
        <f t="shared" si="92"/>
        <v>0.8</v>
      </c>
      <c r="G403" s="445">
        <f t="shared" si="93"/>
        <v>0.7</v>
      </c>
      <c r="I403" s="476">
        <f t="shared" si="102"/>
        <v>7.9099999999999984</v>
      </c>
      <c r="J403" s="445">
        <f t="shared" si="103"/>
        <v>0.7</v>
      </c>
      <c r="L403" s="476">
        <f t="shared" si="104"/>
        <v>8.19</v>
      </c>
      <c r="M403" s="484">
        <f t="shared" si="105"/>
        <v>0.7</v>
      </c>
      <c r="O403" s="482">
        <f t="shared" si="94"/>
        <v>15.399999999999999</v>
      </c>
      <c r="P403" s="482">
        <f t="shared" si="95"/>
        <v>15.399999999999999</v>
      </c>
      <c r="Q403" s="484">
        <f t="shared" si="96"/>
        <v>11.354000000000001</v>
      </c>
      <c r="R403" s="484">
        <f t="shared" si="97"/>
        <v>7.7112090435807117</v>
      </c>
      <c r="S403" s="484">
        <f t="shared" si="98"/>
        <v>9.1</v>
      </c>
      <c r="T403" s="484">
        <f t="shared" si="99"/>
        <v>7.3552862258306444</v>
      </c>
    </row>
    <row r="404" spans="1:20">
      <c r="A404" s="445">
        <f t="shared" si="106"/>
        <v>4</v>
      </c>
      <c r="B404" s="445">
        <f t="shared" si="109"/>
        <v>1</v>
      </c>
      <c r="C404" s="445">
        <f t="shared" si="108"/>
        <v>23</v>
      </c>
      <c r="D404" s="445">
        <f t="shared" si="108"/>
        <v>113</v>
      </c>
      <c r="E404" s="480">
        <f t="shared" si="101"/>
        <v>1</v>
      </c>
      <c r="F404" s="453">
        <f t="shared" si="92"/>
        <v>0.8</v>
      </c>
      <c r="G404" s="445">
        <f t="shared" si="93"/>
        <v>0.7</v>
      </c>
      <c r="I404" s="476">
        <f t="shared" si="102"/>
        <v>7.9099999999999984</v>
      </c>
      <c r="J404" s="445">
        <f t="shared" si="103"/>
        <v>0.7</v>
      </c>
      <c r="L404" s="476">
        <f t="shared" si="104"/>
        <v>8.19</v>
      </c>
      <c r="M404" s="484">
        <f t="shared" si="105"/>
        <v>0.7</v>
      </c>
      <c r="O404" s="482">
        <f t="shared" si="94"/>
        <v>15.399999999999999</v>
      </c>
      <c r="P404" s="482">
        <f t="shared" si="95"/>
        <v>15.399999999999999</v>
      </c>
      <c r="Q404" s="484">
        <f t="shared" si="96"/>
        <v>11.354000000000001</v>
      </c>
      <c r="R404" s="484">
        <f t="shared" si="97"/>
        <v>7.7112090435807117</v>
      </c>
      <c r="S404" s="484">
        <f t="shared" si="98"/>
        <v>9.1</v>
      </c>
      <c r="T404" s="484">
        <f t="shared" si="99"/>
        <v>7.3552862258306444</v>
      </c>
    </row>
    <row r="405" spans="1:20">
      <c r="A405" s="445">
        <f t="shared" si="106"/>
        <v>4</v>
      </c>
      <c r="B405" s="445">
        <f t="shared" si="110"/>
        <v>2</v>
      </c>
      <c r="C405" s="445">
        <f t="shared" ref="C405:D420" si="116">C404+1</f>
        <v>24</v>
      </c>
      <c r="D405" s="445">
        <f t="shared" si="116"/>
        <v>114</v>
      </c>
      <c r="E405" s="480">
        <f t="shared" si="101"/>
        <v>1</v>
      </c>
      <c r="F405" s="453">
        <f t="shared" si="92"/>
        <v>0.8</v>
      </c>
      <c r="G405" s="445">
        <f t="shared" si="93"/>
        <v>0.7</v>
      </c>
      <c r="I405" s="476">
        <f t="shared" si="102"/>
        <v>7.9099999999999984</v>
      </c>
      <c r="J405" s="445">
        <f t="shared" si="103"/>
        <v>0.7</v>
      </c>
      <c r="L405" s="476">
        <f t="shared" si="104"/>
        <v>8.19</v>
      </c>
      <c r="M405" s="484">
        <f t="shared" si="105"/>
        <v>0.7</v>
      </c>
      <c r="O405" s="482">
        <f t="shared" si="94"/>
        <v>15.399999999999999</v>
      </c>
      <c r="P405" s="482">
        <f t="shared" si="95"/>
        <v>15.399999999999999</v>
      </c>
      <c r="Q405" s="484">
        <f t="shared" si="96"/>
        <v>11.354000000000001</v>
      </c>
      <c r="R405" s="484">
        <f t="shared" si="97"/>
        <v>7.7112090435807117</v>
      </c>
      <c r="S405" s="484">
        <f t="shared" si="98"/>
        <v>9.1</v>
      </c>
      <c r="T405" s="484">
        <f t="shared" si="99"/>
        <v>7.3552862258306444</v>
      </c>
    </row>
    <row r="406" spans="1:20">
      <c r="A406" s="445">
        <f t="shared" si="106"/>
        <v>4</v>
      </c>
      <c r="B406" s="445">
        <f t="shared" si="112"/>
        <v>3</v>
      </c>
      <c r="C406" s="445">
        <f t="shared" si="116"/>
        <v>25</v>
      </c>
      <c r="D406" s="445">
        <f t="shared" si="116"/>
        <v>115</v>
      </c>
      <c r="E406" s="480">
        <f t="shared" si="101"/>
        <v>1</v>
      </c>
      <c r="F406" s="453">
        <f t="shared" si="92"/>
        <v>0.8</v>
      </c>
      <c r="G406" s="445">
        <f t="shared" si="93"/>
        <v>0.7</v>
      </c>
      <c r="I406" s="476">
        <f t="shared" si="102"/>
        <v>7.9099999999999984</v>
      </c>
      <c r="J406" s="445">
        <f t="shared" si="103"/>
        <v>0.7</v>
      </c>
      <c r="L406" s="476">
        <f t="shared" si="104"/>
        <v>8.19</v>
      </c>
      <c r="M406" s="484">
        <f t="shared" si="105"/>
        <v>0.7</v>
      </c>
      <c r="O406" s="482">
        <f t="shared" si="94"/>
        <v>15.399999999999999</v>
      </c>
      <c r="P406" s="482">
        <f t="shared" si="95"/>
        <v>15.399999999999999</v>
      </c>
      <c r="Q406" s="484">
        <f t="shared" si="96"/>
        <v>11.354000000000001</v>
      </c>
      <c r="R406" s="484">
        <f t="shared" si="97"/>
        <v>7.7112090435807117</v>
      </c>
      <c r="S406" s="484">
        <f t="shared" si="98"/>
        <v>9.1</v>
      </c>
      <c r="T406" s="484">
        <f t="shared" si="99"/>
        <v>7.3552862258306444</v>
      </c>
    </row>
    <row r="407" spans="1:20">
      <c r="A407" s="445">
        <f t="shared" si="106"/>
        <v>4</v>
      </c>
      <c r="B407" s="445">
        <f t="shared" si="113"/>
        <v>4</v>
      </c>
      <c r="C407" s="445">
        <f t="shared" si="116"/>
        <v>26</v>
      </c>
      <c r="D407" s="445">
        <f t="shared" si="116"/>
        <v>116</v>
      </c>
      <c r="E407" s="480">
        <f t="shared" si="101"/>
        <v>1</v>
      </c>
      <c r="F407" s="453">
        <f t="shared" si="92"/>
        <v>0.8</v>
      </c>
      <c r="G407" s="445">
        <f t="shared" si="93"/>
        <v>0.7</v>
      </c>
      <c r="I407" s="476">
        <f t="shared" si="102"/>
        <v>7.9099999999999984</v>
      </c>
      <c r="J407" s="445">
        <f t="shared" si="103"/>
        <v>0.7</v>
      </c>
      <c r="L407" s="476">
        <f t="shared" si="104"/>
        <v>8.19</v>
      </c>
      <c r="M407" s="484">
        <f t="shared" si="105"/>
        <v>0.7</v>
      </c>
      <c r="O407" s="482">
        <f t="shared" si="94"/>
        <v>15.399999999999999</v>
      </c>
      <c r="P407" s="482">
        <f t="shared" si="95"/>
        <v>15.399999999999999</v>
      </c>
      <c r="Q407" s="484">
        <f t="shared" si="96"/>
        <v>11.354000000000001</v>
      </c>
      <c r="R407" s="484">
        <f t="shared" si="97"/>
        <v>7.7112090435807117</v>
      </c>
      <c r="S407" s="484">
        <f t="shared" si="98"/>
        <v>9.1</v>
      </c>
      <c r="T407" s="484">
        <f t="shared" si="99"/>
        <v>7.3552862258306444</v>
      </c>
    </row>
    <row r="408" spans="1:20">
      <c r="A408" s="445">
        <f t="shared" si="106"/>
        <v>4</v>
      </c>
      <c r="B408" s="445">
        <f t="shared" si="114"/>
        <v>5</v>
      </c>
      <c r="C408" s="445">
        <f t="shared" si="116"/>
        <v>27</v>
      </c>
      <c r="D408" s="445">
        <f t="shared" si="116"/>
        <v>117</v>
      </c>
      <c r="E408" s="480">
        <f t="shared" si="101"/>
        <v>1</v>
      </c>
      <c r="F408" s="453">
        <f t="shared" si="92"/>
        <v>0.8</v>
      </c>
      <c r="G408" s="445">
        <f t="shared" si="93"/>
        <v>0.7</v>
      </c>
      <c r="I408" s="476">
        <f t="shared" si="102"/>
        <v>7.9099999999999984</v>
      </c>
      <c r="J408" s="445">
        <f t="shared" si="103"/>
        <v>0.7</v>
      </c>
      <c r="L408" s="476">
        <f t="shared" si="104"/>
        <v>8.19</v>
      </c>
      <c r="M408" s="484">
        <f t="shared" si="105"/>
        <v>0.7</v>
      </c>
      <c r="O408" s="482">
        <f t="shared" si="94"/>
        <v>15.399999999999999</v>
      </c>
      <c r="P408" s="482">
        <f t="shared" si="95"/>
        <v>15.399999999999999</v>
      </c>
      <c r="Q408" s="484">
        <f t="shared" si="96"/>
        <v>11.354000000000001</v>
      </c>
      <c r="R408" s="484">
        <f t="shared" si="97"/>
        <v>7.7112090435807117</v>
      </c>
      <c r="S408" s="484">
        <f t="shared" si="98"/>
        <v>9.1</v>
      </c>
      <c r="T408" s="484">
        <f t="shared" si="99"/>
        <v>7.3552862258306444</v>
      </c>
    </row>
    <row r="409" spans="1:20">
      <c r="A409" s="445">
        <f t="shared" si="106"/>
        <v>4</v>
      </c>
      <c r="B409" s="445">
        <f t="shared" si="115"/>
        <v>6</v>
      </c>
      <c r="C409" s="445">
        <f t="shared" si="116"/>
        <v>28</v>
      </c>
      <c r="D409" s="445">
        <f t="shared" si="116"/>
        <v>118</v>
      </c>
      <c r="E409" s="480">
        <f t="shared" si="101"/>
        <v>1</v>
      </c>
      <c r="F409" s="453">
        <f t="shared" si="92"/>
        <v>0.8</v>
      </c>
      <c r="G409" s="445">
        <f t="shared" si="93"/>
        <v>0.7</v>
      </c>
      <c r="I409" s="476">
        <f t="shared" si="102"/>
        <v>7.9099999999999984</v>
      </c>
      <c r="J409" s="445">
        <f t="shared" si="103"/>
        <v>0.7</v>
      </c>
      <c r="L409" s="476">
        <f t="shared" si="104"/>
        <v>8.19</v>
      </c>
      <c r="M409" s="484">
        <f t="shared" si="105"/>
        <v>0.7</v>
      </c>
      <c r="O409" s="482">
        <f t="shared" si="94"/>
        <v>15.399999999999999</v>
      </c>
      <c r="P409" s="482">
        <f t="shared" si="95"/>
        <v>15.399999999999999</v>
      </c>
      <c r="Q409" s="484">
        <f t="shared" si="96"/>
        <v>11.354000000000001</v>
      </c>
      <c r="R409" s="484">
        <f t="shared" si="97"/>
        <v>7.7112090435807117</v>
      </c>
      <c r="S409" s="484">
        <f t="shared" si="98"/>
        <v>9.1</v>
      </c>
      <c r="T409" s="484">
        <f t="shared" si="99"/>
        <v>7.3552862258306444</v>
      </c>
    </row>
    <row r="410" spans="1:20">
      <c r="A410" s="445">
        <f t="shared" si="106"/>
        <v>4</v>
      </c>
      <c r="B410" s="445">
        <f t="shared" si="111"/>
        <v>7</v>
      </c>
      <c r="C410" s="445">
        <f t="shared" si="116"/>
        <v>29</v>
      </c>
      <c r="D410" s="445">
        <f t="shared" si="116"/>
        <v>119</v>
      </c>
      <c r="E410" s="480">
        <f t="shared" si="101"/>
        <v>1</v>
      </c>
      <c r="F410" s="453">
        <f t="shared" si="92"/>
        <v>0.8</v>
      </c>
      <c r="G410" s="445">
        <f t="shared" si="93"/>
        <v>0.7</v>
      </c>
      <c r="I410" s="476">
        <f t="shared" si="102"/>
        <v>7.9099999999999984</v>
      </c>
      <c r="J410" s="445">
        <f t="shared" si="103"/>
        <v>0.7</v>
      </c>
      <c r="L410" s="476">
        <f t="shared" si="104"/>
        <v>8.19</v>
      </c>
      <c r="M410" s="484">
        <f t="shared" si="105"/>
        <v>0.7</v>
      </c>
      <c r="O410" s="482">
        <f t="shared" si="94"/>
        <v>15.399999999999999</v>
      </c>
      <c r="P410" s="482">
        <f t="shared" si="95"/>
        <v>15.399999999999999</v>
      </c>
      <c r="Q410" s="484">
        <f t="shared" si="96"/>
        <v>11.354000000000001</v>
      </c>
      <c r="R410" s="484">
        <f t="shared" si="97"/>
        <v>7.7112090435807117</v>
      </c>
      <c r="S410" s="484">
        <f t="shared" si="98"/>
        <v>9.1</v>
      </c>
      <c r="T410" s="484">
        <f t="shared" si="99"/>
        <v>7.3552862258306444</v>
      </c>
    </row>
    <row r="411" spans="1:20">
      <c r="A411" s="445">
        <f t="shared" si="106"/>
        <v>4</v>
      </c>
      <c r="B411" s="445">
        <f t="shared" si="109"/>
        <v>1</v>
      </c>
      <c r="C411" s="445">
        <f t="shared" si="116"/>
        <v>30</v>
      </c>
      <c r="D411" s="445">
        <f t="shared" si="116"/>
        <v>120</v>
      </c>
      <c r="E411" s="480">
        <f t="shared" si="101"/>
        <v>1</v>
      </c>
      <c r="F411" s="453">
        <f t="shared" si="92"/>
        <v>0.8</v>
      </c>
      <c r="G411" s="445">
        <f t="shared" si="93"/>
        <v>0.7</v>
      </c>
      <c r="I411" s="476">
        <f t="shared" si="102"/>
        <v>7.9099999999999984</v>
      </c>
      <c r="J411" s="445">
        <f t="shared" si="103"/>
        <v>0.7</v>
      </c>
      <c r="L411" s="476">
        <f t="shared" si="104"/>
        <v>8.19</v>
      </c>
      <c r="M411" s="484">
        <f t="shared" si="105"/>
        <v>0.7</v>
      </c>
      <c r="O411" s="482">
        <f t="shared" si="94"/>
        <v>15.399999999999999</v>
      </c>
      <c r="P411" s="482">
        <f t="shared" si="95"/>
        <v>15.399999999999999</v>
      </c>
      <c r="Q411" s="484">
        <f t="shared" si="96"/>
        <v>11.354000000000001</v>
      </c>
      <c r="R411" s="484">
        <f t="shared" si="97"/>
        <v>7.7112090435807117</v>
      </c>
      <c r="S411" s="484">
        <f t="shared" si="98"/>
        <v>9.1</v>
      </c>
      <c r="T411" s="484">
        <f t="shared" si="99"/>
        <v>7.3552862258306444</v>
      </c>
    </row>
    <row r="412" spans="1:20">
      <c r="A412" s="445">
        <v>5</v>
      </c>
      <c r="B412" s="445">
        <f t="shared" si="110"/>
        <v>2</v>
      </c>
      <c r="C412" s="445">
        <v>1</v>
      </c>
      <c r="D412" s="445">
        <f t="shared" si="116"/>
        <v>121</v>
      </c>
      <c r="E412" s="480">
        <f t="shared" si="101"/>
        <v>1</v>
      </c>
      <c r="F412" s="453">
        <f t="shared" si="92"/>
        <v>0.6</v>
      </c>
      <c r="G412" s="445">
        <f t="shared" si="93"/>
        <v>0.7</v>
      </c>
      <c r="I412" s="476">
        <f t="shared" si="102"/>
        <v>7.9099999999999984</v>
      </c>
      <c r="J412" s="445">
        <f t="shared" si="103"/>
        <v>0.7</v>
      </c>
      <c r="L412" s="476">
        <f t="shared" si="104"/>
        <v>8.19</v>
      </c>
      <c r="M412" s="484">
        <f t="shared" si="105"/>
        <v>0.7</v>
      </c>
      <c r="O412" s="482">
        <f t="shared" si="94"/>
        <v>15.399999999999999</v>
      </c>
      <c r="P412" s="482">
        <f t="shared" si="95"/>
        <v>15.399999999999999</v>
      </c>
      <c r="Q412" s="484">
        <f t="shared" si="96"/>
        <v>11.354000000000001</v>
      </c>
      <c r="R412" s="484">
        <f t="shared" si="97"/>
        <v>7.7112090435807117</v>
      </c>
      <c r="S412" s="484">
        <f t="shared" si="98"/>
        <v>9.1</v>
      </c>
      <c r="T412" s="484">
        <f t="shared" si="99"/>
        <v>7.3552862258306444</v>
      </c>
    </row>
    <row r="413" spans="1:20">
      <c r="A413" s="445">
        <f t="shared" si="106"/>
        <v>5</v>
      </c>
      <c r="B413" s="445">
        <f t="shared" si="112"/>
        <v>3</v>
      </c>
      <c r="C413" s="445">
        <f t="shared" si="116"/>
        <v>2</v>
      </c>
      <c r="D413" s="445">
        <f t="shared" si="116"/>
        <v>122</v>
      </c>
      <c r="E413" s="480">
        <f t="shared" si="101"/>
        <v>1</v>
      </c>
      <c r="F413" s="453">
        <f t="shared" si="92"/>
        <v>0.6</v>
      </c>
      <c r="G413" s="445">
        <f t="shared" si="93"/>
        <v>0.7</v>
      </c>
      <c r="I413" s="476">
        <f t="shared" si="102"/>
        <v>7.9099999999999984</v>
      </c>
      <c r="J413" s="445">
        <f t="shared" si="103"/>
        <v>0.7</v>
      </c>
      <c r="L413" s="476">
        <f t="shared" si="104"/>
        <v>8.19</v>
      </c>
      <c r="M413" s="484">
        <f t="shared" si="105"/>
        <v>0.7</v>
      </c>
      <c r="O413" s="482">
        <f t="shared" si="94"/>
        <v>15.399999999999999</v>
      </c>
      <c r="P413" s="482">
        <f t="shared" si="95"/>
        <v>15.399999999999999</v>
      </c>
      <c r="Q413" s="484">
        <f t="shared" si="96"/>
        <v>11.354000000000001</v>
      </c>
      <c r="R413" s="484">
        <f t="shared" si="97"/>
        <v>7.7112090435807117</v>
      </c>
      <c r="S413" s="484">
        <f t="shared" si="98"/>
        <v>9.1</v>
      </c>
      <c r="T413" s="484">
        <f t="shared" si="99"/>
        <v>7.3552862258306444</v>
      </c>
    </row>
    <row r="414" spans="1:20">
      <c r="A414" s="445">
        <f t="shared" si="106"/>
        <v>5</v>
      </c>
      <c r="B414" s="445">
        <f t="shared" si="113"/>
        <v>4</v>
      </c>
      <c r="C414" s="445">
        <f t="shared" si="116"/>
        <v>3</v>
      </c>
      <c r="D414" s="445">
        <f t="shared" si="116"/>
        <v>123</v>
      </c>
      <c r="E414" s="480">
        <f t="shared" si="101"/>
        <v>1</v>
      </c>
      <c r="F414" s="453">
        <f t="shared" si="92"/>
        <v>0.6</v>
      </c>
      <c r="G414" s="445">
        <f t="shared" si="93"/>
        <v>0.7</v>
      </c>
      <c r="I414" s="476">
        <f t="shared" si="102"/>
        <v>7.9099999999999984</v>
      </c>
      <c r="J414" s="445">
        <f t="shared" si="103"/>
        <v>0.7</v>
      </c>
      <c r="L414" s="476">
        <f t="shared" si="104"/>
        <v>8.19</v>
      </c>
      <c r="M414" s="484">
        <f t="shared" si="105"/>
        <v>0.7</v>
      </c>
      <c r="O414" s="482">
        <f t="shared" si="94"/>
        <v>15.399999999999999</v>
      </c>
      <c r="P414" s="482">
        <f t="shared" si="95"/>
        <v>15.399999999999999</v>
      </c>
      <c r="Q414" s="484">
        <f t="shared" si="96"/>
        <v>11.354000000000001</v>
      </c>
      <c r="R414" s="484">
        <f t="shared" si="97"/>
        <v>7.7112090435807117</v>
      </c>
      <c r="S414" s="484">
        <f t="shared" si="98"/>
        <v>9.1</v>
      </c>
      <c r="T414" s="484">
        <f t="shared" si="99"/>
        <v>7.3552862258306444</v>
      </c>
    </row>
    <row r="415" spans="1:20">
      <c r="A415" s="445">
        <f t="shared" si="106"/>
        <v>5</v>
      </c>
      <c r="B415" s="445">
        <f t="shared" si="114"/>
        <v>5</v>
      </c>
      <c r="C415" s="445">
        <f t="shared" si="116"/>
        <v>4</v>
      </c>
      <c r="D415" s="445">
        <f t="shared" si="116"/>
        <v>124</v>
      </c>
      <c r="E415" s="480">
        <f t="shared" si="101"/>
        <v>1</v>
      </c>
      <c r="F415" s="453">
        <f t="shared" si="92"/>
        <v>0.6</v>
      </c>
      <c r="G415" s="445">
        <f t="shared" si="93"/>
        <v>0.7</v>
      </c>
      <c r="I415" s="476">
        <f t="shared" si="102"/>
        <v>7.9099999999999984</v>
      </c>
      <c r="J415" s="445">
        <f t="shared" si="103"/>
        <v>0.7</v>
      </c>
      <c r="L415" s="476">
        <f t="shared" si="104"/>
        <v>8.19</v>
      </c>
      <c r="M415" s="484">
        <f t="shared" si="105"/>
        <v>0.7</v>
      </c>
      <c r="O415" s="482">
        <f t="shared" si="94"/>
        <v>15.399999999999999</v>
      </c>
      <c r="P415" s="482">
        <f t="shared" si="95"/>
        <v>15.399999999999999</v>
      </c>
      <c r="Q415" s="484">
        <f t="shared" si="96"/>
        <v>11.354000000000001</v>
      </c>
      <c r="R415" s="484">
        <f t="shared" si="97"/>
        <v>7.7112090435807117</v>
      </c>
      <c r="S415" s="484">
        <f t="shared" si="98"/>
        <v>9.1</v>
      </c>
      <c r="T415" s="484">
        <f t="shared" si="99"/>
        <v>7.3552862258306444</v>
      </c>
    </row>
    <row r="416" spans="1:20">
      <c r="A416" s="445">
        <f t="shared" si="106"/>
        <v>5</v>
      </c>
      <c r="B416" s="445">
        <f t="shared" si="115"/>
        <v>6</v>
      </c>
      <c r="C416" s="445">
        <f t="shared" si="116"/>
        <v>5</v>
      </c>
      <c r="D416" s="445">
        <f t="shared" si="116"/>
        <v>125</v>
      </c>
      <c r="E416" s="480">
        <f t="shared" si="101"/>
        <v>1</v>
      </c>
      <c r="F416" s="453">
        <f t="shared" si="92"/>
        <v>0.6</v>
      </c>
      <c r="G416" s="445">
        <f t="shared" si="93"/>
        <v>0.7</v>
      </c>
      <c r="I416" s="476">
        <f t="shared" si="102"/>
        <v>7.9099999999999984</v>
      </c>
      <c r="J416" s="445">
        <f t="shared" si="103"/>
        <v>0.7</v>
      </c>
      <c r="L416" s="476">
        <f t="shared" si="104"/>
        <v>8.19</v>
      </c>
      <c r="M416" s="484">
        <f t="shared" si="105"/>
        <v>0.7</v>
      </c>
      <c r="O416" s="482">
        <f t="shared" si="94"/>
        <v>15.399999999999999</v>
      </c>
      <c r="P416" s="482">
        <f t="shared" si="95"/>
        <v>15.399999999999999</v>
      </c>
      <c r="Q416" s="484">
        <f t="shared" si="96"/>
        <v>11.354000000000001</v>
      </c>
      <c r="R416" s="484">
        <f t="shared" si="97"/>
        <v>7.7112090435807117</v>
      </c>
      <c r="S416" s="484">
        <f t="shared" si="98"/>
        <v>9.1</v>
      </c>
      <c r="T416" s="484">
        <f t="shared" si="99"/>
        <v>7.3552862258306444</v>
      </c>
    </row>
    <row r="417" spans="1:20">
      <c r="A417" s="445">
        <f t="shared" si="106"/>
        <v>5</v>
      </c>
      <c r="B417" s="445">
        <f t="shared" si="111"/>
        <v>7</v>
      </c>
      <c r="C417" s="445">
        <f t="shared" si="116"/>
        <v>6</v>
      </c>
      <c r="D417" s="445">
        <f t="shared" si="116"/>
        <v>126</v>
      </c>
      <c r="E417" s="480">
        <f t="shared" si="101"/>
        <v>1</v>
      </c>
      <c r="F417" s="453">
        <f t="shared" si="92"/>
        <v>0.6</v>
      </c>
      <c r="G417" s="445">
        <f t="shared" si="93"/>
        <v>0.7</v>
      </c>
      <c r="I417" s="476">
        <f t="shared" si="102"/>
        <v>7.9099999999999984</v>
      </c>
      <c r="J417" s="445">
        <f t="shared" si="103"/>
        <v>0.7</v>
      </c>
      <c r="L417" s="476">
        <f t="shared" si="104"/>
        <v>8.19</v>
      </c>
      <c r="M417" s="484">
        <f t="shared" si="105"/>
        <v>0.7</v>
      </c>
      <c r="O417" s="482">
        <f t="shared" si="94"/>
        <v>15.399999999999999</v>
      </c>
      <c r="P417" s="482">
        <f t="shared" si="95"/>
        <v>15.399999999999999</v>
      </c>
      <c r="Q417" s="484">
        <f t="shared" si="96"/>
        <v>11.354000000000001</v>
      </c>
      <c r="R417" s="484">
        <f t="shared" si="97"/>
        <v>7.7112090435807117</v>
      </c>
      <c r="S417" s="484">
        <f t="shared" si="98"/>
        <v>9.1</v>
      </c>
      <c r="T417" s="484">
        <f t="shared" si="99"/>
        <v>7.3552862258306444</v>
      </c>
    </row>
    <row r="418" spans="1:20">
      <c r="A418" s="445">
        <f t="shared" si="106"/>
        <v>5</v>
      </c>
      <c r="B418" s="445">
        <f t="shared" si="109"/>
        <v>1</v>
      </c>
      <c r="C418" s="445">
        <f t="shared" si="116"/>
        <v>7</v>
      </c>
      <c r="D418" s="445">
        <f t="shared" si="116"/>
        <v>127</v>
      </c>
      <c r="E418" s="480">
        <f t="shared" si="101"/>
        <v>1</v>
      </c>
      <c r="F418" s="453">
        <f t="shared" si="92"/>
        <v>0.6</v>
      </c>
      <c r="G418" s="445">
        <f t="shared" si="93"/>
        <v>0.7</v>
      </c>
      <c r="I418" s="476">
        <f t="shared" si="102"/>
        <v>7.9099999999999984</v>
      </c>
      <c r="J418" s="445">
        <f t="shared" si="103"/>
        <v>0.7</v>
      </c>
      <c r="L418" s="476">
        <f t="shared" si="104"/>
        <v>8.19</v>
      </c>
      <c r="M418" s="484">
        <f t="shared" si="105"/>
        <v>0.7</v>
      </c>
      <c r="O418" s="482">
        <f t="shared" si="94"/>
        <v>15.399999999999999</v>
      </c>
      <c r="P418" s="482">
        <f t="shared" si="95"/>
        <v>15.399999999999999</v>
      </c>
      <c r="Q418" s="484">
        <f t="shared" si="96"/>
        <v>11.354000000000001</v>
      </c>
      <c r="R418" s="484">
        <f t="shared" si="97"/>
        <v>7.7112090435807117</v>
      </c>
      <c r="S418" s="484">
        <f t="shared" si="98"/>
        <v>9.1</v>
      </c>
      <c r="T418" s="484">
        <f t="shared" si="99"/>
        <v>7.3552862258306444</v>
      </c>
    </row>
    <row r="419" spans="1:20">
      <c r="A419" s="445">
        <f t="shared" si="106"/>
        <v>5</v>
      </c>
      <c r="B419" s="445">
        <f t="shared" si="110"/>
        <v>2</v>
      </c>
      <c r="C419" s="445">
        <f t="shared" si="116"/>
        <v>8</v>
      </c>
      <c r="D419" s="445">
        <f t="shared" si="116"/>
        <v>128</v>
      </c>
      <c r="E419" s="480">
        <f t="shared" si="101"/>
        <v>1</v>
      </c>
      <c r="F419" s="453">
        <f t="shared" si="92"/>
        <v>0.6</v>
      </c>
      <c r="G419" s="445">
        <f t="shared" si="93"/>
        <v>0.7</v>
      </c>
      <c r="I419" s="476">
        <f t="shared" si="102"/>
        <v>7.9099999999999984</v>
      </c>
      <c r="J419" s="445">
        <f t="shared" si="103"/>
        <v>0.7</v>
      </c>
      <c r="L419" s="476">
        <f t="shared" si="104"/>
        <v>8.19</v>
      </c>
      <c r="M419" s="484">
        <f t="shared" si="105"/>
        <v>0.7</v>
      </c>
      <c r="O419" s="482">
        <f t="shared" si="94"/>
        <v>15.399999999999999</v>
      </c>
      <c r="P419" s="482">
        <f t="shared" si="95"/>
        <v>15.399999999999999</v>
      </c>
      <c r="Q419" s="484">
        <f t="shared" si="96"/>
        <v>11.354000000000001</v>
      </c>
      <c r="R419" s="484">
        <f t="shared" si="97"/>
        <v>7.7112090435807117</v>
      </c>
      <c r="S419" s="484">
        <f t="shared" si="98"/>
        <v>9.1</v>
      </c>
      <c r="T419" s="484">
        <f t="shared" si="99"/>
        <v>7.3552862258306444</v>
      </c>
    </row>
    <row r="420" spans="1:20">
      <c r="A420" s="445">
        <f t="shared" si="106"/>
        <v>5</v>
      </c>
      <c r="B420" s="445">
        <f t="shared" si="112"/>
        <v>3</v>
      </c>
      <c r="C420" s="445">
        <f t="shared" si="116"/>
        <v>9</v>
      </c>
      <c r="D420" s="445">
        <f t="shared" si="116"/>
        <v>129</v>
      </c>
      <c r="E420" s="480">
        <f t="shared" si="101"/>
        <v>1</v>
      </c>
      <c r="F420" s="453">
        <f t="shared" ref="F420:F483" si="117">INDEX($C$271:$C$282,A420)</f>
        <v>0.6</v>
      </c>
      <c r="G420" s="445">
        <f t="shared" ref="G420:G483" si="118">INDEX($D$271:$D$282,A420)</f>
        <v>0.7</v>
      </c>
      <c r="I420" s="476">
        <f t="shared" si="102"/>
        <v>7.9099999999999984</v>
      </c>
      <c r="J420" s="445">
        <f t="shared" si="103"/>
        <v>0.7</v>
      </c>
      <c r="L420" s="476">
        <f t="shared" si="104"/>
        <v>8.19</v>
      </c>
      <c r="M420" s="484">
        <f t="shared" si="105"/>
        <v>0.7</v>
      </c>
      <c r="O420" s="482">
        <f t="shared" ref="O420:O483" si="119">IF($F$287="bisherig", $E420*$F$66*F420, $E420*$F$66*G420)</f>
        <v>15.399999999999999</v>
      </c>
      <c r="P420" s="482">
        <f t="shared" ref="P420:P483" si="120">IF($F$287="bisherig", $E420*$F$66*F420, $E420*$F$66*G420)</f>
        <v>15.399999999999999</v>
      </c>
      <c r="Q420" s="484">
        <f t="shared" ref="Q420:Q483" si="121">IF($F$287="bisherig", $E420*$G$66*F420, $E420*$G$66*G420)</f>
        <v>11.354000000000001</v>
      </c>
      <c r="R420" s="484">
        <f t="shared" ref="R420:R483" si="122">IF($F$287="bisherig", $E420*$H$66*F420, $E420*$H$66*G420)</f>
        <v>7.7112090435807117</v>
      </c>
      <c r="S420" s="484">
        <f t="shared" ref="S420:S483" si="123">IF($F$287="bisherig", $E420*$I$66*F420, $E420*$I$66*G420)</f>
        <v>9.1</v>
      </c>
      <c r="T420" s="484">
        <f t="shared" ref="T420:T483" si="124">IF($F$287="bisherig", $E420*$J$66*F420, $E420*$J$66*G420)</f>
        <v>7.3552862258306444</v>
      </c>
    </row>
    <row r="421" spans="1:20">
      <c r="A421" s="445">
        <f t="shared" si="106"/>
        <v>5</v>
      </c>
      <c r="B421" s="445">
        <f t="shared" si="113"/>
        <v>4</v>
      </c>
      <c r="C421" s="445">
        <f t="shared" ref="C421:D436" si="125">C420+1</f>
        <v>10</v>
      </c>
      <c r="D421" s="445">
        <f t="shared" si="125"/>
        <v>130</v>
      </c>
      <c r="E421" s="480">
        <f t="shared" ref="E421:E484" si="126">INDEX($H$271:$H$277,B421)</f>
        <v>1</v>
      </c>
      <c r="F421" s="453">
        <f t="shared" si="117"/>
        <v>0.6</v>
      </c>
      <c r="G421" s="445">
        <f t="shared" si="118"/>
        <v>0.7</v>
      </c>
      <c r="I421" s="476">
        <f t="shared" ref="I421:I484" si="127">IF($F$287="bisherig", $E421*$B$66*F421, $E421*$B$66*G421)</f>
        <v>7.9099999999999984</v>
      </c>
      <c r="J421" s="445">
        <f t="shared" ref="J421:J484" si="128">IF($F$287="bisherig",$E421*MAX($B$67:$B$90)*F421,$E421*MAX($B$67:$B$90)*G421)</f>
        <v>0.7</v>
      </c>
      <c r="L421" s="476">
        <f t="shared" ref="L421:L484" si="129">IF($F$287="bisherig", IF(E421=1, $D$66*F421,$E$66*F421), IF(E421=1, $D$66*G421,$E$66*G421))</f>
        <v>8.19</v>
      </c>
      <c r="M421" s="484">
        <f t="shared" ref="M421:M484" si="130">IF($F$287="bisherig", IF(E421=1, MAX($D$67:$D$90)*F421,MAX($E$67:$E$90)*F421), IF(E421=1,MAX($D$67:$D$90)*G421,MAX($E$67:$E$90)*G421))</f>
        <v>0.7</v>
      </c>
      <c r="O421" s="482">
        <f t="shared" si="119"/>
        <v>15.399999999999999</v>
      </c>
      <c r="P421" s="482">
        <f t="shared" si="120"/>
        <v>15.399999999999999</v>
      </c>
      <c r="Q421" s="484">
        <f t="shared" si="121"/>
        <v>11.354000000000001</v>
      </c>
      <c r="R421" s="484">
        <f t="shared" si="122"/>
        <v>7.7112090435807117</v>
      </c>
      <c r="S421" s="484">
        <f t="shared" si="123"/>
        <v>9.1</v>
      </c>
      <c r="T421" s="484">
        <f t="shared" si="124"/>
        <v>7.3552862258306444</v>
      </c>
    </row>
    <row r="422" spans="1:20">
      <c r="A422" s="445">
        <f t="shared" ref="A422:A485" si="131">A421</f>
        <v>5</v>
      </c>
      <c r="B422" s="445">
        <f t="shared" si="114"/>
        <v>5</v>
      </c>
      <c r="C422" s="445">
        <f t="shared" si="125"/>
        <v>11</v>
      </c>
      <c r="D422" s="445">
        <f t="shared" si="125"/>
        <v>131</v>
      </c>
      <c r="E422" s="480">
        <f t="shared" si="126"/>
        <v>1</v>
      </c>
      <c r="F422" s="453">
        <f t="shared" si="117"/>
        <v>0.6</v>
      </c>
      <c r="G422" s="445">
        <f t="shared" si="118"/>
        <v>0.7</v>
      </c>
      <c r="I422" s="476">
        <f t="shared" si="127"/>
        <v>7.9099999999999984</v>
      </c>
      <c r="J422" s="445">
        <f t="shared" si="128"/>
        <v>0.7</v>
      </c>
      <c r="L422" s="476">
        <f t="shared" si="129"/>
        <v>8.19</v>
      </c>
      <c r="M422" s="484">
        <f t="shared" si="130"/>
        <v>0.7</v>
      </c>
      <c r="O422" s="482">
        <f t="shared" si="119"/>
        <v>15.399999999999999</v>
      </c>
      <c r="P422" s="482">
        <f t="shared" si="120"/>
        <v>15.399999999999999</v>
      </c>
      <c r="Q422" s="484">
        <f t="shared" si="121"/>
        <v>11.354000000000001</v>
      </c>
      <c r="R422" s="484">
        <f t="shared" si="122"/>
        <v>7.7112090435807117</v>
      </c>
      <c r="S422" s="484">
        <f t="shared" si="123"/>
        <v>9.1</v>
      </c>
      <c r="T422" s="484">
        <f t="shared" si="124"/>
        <v>7.3552862258306444</v>
      </c>
    </row>
    <row r="423" spans="1:20">
      <c r="A423" s="445">
        <f t="shared" si="131"/>
        <v>5</v>
      </c>
      <c r="B423" s="445">
        <f t="shared" si="115"/>
        <v>6</v>
      </c>
      <c r="C423" s="445">
        <f t="shared" si="125"/>
        <v>12</v>
      </c>
      <c r="D423" s="445">
        <f t="shared" si="125"/>
        <v>132</v>
      </c>
      <c r="E423" s="480">
        <f t="shared" si="126"/>
        <v>1</v>
      </c>
      <c r="F423" s="453">
        <f t="shared" si="117"/>
        <v>0.6</v>
      </c>
      <c r="G423" s="445">
        <f t="shared" si="118"/>
        <v>0.7</v>
      </c>
      <c r="I423" s="476">
        <f t="shared" si="127"/>
        <v>7.9099999999999984</v>
      </c>
      <c r="J423" s="445">
        <f t="shared" si="128"/>
        <v>0.7</v>
      </c>
      <c r="L423" s="476">
        <f t="shared" si="129"/>
        <v>8.19</v>
      </c>
      <c r="M423" s="484">
        <f t="shared" si="130"/>
        <v>0.7</v>
      </c>
      <c r="O423" s="482">
        <f t="shared" si="119"/>
        <v>15.399999999999999</v>
      </c>
      <c r="P423" s="482">
        <f t="shared" si="120"/>
        <v>15.399999999999999</v>
      </c>
      <c r="Q423" s="484">
        <f t="shared" si="121"/>
        <v>11.354000000000001</v>
      </c>
      <c r="R423" s="484">
        <f t="shared" si="122"/>
        <v>7.7112090435807117</v>
      </c>
      <c r="S423" s="484">
        <f t="shared" si="123"/>
        <v>9.1</v>
      </c>
      <c r="T423" s="484">
        <f t="shared" si="124"/>
        <v>7.3552862258306444</v>
      </c>
    </row>
    <row r="424" spans="1:20">
      <c r="A424" s="445">
        <f t="shared" si="131"/>
        <v>5</v>
      </c>
      <c r="B424" s="445">
        <f t="shared" si="111"/>
        <v>7</v>
      </c>
      <c r="C424" s="445">
        <f t="shared" si="125"/>
        <v>13</v>
      </c>
      <c r="D424" s="445">
        <f t="shared" si="125"/>
        <v>133</v>
      </c>
      <c r="E424" s="480">
        <f t="shared" si="126"/>
        <v>1</v>
      </c>
      <c r="F424" s="453">
        <f t="shared" si="117"/>
        <v>0.6</v>
      </c>
      <c r="G424" s="445">
        <f t="shared" si="118"/>
        <v>0.7</v>
      </c>
      <c r="I424" s="476">
        <f t="shared" si="127"/>
        <v>7.9099999999999984</v>
      </c>
      <c r="J424" s="445">
        <f t="shared" si="128"/>
        <v>0.7</v>
      </c>
      <c r="L424" s="476">
        <f t="shared" si="129"/>
        <v>8.19</v>
      </c>
      <c r="M424" s="484">
        <f t="shared" si="130"/>
        <v>0.7</v>
      </c>
      <c r="O424" s="482">
        <f t="shared" si="119"/>
        <v>15.399999999999999</v>
      </c>
      <c r="P424" s="482">
        <f t="shared" si="120"/>
        <v>15.399999999999999</v>
      </c>
      <c r="Q424" s="484">
        <f t="shared" si="121"/>
        <v>11.354000000000001</v>
      </c>
      <c r="R424" s="484">
        <f t="shared" si="122"/>
        <v>7.7112090435807117</v>
      </c>
      <c r="S424" s="484">
        <f t="shared" si="123"/>
        <v>9.1</v>
      </c>
      <c r="T424" s="484">
        <f t="shared" si="124"/>
        <v>7.3552862258306444</v>
      </c>
    </row>
    <row r="425" spans="1:20">
      <c r="A425" s="445">
        <f t="shared" si="131"/>
        <v>5</v>
      </c>
      <c r="B425" s="445">
        <f t="shared" si="109"/>
        <v>1</v>
      </c>
      <c r="C425" s="445">
        <f t="shared" si="125"/>
        <v>14</v>
      </c>
      <c r="D425" s="445">
        <f t="shared" si="125"/>
        <v>134</v>
      </c>
      <c r="E425" s="480">
        <f t="shared" si="126"/>
        <v>1</v>
      </c>
      <c r="F425" s="453">
        <f t="shared" si="117"/>
        <v>0.6</v>
      </c>
      <c r="G425" s="445">
        <f t="shared" si="118"/>
        <v>0.7</v>
      </c>
      <c r="I425" s="476">
        <f t="shared" si="127"/>
        <v>7.9099999999999984</v>
      </c>
      <c r="J425" s="445">
        <f t="shared" si="128"/>
        <v>0.7</v>
      </c>
      <c r="L425" s="476">
        <f t="shared" si="129"/>
        <v>8.19</v>
      </c>
      <c r="M425" s="484">
        <f t="shared" si="130"/>
        <v>0.7</v>
      </c>
      <c r="O425" s="482">
        <f t="shared" si="119"/>
        <v>15.399999999999999</v>
      </c>
      <c r="P425" s="482">
        <f t="shared" si="120"/>
        <v>15.399999999999999</v>
      </c>
      <c r="Q425" s="484">
        <f t="shared" si="121"/>
        <v>11.354000000000001</v>
      </c>
      <c r="R425" s="484">
        <f t="shared" si="122"/>
        <v>7.7112090435807117</v>
      </c>
      <c r="S425" s="484">
        <f t="shared" si="123"/>
        <v>9.1</v>
      </c>
      <c r="T425" s="484">
        <f t="shared" si="124"/>
        <v>7.3552862258306444</v>
      </c>
    </row>
    <row r="426" spans="1:20">
      <c r="A426" s="445">
        <f t="shared" si="131"/>
        <v>5</v>
      </c>
      <c r="B426" s="445">
        <f t="shared" si="110"/>
        <v>2</v>
      </c>
      <c r="C426" s="445">
        <f t="shared" si="125"/>
        <v>15</v>
      </c>
      <c r="D426" s="445">
        <f t="shared" si="125"/>
        <v>135</v>
      </c>
      <c r="E426" s="480">
        <f t="shared" si="126"/>
        <v>1</v>
      </c>
      <c r="F426" s="453">
        <f t="shared" si="117"/>
        <v>0.6</v>
      </c>
      <c r="G426" s="445">
        <f t="shared" si="118"/>
        <v>0.7</v>
      </c>
      <c r="I426" s="476">
        <f t="shared" si="127"/>
        <v>7.9099999999999984</v>
      </c>
      <c r="J426" s="445">
        <f t="shared" si="128"/>
        <v>0.7</v>
      </c>
      <c r="L426" s="476">
        <f t="shared" si="129"/>
        <v>8.19</v>
      </c>
      <c r="M426" s="484">
        <f t="shared" si="130"/>
        <v>0.7</v>
      </c>
      <c r="O426" s="482">
        <f t="shared" si="119"/>
        <v>15.399999999999999</v>
      </c>
      <c r="P426" s="482">
        <f t="shared" si="120"/>
        <v>15.399999999999999</v>
      </c>
      <c r="Q426" s="484">
        <f t="shared" si="121"/>
        <v>11.354000000000001</v>
      </c>
      <c r="R426" s="484">
        <f t="shared" si="122"/>
        <v>7.7112090435807117</v>
      </c>
      <c r="S426" s="484">
        <f t="shared" si="123"/>
        <v>9.1</v>
      </c>
      <c r="T426" s="484">
        <f t="shared" si="124"/>
        <v>7.3552862258306444</v>
      </c>
    </row>
    <row r="427" spans="1:20">
      <c r="A427" s="445">
        <f t="shared" si="131"/>
        <v>5</v>
      </c>
      <c r="B427" s="445">
        <f t="shared" si="112"/>
        <v>3</v>
      </c>
      <c r="C427" s="445">
        <f t="shared" si="125"/>
        <v>16</v>
      </c>
      <c r="D427" s="445">
        <f t="shared" si="125"/>
        <v>136</v>
      </c>
      <c r="E427" s="480">
        <f t="shared" si="126"/>
        <v>1</v>
      </c>
      <c r="F427" s="453">
        <f t="shared" si="117"/>
        <v>0.6</v>
      </c>
      <c r="G427" s="445">
        <f t="shared" si="118"/>
        <v>0.7</v>
      </c>
      <c r="I427" s="476">
        <f t="shared" si="127"/>
        <v>7.9099999999999984</v>
      </c>
      <c r="J427" s="445">
        <f t="shared" si="128"/>
        <v>0.7</v>
      </c>
      <c r="L427" s="476">
        <f t="shared" si="129"/>
        <v>8.19</v>
      </c>
      <c r="M427" s="484">
        <f t="shared" si="130"/>
        <v>0.7</v>
      </c>
      <c r="O427" s="482">
        <f t="shared" si="119"/>
        <v>15.399999999999999</v>
      </c>
      <c r="P427" s="482">
        <f t="shared" si="120"/>
        <v>15.399999999999999</v>
      </c>
      <c r="Q427" s="484">
        <f t="shared" si="121"/>
        <v>11.354000000000001</v>
      </c>
      <c r="R427" s="484">
        <f t="shared" si="122"/>
        <v>7.7112090435807117</v>
      </c>
      <c r="S427" s="484">
        <f t="shared" si="123"/>
        <v>9.1</v>
      </c>
      <c r="T427" s="484">
        <f t="shared" si="124"/>
        <v>7.3552862258306444</v>
      </c>
    </row>
    <row r="428" spans="1:20">
      <c r="A428" s="445">
        <f t="shared" si="131"/>
        <v>5</v>
      </c>
      <c r="B428" s="445">
        <f t="shared" si="113"/>
        <v>4</v>
      </c>
      <c r="C428" s="445">
        <f t="shared" si="125"/>
        <v>17</v>
      </c>
      <c r="D428" s="445">
        <f t="shared" si="125"/>
        <v>137</v>
      </c>
      <c r="E428" s="480">
        <f t="shared" si="126"/>
        <v>1</v>
      </c>
      <c r="F428" s="453">
        <f t="shared" si="117"/>
        <v>0.6</v>
      </c>
      <c r="G428" s="445">
        <f t="shared" si="118"/>
        <v>0.7</v>
      </c>
      <c r="I428" s="476">
        <f t="shared" si="127"/>
        <v>7.9099999999999984</v>
      </c>
      <c r="J428" s="445">
        <f t="shared" si="128"/>
        <v>0.7</v>
      </c>
      <c r="L428" s="476">
        <f t="shared" si="129"/>
        <v>8.19</v>
      </c>
      <c r="M428" s="484">
        <f t="shared" si="130"/>
        <v>0.7</v>
      </c>
      <c r="O428" s="482">
        <f t="shared" si="119"/>
        <v>15.399999999999999</v>
      </c>
      <c r="P428" s="482">
        <f t="shared" si="120"/>
        <v>15.399999999999999</v>
      </c>
      <c r="Q428" s="484">
        <f t="shared" si="121"/>
        <v>11.354000000000001</v>
      </c>
      <c r="R428" s="484">
        <f t="shared" si="122"/>
        <v>7.7112090435807117</v>
      </c>
      <c r="S428" s="484">
        <f t="shared" si="123"/>
        <v>9.1</v>
      </c>
      <c r="T428" s="484">
        <f t="shared" si="124"/>
        <v>7.3552862258306444</v>
      </c>
    </row>
    <row r="429" spans="1:20">
      <c r="A429" s="445">
        <f t="shared" si="131"/>
        <v>5</v>
      </c>
      <c r="B429" s="445">
        <f t="shared" si="114"/>
        <v>5</v>
      </c>
      <c r="C429" s="445">
        <f t="shared" si="125"/>
        <v>18</v>
      </c>
      <c r="D429" s="445">
        <f t="shared" si="125"/>
        <v>138</v>
      </c>
      <c r="E429" s="480">
        <f t="shared" si="126"/>
        <v>1</v>
      </c>
      <c r="F429" s="453">
        <f t="shared" si="117"/>
        <v>0.6</v>
      </c>
      <c r="G429" s="445">
        <f t="shared" si="118"/>
        <v>0.7</v>
      </c>
      <c r="I429" s="476">
        <f t="shared" si="127"/>
        <v>7.9099999999999984</v>
      </c>
      <c r="J429" s="445">
        <f t="shared" si="128"/>
        <v>0.7</v>
      </c>
      <c r="L429" s="476">
        <f t="shared" si="129"/>
        <v>8.19</v>
      </c>
      <c r="M429" s="484">
        <f t="shared" si="130"/>
        <v>0.7</v>
      </c>
      <c r="O429" s="482">
        <f t="shared" si="119"/>
        <v>15.399999999999999</v>
      </c>
      <c r="P429" s="482">
        <f t="shared" si="120"/>
        <v>15.399999999999999</v>
      </c>
      <c r="Q429" s="484">
        <f t="shared" si="121"/>
        <v>11.354000000000001</v>
      </c>
      <c r="R429" s="484">
        <f t="shared" si="122"/>
        <v>7.7112090435807117</v>
      </c>
      <c r="S429" s="484">
        <f t="shared" si="123"/>
        <v>9.1</v>
      </c>
      <c r="T429" s="484">
        <f t="shared" si="124"/>
        <v>7.3552862258306444</v>
      </c>
    </row>
    <row r="430" spans="1:20">
      <c r="A430" s="445">
        <f t="shared" si="131"/>
        <v>5</v>
      </c>
      <c r="B430" s="445">
        <f t="shared" si="115"/>
        <v>6</v>
      </c>
      <c r="C430" s="445">
        <f t="shared" si="125"/>
        <v>19</v>
      </c>
      <c r="D430" s="445">
        <f t="shared" si="125"/>
        <v>139</v>
      </c>
      <c r="E430" s="480">
        <f t="shared" si="126"/>
        <v>1</v>
      </c>
      <c r="F430" s="453">
        <f t="shared" si="117"/>
        <v>0.6</v>
      </c>
      <c r="G430" s="445">
        <f t="shared" si="118"/>
        <v>0.7</v>
      </c>
      <c r="I430" s="476">
        <f t="shared" si="127"/>
        <v>7.9099999999999984</v>
      </c>
      <c r="J430" s="445">
        <f t="shared" si="128"/>
        <v>0.7</v>
      </c>
      <c r="L430" s="476">
        <f t="shared" si="129"/>
        <v>8.19</v>
      </c>
      <c r="M430" s="484">
        <f t="shared" si="130"/>
        <v>0.7</v>
      </c>
      <c r="O430" s="482">
        <f t="shared" si="119"/>
        <v>15.399999999999999</v>
      </c>
      <c r="P430" s="482">
        <f t="shared" si="120"/>
        <v>15.399999999999999</v>
      </c>
      <c r="Q430" s="484">
        <f t="shared" si="121"/>
        <v>11.354000000000001</v>
      </c>
      <c r="R430" s="484">
        <f t="shared" si="122"/>
        <v>7.7112090435807117</v>
      </c>
      <c r="S430" s="484">
        <f t="shared" si="123"/>
        <v>9.1</v>
      </c>
      <c r="T430" s="484">
        <f t="shared" si="124"/>
        <v>7.3552862258306444</v>
      </c>
    </row>
    <row r="431" spans="1:20">
      <c r="A431" s="445">
        <f t="shared" si="131"/>
        <v>5</v>
      </c>
      <c r="B431" s="445">
        <f t="shared" si="111"/>
        <v>7</v>
      </c>
      <c r="C431" s="445">
        <f t="shared" si="125"/>
        <v>20</v>
      </c>
      <c r="D431" s="445">
        <f t="shared" si="125"/>
        <v>140</v>
      </c>
      <c r="E431" s="480">
        <f t="shared" si="126"/>
        <v>1</v>
      </c>
      <c r="F431" s="453">
        <f t="shared" si="117"/>
        <v>0.6</v>
      </c>
      <c r="G431" s="445">
        <f t="shared" si="118"/>
        <v>0.7</v>
      </c>
      <c r="I431" s="476">
        <f t="shared" si="127"/>
        <v>7.9099999999999984</v>
      </c>
      <c r="J431" s="445">
        <f t="shared" si="128"/>
        <v>0.7</v>
      </c>
      <c r="L431" s="476">
        <f t="shared" si="129"/>
        <v>8.19</v>
      </c>
      <c r="M431" s="484">
        <f t="shared" si="130"/>
        <v>0.7</v>
      </c>
      <c r="O431" s="482">
        <f t="shared" si="119"/>
        <v>15.399999999999999</v>
      </c>
      <c r="P431" s="482">
        <f t="shared" si="120"/>
        <v>15.399999999999999</v>
      </c>
      <c r="Q431" s="484">
        <f t="shared" si="121"/>
        <v>11.354000000000001</v>
      </c>
      <c r="R431" s="484">
        <f t="shared" si="122"/>
        <v>7.7112090435807117</v>
      </c>
      <c r="S431" s="484">
        <f t="shared" si="123"/>
        <v>9.1</v>
      </c>
      <c r="T431" s="484">
        <f t="shared" si="124"/>
        <v>7.3552862258306444</v>
      </c>
    </row>
    <row r="432" spans="1:20">
      <c r="A432" s="445">
        <f t="shared" si="131"/>
        <v>5</v>
      </c>
      <c r="B432" s="445">
        <f t="shared" si="109"/>
        <v>1</v>
      </c>
      <c r="C432" s="445">
        <f t="shared" si="125"/>
        <v>21</v>
      </c>
      <c r="D432" s="445">
        <f t="shared" si="125"/>
        <v>141</v>
      </c>
      <c r="E432" s="480">
        <f t="shared" si="126"/>
        <v>1</v>
      </c>
      <c r="F432" s="453">
        <f t="shared" si="117"/>
        <v>0.6</v>
      </c>
      <c r="G432" s="445">
        <f t="shared" si="118"/>
        <v>0.7</v>
      </c>
      <c r="I432" s="476">
        <f t="shared" si="127"/>
        <v>7.9099999999999984</v>
      </c>
      <c r="J432" s="445">
        <f t="shared" si="128"/>
        <v>0.7</v>
      </c>
      <c r="L432" s="476">
        <f t="shared" si="129"/>
        <v>8.19</v>
      </c>
      <c r="M432" s="484">
        <f t="shared" si="130"/>
        <v>0.7</v>
      </c>
      <c r="O432" s="482">
        <f t="shared" si="119"/>
        <v>15.399999999999999</v>
      </c>
      <c r="P432" s="482">
        <f t="shared" si="120"/>
        <v>15.399999999999999</v>
      </c>
      <c r="Q432" s="484">
        <f t="shared" si="121"/>
        <v>11.354000000000001</v>
      </c>
      <c r="R432" s="484">
        <f t="shared" si="122"/>
        <v>7.7112090435807117</v>
      </c>
      <c r="S432" s="484">
        <f t="shared" si="123"/>
        <v>9.1</v>
      </c>
      <c r="T432" s="484">
        <f t="shared" si="124"/>
        <v>7.3552862258306444</v>
      </c>
    </row>
    <row r="433" spans="1:20">
      <c r="A433" s="445">
        <f t="shared" si="131"/>
        <v>5</v>
      </c>
      <c r="B433" s="445">
        <f t="shared" si="110"/>
        <v>2</v>
      </c>
      <c r="C433" s="445">
        <f t="shared" si="125"/>
        <v>22</v>
      </c>
      <c r="D433" s="445">
        <f t="shared" si="125"/>
        <v>142</v>
      </c>
      <c r="E433" s="480">
        <f t="shared" si="126"/>
        <v>1</v>
      </c>
      <c r="F433" s="453">
        <f t="shared" si="117"/>
        <v>0.6</v>
      </c>
      <c r="G433" s="445">
        <f t="shared" si="118"/>
        <v>0.7</v>
      </c>
      <c r="I433" s="476">
        <f t="shared" si="127"/>
        <v>7.9099999999999984</v>
      </c>
      <c r="J433" s="445">
        <f t="shared" si="128"/>
        <v>0.7</v>
      </c>
      <c r="L433" s="476">
        <f t="shared" si="129"/>
        <v>8.19</v>
      </c>
      <c r="M433" s="484">
        <f t="shared" si="130"/>
        <v>0.7</v>
      </c>
      <c r="O433" s="482">
        <f t="shared" si="119"/>
        <v>15.399999999999999</v>
      </c>
      <c r="P433" s="482">
        <f t="shared" si="120"/>
        <v>15.399999999999999</v>
      </c>
      <c r="Q433" s="484">
        <f t="shared" si="121"/>
        <v>11.354000000000001</v>
      </c>
      <c r="R433" s="484">
        <f t="shared" si="122"/>
        <v>7.7112090435807117</v>
      </c>
      <c r="S433" s="484">
        <f t="shared" si="123"/>
        <v>9.1</v>
      </c>
      <c r="T433" s="484">
        <f t="shared" si="124"/>
        <v>7.3552862258306444</v>
      </c>
    </row>
    <row r="434" spans="1:20">
      <c r="A434" s="445">
        <f t="shared" si="131"/>
        <v>5</v>
      </c>
      <c r="B434" s="445">
        <f t="shared" si="112"/>
        <v>3</v>
      </c>
      <c r="C434" s="445">
        <f t="shared" si="125"/>
        <v>23</v>
      </c>
      <c r="D434" s="445">
        <f t="shared" si="125"/>
        <v>143</v>
      </c>
      <c r="E434" s="480">
        <f t="shared" si="126"/>
        <v>1</v>
      </c>
      <c r="F434" s="453">
        <f t="shared" si="117"/>
        <v>0.6</v>
      </c>
      <c r="G434" s="445">
        <f t="shared" si="118"/>
        <v>0.7</v>
      </c>
      <c r="I434" s="476">
        <f t="shared" si="127"/>
        <v>7.9099999999999984</v>
      </c>
      <c r="J434" s="445">
        <f t="shared" si="128"/>
        <v>0.7</v>
      </c>
      <c r="L434" s="476">
        <f t="shared" si="129"/>
        <v>8.19</v>
      </c>
      <c r="M434" s="484">
        <f t="shared" si="130"/>
        <v>0.7</v>
      </c>
      <c r="O434" s="482">
        <f t="shared" si="119"/>
        <v>15.399999999999999</v>
      </c>
      <c r="P434" s="482">
        <f t="shared" si="120"/>
        <v>15.399999999999999</v>
      </c>
      <c r="Q434" s="484">
        <f t="shared" si="121"/>
        <v>11.354000000000001</v>
      </c>
      <c r="R434" s="484">
        <f t="shared" si="122"/>
        <v>7.7112090435807117</v>
      </c>
      <c r="S434" s="484">
        <f t="shared" si="123"/>
        <v>9.1</v>
      </c>
      <c r="T434" s="484">
        <f t="shared" si="124"/>
        <v>7.3552862258306444</v>
      </c>
    </row>
    <row r="435" spans="1:20">
      <c r="A435" s="445">
        <f t="shared" si="131"/>
        <v>5</v>
      </c>
      <c r="B435" s="445">
        <f t="shared" si="113"/>
        <v>4</v>
      </c>
      <c r="C435" s="445">
        <f t="shared" si="125"/>
        <v>24</v>
      </c>
      <c r="D435" s="445">
        <f t="shared" si="125"/>
        <v>144</v>
      </c>
      <c r="E435" s="480">
        <f t="shared" si="126"/>
        <v>1</v>
      </c>
      <c r="F435" s="453">
        <f t="shared" si="117"/>
        <v>0.6</v>
      </c>
      <c r="G435" s="445">
        <f t="shared" si="118"/>
        <v>0.7</v>
      </c>
      <c r="I435" s="476">
        <f t="shared" si="127"/>
        <v>7.9099999999999984</v>
      </c>
      <c r="J435" s="445">
        <f t="shared" si="128"/>
        <v>0.7</v>
      </c>
      <c r="L435" s="476">
        <f t="shared" si="129"/>
        <v>8.19</v>
      </c>
      <c r="M435" s="484">
        <f t="shared" si="130"/>
        <v>0.7</v>
      </c>
      <c r="O435" s="482">
        <f t="shared" si="119"/>
        <v>15.399999999999999</v>
      </c>
      <c r="P435" s="482">
        <f t="shared" si="120"/>
        <v>15.399999999999999</v>
      </c>
      <c r="Q435" s="484">
        <f t="shared" si="121"/>
        <v>11.354000000000001</v>
      </c>
      <c r="R435" s="484">
        <f t="shared" si="122"/>
        <v>7.7112090435807117</v>
      </c>
      <c r="S435" s="484">
        <f t="shared" si="123"/>
        <v>9.1</v>
      </c>
      <c r="T435" s="484">
        <f t="shared" si="124"/>
        <v>7.3552862258306444</v>
      </c>
    </row>
    <row r="436" spans="1:20">
      <c r="A436" s="445">
        <f t="shared" si="131"/>
        <v>5</v>
      </c>
      <c r="B436" s="445">
        <f t="shared" si="114"/>
        <v>5</v>
      </c>
      <c r="C436" s="445">
        <f t="shared" si="125"/>
        <v>25</v>
      </c>
      <c r="D436" s="445">
        <f t="shared" si="125"/>
        <v>145</v>
      </c>
      <c r="E436" s="480">
        <f t="shared" si="126"/>
        <v>1</v>
      </c>
      <c r="F436" s="453">
        <f t="shared" si="117"/>
        <v>0.6</v>
      </c>
      <c r="G436" s="445">
        <f t="shared" si="118"/>
        <v>0.7</v>
      </c>
      <c r="I436" s="476">
        <f t="shared" si="127"/>
        <v>7.9099999999999984</v>
      </c>
      <c r="J436" s="445">
        <f t="shared" si="128"/>
        <v>0.7</v>
      </c>
      <c r="L436" s="476">
        <f t="shared" si="129"/>
        <v>8.19</v>
      </c>
      <c r="M436" s="484">
        <f t="shared" si="130"/>
        <v>0.7</v>
      </c>
      <c r="O436" s="482">
        <f t="shared" si="119"/>
        <v>15.399999999999999</v>
      </c>
      <c r="P436" s="482">
        <f t="shared" si="120"/>
        <v>15.399999999999999</v>
      </c>
      <c r="Q436" s="484">
        <f t="shared" si="121"/>
        <v>11.354000000000001</v>
      </c>
      <c r="R436" s="484">
        <f t="shared" si="122"/>
        <v>7.7112090435807117</v>
      </c>
      <c r="S436" s="484">
        <f t="shared" si="123"/>
        <v>9.1</v>
      </c>
      <c r="T436" s="484">
        <f t="shared" si="124"/>
        <v>7.3552862258306444</v>
      </c>
    </row>
    <row r="437" spans="1:20">
      <c r="A437" s="445">
        <f t="shared" si="131"/>
        <v>5</v>
      </c>
      <c r="B437" s="445">
        <f t="shared" si="115"/>
        <v>6</v>
      </c>
      <c r="C437" s="445">
        <f t="shared" ref="C437:D452" si="132">C436+1</f>
        <v>26</v>
      </c>
      <c r="D437" s="445">
        <f t="shared" si="132"/>
        <v>146</v>
      </c>
      <c r="E437" s="480">
        <f t="shared" si="126"/>
        <v>1</v>
      </c>
      <c r="F437" s="453">
        <f t="shared" si="117"/>
        <v>0.6</v>
      </c>
      <c r="G437" s="445">
        <f t="shared" si="118"/>
        <v>0.7</v>
      </c>
      <c r="I437" s="476">
        <f t="shared" si="127"/>
        <v>7.9099999999999984</v>
      </c>
      <c r="J437" s="445">
        <f t="shared" si="128"/>
        <v>0.7</v>
      </c>
      <c r="L437" s="476">
        <f t="shared" si="129"/>
        <v>8.19</v>
      </c>
      <c r="M437" s="484">
        <f t="shared" si="130"/>
        <v>0.7</v>
      </c>
      <c r="O437" s="482">
        <f t="shared" si="119"/>
        <v>15.399999999999999</v>
      </c>
      <c r="P437" s="482">
        <f t="shared" si="120"/>
        <v>15.399999999999999</v>
      </c>
      <c r="Q437" s="484">
        <f t="shared" si="121"/>
        <v>11.354000000000001</v>
      </c>
      <c r="R437" s="484">
        <f t="shared" si="122"/>
        <v>7.7112090435807117</v>
      </c>
      <c r="S437" s="484">
        <f t="shared" si="123"/>
        <v>9.1</v>
      </c>
      <c r="T437" s="484">
        <f t="shared" si="124"/>
        <v>7.3552862258306444</v>
      </c>
    </row>
    <row r="438" spans="1:20">
      <c r="A438" s="445">
        <f t="shared" si="131"/>
        <v>5</v>
      </c>
      <c r="B438" s="445">
        <f t="shared" si="111"/>
        <v>7</v>
      </c>
      <c r="C438" s="445">
        <f t="shared" si="132"/>
        <v>27</v>
      </c>
      <c r="D438" s="445">
        <f t="shared" si="132"/>
        <v>147</v>
      </c>
      <c r="E438" s="480">
        <f t="shared" si="126"/>
        <v>1</v>
      </c>
      <c r="F438" s="453">
        <f t="shared" si="117"/>
        <v>0.6</v>
      </c>
      <c r="G438" s="445">
        <f t="shared" si="118"/>
        <v>0.7</v>
      </c>
      <c r="I438" s="476">
        <f t="shared" si="127"/>
        <v>7.9099999999999984</v>
      </c>
      <c r="J438" s="445">
        <f t="shared" si="128"/>
        <v>0.7</v>
      </c>
      <c r="L438" s="476">
        <f t="shared" si="129"/>
        <v>8.19</v>
      </c>
      <c r="M438" s="484">
        <f t="shared" si="130"/>
        <v>0.7</v>
      </c>
      <c r="O438" s="482">
        <f t="shared" si="119"/>
        <v>15.399999999999999</v>
      </c>
      <c r="P438" s="482">
        <f t="shared" si="120"/>
        <v>15.399999999999999</v>
      </c>
      <c r="Q438" s="484">
        <f t="shared" si="121"/>
        <v>11.354000000000001</v>
      </c>
      <c r="R438" s="484">
        <f t="shared" si="122"/>
        <v>7.7112090435807117</v>
      </c>
      <c r="S438" s="484">
        <f t="shared" si="123"/>
        <v>9.1</v>
      </c>
      <c r="T438" s="484">
        <f t="shared" si="124"/>
        <v>7.3552862258306444</v>
      </c>
    </row>
    <row r="439" spans="1:20">
      <c r="A439" s="445">
        <f t="shared" si="131"/>
        <v>5</v>
      </c>
      <c r="B439" s="445">
        <f t="shared" si="109"/>
        <v>1</v>
      </c>
      <c r="C439" s="445">
        <f t="shared" si="132"/>
        <v>28</v>
      </c>
      <c r="D439" s="445">
        <f t="shared" si="132"/>
        <v>148</v>
      </c>
      <c r="E439" s="480">
        <f t="shared" si="126"/>
        <v>1</v>
      </c>
      <c r="F439" s="453">
        <f t="shared" si="117"/>
        <v>0.6</v>
      </c>
      <c r="G439" s="445">
        <f t="shared" si="118"/>
        <v>0.7</v>
      </c>
      <c r="I439" s="476">
        <f t="shared" si="127"/>
        <v>7.9099999999999984</v>
      </c>
      <c r="J439" s="445">
        <f t="shared" si="128"/>
        <v>0.7</v>
      </c>
      <c r="L439" s="476">
        <f t="shared" si="129"/>
        <v>8.19</v>
      </c>
      <c r="M439" s="484">
        <f t="shared" si="130"/>
        <v>0.7</v>
      </c>
      <c r="O439" s="482">
        <f t="shared" si="119"/>
        <v>15.399999999999999</v>
      </c>
      <c r="P439" s="482">
        <f t="shared" si="120"/>
        <v>15.399999999999999</v>
      </c>
      <c r="Q439" s="484">
        <f t="shared" si="121"/>
        <v>11.354000000000001</v>
      </c>
      <c r="R439" s="484">
        <f t="shared" si="122"/>
        <v>7.7112090435807117</v>
      </c>
      <c r="S439" s="484">
        <f t="shared" si="123"/>
        <v>9.1</v>
      </c>
      <c r="T439" s="484">
        <f t="shared" si="124"/>
        <v>7.3552862258306444</v>
      </c>
    </row>
    <row r="440" spans="1:20">
      <c r="A440" s="445">
        <f t="shared" si="131"/>
        <v>5</v>
      </c>
      <c r="B440" s="445">
        <f t="shared" si="110"/>
        <v>2</v>
      </c>
      <c r="C440" s="445">
        <f t="shared" si="132"/>
        <v>29</v>
      </c>
      <c r="D440" s="445">
        <f t="shared" si="132"/>
        <v>149</v>
      </c>
      <c r="E440" s="480">
        <f t="shared" si="126"/>
        <v>1</v>
      </c>
      <c r="F440" s="453">
        <f t="shared" si="117"/>
        <v>0.6</v>
      </c>
      <c r="G440" s="445">
        <f t="shared" si="118"/>
        <v>0.7</v>
      </c>
      <c r="I440" s="476">
        <f t="shared" si="127"/>
        <v>7.9099999999999984</v>
      </c>
      <c r="J440" s="445">
        <f t="shared" si="128"/>
        <v>0.7</v>
      </c>
      <c r="L440" s="476">
        <f t="shared" si="129"/>
        <v>8.19</v>
      </c>
      <c r="M440" s="484">
        <f t="shared" si="130"/>
        <v>0.7</v>
      </c>
      <c r="O440" s="482">
        <f t="shared" si="119"/>
        <v>15.399999999999999</v>
      </c>
      <c r="P440" s="482">
        <f t="shared" si="120"/>
        <v>15.399999999999999</v>
      </c>
      <c r="Q440" s="484">
        <f t="shared" si="121"/>
        <v>11.354000000000001</v>
      </c>
      <c r="R440" s="484">
        <f t="shared" si="122"/>
        <v>7.7112090435807117</v>
      </c>
      <c r="S440" s="484">
        <f t="shared" si="123"/>
        <v>9.1</v>
      </c>
      <c r="T440" s="484">
        <f t="shared" si="124"/>
        <v>7.3552862258306444</v>
      </c>
    </row>
    <row r="441" spans="1:20">
      <c r="A441" s="445">
        <f t="shared" si="131"/>
        <v>5</v>
      </c>
      <c r="B441" s="445">
        <f t="shared" si="112"/>
        <v>3</v>
      </c>
      <c r="C441" s="445">
        <f t="shared" si="132"/>
        <v>30</v>
      </c>
      <c r="D441" s="445">
        <f t="shared" si="132"/>
        <v>150</v>
      </c>
      <c r="E441" s="480">
        <f t="shared" si="126"/>
        <v>1</v>
      </c>
      <c r="F441" s="453">
        <f t="shared" si="117"/>
        <v>0.6</v>
      </c>
      <c r="G441" s="445">
        <f t="shared" si="118"/>
        <v>0.7</v>
      </c>
      <c r="I441" s="476">
        <f t="shared" si="127"/>
        <v>7.9099999999999984</v>
      </c>
      <c r="J441" s="445">
        <f t="shared" si="128"/>
        <v>0.7</v>
      </c>
      <c r="L441" s="476">
        <f t="shared" si="129"/>
        <v>8.19</v>
      </c>
      <c r="M441" s="484">
        <f t="shared" si="130"/>
        <v>0.7</v>
      </c>
      <c r="O441" s="482">
        <f t="shared" si="119"/>
        <v>15.399999999999999</v>
      </c>
      <c r="P441" s="482">
        <f t="shared" si="120"/>
        <v>15.399999999999999</v>
      </c>
      <c r="Q441" s="484">
        <f t="shared" si="121"/>
        <v>11.354000000000001</v>
      </c>
      <c r="R441" s="484">
        <f t="shared" si="122"/>
        <v>7.7112090435807117</v>
      </c>
      <c r="S441" s="484">
        <f t="shared" si="123"/>
        <v>9.1</v>
      </c>
      <c r="T441" s="484">
        <f t="shared" si="124"/>
        <v>7.3552862258306444</v>
      </c>
    </row>
    <row r="442" spans="1:20">
      <c r="A442" s="445">
        <f t="shared" si="131"/>
        <v>5</v>
      </c>
      <c r="B442" s="445">
        <f t="shared" si="113"/>
        <v>4</v>
      </c>
      <c r="C442" s="445">
        <f t="shared" si="132"/>
        <v>31</v>
      </c>
      <c r="D442" s="445">
        <f t="shared" si="132"/>
        <v>151</v>
      </c>
      <c r="E442" s="480">
        <f t="shared" si="126"/>
        <v>1</v>
      </c>
      <c r="F442" s="453">
        <f t="shared" si="117"/>
        <v>0.6</v>
      </c>
      <c r="G442" s="445">
        <f t="shared" si="118"/>
        <v>0.7</v>
      </c>
      <c r="I442" s="476">
        <f t="shared" si="127"/>
        <v>7.9099999999999984</v>
      </c>
      <c r="J442" s="445">
        <f t="shared" si="128"/>
        <v>0.7</v>
      </c>
      <c r="L442" s="476">
        <f t="shared" si="129"/>
        <v>8.19</v>
      </c>
      <c r="M442" s="484">
        <f t="shared" si="130"/>
        <v>0.7</v>
      </c>
      <c r="O442" s="482">
        <f t="shared" si="119"/>
        <v>15.399999999999999</v>
      </c>
      <c r="P442" s="482">
        <f t="shared" si="120"/>
        <v>15.399999999999999</v>
      </c>
      <c r="Q442" s="484">
        <f t="shared" si="121"/>
        <v>11.354000000000001</v>
      </c>
      <c r="R442" s="484">
        <f t="shared" si="122"/>
        <v>7.7112090435807117</v>
      </c>
      <c r="S442" s="484">
        <f t="shared" si="123"/>
        <v>9.1</v>
      </c>
      <c r="T442" s="484">
        <f t="shared" si="124"/>
        <v>7.3552862258306444</v>
      </c>
    </row>
    <row r="443" spans="1:20">
      <c r="A443" s="445">
        <v>6</v>
      </c>
      <c r="B443" s="445">
        <f t="shared" si="114"/>
        <v>5</v>
      </c>
      <c r="C443" s="445">
        <v>1</v>
      </c>
      <c r="D443" s="445">
        <f t="shared" si="132"/>
        <v>152</v>
      </c>
      <c r="E443" s="480">
        <f t="shared" si="126"/>
        <v>1</v>
      </c>
      <c r="F443" s="453">
        <f t="shared" si="117"/>
        <v>1</v>
      </c>
      <c r="G443" s="445">
        <f t="shared" si="118"/>
        <v>0.7</v>
      </c>
      <c r="I443" s="476">
        <f t="shared" si="127"/>
        <v>7.9099999999999984</v>
      </c>
      <c r="J443" s="445">
        <f t="shared" si="128"/>
        <v>0.7</v>
      </c>
      <c r="L443" s="476">
        <f t="shared" si="129"/>
        <v>8.19</v>
      </c>
      <c r="M443" s="484">
        <f t="shared" si="130"/>
        <v>0.7</v>
      </c>
      <c r="O443" s="482">
        <f t="shared" si="119"/>
        <v>15.399999999999999</v>
      </c>
      <c r="P443" s="482">
        <f t="shared" si="120"/>
        <v>15.399999999999999</v>
      </c>
      <c r="Q443" s="484">
        <f t="shared" si="121"/>
        <v>11.354000000000001</v>
      </c>
      <c r="R443" s="484">
        <f t="shared" si="122"/>
        <v>7.7112090435807117</v>
      </c>
      <c r="S443" s="484">
        <f t="shared" si="123"/>
        <v>9.1</v>
      </c>
      <c r="T443" s="484">
        <f t="shared" si="124"/>
        <v>7.3552862258306444</v>
      </c>
    </row>
    <row r="444" spans="1:20">
      <c r="A444" s="445">
        <f t="shared" si="131"/>
        <v>6</v>
      </c>
      <c r="B444" s="445">
        <f t="shared" si="115"/>
        <v>6</v>
      </c>
      <c r="C444" s="445">
        <f t="shared" si="132"/>
        <v>2</v>
      </c>
      <c r="D444" s="445">
        <f t="shared" si="132"/>
        <v>153</v>
      </c>
      <c r="E444" s="480">
        <f t="shared" si="126"/>
        <v>1</v>
      </c>
      <c r="F444" s="453">
        <f t="shared" si="117"/>
        <v>1</v>
      </c>
      <c r="G444" s="445">
        <f t="shared" si="118"/>
        <v>0.7</v>
      </c>
      <c r="I444" s="476">
        <f t="shared" si="127"/>
        <v>7.9099999999999984</v>
      </c>
      <c r="J444" s="445">
        <f t="shared" si="128"/>
        <v>0.7</v>
      </c>
      <c r="L444" s="476">
        <f t="shared" si="129"/>
        <v>8.19</v>
      </c>
      <c r="M444" s="484">
        <f t="shared" si="130"/>
        <v>0.7</v>
      </c>
      <c r="O444" s="482">
        <f t="shared" si="119"/>
        <v>15.399999999999999</v>
      </c>
      <c r="P444" s="482">
        <f t="shared" si="120"/>
        <v>15.399999999999999</v>
      </c>
      <c r="Q444" s="484">
        <f t="shared" si="121"/>
        <v>11.354000000000001</v>
      </c>
      <c r="R444" s="484">
        <f t="shared" si="122"/>
        <v>7.7112090435807117</v>
      </c>
      <c r="S444" s="484">
        <f t="shared" si="123"/>
        <v>9.1</v>
      </c>
      <c r="T444" s="484">
        <f t="shared" si="124"/>
        <v>7.3552862258306444</v>
      </c>
    </row>
    <row r="445" spans="1:20">
      <c r="A445" s="445">
        <f t="shared" si="131"/>
        <v>6</v>
      </c>
      <c r="B445" s="445">
        <f t="shared" si="111"/>
        <v>7</v>
      </c>
      <c r="C445" s="445">
        <f t="shared" si="132"/>
        <v>3</v>
      </c>
      <c r="D445" s="445">
        <f t="shared" si="132"/>
        <v>154</v>
      </c>
      <c r="E445" s="480">
        <f t="shared" si="126"/>
        <v>1</v>
      </c>
      <c r="F445" s="453">
        <f t="shared" si="117"/>
        <v>1</v>
      </c>
      <c r="G445" s="445">
        <f t="shared" si="118"/>
        <v>0.7</v>
      </c>
      <c r="I445" s="476">
        <f t="shared" si="127"/>
        <v>7.9099999999999984</v>
      </c>
      <c r="J445" s="445">
        <f t="shared" si="128"/>
        <v>0.7</v>
      </c>
      <c r="L445" s="476">
        <f t="shared" si="129"/>
        <v>8.19</v>
      </c>
      <c r="M445" s="484">
        <f t="shared" si="130"/>
        <v>0.7</v>
      </c>
      <c r="O445" s="482">
        <f t="shared" si="119"/>
        <v>15.399999999999999</v>
      </c>
      <c r="P445" s="482">
        <f t="shared" si="120"/>
        <v>15.399999999999999</v>
      </c>
      <c r="Q445" s="484">
        <f t="shared" si="121"/>
        <v>11.354000000000001</v>
      </c>
      <c r="R445" s="484">
        <f t="shared" si="122"/>
        <v>7.7112090435807117</v>
      </c>
      <c r="S445" s="484">
        <f t="shared" si="123"/>
        <v>9.1</v>
      </c>
      <c r="T445" s="484">
        <f t="shared" si="124"/>
        <v>7.3552862258306444</v>
      </c>
    </row>
    <row r="446" spans="1:20">
      <c r="A446" s="445">
        <f t="shared" si="131"/>
        <v>6</v>
      </c>
      <c r="B446" s="445">
        <f t="shared" si="109"/>
        <v>1</v>
      </c>
      <c r="C446" s="445">
        <f t="shared" si="132"/>
        <v>4</v>
      </c>
      <c r="D446" s="445">
        <f t="shared" si="132"/>
        <v>155</v>
      </c>
      <c r="E446" s="480">
        <f t="shared" si="126"/>
        <v>1</v>
      </c>
      <c r="F446" s="453">
        <f t="shared" si="117"/>
        <v>1</v>
      </c>
      <c r="G446" s="445">
        <f t="shared" si="118"/>
        <v>0.7</v>
      </c>
      <c r="I446" s="476">
        <f t="shared" si="127"/>
        <v>7.9099999999999984</v>
      </c>
      <c r="J446" s="445">
        <f t="shared" si="128"/>
        <v>0.7</v>
      </c>
      <c r="L446" s="476">
        <f t="shared" si="129"/>
        <v>8.19</v>
      </c>
      <c r="M446" s="484">
        <f t="shared" si="130"/>
        <v>0.7</v>
      </c>
      <c r="O446" s="482">
        <f t="shared" si="119"/>
        <v>15.399999999999999</v>
      </c>
      <c r="P446" s="482">
        <f t="shared" si="120"/>
        <v>15.399999999999999</v>
      </c>
      <c r="Q446" s="484">
        <f t="shared" si="121"/>
        <v>11.354000000000001</v>
      </c>
      <c r="R446" s="484">
        <f t="shared" si="122"/>
        <v>7.7112090435807117</v>
      </c>
      <c r="S446" s="484">
        <f t="shared" si="123"/>
        <v>9.1</v>
      </c>
      <c r="T446" s="484">
        <f t="shared" si="124"/>
        <v>7.3552862258306444</v>
      </c>
    </row>
    <row r="447" spans="1:20">
      <c r="A447" s="445">
        <f t="shared" si="131"/>
        <v>6</v>
      </c>
      <c r="B447" s="445">
        <f t="shared" si="110"/>
        <v>2</v>
      </c>
      <c r="C447" s="445">
        <f t="shared" si="132"/>
        <v>5</v>
      </c>
      <c r="D447" s="445">
        <f t="shared" si="132"/>
        <v>156</v>
      </c>
      <c r="E447" s="480">
        <f t="shared" si="126"/>
        <v>1</v>
      </c>
      <c r="F447" s="453">
        <f t="shared" si="117"/>
        <v>1</v>
      </c>
      <c r="G447" s="445">
        <f t="shared" si="118"/>
        <v>0.7</v>
      </c>
      <c r="I447" s="476">
        <f t="shared" si="127"/>
        <v>7.9099999999999984</v>
      </c>
      <c r="J447" s="445">
        <f t="shared" si="128"/>
        <v>0.7</v>
      </c>
      <c r="L447" s="476">
        <f t="shared" si="129"/>
        <v>8.19</v>
      </c>
      <c r="M447" s="484">
        <f t="shared" si="130"/>
        <v>0.7</v>
      </c>
      <c r="O447" s="482">
        <f t="shared" si="119"/>
        <v>15.399999999999999</v>
      </c>
      <c r="P447" s="482">
        <f t="shared" si="120"/>
        <v>15.399999999999999</v>
      </c>
      <c r="Q447" s="484">
        <f t="shared" si="121"/>
        <v>11.354000000000001</v>
      </c>
      <c r="R447" s="484">
        <f t="shared" si="122"/>
        <v>7.7112090435807117</v>
      </c>
      <c r="S447" s="484">
        <f t="shared" si="123"/>
        <v>9.1</v>
      </c>
      <c r="T447" s="484">
        <f t="shared" si="124"/>
        <v>7.3552862258306444</v>
      </c>
    </row>
    <row r="448" spans="1:20">
      <c r="A448" s="445">
        <f t="shared" si="131"/>
        <v>6</v>
      </c>
      <c r="B448" s="445">
        <f t="shared" si="112"/>
        <v>3</v>
      </c>
      <c r="C448" s="445">
        <f t="shared" si="132"/>
        <v>6</v>
      </c>
      <c r="D448" s="445">
        <f t="shared" si="132"/>
        <v>157</v>
      </c>
      <c r="E448" s="480">
        <f t="shared" si="126"/>
        <v>1</v>
      </c>
      <c r="F448" s="453">
        <f t="shared" si="117"/>
        <v>1</v>
      </c>
      <c r="G448" s="445">
        <f t="shared" si="118"/>
        <v>0.7</v>
      </c>
      <c r="I448" s="476">
        <f t="shared" si="127"/>
        <v>7.9099999999999984</v>
      </c>
      <c r="J448" s="445">
        <f t="shared" si="128"/>
        <v>0.7</v>
      </c>
      <c r="L448" s="476">
        <f t="shared" si="129"/>
        <v>8.19</v>
      </c>
      <c r="M448" s="484">
        <f t="shared" si="130"/>
        <v>0.7</v>
      </c>
      <c r="O448" s="482">
        <f t="shared" si="119"/>
        <v>15.399999999999999</v>
      </c>
      <c r="P448" s="482">
        <f t="shared" si="120"/>
        <v>15.399999999999999</v>
      </c>
      <c r="Q448" s="484">
        <f t="shared" si="121"/>
        <v>11.354000000000001</v>
      </c>
      <c r="R448" s="484">
        <f t="shared" si="122"/>
        <v>7.7112090435807117</v>
      </c>
      <c r="S448" s="484">
        <f t="shared" si="123"/>
        <v>9.1</v>
      </c>
      <c r="T448" s="484">
        <f t="shared" si="124"/>
        <v>7.3552862258306444</v>
      </c>
    </row>
    <row r="449" spans="1:20">
      <c r="A449" s="445">
        <f t="shared" si="131"/>
        <v>6</v>
      </c>
      <c r="B449" s="445">
        <f t="shared" si="113"/>
        <v>4</v>
      </c>
      <c r="C449" s="445">
        <f t="shared" si="132"/>
        <v>7</v>
      </c>
      <c r="D449" s="445">
        <f t="shared" si="132"/>
        <v>158</v>
      </c>
      <c r="E449" s="480">
        <f t="shared" si="126"/>
        <v>1</v>
      </c>
      <c r="F449" s="453">
        <f t="shared" si="117"/>
        <v>1</v>
      </c>
      <c r="G449" s="445">
        <f t="shared" si="118"/>
        <v>0.7</v>
      </c>
      <c r="I449" s="476">
        <f t="shared" si="127"/>
        <v>7.9099999999999984</v>
      </c>
      <c r="J449" s="445">
        <f t="shared" si="128"/>
        <v>0.7</v>
      </c>
      <c r="L449" s="476">
        <f t="shared" si="129"/>
        <v>8.19</v>
      </c>
      <c r="M449" s="484">
        <f t="shared" si="130"/>
        <v>0.7</v>
      </c>
      <c r="O449" s="482">
        <f t="shared" si="119"/>
        <v>15.399999999999999</v>
      </c>
      <c r="P449" s="482">
        <f t="shared" si="120"/>
        <v>15.399999999999999</v>
      </c>
      <c r="Q449" s="484">
        <f t="shared" si="121"/>
        <v>11.354000000000001</v>
      </c>
      <c r="R449" s="484">
        <f t="shared" si="122"/>
        <v>7.7112090435807117</v>
      </c>
      <c r="S449" s="484">
        <f t="shared" si="123"/>
        <v>9.1</v>
      </c>
      <c r="T449" s="484">
        <f t="shared" si="124"/>
        <v>7.3552862258306444</v>
      </c>
    </row>
    <row r="450" spans="1:20">
      <c r="A450" s="445">
        <f t="shared" si="131"/>
        <v>6</v>
      </c>
      <c r="B450" s="445">
        <f t="shared" si="114"/>
        <v>5</v>
      </c>
      <c r="C450" s="445">
        <f t="shared" si="132"/>
        <v>8</v>
      </c>
      <c r="D450" s="445">
        <f t="shared" si="132"/>
        <v>159</v>
      </c>
      <c r="E450" s="480">
        <f t="shared" si="126"/>
        <v>1</v>
      </c>
      <c r="F450" s="453">
        <f t="shared" si="117"/>
        <v>1</v>
      </c>
      <c r="G450" s="445">
        <f t="shared" si="118"/>
        <v>0.7</v>
      </c>
      <c r="I450" s="476">
        <f t="shared" si="127"/>
        <v>7.9099999999999984</v>
      </c>
      <c r="J450" s="445">
        <f t="shared" si="128"/>
        <v>0.7</v>
      </c>
      <c r="L450" s="476">
        <f t="shared" si="129"/>
        <v>8.19</v>
      </c>
      <c r="M450" s="484">
        <f t="shared" si="130"/>
        <v>0.7</v>
      </c>
      <c r="O450" s="482">
        <f t="shared" si="119"/>
        <v>15.399999999999999</v>
      </c>
      <c r="P450" s="482">
        <f t="shared" si="120"/>
        <v>15.399999999999999</v>
      </c>
      <c r="Q450" s="484">
        <f t="shared" si="121"/>
        <v>11.354000000000001</v>
      </c>
      <c r="R450" s="484">
        <f t="shared" si="122"/>
        <v>7.7112090435807117</v>
      </c>
      <c r="S450" s="484">
        <f t="shared" si="123"/>
        <v>9.1</v>
      </c>
      <c r="T450" s="484">
        <f t="shared" si="124"/>
        <v>7.3552862258306444</v>
      </c>
    </row>
    <row r="451" spans="1:20">
      <c r="A451" s="445">
        <f t="shared" si="131"/>
        <v>6</v>
      </c>
      <c r="B451" s="445">
        <f t="shared" si="115"/>
        <v>6</v>
      </c>
      <c r="C451" s="445">
        <f t="shared" si="132"/>
        <v>9</v>
      </c>
      <c r="D451" s="445">
        <f t="shared" si="132"/>
        <v>160</v>
      </c>
      <c r="E451" s="480">
        <f t="shared" si="126"/>
        <v>1</v>
      </c>
      <c r="F451" s="453">
        <f t="shared" si="117"/>
        <v>1</v>
      </c>
      <c r="G451" s="445">
        <f t="shared" si="118"/>
        <v>0.7</v>
      </c>
      <c r="I451" s="476">
        <f t="shared" si="127"/>
        <v>7.9099999999999984</v>
      </c>
      <c r="J451" s="445">
        <f t="shared" si="128"/>
        <v>0.7</v>
      </c>
      <c r="L451" s="476">
        <f t="shared" si="129"/>
        <v>8.19</v>
      </c>
      <c r="M451" s="484">
        <f t="shared" si="130"/>
        <v>0.7</v>
      </c>
      <c r="O451" s="482">
        <f t="shared" si="119"/>
        <v>15.399999999999999</v>
      </c>
      <c r="P451" s="482">
        <f t="shared" si="120"/>
        <v>15.399999999999999</v>
      </c>
      <c r="Q451" s="484">
        <f t="shared" si="121"/>
        <v>11.354000000000001</v>
      </c>
      <c r="R451" s="484">
        <f t="shared" si="122"/>
        <v>7.7112090435807117</v>
      </c>
      <c r="S451" s="484">
        <f t="shared" si="123"/>
        <v>9.1</v>
      </c>
      <c r="T451" s="484">
        <f t="shared" si="124"/>
        <v>7.3552862258306444</v>
      </c>
    </row>
    <row r="452" spans="1:20">
      <c r="A452" s="445">
        <f t="shared" si="131"/>
        <v>6</v>
      </c>
      <c r="B452" s="445">
        <f t="shared" si="111"/>
        <v>7</v>
      </c>
      <c r="C452" s="445">
        <f t="shared" si="132"/>
        <v>10</v>
      </c>
      <c r="D452" s="445">
        <f t="shared" si="132"/>
        <v>161</v>
      </c>
      <c r="E452" s="480">
        <f t="shared" si="126"/>
        <v>1</v>
      </c>
      <c r="F452" s="453">
        <f t="shared" si="117"/>
        <v>1</v>
      </c>
      <c r="G452" s="445">
        <f t="shared" si="118"/>
        <v>0.7</v>
      </c>
      <c r="I452" s="476">
        <f t="shared" si="127"/>
        <v>7.9099999999999984</v>
      </c>
      <c r="J452" s="445">
        <f t="shared" si="128"/>
        <v>0.7</v>
      </c>
      <c r="L452" s="476">
        <f t="shared" si="129"/>
        <v>8.19</v>
      </c>
      <c r="M452" s="484">
        <f t="shared" si="130"/>
        <v>0.7</v>
      </c>
      <c r="O452" s="482">
        <f t="shared" si="119"/>
        <v>15.399999999999999</v>
      </c>
      <c r="P452" s="482">
        <f t="shared" si="120"/>
        <v>15.399999999999999</v>
      </c>
      <c r="Q452" s="484">
        <f t="shared" si="121"/>
        <v>11.354000000000001</v>
      </c>
      <c r="R452" s="484">
        <f t="shared" si="122"/>
        <v>7.7112090435807117</v>
      </c>
      <c r="S452" s="484">
        <f t="shared" si="123"/>
        <v>9.1</v>
      </c>
      <c r="T452" s="484">
        <f t="shared" si="124"/>
        <v>7.3552862258306444</v>
      </c>
    </row>
    <row r="453" spans="1:20">
      <c r="A453" s="445">
        <f t="shared" si="131"/>
        <v>6</v>
      </c>
      <c r="B453" s="445">
        <f t="shared" si="109"/>
        <v>1</v>
      </c>
      <c r="C453" s="445">
        <f t="shared" ref="C453:D468" si="133">C452+1</f>
        <v>11</v>
      </c>
      <c r="D453" s="445">
        <f t="shared" si="133"/>
        <v>162</v>
      </c>
      <c r="E453" s="480">
        <f t="shared" si="126"/>
        <v>1</v>
      </c>
      <c r="F453" s="453">
        <f t="shared" si="117"/>
        <v>1</v>
      </c>
      <c r="G453" s="445">
        <f t="shared" si="118"/>
        <v>0.7</v>
      </c>
      <c r="I453" s="476">
        <f t="shared" si="127"/>
        <v>7.9099999999999984</v>
      </c>
      <c r="J453" s="445">
        <f t="shared" si="128"/>
        <v>0.7</v>
      </c>
      <c r="L453" s="476">
        <f t="shared" si="129"/>
        <v>8.19</v>
      </c>
      <c r="M453" s="484">
        <f t="shared" si="130"/>
        <v>0.7</v>
      </c>
      <c r="O453" s="482">
        <f t="shared" si="119"/>
        <v>15.399999999999999</v>
      </c>
      <c r="P453" s="482">
        <f t="shared" si="120"/>
        <v>15.399999999999999</v>
      </c>
      <c r="Q453" s="484">
        <f t="shared" si="121"/>
        <v>11.354000000000001</v>
      </c>
      <c r="R453" s="484">
        <f t="shared" si="122"/>
        <v>7.7112090435807117</v>
      </c>
      <c r="S453" s="484">
        <f t="shared" si="123"/>
        <v>9.1</v>
      </c>
      <c r="T453" s="484">
        <f t="shared" si="124"/>
        <v>7.3552862258306444</v>
      </c>
    </row>
    <row r="454" spans="1:20">
      <c r="A454" s="445">
        <f t="shared" si="131"/>
        <v>6</v>
      </c>
      <c r="B454" s="445">
        <f t="shared" si="110"/>
        <v>2</v>
      </c>
      <c r="C454" s="445">
        <f t="shared" si="133"/>
        <v>12</v>
      </c>
      <c r="D454" s="445">
        <f t="shared" si="133"/>
        <v>163</v>
      </c>
      <c r="E454" s="480">
        <f t="shared" si="126"/>
        <v>1</v>
      </c>
      <c r="F454" s="453">
        <f t="shared" si="117"/>
        <v>1</v>
      </c>
      <c r="G454" s="445">
        <f t="shared" si="118"/>
        <v>0.7</v>
      </c>
      <c r="I454" s="476">
        <f t="shared" si="127"/>
        <v>7.9099999999999984</v>
      </c>
      <c r="J454" s="445">
        <f t="shared" si="128"/>
        <v>0.7</v>
      </c>
      <c r="L454" s="476">
        <f t="shared" si="129"/>
        <v>8.19</v>
      </c>
      <c r="M454" s="484">
        <f t="shared" si="130"/>
        <v>0.7</v>
      </c>
      <c r="O454" s="482">
        <f t="shared" si="119"/>
        <v>15.399999999999999</v>
      </c>
      <c r="P454" s="482">
        <f t="shared" si="120"/>
        <v>15.399999999999999</v>
      </c>
      <c r="Q454" s="484">
        <f t="shared" si="121"/>
        <v>11.354000000000001</v>
      </c>
      <c r="R454" s="484">
        <f t="shared" si="122"/>
        <v>7.7112090435807117</v>
      </c>
      <c r="S454" s="484">
        <f t="shared" si="123"/>
        <v>9.1</v>
      </c>
      <c r="T454" s="484">
        <f t="shared" si="124"/>
        <v>7.3552862258306444</v>
      </c>
    </row>
    <row r="455" spans="1:20">
      <c r="A455" s="445">
        <f t="shared" si="131"/>
        <v>6</v>
      </c>
      <c r="B455" s="445">
        <f t="shared" si="112"/>
        <v>3</v>
      </c>
      <c r="C455" s="445">
        <f t="shared" si="133"/>
        <v>13</v>
      </c>
      <c r="D455" s="445">
        <f t="shared" si="133"/>
        <v>164</v>
      </c>
      <c r="E455" s="480">
        <f t="shared" si="126"/>
        <v>1</v>
      </c>
      <c r="F455" s="453">
        <f t="shared" si="117"/>
        <v>1</v>
      </c>
      <c r="G455" s="445">
        <f t="shared" si="118"/>
        <v>0.7</v>
      </c>
      <c r="I455" s="476">
        <f t="shared" si="127"/>
        <v>7.9099999999999984</v>
      </c>
      <c r="J455" s="445">
        <f t="shared" si="128"/>
        <v>0.7</v>
      </c>
      <c r="L455" s="476">
        <f t="shared" si="129"/>
        <v>8.19</v>
      </c>
      <c r="M455" s="484">
        <f t="shared" si="130"/>
        <v>0.7</v>
      </c>
      <c r="O455" s="482">
        <f t="shared" si="119"/>
        <v>15.399999999999999</v>
      </c>
      <c r="P455" s="482">
        <f t="shared" si="120"/>
        <v>15.399999999999999</v>
      </c>
      <c r="Q455" s="484">
        <f t="shared" si="121"/>
        <v>11.354000000000001</v>
      </c>
      <c r="R455" s="484">
        <f t="shared" si="122"/>
        <v>7.7112090435807117</v>
      </c>
      <c r="S455" s="484">
        <f t="shared" si="123"/>
        <v>9.1</v>
      </c>
      <c r="T455" s="484">
        <f t="shared" si="124"/>
        <v>7.3552862258306444</v>
      </c>
    </row>
    <row r="456" spans="1:20">
      <c r="A456" s="445">
        <f t="shared" si="131"/>
        <v>6</v>
      </c>
      <c r="B456" s="445">
        <f t="shared" si="113"/>
        <v>4</v>
      </c>
      <c r="C456" s="445">
        <f t="shared" si="133"/>
        <v>14</v>
      </c>
      <c r="D456" s="445">
        <f t="shared" si="133"/>
        <v>165</v>
      </c>
      <c r="E456" s="480">
        <f t="shared" si="126"/>
        <v>1</v>
      </c>
      <c r="F456" s="453">
        <f t="shared" si="117"/>
        <v>1</v>
      </c>
      <c r="G456" s="445">
        <f t="shared" si="118"/>
        <v>0.7</v>
      </c>
      <c r="I456" s="476">
        <f t="shared" si="127"/>
        <v>7.9099999999999984</v>
      </c>
      <c r="J456" s="445">
        <f t="shared" si="128"/>
        <v>0.7</v>
      </c>
      <c r="L456" s="476">
        <f t="shared" si="129"/>
        <v>8.19</v>
      </c>
      <c r="M456" s="484">
        <f t="shared" si="130"/>
        <v>0.7</v>
      </c>
      <c r="O456" s="482">
        <f t="shared" si="119"/>
        <v>15.399999999999999</v>
      </c>
      <c r="P456" s="482">
        <f t="shared" si="120"/>
        <v>15.399999999999999</v>
      </c>
      <c r="Q456" s="484">
        <f t="shared" si="121"/>
        <v>11.354000000000001</v>
      </c>
      <c r="R456" s="484">
        <f t="shared" si="122"/>
        <v>7.7112090435807117</v>
      </c>
      <c r="S456" s="484">
        <f t="shared" si="123"/>
        <v>9.1</v>
      </c>
      <c r="T456" s="484">
        <f t="shared" si="124"/>
        <v>7.3552862258306444</v>
      </c>
    </row>
    <row r="457" spans="1:20">
      <c r="A457" s="445">
        <f t="shared" si="131"/>
        <v>6</v>
      </c>
      <c r="B457" s="445">
        <f t="shared" si="114"/>
        <v>5</v>
      </c>
      <c r="C457" s="445">
        <f t="shared" si="133"/>
        <v>15</v>
      </c>
      <c r="D457" s="445">
        <f t="shared" si="133"/>
        <v>166</v>
      </c>
      <c r="E457" s="480">
        <f t="shared" si="126"/>
        <v>1</v>
      </c>
      <c r="F457" s="453">
        <f t="shared" si="117"/>
        <v>1</v>
      </c>
      <c r="G457" s="445">
        <f t="shared" si="118"/>
        <v>0.7</v>
      </c>
      <c r="I457" s="476">
        <f t="shared" si="127"/>
        <v>7.9099999999999984</v>
      </c>
      <c r="J457" s="445">
        <f t="shared" si="128"/>
        <v>0.7</v>
      </c>
      <c r="L457" s="476">
        <f t="shared" si="129"/>
        <v>8.19</v>
      </c>
      <c r="M457" s="484">
        <f t="shared" si="130"/>
        <v>0.7</v>
      </c>
      <c r="O457" s="482">
        <f t="shared" si="119"/>
        <v>15.399999999999999</v>
      </c>
      <c r="P457" s="482">
        <f t="shared" si="120"/>
        <v>15.399999999999999</v>
      </c>
      <c r="Q457" s="484">
        <f t="shared" si="121"/>
        <v>11.354000000000001</v>
      </c>
      <c r="R457" s="484">
        <f t="shared" si="122"/>
        <v>7.7112090435807117</v>
      </c>
      <c r="S457" s="484">
        <f t="shared" si="123"/>
        <v>9.1</v>
      </c>
      <c r="T457" s="484">
        <f t="shared" si="124"/>
        <v>7.3552862258306444</v>
      </c>
    </row>
    <row r="458" spans="1:20">
      <c r="A458" s="445">
        <f t="shared" si="131"/>
        <v>6</v>
      </c>
      <c r="B458" s="445">
        <f t="shared" si="115"/>
        <v>6</v>
      </c>
      <c r="C458" s="445">
        <f t="shared" si="133"/>
        <v>16</v>
      </c>
      <c r="D458" s="445">
        <f t="shared" si="133"/>
        <v>167</v>
      </c>
      <c r="E458" s="480">
        <f t="shared" si="126"/>
        <v>1</v>
      </c>
      <c r="F458" s="453">
        <f t="shared" si="117"/>
        <v>1</v>
      </c>
      <c r="G458" s="445">
        <f t="shared" si="118"/>
        <v>0.7</v>
      </c>
      <c r="I458" s="476">
        <f t="shared" si="127"/>
        <v>7.9099999999999984</v>
      </c>
      <c r="J458" s="445">
        <f t="shared" si="128"/>
        <v>0.7</v>
      </c>
      <c r="L458" s="476">
        <f t="shared" si="129"/>
        <v>8.19</v>
      </c>
      <c r="M458" s="484">
        <f t="shared" si="130"/>
        <v>0.7</v>
      </c>
      <c r="O458" s="482">
        <f t="shared" si="119"/>
        <v>15.399999999999999</v>
      </c>
      <c r="P458" s="482">
        <f t="shared" si="120"/>
        <v>15.399999999999999</v>
      </c>
      <c r="Q458" s="484">
        <f t="shared" si="121"/>
        <v>11.354000000000001</v>
      </c>
      <c r="R458" s="484">
        <f t="shared" si="122"/>
        <v>7.7112090435807117</v>
      </c>
      <c r="S458" s="484">
        <f t="shared" si="123"/>
        <v>9.1</v>
      </c>
      <c r="T458" s="484">
        <f t="shared" si="124"/>
        <v>7.3552862258306444</v>
      </c>
    </row>
    <row r="459" spans="1:20">
      <c r="A459" s="445">
        <f t="shared" si="131"/>
        <v>6</v>
      </c>
      <c r="B459" s="445">
        <f t="shared" si="111"/>
        <v>7</v>
      </c>
      <c r="C459" s="445">
        <f t="shared" si="133"/>
        <v>17</v>
      </c>
      <c r="D459" s="445">
        <f t="shared" si="133"/>
        <v>168</v>
      </c>
      <c r="E459" s="480">
        <f t="shared" si="126"/>
        <v>1</v>
      </c>
      <c r="F459" s="453">
        <f t="shared" si="117"/>
        <v>1</v>
      </c>
      <c r="G459" s="445">
        <f t="shared" si="118"/>
        <v>0.7</v>
      </c>
      <c r="I459" s="476">
        <f t="shared" si="127"/>
        <v>7.9099999999999984</v>
      </c>
      <c r="J459" s="445">
        <f t="shared" si="128"/>
        <v>0.7</v>
      </c>
      <c r="L459" s="476">
        <f t="shared" si="129"/>
        <v>8.19</v>
      </c>
      <c r="M459" s="484">
        <f t="shared" si="130"/>
        <v>0.7</v>
      </c>
      <c r="O459" s="482">
        <f t="shared" si="119"/>
        <v>15.399999999999999</v>
      </c>
      <c r="P459" s="482">
        <f t="shared" si="120"/>
        <v>15.399999999999999</v>
      </c>
      <c r="Q459" s="484">
        <f t="shared" si="121"/>
        <v>11.354000000000001</v>
      </c>
      <c r="R459" s="484">
        <f t="shared" si="122"/>
        <v>7.7112090435807117</v>
      </c>
      <c r="S459" s="484">
        <f t="shared" si="123"/>
        <v>9.1</v>
      </c>
      <c r="T459" s="484">
        <f t="shared" si="124"/>
        <v>7.3552862258306444</v>
      </c>
    </row>
    <row r="460" spans="1:20">
      <c r="A460" s="445">
        <f t="shared" si="131"/>
        <v>6</v>
      </c>
      <c r="B460" s="445">
        <f t="shared" ref="B460:B523" si="134">$F$271</f>
        <v>1</v>
      </c>
      <c r="C460" s="445">
        <f t="shared" si="133"/>
        <v>18</v>
      </c>
      <c r="D460" s="445">
        <f t="shared" si="133"/>
        <v>169</v>
      </c>
      <c r="E460" s="480">
        <f t="shared" si="126"/>
        <v>1</v>
      </c>
      <c r="F460" s="453">
        <f t="shared" si="117"/>
        <v>1</v>
      </c>
      <c r="G460" s="445">
        <f t="shared" si="118"/>
        <v>0.7</v>
      </c>
      <c r="I460" s="476">
        <f t="shared" si="127"/>
        <v>7.9099999999999984</v>
      </c>
      <c r="J460" s="445">
        <f t="shared" si="128"/>
        <v>0.7</v>
      </c>
      <c r="L460" s="476">
        <f t="shared" si="129"/>
        <v>8.19</v>
      </c>
      <c r="M460" s="484">
        <f t="shared" si="130"/>
        <v>0.7</v>
      </c>
      <c r="O460" s="482">
        <f t="shared" si="119"/>
        <v>15.399999999999999</v>
      </c>
      <c r="P460" s="482">
        <f t="shared" si="120"/>
        <v>15.399999999999999</v>
      </c>
      <c r="Q460" s="484">
        <f t="shared" si="121"/>
        <v>11.354000000000001</v>
      </c>
      <c r="R460" s="484">
        <f t="shared" si="122"/>
        <v>7.7112090435807117</v>
      </c>
      <c r="S460" s="484">
        <f t="shared" si="123"/>
        <v>9.1</v>
      </c>
      <c r="T460" s="484">
        <f t="shared" si="124"/>
        <v>7.3552862258306444</v>
      </c>
    </row>
    <row r="461" spans="1:20">
      <c r="A461" s="445">
        <f t="shared" si="131"/>
        <v>6</v>
      </c>
      <c r="B461" s="445">
        <f t="shared" ref="B461:B524" si="135">$F$272</f>
        <v>2</v>
      </c>
      <c r="C461" s="445">
        <f t="shared" si="133"/>
        <v>19</v>
      </c>
      <c r="D461" s="445">
        <f t="shared" si="133"/>
        <v>170</v>
      </c>
      <c r="E461" s="480">
        <f t="shared" si="126"/>
        <v>1</v>
      </c>
      <c r="F461" s="453">
        <f t="shared" si="117"/>
        <v>1</v>
      </c>
      <c r="G461" s="445">
        <f t="shared" si="118"/>
        <v>0.7</v>
      </c>
      <c r="I461" s="476">
        <f t="shared" si="127"/>
        <v>7.9099999999999984</v>
      </c>
      <c r="J461" s="445">
        <f t="shared" si="128"/>
        <v>0.7</v>
      </c>
      <c r="L461" s="476">
        <f t="shared" si="129"/>
        <v>8.19</v>
      </c>
      <c r="M461" s="484">
        <f t="shared" si="130"/>
        <v>0.7</v>
      </c>
      <c r="O461" s="482">
        <f t="shared" si="119"/>
        <v>15.399999999999999</v>
      </c>
      <c r="P461" s="482">
        <f t="shared" si="120"/>
        <v>15.399999999999999</v>
      </c>
      <c r="Q461" s="484">
        <f t="shared" si="121"/>
        <v>11.354000000000001</v>
      </c>
      <c r="R461" s="484">
        <f t="shared" si="122"/>
        <v>7.7112090435807117</v>
      </c>
      <c r="S461" s="484">
        <f t="shared" si="123"/>
        <v>9.1</v>
      </c>
      <c r="T461" s="484">
        <f t="shared" si="124"/>
        <v>7.3552862258306444</v>
      </c>
    </row>
    <row r="462" spans="1:20">
      <c r="A462" s="445">
        <f t="shared" si="131"/>
        <v>6</v>
      </c>
      <c r="B462" s="445">
        <f t="shared" si="112"/>
        <v>3</v>
      </c>
      <c r="C462" s="445">
        <f t="shared" si="133"/>
        <v>20</v>
      </c>
      <c r="D462" s="445">
        <f t="shared" si="133"/>
        <v>171</v>
      </c>
      <c r="E462" s="480">
        <f t="shared" si="126"/>
        <v>1</v>
      </c>
      <c r="F462" s="453">
        <f t="shared" si="117"/>
        <v>1</v>
      </c>
      <c r="G462" s="445">
        <f t="shared" si="118"/>
        <v>0.7</v>
      </c>
      <c r="I462" s="476">
        <f t="shared" si="127"/>
        <v>7.9099999999999984</v>
      </c>
      <c r="J462" s="445">
        <f t="shared" si="128"/>
        <v>0.7</v>
      </c>
      <c r="L462" s="476">
        <f t="shared" si="129"/>
        <v>8.19</v>
      </c>
      <c r="M462" s="484">
        <f t="shared" si="130"/>
        <v>0.7</v>
      </c>
      <c r="O462" s="482">
        <f t="shared" si="119"/>
        <v>15.399999999999999</v>
      </c>
      <c r="P462" s="482">
        <f t="shared" si="120"/>
        <v>15.399999999999999</v>
      </c>
      <c r="Q462" s="484">
        <f t="shared" si="121"/>
        <v>11.354000000000001</v>
      </c>
      <c r="R462" s="484">
        <f t="shared" si="122"/>
        <v>7.7112090435807117</v>
      </c>
      <c r="S462" s="484">
        <f t="shared" si="123"/>
        <v>9.1</v>
      </c>
      <c r="T462" s="484">
        <f t="shared" si="124"/>
        <v>7.3552862258306444</v>
      </c>
    </row>
    <row r="463" spans="1:20">
      <c r="A463" s="445">
        <f t="shared" si="131"/>
        <v>6</v>
      </c>
      <c r="B463" s="445">
        <f t="shared" si="113"/>
        <v>4</v>
      </c>
      <c r="C463" s="445">
        <f t="shared" si="133"/>
        <v>21</v>
      </c>
      <c r="D463" s="445">
        <f t="shared" si="133"/>
        <v>172</v>
      </c>
      <c r="E463" s="480">
        <f t="shared" si="126"/>
        <v>1</v>
      </c>
      <c r="F463" s="453">
        <f t="shared" si="117"/>
        <v>1</v>
      </c>
      <c r="G463" s="445">
        <f t="shared" si="118"/>
        <v>0.7</v>
      </c>
      <c r="I463" s="476">
        <f t="shared" si="127"/>
        <v>7.9099999999999984</v>
      </c>
      <c r="J463" s="445">
        <f t="shared" si="128"/>
        <v>0.7</v>
      </c>
      <c r="L463" s="476">
        <f t="shared" si="129"/>
        <v>8.19</v>
      </c>
      <c r="M463" s="484">
        <f t="shared" si="130"/>
        <v>0.7</v>
      </c>
      <c r="O463" s="482">
        <f t="shared" si="119"/>
        <v>15.399999999999999</v>
      </c>
      <c r="P463" s="482">
        <f t="shared" si="120"/>
        <v>15.399999999999999</v>
      </c>
      <c r="Q463" s="484">
        <f t="shared" si="121"/>
        <v>11.354000000000001</v>
      </c>
      <c r="R463" s="484">
        <f t="shared" si="122"/>
        <v>7.7112090435807117</v>
      </c>
      <c r="S463" s="484">
        <f t="shared" si="123"/>
        <v>9.1</v>
      </c>
      <c r="T463" s="484">
        <f t="shared" si="124"/>
        <v>7.3552862258306444</v>
      </c>
    </row>
    <row r="464" spans="1:20">
      <c r="A464" s="445">
        <f t="shared" si="131"/>
        <v>6</v>
      </c>
      <c r="B464" s="445">
        <f t="shared" si="114"/>
        <v>5</v>
      </c>
      <c r="C464" s="445">
        <f t="shared" si="133"/>
        <v>22</v>
      </c>
      <c r="D464" s="445">
        <f t="shared" si="133"/>
        <v>173</v>
      </c>
      <c r="E464" s="480">
        <f t="shared" si="126"/>
        <v>1</v>
      </c>
      <c r="F464" s="453">
        <f t="shared" si="117"/>
        <v>1</v>
      </c>
      <c r="G464" s="445">
        <f t="shared" si="118"/>
        <v>0.7</v>
      </c>
      <c r="I464" s="476">
        <f t="shared" si="127"/>
        <v>7.9099999999999984</v>
      </c>
      <c r="J464" s="445">
        <f t="shared" si="128"/>
        <v>0.7</v>
      </c>
      <c r="L464" s="476">
        <f t="shared" si="129"/>
        <v>8.19</v>
      </c>
      <c r="M464" s="484">
        <f t="shared" si="130"/>
        <v>0.7</v>
      </c>
      <c r="O464" s="482">
        <f t="shared" si="119"/>
        <v>15.399999999999999</v>
      </c>
      <c r="P464" s="482">
        <f t="shared" si="120"/>
        <v>15.399999999999999</v>
      </c>
      <c r="Q464" s="484">
        <f t="shared" si="121"/>
        <v>11.354000000000001</v>
      </c>
      <c r="R464" s="484">
        <f t="shared" si="122"/>
        <v>7.7112090435807117</v>
      </c>
      <c r="S464" s="484">
        <f t="shared" si="123"/>
        <v>9.1</v>
      </c>
      <c r="T464" s="484">
        <f t="shared" si="124"/>
        <v>7.3552862258306444</v>
      </c>
    </row>
    <row r="465" spans="1:20">
      <c r="A465" s="445">
        <f t="shared" si="131"/>
        <v>6</v>
      </c>
      <c r="B465" s="445">
        <f t="shared" si="115"/>
        <v>6</v>
      </c>
      <c r="C465" s="445">
        <f t="shared" si="133"/>
        <v>23</v>
      </c>
      <c r="D465" s="445">
        <f t="shared" si="133"/>
        <v>174</v>
      </c>
      <c r="E465" s="480">
        <f t="shared" si="126"/>
        <v>1</v>
      </c>
      <c r="F465" s="453">
        <f t="shared" si="117"/>
        <v>1</v>
      </c>
      <c r="G465" s="445">
        <f t="shared" si="118"/>
        <v>0.7</v>
      </c>
      <c r="I465" s="476">
        <f t="shared" si="127"/>
        <v>7.9099999999999984</v>
      </c>
      <c r="J465" s="445">
        <f t="shared" si="128"/>
        <v>0.7</v>
      </c>
      <c r="L465" s="476">
        <f t="shared" si="129"/>
        <v>8.19</v>
      </c>
      <c r="M465" s="484">
        <f t="shared" si="130"/>
        <v>0.7</v>
      </c>
      <c r="O465" s="482">
        <f t="shared" si="119"/>
        <v>15.399999999999999</v>
      </c>
      <c r="P465" s="482">
        <f t="shared" si="120"/>
        <v>15.399999999999999</v>
      </c>
      <c r="Q465" s="484">
        <f t="shared" si="121"/>
        <v>11.354000000000001</v>
      </c>
      <c r="R465" s="484">
        <f t="shared" si="122"/>
        <v>7.7112090435807117</v>
      </c>
      <c r="S465" s="484">
        <f t="shared" si="123"/>
        <v>9.1</v>
      </c>
      <c r="T465" s="484">
        <f t="shared" si="124"/>
        <v>7.3552862258306444</v>
      </c>
    </row>
    <row r="466" spans="1:20">
      <c r="A466" s="445">
        <f t="shared" si="131"/>
        <v>6</v>
      </c>
      <c r="B466" s="445">
        <f t="shared" ref="B466:B529" si="136">$F$277</f>
        <v>7</v>
      </c>
      <c r="C466" s="445">
        <f t="shared" si="133"/>
        <v>24</v>
      </c>
      <c r="D466" s="445">
        <f t="shared" si="133"/>
        <v>175</v>
      </c>
      <c r="E466" s="480">
        <f t="shared" si="126"/>
        <v>1</v>
      </c>
      <c r="F466" s="453">
        <f t="shared" si="117"/>
        <v>1</v>
      </c>
      <c r="G466" s="445">
        <f t="shared" si="118"/>
        <v>0.7</v>
      </c>
      <c r="I466" s="476">
        <f t="shared" si="127"/>
        <v>7.9099999999999984</v>
      </c>
      <c r="J466" s="445">
        <f t="shared" si="128"/>
        <v>0.7</v>
      </c>
      <c r="L466" s="476">
        <f t="shared" si="129"/>
        <v>8.19</v>
      </c>
      <c r="M466" s="484">
        <f t="shared" si="130"/>
        <v>0.7</v>
      </c>
      <c r="O466" s="482">
        <f t="shared" si="119"/>
        <v>15.399999999999999</v>
      </c>
      <c r="P466" s="482">
        <f t="shared" si="120"/>
        <v>15.399999999999999</v>
      </c>
      <c r="Q466" s="484">
        <f t="shared" si="121"/>
        <v>11.354000000000001</v>
      </c>
      <c r="R466" s="484">
        <f t="shared" si="122"/>
        <v>7.7112090435807117</v>
      </c>
      <c r="S466" s="484">
        <f t="shared" si="123"/>
        <v>9.1</v>
      </c>
      <c r="T466" s="484">
        <f t="shared" si="124"/>
        <v>7.3552862258306444</v>
      </c>
    </row>
    <row r="467" spans="1:20">
      <c r="A467" s="445">
        <f t="shared" si="131"/>
        <v>6</v>
      </c>
      <c r="B467" s="445">
        <f t="shared" si="134"/>
        <v>1</v>
      </c>
      <c r="C467" s="445">
        <f t="shared" si="133"/>
        <v>25</v>
      </c>
      <c r="D467" s="445">
        <f t="shared" si="133"/>
        <v>176</v>
      </c>
      <c r="E467" s="480">
        <f t="shared" si="126"/>
        <v>1</v>
      </c>
      <c r="F467" s="453">
        <f t="shared" si="117"/>
        <v>1</v>
      </c>
      <c r="G467" s="445">
        <f t="shared" si="118"/>
        <v>0.7</v>
      </c>
      <c r="I467" s="476">
        <f t="shared" si="127"/>
        <v>7.9099999999999984</v>
      </c>
      <c r="J467" s="445">
        <f t="shared" si="128"/>
        <v>0.7</v>
      </c>
      <c r="L467" s="476">
        <f t="shared" si="129"/>
        <v>8.19</v>
      </c>
      <c r="M467" s="484">
        <f t="shared" si="130"/>
        <v>0.7</v>
      </c>
      <c r="O467" s="482">
        <f t="shared" si="119"/>
        <v>15.399999999999999</v>
      </c>
      <c r="P467" s="482">
        <f t="shared" si="120"/>
        <v>15.399999999999999</v>
      </c>
      <c r="Q467" s="484">
        <f t="shared" si="121"/>
        <v>11.354000000000001</v>
      </c>
      <c r="R467" s="484">
        <f t="shared" si="122"/>
        <v>7.7112090435807117</v>
      </c>
      <c r="S467" s="484">
        <f t="shared" si="123"/>
        <v>9.1</v>
      </c>
      <c r="T467" s="484">
        <f t="shared" si="124"/>
        <v>7.3552862258306444</v>
      </c>
    </row>
    <row r="468" spans="1:20">
      <c r="A468" s="445">
        <f t="shared" si="131"/>
        <v>6</v>
      </c>
      <c r="B468" s="445">
        <f t="shared" si="135"/>
        <v>2</v>
      </c>
      <c r="C468" s="445">
        <f t="shared" si="133"/>
        <v>26</v>
      </c>
      <c r="D468" s="445">
        <f t="shared" si="133"/>
        <v>177</v>
      </c>
      <c r="E468" s="480">
        <f t="shared" si="126"/>
        <v>1</v>
      </c>
      <c r="F468" s="453">
        <f t="shared" si="117"/>
        <v>1</v>
      </c>
      <c r="G468" s="445">
        <f t="shared" si="118"/>
        <v>0.7</v>
      </c>
      <c r="I468" s="476">
        <f t="shared" si="127"/>
        <v>7.9099999999999984</v>
      </c>
      <c r="J468" s="445">
        <f t="shared" si="128"/>
        <v>0.7</v>
      </c>
      <c r="L468" s="476">
        <f t="shared" si="129"/>
        <v>8.19</v>
      </c>
      <c r="M468" s="484">
        <f t="shared" si="130"/>
        <v>0.7</v>
      </c>
      <c r="O468" s="482">
        <f t="shared" si="119"/>
        <v>15.399999999999999</v>
      </c>
      <c r="P468" s="482">
        <f t="shared" si="120"/>
        <v>15.399999999999999</v>
      </c>
      <c r="Q468" s="484">
        <f t="shared" si="121"/>
        <v>11.354000000000001</v>
      </c>
      <c r="R468" s="484">
        <f t="shared" si="122"/>
        <v>7.7112090435807117</v>
      </c>
      <c r="S468" s="484">
        <f t="shared" si="123"/>
        <v>9.1</v>
      </c>
      <c r="T468" s="484">
        <f t="shared" si="124"/>
        <v>7.3552862258306444</v>
      </c>
    </row>
    <row r="469" spans="1:20">
      <c r="A469" s="445">
        <f t="shared" si="131"/>
        <v>6</v>
      </c>
      <c r="B469" s="445">
        <f t="shared" ref="B469:B532" si="137">$F$273</f>
        <v>3</v>
      </c>
      <c r="C469" s="445">
        <f t="shared" ref="C469:D484" si="138">C468+1</f>
        <v>27</v>
      </c>
      <c r="D469" s="445">
        <f t="shared" si="138"/>
        <v>178</v>
      </c>
      <c r="E469" s="480">
        <f t="shared" si="126"/>
        <v>1</v>
      </c>
      <c r="F469" s="453">
        <f t="shared" si="117"/>
        <v>1</v>
      </c>
      <c r="G469" s="445">
        <f t="shared" si="118"/>
        <v>0.7</v>
      </c>
      <c r="I469" s="476">
        <f t="shared" si="127"/>
        <v>7.9099999999999984</v>
      </c>
      <c r="J469" s="445">
        <f t="shared" si="128"/>
        <v>0.7</v>
      </c>
      <c r="L469" s="476">
        <f t="shared" si="129"/>
        <v>8.19</v>
      </c>
      <c r="M469" s="484">
        <f t="shared" si="130"/>
        <v>0.7</v>
      </c>
      <c r="O469" s="482">
        <f t="shared" si="119"/>
        <v>15.399999999999999</v>
      </c>
      <c r="P469" s="482">
        <f t="shared" si="120"/>
        <v>15.399999999999999</v>
      </c>
      <c r="Q469" s="484">
        <f t="shared" si="121"/>
        <v>11.354000000000001</v>
      </c>
      <c r="R469" s="484">
        <f t="shared" si="122"/>
        <v>7.7112090435807117</v>
      </c>
      <c r="S469" s="484">
        <f t="shared" si="123"/>
        <v>9.1</v>
      </c>
      <c r="T469" s="484">
        <f t="shared" si="124"/>
        <v>7.3552862258306444</v>
      </c>
    </row>
    <row r="470" spans="1:20">
      <c r="A470" s="445">
        <f t="shared" si="131"/>
        <v>6</v>
      </c>
      <c r="B470" s="445">
        <f t="shared" ref="B470:B533" si="139">$F$274</f>
        <v>4</v>
      </c>
      <c r="C470" s="445">
        <f t="shared" si="138"/>
        <v>28</v>
      </c>
      <c r="D470" s="445">
        <f t="shared" si="138"/>
        <v>179</v>
      </c>
      <c r="E470" s="480">
        <f t="shared" si="126"/>
        <v>1</v>
      </c>
      <c r="F470" s="453">
        <f t="shared" si="117"/>
        <v>1</v>
      </c>
      <c r="G470" s="445">
        <f t="shared" si="118"/>
        <v>0.7</v>
      </c>
      <c r="I470" s="476">
        <f t="shared" si="127"/>
        <v>7.9099999999999984</v>
      </c>
      <c r="J470" s="445">
        <f t="shared" si="128"/>
        <v>0.7</v>
      </c>
      <c r="L470" s="476">
        <f t="shared" si="129"/>
        <v>8.19</v>
      </c>
      <c r="M470" s="484">
        <f t="shared" si="130"/>
        <v>0.7</v>
      </c>
      <c r="O470" s="482">
        <f t="shared" si="119"/>
        <v>15.399999999999999</v>
      </c>
      <c r="P470" s="482">
        <f t="shared" si="120"/>
        <v>15.399999999999999</v>
      </c>
      <c r="Q470" s="484">
        <f t="shared" si="121"/>
        <v>11.354000000000001</v>
      </c>
      <c r="R470" s="484">
        <f t="shared" si="122"/>
        <v>7.7112090435807117</v>
      </c>
      <c r="S470" s="484">
        <f t="shared" si="123"/>
        <v>9.1</v>
      </c>
      <c r="T470" s="484">
        <f t="shared" si="124"/>
        <v>7.3552862258306444</v>
      </c>
    </row>
    <row r="471" spans="1:20">
      <c r="A471" s="445">
        <f t="shared" si="131"/>
        <v>6</v>
      </c>
      <c r="B471" s="445">
        <f t="shared" ref="B471:B534" si="140">$F$275</f>
        <v>5</v>
      </c>
      <c r="C471" s="445">
        <f t="shared" si="138"/>
        <v>29</v>
      </c>
      <c r="D471" s="445">
        <f t="shared" si="138"/>
        <v>180</v>
      </c>
      <c r="E471" s="480">
        <f t="shared" si="126"/>
        <v>1</v>
      </c>
      <c r="F471" s="453">
        <f t="shared" si="117"/>
        <v>1</v>
      </c>
      <c r="G471" s="445">
        <f t="shared" si="118"/>
        <v>0.7</v>
      </c>
      <c r="I471" s="476">
        <f t="shared" si="127"/>
        <v>7.9099999999999984</v>
      </c>
      <c r="J471" s="445">
        <f t="shared" si="128"/>
        <v>0.7</v>
      </c>
      <c r="L471" s="476">
        <f t="shared" si="129"/>
        <v>8.19</v>
      </c>
      <c r="M471" s="484">
        <f t="shared" si="130"/>
        <v>0.7</v>
      </c>
      <c r="O471" s="482">
        <f t="shared" si="119"/>
        <v>15.399999999999999</v>
      </c>
      <c r="P471" s="482">
        <f t="shared" si="120"/>
        <v>15.399999999999999</v>
      </c>
      <c r="Q471" s="484">
        <f t="shared" si="121"/>
        <v>11.354000000000001</v>
      </c>
      <c r="R471" s="484">
        <f t="shared" si="122"/>
        <v>7.7112090435807117</v>
      </c>
      <c r="S471" s="484">
        <f t="shared" si="123"/>
        <v>9.1</v>
      </c>
      <c r="T471" s="484">
        <f t="shared" si="124"/>
        <v>7.3552862258306444</v>
      </c>
    </row>
    <row r="472" spans="1:20">
      <c r="A472" s="445">
        <f t="shared" si="131"/>
        <v>6</v>
      </c>
      <c r="B472" s="445">
        <f t="shared" ref="B472:B535" si="141">$F$276</f>
        <v>6</v>
      </c>
      <c r="C472" s="445">
        <f t="shared" si="138"/>
        <v>30</v>
      </c>
      <c r="D472" s="445">
        <f t="shared" si="138"/>
        <v>181</v>
      </c>
      <c r="E472" s="480">
        <f t="shared" si="126"/>
        <v>1</v>
      </c>
      <c r="F472" s="453">
        <f t="shared" si="117"/>
        <v>1</v>
      </c>
      <c r="G472" s="445">
        <f t="shared" si="118"/>
        <v>0.7</v>
      </c>
      <c r="I472" s="476">
        <f t="shared" si="127"/>
        <v>7.9099999999999984</v>
      </c>
      <c r="J472" s="445">
        <f t="shared" si="128"/>
        <v>0.7</v>
      </c>
      <c r="L472" s="476">
        <f t="shared" si="129"/>
        <v>8.19</v>
      </c>
      <c r="M472" s="484">
        <f t="shared" si="130"/>
        <v>0.7</v>
      </c>
      <c r="O472" s="482">
        <f t="shared" si="119"/>
        <v>15.399999999999999</v>
      </c>
      <c r="P472" s="482">
        <f t="shared" si="120"/>
        <v>15.399999999999999</v>
      </c>
      <c r="Q472" s="484">
        <f t="shared" si="121"/>
        <v>11.354000000000001</v>
      </c>
      <c r="R472" s="484">
        <f t="shared" si="122"/>
        <v>7.7112090435807117</v>
      </c>
      <c r="S472" s="484">
        <f t="shared" si="123"/>
        <v>9.1</v>
      </c>
      <c r="T472" s="484">
        <f t="shared" si="124"/>
        <v>7.3552862258306444</v>
      </c>
    </row>
    <row r="473" spans="1:20">
      <c r="A473" s="445">
        <v>7</v>
      </c>
      <c r="B473" s="445">
        <f t="shared" si="136"/>
        <v>7</v>
      </c>
      <c r="C473" s="445">
        <v>1</v>
      </c>
      <c r="D473" s="445">
        <f t="shared" si="138"/>
        <v>182</v>
      </c>
      <c r="E473" s="480">
        <f t="shared" si="126"/>
        <v>1</v>
      </c>
      <c r="F473" s="453">
        <f t="shared" si="117"/>
        <v>0.6</v>
      </c>
      <c r="G473" s="445">
        <f t="shared" si="118"/>
        <v>0.7</v>
      </c>
      <c r="I473" s="476">
        <f t="shared" si="127"/>
        <v>7.9099999999999984</v>
      </c>
      <c r="J473" s="445">
        <f t="shared" si="128"/>
        <v>0.7</v>
      </c>
      <c r="L473" s="476">
        <f t="shared" si="129"/>
        <v>8.19</v>
      </c>
      <c r="M473" s="484">
        <f t="shared" si="130"/>
        <v>0.7</v>
      </c>
      <c r="O473" s="482">
        <f t="shared" si="119"/>
        <v>15.399999999999999</v>
      </c>
      <c r="P473" s="482">
        <f t="shared" si="120"/>
        <v>15.399999999999999</v>
      </c>
      <c r="Q473" s="484">
        <f t="shared" si="121"/>
        <v>11.354000000000001</v>
      </c>
      <c r="R473" s="484">
        <f t="shared" si="122"/>
        <v>7.7112090435807117</v>
      </c>
      <c r="S473" s="484">
        <f t="shared" si="123"/>
        <v>9.1</v>
      </c>
      <c r="T473" s="484">
        <f t="shared" si="124"/>
        <v>7.3552862258306444</v>
      </c>
    </row>
    <row r="474" spans="1:20">
      <c r="A474" s="445">
        <f t="shared" si="131"/>
        <v>7</v>
      </c>
      <c r="B474" s="445">
        <f t="shared" si="134"/>
        <v>1</v>
      </c>
      <c r="C474" s="445">
        <f t="shared" si="138"/>
        <v>2</v>
      </c>
      <c r="D474" s="445">
        <f t="shared" si="138"/>
        <v>183</v>
      </c>
      <c r="E474" s="480">
        <f t="shared" si="126"/>
        <v>1</v>
      </c>
      <c r="F474" s="453">
        <f t="shared" si="117"/>
        <v>0.6</v>
      </c>
      <c r="G474" s="445">
        <f t="shared" si="118"/>
        <v>0.7</v>
      </c>
      <c r="I474" s="476">
        <f t="shared" si="127"/>
        <v>7.9099999999999984</v>
      </c>
      <c r="J474" s="445">
        <f t="shared" si="128"/>
        <v>0.7</v>
      </c>
      <c r="L474" s="476">
        <f t="shared" si="129"/>
        <v>8.19</v>
      </c>
      <c r="M474" s="484">
        <f t="shared" si="130"/>
        <v>0.7</v>
      </c>
      <c r="O474" s="482">
        <f t="shared" si="119"/>
        <v>15.399999999999999</v>
      </c>
      <c r="P474" s="482">
        <f t="shared" si="120"/>
        <v>15.399999999999999</v>
      </c>
      <c r="Q474" s="484">
        <f t="shared" si="121"/>
        <v>11.354000000000001</v>
      </c>
      <c r="R474" s="484">
        <f t="shared" si="122"/>
        <v>7.7112090435807117</v>
      </c>
      <c r="S474" s="484">
        <f t="shared" si="123"/>
        <v>9.1</v>
      </c>
      <c r="T474" s="484">
        <f t="shared" si="124"/>
        <v>7.3552862258306444</v>
      </c>
    </row>
    <row r="475" spans="1:20">
      <c r="A475" s="445">
        <f t="shared" si="131"/>
        <v>7</v>
      </c>
      <c r="B475" s="445">
        <f t="shared" si="135"/>
        <v>2</v>
      </c>
      <c r="C475" s="445">
        <f t="shared" si="138"/>
        <v>3</v>
      </c>
      <c r="D475" s="445">
        <f t="shared" si="138"/>
        <v>184</v>
      </c>
      <c r="E475" s="480">
        <f t="shared" si="126"/>
        <v>1</v>
      </c>
      <c r="F475" s="453">
        <f t="shared" si="117"/>
        <v>0.6</v>
      </c>
      <c r="G475" s="445">
        <f t="shared" si="118"/>
        <v>0.7</v>
      </c>
      <c r="I475" s="476">
        <f t="shared" si="127"/>
        <v>7.9099999999999984</v>
      </c>
      <c r="J475" s="445">
        <f t="shared" si="128"/>
        <v>0.7</v>
      </c>
      <c r="L475" s="476">
        <f t="shared" si="129"/>
        <v>8.19</v>
      </c>
      <c r="M475" s="484">
        <f t="shared" si="130"/>
        <v>0.7</v>
      </c>
      <c r="O475" s="482">
        <f t="shared" si="119"/>
        <v>15.399999999999999</v>
      </c>
      <c r="P475" s="482">
        <f t="shared" si="120"/>
        <v>15.399999999999999</v>
      </c>
      <c r="Q475" s="484">
        <f t="shared" si="121"/>
        <v>11.354000000000001</v>
      </c>
      <c r="R475" s="484">
        <f t="shared" si="122"/>
        <v>7.7112090435807117</v>
      </c>
      <c r="S475" s="484">
        <f t="shared" si="123"/>
        <v>9.1</v>
      </c>
      <c r="T475" s="484">
        <f t="shared" si="124"/>
        <v>7.3552862258306444</v>
      </c>
    </row>
    <row r="476" spans="1:20">
      <c r="A476" s="445">
        <f t="shared" si="131"/>
        <v>7</v>
      </c>
      <c r="B476" s="445">
        <f t="shared" si="137"/>
        <v>3</v>
      </c>
      <c r="C476" s="445">
        <f t="shared" si="138"/>
        <v>4</v>
      </c>
      <c r="D476" s="445">
        <f t="shared" si="138"/>
        <v>185</v>
      </c>
      <c r="E476" s="480">
        <f t="shared" si="126"/>
        <v>1</v>
      </c>
      <c r="F476" s="453">
        <f t="shared" si="117"/>
        <v>0.6</v>
      </c>
      <c r="G476" s="445">
        <f t="shared" si="118"/>
        <v>0.7</v>
      </c>
      <c r="I476" s="476">
        <f t="shared" si="127"/>
        <v>7.9099999999999984</v>
      </c>
      <c r="J476" s="445">
        <f t="shared" si="128"/>
        <v>0.7</v>
      </c>
      <c r="L476" s="476">
        <f t="shared" si="129"/>
        <v>8.19</v>
      </c>
      <c r="M476" s="484">
        <f t="shared" si="130"/>
        <v>0.7</v>
      </c>
      <c r="O476" s="482">
        <f t="shared" si="119"/>
        <v>15.399999999999999</v>
      </c>
      <c r="P476" s="482">
        <f t="shared" si="120"/>
        <v>15.399999999999999</v>
      </c>
      <c r="Q476" s="484">
        <f t="shared" si="121"/>
        <v>11.354000000000001</v>
      </c>
      <c r="R476" s="484">
        <f t="shared" si="122"/>
        <v>7.7112090435807117</v>
      </c>
      <c r="S476" s="484">
        <f t="shared" si="123"/>
        <v>9.1</v>
      </c>
      <c r="T476" s="484">
        <f t="shared" si="124"/>
        <v>7.3552862258306444</v>
      </c>
    </row>
    <row r="477" spans="1:20">
      <c r="A477" s="445">
        <f t="shared" si="131"/>
        <v>7</v>
      </c>
      <c r="B477" s="445">
        <f t="shared" si="139"/>
        <v>4</v>
      </c>
      <c r="C477" s="445">
        <f t="shared" si="138"/>
        <v>5</v>
      </c>
      <c r="D477" s="445">
        <f t="shared" si="138"/>
        <v>186</v>
      </c>
      <c r="E477" s="480">
        <f t="shared" si="126"/>
        <v>1</v>
      </c>
      <c r="F477" s="453">
        <f t="shared" si="117"/>
        <v>0.6</v>
      </c>
      <c r="G477" s="445">
        <f t="shared" si="118"/>
        <v>0.7</v>
      </c>
      <c r="I477" s="476">
        <f t="shared" si="127"/>
        <v>7.9099999999999984</v>
      </c>
      <c r="J477" s="445">
        <f t="shared" si="128"/>
        <v>0.7</v>
      </c>
      <c r="L477" s="476">
        <f t="shared" si="129"/>
        <v>8.19</v>
      </c>
      <c r="M477" s="484">
        <f t="shared" si="130"/>
        <v>0.7</v>
      </c>
      <c r="O477" s="482">
        <f t="shared" si="119"/>
        <v>15.399999999999999</v>
      </c>
      <c r="P477" s="482">
        <f t="shared" si="120"/>
        <v>15.399999999999999</v>
      </c>
      <c r="Q477" s="484">
        <f t="shared" si="121"/>
        <v>11.354000000000001</v>
      </c>
      <c r="R477" s="484">
        <f t="shared" si="122"/>
        <v>7.7112090435807117</v>
      </c>
      <c r="S477" s="484">
        <f t="shared" si="123"/>
        <v>9.1</v>
      </c>
      <c r="T477" s="484">
        <f t="shared" si="124"/>
        <v>7.3552862258306444</v>
      </c>
    </row>
    <row r="478" spans="1:20">
      <c r="A478" s="445">
        <f t="shared" si="131"/>
        <v>7</v>
      </c>
      <c r="B478" s="445">
        <f t="shared" si="140"/>
        <v>5</v>
      </c>
      <c r="C478" s="445">
        <f t="shared" si="138"/>
        <v>6</v>
      </c>
      <c r="D478" s="445">
        <f t="shared" si="138"/>
        <v>187</v>
      </c>
      <c r="E478" s="480">
        <f t="shared" si="126"/>
        <v>1</v>
      </c>
      <c r="F478" s="453">
        <f t="shared" si="117"/>
        <v>0.6</v>
      </c>
      <c r="G478" s="445">
        <f t="shared" si="118"/>
        <v>0.7</v>
      </c>
      <c r="I478" s="476">
        <f t="shared" si="127"/>
        <v>7.9099999999999984</v>
      </c>
      <c r="J478" s="445">
        <f t="shared" si="128"/>
        <v>0.7</v>
      </c>
      <c r="L478" s="476">
        <f t="shared" si="129"/>
        <v>8.19</v>
      </c>
      <c r="M478" s="484">
        <f t="shared" si="130"/>
        <v>0.7</v>
      </c>
      <c r="O478" s="482">
        <f t="shared" si="119"/>
        <v>15.399999999999999</v>
      </c>
      <c r="P478" s="482">
        <f t="shared" si="120"/>
        <v>15.399999999999999</v>
      </c>
      <c r="Q478" s="484">
        <f t="shared" si="121"/>
        <v>11.354000000000001</v>
      </c>
      <c r="R478" s="484">
        <f t="shared" si="122"/>
        <v>7.7112090435807117</v>
      </c>
      <c r="S478" s="484">
        <f t="shared" si="123"/>
        <v>9.1</v>
      </c>
      <c r="T478" s="484">
        <f t="shared" si="124"/>
        <v>7.3552862258306444</v>
      </c>
    </row>
    <row r="479" spans="1:20">
      <c r="A479" s="445">
        <f t="shared" si="131"/>
        <v>7</v>
      </c>
      <c r="B479" s="445">
        <f t="shared" si="141"/>
        <v>6</v>
      </c>
      <c r="C479" s="445">
        <f t="shared" si="138"/>
        <v>7</v>
      </c>
      <c r="D479" s="445">
        <f t="shared" si="138"/>
        <v>188</v>
      </c>
      <c r="E479" s="480">
        <f t="shared" si="126"/>
        <v>1</v>
      </c>
      <c r="F479" s="453">
        <f t="shared" si="117"/>
        <v>0.6</v>
      </c>
      <c r="G479" s="445">
        <f t="shared" si="118"/>
        <v>0.7</v>
      </c>
      <c r="I479" s="476">
        <f t="shared" si="127"/>
        <v>7.9099999999999984</v>
      </c>
      <c r="J479" s="445">
        <f t="shared" si="128"/>
        <v>0.7</v>
      </c>
      <c r="L479" s="476">
        <f t="shared" si="129"/>
        <v>8.19</v>
      </c>
      <c r="M479" s="484">
        <f t="shared" si="130"/>
        <v>0.7</v>
      </c>
      <c r="O479" s="482">
        <f t="shared" si="119"/>
        <v>15.399999999999999</v>
      </c>
      <c r="P479" s="482">
        <f t="shared" si="120"/>
        <v>15.399999999999999</v>
      </c>
      <c r="Q479" s="484">
        <f t="shared" si="121"/>
        <v>11.354000000000001</v>
      </c>
      <c r="R479" s="484">
        <f t="shared" si="122"/>
        <v>7.7112090435807117</v>
      </c>
      <c r="S479" s="484">
        <f t="shared" si="123"/>
        <v>9.1</v>
      </c>
      <c r="T479" s="484">
        <f t="shared" si="124"/>
        <v>7.3552862258306444</v>
      </c>
    </row>
    <row r="480" spans="1:20">
      <c r="A480" s="445">
        <f t="shared" si="131"/>
        <v>7</v>
      </c>
      <c r="B480" s="445">
        <f t="shared" si="136"/>
        <v>7</v>
      </c>
      <c r="C480" s="445">
        <f t="shared" si="138"/>
        <v>8</v>
      </c>
      <c r="D480" s="445">
        <f t="shared" si="138"/>
        <v>189</v>
      </c>
      <c r="E480" s="480">
        <f t="shared" si="126"/>
        <v>1</v>
      </c>
      <c r="F480" s="453">
        <f t="shared" si="117"/>
        <v>0.6</v>
      </c>
      <c r="G480" s="445">
        <f t="shared" si="118"/>
        <v>0.7</v>
      </c>
      <c r="I480" s="476">
        <f t="shared" si="127"/>
        <v>7.9099999999999984</v>
      </c>
      <c r="J480" s="445">
        <f t="shared" si="128"/>
        <v>0.7</v>
      </c>
      <c r="L480" s="476">
        <f t="shared" si="129"/>
        <v>8.19</v>
      </c>
      <c r="M480" s="484">
        <f t="shared" si="130"/>
        <v>0.7</v>
      </c>
      <c r="O480" s="482">
        <f t="shared" si="119"/>
        <v>15.399999999999999</v>
      </c>
      <c r="P480" s="482">
        <f t="shared" si="120"/>
        <v>15.399999999999999</v>
      </c>
      <c r="Q480" s="484">
        <f t="shared" si="121"/>
        <v>11.354000000000001</v>
      </c>
      <c r="R480" s="484">
        <f t="shared" si="122"/>
        <v>7.7112090435807117</v>
      </c>
      <c r="S480" s="484">
        <f t="shared" si="123"/>
        <v>9.1</v>
      </c>
      <c r="T480" s="484">
        <f t="shared" si="124"/>
        <v>7.3552862258306444</v>
      </c>
    </row>
    <row r="481" spans="1:20">
      <c r="A481" s="445">
        <f t="shared" si="131"/>
        <v>7</v>
      </c>
      <c r="B481" s="445">
        <f t="shared" si="134"/>
        <v>1</v>
      </c>
      <c r="C481" s="445">
        <f t="shared" si="138"/>
        <v>9</v>
      </c>
      <c r="D481" s="445">
        <f t="shared" si="138"/>
        <v>190</v>
      </c>
      <c r="E481" s="480">
        <f t="shared" si="126"/>
        <v>1</v>
      </c>
      <c r="F481" s="453">
        <f t="shared" si="117"/>
        <v>0.6</v>
      </c>
      <c r="G481" s="445">
        <f t="shared" si="118"/>
        <v>0.7</v>
      </c>
      <c r="I481" s="476">
        <f t="shared" si="127"/>
        <v>7.9099999999999984</v>
      </c>
      <c r="J481" s="445">
        <f t="shared" si="128"/>
        <v>0.7</v>
      </c>
      <c r="L481" s="476">
        <f t="shared" si="129"/>
        <v>8.19</v>
      </c>
      <c r="M481" s="484">
        <f t="shared" si="130"/>
        <v>0.7</v>
      </c>
      <c r="O481" s="482">
        <f t="shared" si="119"/>
        <v>15.399999999999999</v>
      </c>
      <c r="P481" s="482">
        <f t="shared" si="120"/>
        <v>15.399999999999999</v>
      </c>
      <c r="Q481" s="484">
        <f t="shared" si="121"/>
        <v>11.354000000000001</v>
      </c>
      <c r="R481" s="484">
        <f t="shared" si="122"/>
        <v>7.7112090435807117</v>
      </c>
      <c r="S481" s="484">
        <f t="shared" si="123"/>
        <v>9.1</v>
      </c>
      <c r="T481" s="484">
        <f t="shared" si="124"/>
        <v>7.3552862258306444</v>
      </c>
    </row>
    <row r="482" spans="1:20">
      <c r="A482" s="445">
        <f t="shared" si="131"/>
        <v>7</v>
      </c>
      <c r="B482" s="445">
        <f t="shared" si="135"/>
        <v>2</v>
      </c>
      <c r="C482" s="445">
        <f t="shared" si="138"/>
        <v>10</v>
      </c>
      <c r="D482" s="445">
        <f t="shared" si="138"/>
        <v>191</v>
      </c>
      <c r="E482" s="480">
        <f t="shared" si="126"/>
        <v>1</v>
      </c>
      <c r="F482" s="453">
        <f t="shared" si="117"/>
        <v>0.6</v>
      </c>
      <c r="G482" s="445">
        <f t="shared" si="118"/>
        <v>0.7</v>
      </c>
      <c r="I482" s="476">
        <f t="shared" si="127"/>
        <v>7.9099999999999984</v>
      </c>
      <c r="J482" s="445">
        <f t="shared" si="128"/>
        <v>0.7</v>
      </c>
      <c r="L482" s="476">
        <f t="shared" si="129"/>
        <v>8.19</v>
      </c>
      <c r="M482" s="484">
        <f t="shared" si="130"/>
        <v>0.7</v>
      </c>
      <c r="O482" s="482">
        <f t="shared" si="119"/>
        <v>15.399999999999999</v>
      </c>
      <c r="P482" s="482">
        <f t="shared" si="120"/>
        <v>15.399999999999999</v>
      </c>
      <c r="Q482" s="484">
        <f t="shared" si="121"/>
        <v>11.354000000000001</v>
      </c>
      <c r="R482" s="484">
        <f t="shared" si="122"/>
        <v>7.7112090435807117</v>
      </c>
      <c r="S482" s="484">
        <f t="shared" si="123"/>
        <v>9.1</v>
      </c>
      <c r="T482" s="484">
        <f t="shared" si="124"/>
        <v>7.3552862258306444</v>
      </c>
    </row>
    <row r="483" spans="1:20">
      <c r="A483" s="445">
        <f t="shared" si="131"/>
        <v>7</v>
      </c>
      <c r="B483" s="445">
        <f t="shared" si="137"/>
        <v>3</v>
      </c>
      <c r="C483" s="445">
        <f t="shared" si="138"/>
        <v>11</v>
      </c>
      <c r="D483" s="445">
        <f t="shared" si="138"/>
        <v>192</v>
      </c>
      <c r="E483" s="480">
        <f t="shared" si="126"/>
        <v>1</v>
      </c>
      <c r="F483" s="453">
        <f t="shared" si="117"/>
        <v>0.6</v>
      </c>
      <c r="G483" s="445">
        <f t="shared" si="118"/>
        <v>0.7</v>
      </c>
      <c r="I483" s="476">
        <f t="shared" si="127"/>
        <v>7.9099999999999984</v>
      </c>
      <c r="J483" s="445">
        <f t="shared" si="128"/>
        <v>0.7</v>
      </c>
      <c r="L483" s="476">
        <f t="shared" si="129"/>
        <v>8.19</v>
      </c>
      <c r="M483" s="484">
        <f t="shared" si="130"/>
        <v>0.7</v>
      </c>
      <c r="O483" s="482">
        <f t="shared" si="119"/>
        <v>15.399999999999999</v>
      </c>
      <c r="P483" s="482">
        <f t="shared" si="120"/>
        <v>15.399999999999999</v>
      </c>
      <c r="Q483" s="484">
        <f t="shared" si="121"/>
        <v>11.354000000000001</v>
      </c>
      <c r="R483" s="484">
        <f t="shared" si="122"/>
        <v>7.7112090435807117</v>
      </c>
      <c r="S483" s="484">
        <f t="shared" si="123"/>
        <v>9.1</v>
      </c>
      <c r="T483" s="484">
        <f t="shared" si="124"/>
        <v>7.3552862258306444</v>
      </c>
    </row>
    <row r="484" spans="1:20">
      <c r="A484" s="445">
        <f t="shared" si="131"/>
        <v>7</v>
      </c>
      <c r="B484" s="445">
        <f t="shared" si="139"/>
        <v>4</v>
      </c>
      <c r="C484" s="445">
        <f t="shared" si="138"/>
        <v>12</v>
      </c>
      <c r="D484" s="445">
        <f t="shared" si="138"/>
        <v>193</v>
      </c>
      <c r="E484" s="480">
        <f t="shared" si="126"/>
        <v>1</v>
      </c>
      <c r="F484" s="453">
        <f t="shared" ref="F484:F547" si="142">INDEX($C$271:$C$282,A484)</f>
        <v>0.6</v>
      </c>
      <c r="G484" s="445">
        <f t="shared" ref="G484:G547" si="143">INDEX($D$271:$D$282,A484)</f>
        <v>0.7</v>
      </c>
      <c r="I484" s="476">
        <f t="shared" si="127"/>
        <v>7.9099999999999984</v>
      </c>
      <c r="J484" s="445">
        <f t="shared" si="128"/>
        <v>0.7</v>
      </c>
      <c r="L484" s="476">
        <f t="shared" si="129"/>
        <v>8.19</v>
      </c>
      <c r="M484" s="484">
        <f t="shared" si="130"/>
        <v>0.7</v>
      </c>
      <c r="O484" s="482">
        <f t="shared" ref="O484:O547" si="144">IF($F$287="bisherig", $E484*$F$66*F484, $E484*$F$66*G484)</f>
        <v>15.399999999999999</v>
      </c>
      <c r="P484" s="482">
        <f t="shared" ref="P484:P547" si="145">IF($F$287="bisherig", $E484*$F$66*F484, $E484*$F$66*G484)</f>
        <v>15.399999999999999</v>
      </c>
      <c r="Q484" s="484">
        <f t="shared" ref="Q484:Q547" si="146">IF($F$287="bisherig", $E484*$G$66*F484, $E484*$G$66*G484)</f>
        <v>11.354000000000001</v>
      </c>
      <c r="R484" s="484">
        <f t="shared" ref="R484:R547" si="147">IF($F$287="bisherig", $E484*$H$66*F484, $E484*$H$66*G484)</f>
        <v>7.7112090435807117</v>
      </c>
      <c r="S484" s="484">
        <f t="shared" ref="S484:S547" si="148">IF($F$287="bisherig", $E484*$I$66*F484, $E484*$I$66*G484)</f>
        <v>9.1</v>
      </c>
      <c r="T484" s="484">
        <f t="shared" ref="T484:T547" si="149">IF($F$287="bisherig", $E484*$J$66*F484, $E484*$J$66*G484)</f>
        <v>7.3552862258306444</v>
      </c>
    </row>
    <row r="485" spans="1:20">
      <c r="A485" s="445">
        <f t="shared" si="131"/>
        <v>7</v>
      </c>
      <c r="B485" s="445">
        <f t="shared" si="140"/>
        <v>5</v>
      </c>
      <c r="C485" s="445">
        <f t="shared" ref="C485:D500" si="150">C484+1</f>
        <v>13</v>
      </c>
      <c r="D485" s="445">
        <f t="shared" si="150"/>
        <v>194</v>
      </c>
      <c r="E485" s="480">
        <f t="shared" ref="E485:E548" si="151">INDEX($H$271:$H$277,B485)</f>
        <v>1</v>
      </c>
      <c r="F485" s="453">
        <f t="shared" si="142"/>
        <v>0.6</v>
      </c>
      <c r="G485" s="445">
        <f t="shared" si="143"/>
        <v>0.7</v>
      </c>
      <c r="I485" s="476">
        <f t="shared" ref="I485:I548" si="152">IF($F$287="bisherig", $E485*$B$66*F485, $E485*$B$66*G485)</f>
        <v>7.9099999999999984</v>
      </c>
      <c r="J485" s="445">
        <f t="shared" ref="J485:J548" si="153">IF($F$287="bisherig",$E485*MAX($B$67:$B$90)*F485,$E485*MAX($B$67:$B$90)*G485)</f>
        <v>0.7</v>
      </c>
      <c r="L485" s="476">
        <f t="shared" ref="L485:L548" si="154">IF($F$287="bisherig", IF(E485=1, $D$66*F485,$E$66*F485), IF(E485=1, $D$66*G485,$E$66*G485))</f>
        <v>8.19</v>
      </c>
      <c r="M485" s="484">
        <f t="shared" ref="M485:M548" si="155">IF($F$287="bisherig", IF(E485=1, MAX($D$67:$D$90)*F485,MAX($E$67:$E$90)*F485), IF(E485=1,MAX($D$67:$D$90)*G485,MAX($E$67:$E$90)*G485))</f>
        <v>0.7</v>
      </c>
      <c r="O485" s="482">
        <f t="shared" si="144"/>
        <v>15.399999999999999</v>
      </c>
      <c r="P485" s="482">
        <f t="shared" si="145"/>
        <v>15.399999999999999</v>
      </c>
      <c r="Q485" s="484">
        <f t="shared" si="146"/>
        <v>11.354000000000001</v>
      </c>
      <c r="R485" s="484">
        <f t="shared" si="147"/>
        <v>7.7112090435807117</v>
      </c>
      <c r="S485" s="484">
        <f t="shared" si="148"/>
        <v>9.1</v>
      </c>
      <c r="T485" s="484">
        <f t="shared" si="149"/>
        <v>7.3552862258306444</v>
      </c>
    </row>
    <row r="486" spans="1:20">
      <c r="A486" s="445">
        <f t="shared" ref="A486:A549" si="156">A485</f>
        <v>7</v>
      </c>
      <c r="B486" s="445">
        <f t="shared" si="141"/>
        <v>6</v>
      </c>
      <c r="C486" s="445">
        <f t="shared" si="150"/>
        <v>14</v>
      </c>
      <c r="D486" s="445">
        <f t="shared" si="150"/>
        <v>195</v>
      </c>
      <c r="E486" s="480">
        <f t="shared" si="151"/>
        <v>1</v>
      </c>
      <c r="F486" s="453">
        <f t="shared" si="142"/>
        <v>0.6</v>
      </c>
      <c r="G486" s="445">
        <f t="shared" si="143"/>
        <v>0.7</v>
      </c>
      <c r="I486" s="476">
        <f t="shared" si="152"/>
        <v>7.9099999999999984</v>
      </c>
      <c r="J486" s="445">
        <f t="shared" si="153"/>
        <v>0.7</v>
      </c>
      <c r="L486" s="476">
        <f t="shared" si="154"/>
        <v>8.19</v>
      </c>
      <c r="M486" s="484">
        <f t="shared" si="155"/>
        <v>0.7</v>
      </c>
      <c r="O486" s="482">
        <f t="shared" si="144"/>
        <v>15.399999999999999</v>
      </c>
      <c r="P486" s="482">
        <f t="shared" si="145"/>
        <v>15.399999999999999</v>
      </c>
      <c r="Q486" s="484">
        <f t="shared" si="146"/>
        <v>11.354000000000001</v>
      </c>
      <c r="R486" s="484">
        <f t="shared" si="147"/>
        <v>7.7112090435807117</v>
      </c>
      <c r="S486" s="484">
        <f t="shared" si="148"/>
        <v>9.1</v>
      </c>
      <c r="T486" s="484">
        <f t="shared" si="149"/>
        <v>7.3552862258306444</v>
      </c>
    </row>
    <row r="487" spans="1:20">
      <c r="A487" s="445">
        <f t="shared" si="156"/>
        <v>7</v>
      </c>
      <c r="B487" s="445">
        <f t="shared" si="136"/>
        <v>7</v>
      </c>
      <c r="C487" s="445">
        <f t="shared" si="150"/>
        <v>15</v>
      </c>
      <c r="D487" s="445">
        <f t="shared" si="150"/>
        <v>196</v>
      </c>
      <c r="E487" s="480">
        <f t="shared" si="151"/>
        <v>1</v>
      </c>
      <c r="F487" s="453">
        <f t="shared" si="142"/>
        <v>0.6</v>
      </c>
      <c r="G487" s="445">
        <f t="shared" si="143"/>
        <v>0.7</v>
      </c>
      <c r="I487" s="476">
        <f t="shared" si="152"/>
        <v>7.9099999999999984</v>
      </c>
      <c r="J487" s="445">
        <f t="shared" si="153"/>
        <v>0.7</v>
      </c>
      <c r="L487" s="476">
        <f t="shared" si="154"/>
        <v>8.19</v>
      </c>
      <c r="M487" s="484">
        <f t="shared" si="155"/>
        <v>0.7</v>
      </c>
      <c r="O487" s="482">
        <f t="shared" si="144"/>
        <v>15.399999999999999</v>
      </c>
      <c r="P487" s="482">
        <f t="shared" si="145"/>
        <v>15.399999999999999</v>
      </c>
      <c r="Q487" s="484">
        <f t="shared" si="146"/>
        <v>11.354000000000001</v>
      </c>
      <c r="R487" s="484">
        <f t="shared" si="147"/>
        <v>7.7112090435807117</v>
      </c>
      <c r="S487" s="484">
        <f t="shared" si="148"/>
        <v>9.1</v>
      </c>
      <c r="T487" s="484">
        <f t="shared" si="149"/>
        <v>7.3552862258306444</v>
      </c>
    </row>
    <row r="488" spans="1:20">
      <c r="A488" s="445">
        <f t="shared" si="156"/>
        <v>7</v>
      </c>
      <c r="B488" s="445">
        <f t="shared" si="134"/>
        <v>1</v>
      </c>
      <c r="C488" s="445">
        <f t="shared" si="150"/>
        <v>16</v>
      </c>
      <c r="D488" s="445">
        <f t="shared" si="150"/>
        <v>197</v>
      </c>
      <c r="E488" s="480">
        <f t="shared" si="151"/>
        <v>1</v>
      </c>
      <c r="F488" s="453">
        <f t="shared" si="142"/>
        <v>0.6</v>
      </c>
      <c r="G488" s="445">
        <f t="shared" si="143"/>
        <v>0.7</v>
      </c>
      <c r="I488" s="476">
        <f t="shared" si="152"/>
        <v>7.9099999999999984</v>
      </c>
      <c r="J488" s="445">
        <f t="shared" si="153"/>
        <v>0.7</v>
      </c>
      <c r="L488" s="476">
        <f t="shared" si="154"/>
        <v>8.19</v>
      </c>
      <c r="M488" s="484">
        <f t="shared" si="155"/>
        <v>0.7</v>
      </c>
      <c r="O488" s="482">
        <f t="shared" si="144"/>
        <v>15.399999999999999</v>
      </c>
      <c r="P488" s="482">
        <f t="shared" si="145"/>
        <v>15.399999999999999</v>
      </c>
      <c r="Q488" s="484">
        <f t="shared" si="146"/>
        <v>11.354000000000001</v>
      </c>
      <c r="R488" s="484">
        <f t="shared" si="147"/>
        <v>7.7112090435807117</v>
      </c>
      <c r="S488" s="484">
        <f t="shared" si="148"/>
        <v>9.1</v>
      </c>
      <c r="T488" s="484">
        <f t="shared" si="149"/>
        <v>7.3552862258306444</v>
      </c>
    </row>
    <row r="489" spans="1:20">
      <c r="A489" s="445">
        <f t="shared" si="156"/>
        <v>7</v>
      </c>
      <c r="B489" s="445">
        <f t="shared" si="135"/>
        <v>2</v>
      </c>
      <c r="C489" s="445">
        <f t="shared" si="150"/>
        <v>17</v>
      </c>
      <c r="D489" s="445">
        <f t="shared" si="150"/>
        <v>198</v>
      </c>
      <c r="E489" s="480">
        <f t="shared" si="151"/>
        <v>1</v>
      </c>
      <c r="F489" s="453">
        <f t="shared" si="142"/>
        <v>0.6</v>
      </c>
      <c r="G489" s="445">
        <f t="shared" si="143"/>
        <v>0.7</v>
      </c>
      <c r="I489" s="476">
        <f t="shared" si="152"/>
        <v>7.9099999999999984</v>
      </c>
      <c r="J489" s="445">
        <f t="shared" si="153"/>
        <v>0.7</v>
      </c>
      <c r="L489" s="476">
        <f t="shared" si="154"/>
        <v>8.19</v>
      </c>
      <c r="M489" s="484">
        <f t="shared" si="155"/>
        <v>0.7</v>
      </c>
      <c r="O489" s="482">
        <f t="shared" si="144"/>
        <v>15.399999999999999</v>
      </c>
      <c r="P489" s="482">
        <f t="shared" si="145"/>
        <v>15.399999999999999</v>
      </c>
      <c r="Q489" s="484">
        <f t="shared" si="146"/>
        <v>11.354000000000001</v>
      </c>
      <c r="R489" s="484">
        <f t="shared" si="147"/>
        <v>7.7112090435807117</v>
      </c>
      <c r="S489" s="484">
        <f t="shared" si="148"/>
        <v>9.1</v>
      </c>
      <c r="T489" s="484">
        <f t="shared" si="149"/>
        <v>7.3552862258306444</v>
      </c>
    </row>
    <row r="490" spans="1:20">
      <c r="A490" s="445">
        <f t="shared" si="156"/>
        <v>7</v>
      </c>
      <c r="B490" s="445">
        <f t="shared" si="137"/>
        <v>3</v>
      </c>
      <c r="C490" s="445">
        <f t="shared" si="150"/>
        <v>18</v>
      </c>
      <c r="D490" s="445">
        <f t="shared" si="150"/>
        <v>199</v>
      </c>
      <c r="E490" s="480">
        <f t="shared" si="151"/>
        <v>1</v>
      </c>
      <c r="F490" s="453">
        <f t="shared" si="142"/>
        <v>0.6</v>
      </c>
      <c r="G490" s="445">
        <f t="shared" si="143"/>
        <v>0.7</v>
      </c>
      <c r="I490" s="476">
        <f t="shared" si="152"/>
        <v>7.9099999999999984</v>
      </c>
      <c r="J490" s="445">
        <f t="shared" si="153"/>
        <v>0.7</v>
      </c>
      <c r="L490" s="476">
        <f t="shared" si="154"/>
        <v>8.19</v>
      </c>
      <c r="M490" s="484">
        <f t="shared" si="155"/>
        <v>0.7</v>
      </c>
      <c r="O490" s="482">
        <f t="shared" si="144"/>
        <v>15.399999999999999</v>
      </c>
      <c r="P490" s="482">
        <f t="shared" si="145"/>
        <v>15.399999999999999</v>
      </c>
      <c r="Q490" s="484">
        <f t="shared" si="146"/>
        <v>11.354000000000001</v>
      </c>
      <c r="R490" s="484">
        <f t="shared" si="147"/>
        <v>7.7112090435807117</v>
      </c>
      <c r="S490" s="484">
        <f t="shared" si="148"/>
        <v>9.1</v>
      </c>
      <c r="T490" s="484">
        <f t="shared" si="149"/>
        <v>7.3552862258306444</v>
      </c>
    </row>
    <row r="491" spans="1:20">
      <c r="A491" s="445">
        <f t="shared" si="156"/>
        <v>7</v>
      </c>
      <c r="B491" s="445">
        <f t="shared" si="139"/>
        <v>4</v>
      </c>
      <c r="C491" s="445">
        <f t="shared" si="150"/>
        <v>19</v>
      </c>
      <c r="D491" s="445">
        <f t="shared" si="150"/>
        <v>200</v>
      </c>
      <c r="E491" s="480">
        <f t="shared" si="151"/>
        <v>1</v>
      </c>
      <c r="F491" s="453">
        <f t="shared" si="142"/>
        <v>0.6</v>
      </c>
      <c r="G491" s="445">
        <f t="shared" si="143"/>
        <v>0.7</v>
      </c>
      <c r="I491" s="476">
        <f t="shared" si="152"/>
        <v>7.9099999999999984</v>
      </c>
      <c r="J491" s="445">
        <f t="shared" si="153"/>
        <v>0.7</v>
      </c>
      <c r="L491" s="476">
        <f t="shared" si="154"/>
        <v>8.19</v>
      </c>
      <c r="M491" s="484">
        <f t="shared" si="155"/>
        <v>0.7</v>
      </c>
      <c r="O491" s="482">
        <f t="shared" si="144"/>
        <v>15.399999999999999</v>
      </c>
      <c r="P491" s="482">
        <f t="shared" si="145"/>
        <v>15.399999999999999</v>
      </c>
      <c r="Q491" s="484">
        <f t="shared" si="146"/>
        <v>11.354000000000001</v>
      </c>
      <c r="R491" s="484">
        <f t="shared" si="147"/>
        <v>7.7112090435807117</v>
      </c>
      <c r="S491" s="484">
        <f t="shared" si="148"/>
        <v>9.1</v>
      </c>
      <c r="T491" s="484">
        <f t="shared" si="149"/>
        <v>7.3552862258306444</v>
      </c>
    </row>
    <row r="492" spans="1:20">
      <c r="A492" s="445">
        <f t="shared" si="156"/>
        <v>7</v>
      </c>
      <c r="B492" s="445">
        <f t="shared" si="140"/>
        <v>5</v>
      </c>
      <c r="C492" s="445">
        <f t="shared" si="150"/>
        <v>20</v>
      </c>
      <c r="D492" s="445">
        <f t="shared" si="150"/>
        <v>201</v>
      </c>
      <c r="E492" s="480">
        <f t="shared" si="151"/>
        <v>1</v>
      </c>
      <c r="F492" s="453">
        <f t="shared" si="142"/>
        <v>0.6</v>
      </c>
      <c r="G492" s="445">
        <f t="shared" si="143"/>
        <v>0.7</v>
      </c>
      <c r="I492" s="476">
        <f t="shared" si="152"/>
        <v>7.9099999999999984</v>
      </c>
      <c r="J492" s="445">
        <f t="shared" si="153"/>
        <v>0.7</v>
      </c>
      <c r="L492" s="476">
        <f t="shared" si="154"/>
        <v>8.19</v>
      </c>
      <c r="M492" s="484">
        <f t="shared" si="155"/>
        <v>0.7</v>
      </c>
      <c r="O492" s="482">
        <f t="shared" si="144"/>
        <v>15.399999999999999</v>
      </c>
      <c r="P492" s="482">
        <f t="shared" si="145"/>
        <v>15.399999999999999</v>
      </c>
      <c r="Q492" s="484">
        <f t="shared" si="146"/>
        <v>11.354000000000001</v>
      </c>
      <c r="R492" s="484">
        <f t="shared" si="147"/>
        <v>7.7112090435807117</v>
      </c>
      <c r="S492" s="484">
        <f t="shared" si="148"/>
        <v>9.1</v>
      </c>
      <c r="T492" s="484">
        <f t="shared" si="149"/>
        <v>7.3552862258306444</v>
      </c>
    </row>
    <row r="493" spans="1:20">
      <c r="A493" s="445">
        <f t="shared" si="156"/>
        <v>7</v>
      </c>
      <c r="B493" s="445">
        <f t="shared" si="141"/>
        <v>6</v>
      </c>
      <c r="C493" s="445">
        <f t="shared" si="150"/>
        <v>21</v>
      </c>
      <c r="D493" s="445">
        <f t="shared" si="150"/>
        <v>202</v>
      </c>
      <c r="E493" s="480">
        <f t="shared" si="151"/>
        <v>1</v>
      </c>
      <c r="F493" s="453">
        <f t="shared" si="142"/>
        <v>0.6</v>
      </c>
      <c r="G493" s="445">
        <f t="shared" si="143"/>
        <v>0.7</v>
      </c>
      <c r="I493" s="476">
        <f t="shared" si="152"/>
        <v>7.9099999999999984</v>
      </c>
      <c r="J493" s="445">
        <f t="shared" si="153"/>
        <v>0.7</v>
      </c>
      <c r="L493" s="476">
        <f t="shared" si="154"/>
        <v>8.19</v>
      </c>
      <c r="M493" s="484">
        <f t="shared" si="155"/>
        <v>0.7</v>
      </c>
      <c r="O493" s="482">
        <f t="shared" si="144"/>
        <v>15.399999999999999</v>
      </c>
      <c r="P493" s="482">
        <f t="shared" si="145"/>
        <v>15.399999999999999</v>
      </c>
      <c r="Q493" s="484">
        <f t="shared" si="146"/>
        <v>11.354000000000001</v>
      </c>
      <c r="R493" s="484">
        <f t="shared" si="147"/>
        <v>7.7112090435807117</v>
      </c>
      <c r="S493" s="484">
        <f t="shared" si="148"/>
        <v>9.1</v>
      </c>
      <c r="T493" s="484">
        <f t="shared" si="149"/>
        <v>7.3552862258306444</v>
      </c>
    </row>
    <row r="494" spans="1:20">
      <c r="A494" s="445">
        <f t="shared" si="156"/>
        <v>7</v>
      </c>
      <c r="B494" s="445">
        <f t="shared" si="136"/>
        <v>7</v>
      </c>
      <c r="C494" s="445">
        <f t="shared" si="150"/>
        <v>22</v>
      </c>
      <c r="D494" s="445">
        <f t="shared" si="150"/>
        <v>203</v>
      </c>
      <c r="E494" s="480">
        <f t="shared" si="151"/>
        <v>1</v>
      </c>
      <c r="F494" s="453">
        <f t="shared" si="142"/>
        <v>0.6</v>
      </c>
      <c r="G494" s="445">
        <f t="shared" si="143"/>
        <v>0.7</v>
      </c>
      <c r="I494" s="476">
        <f t="shared" si="152"/>
        <v>7.9099999999999984</v>
      </c>
      <c r="J494" s="445">
        <f t="shared" si="153"/>
        <v>0.7</v>
      </c>
      <c r="L494" s="476">
        <f t="shared" si="154"/>
        <v>8.19</v>
      </c>
      <c r="M494" s="484">
        <f t="shared" si="155"/>
        <v>0.7</v>
      </c>
      <c r="O494" s="482">
        <f t="shared" si="144"/>
        <v>15.399999999999999</v>
      </c>
      <c r="P494" s="482">
        <f t="shared" si="145"/>
        <v>15.399999999999999</v>
      </c>
      <c r="Q494" s="484">
        <f t="shared" si="146"/>
        <v>11.354000000000001</v>
      </c>
      <c r="R494" s="484">
        <f t="shared" si="147"/>
        <v>7.7112090435807117</v>
      </c>
      <c r="S494" s="484">
        <f t="shared" si="148"/>
        <v>9.1</v>
      </c>
      <c r="T494" s="484">
        <f t="shared" si="149"/>
        <v>7.3552862258306444</v>
      </c>
    </row>
    <row r="495" spans="1:20">
      <c r="A495" s="445">
        <f t="shared" si="156"/>
        <v>7</v>
      </c>
      <c r="B495" s="445">
        <f t="shared" si="134"/>
        <v>1</v>
      </c>
      <c r="C495" s="445">
        <f t="shared" si="150"/>
        <v>23</v>
      </c>
      <c r="D495" s="445">
        <f t="shared" si="150"/>
        <v>204</v>
      </c>
      <c r="E495" s="480">
        <f t="shared" si="151"/>
        <v>1</v>
      </c>
      <c r="F495" s="453">
        <f t="shared" si="142"/>
        <v>0.6</v>
      </c>
      <c r="G495" s="445">
        <f t="shared" si="143"/>
        <v>0.7</v>
      </c>
      <c r="I495" s="476">
        <f t="shared" si="152"/>
        <v>7.9099999999999984</v>
      </c>
      <c r="J495" s="445">
        <f t="shared" si="153"/>
        <v>0.7</v>
      </c>
      <c r="L495" s="476">
        <f t="shared" si="154"/>
        <v>8.19</v>
      </c>
      <c r="M495" s="484">
        <f t="shared" si="155"/>
        <v>0.7</v>
      </c>
      <c r="O495" s="482">
        <f t="shared" si="144"/>
        <v>15.399999999999999</v>
      </c>
      <c r="P495" s="482">
        <f t="shared" si="145"/>
        <v>15.399999999999999</v>
      </c>
      <c r="Q495" s="484">
        <f t="shared" si="146"/>
        <v>11.354000000000001</v>
      </c>
      <c r="R495" s="484">
        <f t="shared" si="147"/>
        <v>7.7112090435807117</v>
      </c>
      <c r="S495" s="484">
        <f t="shared" si="148"/>
        <v>9.1</v>
      </c>
      <c r="T495" s="484">
        <f t="shared" si="149"/>
        <v>7.3552862258306444</v>
      </c>
    </row>
    <row r="496" spans="1:20">
      <c r="A496" s="445">
        <f t="shared" si="156"/>
        <v>7</v>
      </c>
      <c r="B496" s="445">
        <f t="shared" si="135"/>
        <v>2</v>
      </c>
      <c r="C496" s="445">
        <f t="shared" si="150"/>
        <v>24</v>
      </c>
      <c r="D496" s="445">
        <f t="shared" si="150"/>
        <v>205</v>
      </c>
      <c r="E496" s="480">
        <f t="shared" si="151"/>
        <v>1</v>
      </c>
      <c r="F496" s="453">
        <f t="shared" si="142"/>
        <v>0.6</v>
      </c>
      <c r="G496" s="445">
        <f t="shared" si="143"/>
        <v>0.7</v>
      </c>
      <c r="I496" s="476">
        <f t="shared" si="152"/>
        <v>7.9099999999999984</v>
      </c>
      <c r="J496" s="445">
        <f t="shared" si="153"/>
        <v>0.7</v>
      </c>
      <c r="L496" s="476">
        <f t="shared" si="154"/>
        <v>8.19</v>
      </c>
      <c r="M496" s="484">
        <f t="shared" si="155"/>
        <v>0.7</v>
      </c>
      <c r="O496" s="482">
        <f t="shared" si="144"/>
        <v>15.399999999999999</v>
      </c>
      <c r="P496" s="482">
        <f t="shared" si="145"/>
        <v>15.399999999999999</v>
      </c>
      <c r="Q496" s="484">
        <f t="shared" si="146"/>
        <v>11.354000000000001</v>
      </c>
      <c r="R496" s="484">
        <f t="shared" si="147"/>
        <v>7.7112090435807117</v>
      </c>
      <c r="S496" s="484">
        <f t="shared" si="148"/>
        <v>9.1</v>
      </c>
      <c r="T496" s="484">
        <f t="shared" si="149"/>
        <v>7.3552862258306444</v>
      </c>
    </row>
    <row r="497" spans="1:20">
      <c r="A497" s="445">
        <f t="shared" si="156"/>
        <v>7</v>
      </c>
      <c r="B497" s="445">
        <f t="shared" si="137"/>
        <v>3</v>
      </c>
      <c r="C497" s="445">
        <f t="shared" si="150"/>
        <v>25</v>
      </c>
      <c r="D497" s="445">
        <f t="shared" si="150"/>
        <v>206</v>
      </c>
      <c r="E497" s="480">
        <f t="shared" si="151"/>
        <v>1</v>
      </c>
      <c r="F497" s="453">
        <f t="shared" si="142"/>
        <v>0.6</v>
      </c>
      <c r="G497" s="445">
        <f t="shared" si="143"/>
        <v>0.7</v>
      </c>
      <c r="I497" s="476">
        <f t="shared" si="152"/>
        <v>7.9099999999999984</v>
      </c>
      <c r="J497" s="445">
        <f t="shared" si="153"/>
        <v>0.7</v>
      </c>
      <c r="L497" s="476">
        <f t="shared" si="154"/>
        <v>8.19</v>
      </c>
      <c r="M497" s="484">
        <f t="shared" si="155"/>
        <v>0.7</v>
      </c>
      <c r="O497" s="482">
        <f t="shared" si="144"/>
        <v>15.399999999999999</v>
      </c>
      <c r="P497" s="482">
        <f t="shared" si="145"/>
        <v>15.399999999999999</v>
      </c>
      <c r="Q497" s="484">
        <f t="shared" si="146"/>
        <v>11.354000000000001</v>
      </c>
      <c r="R497" s="484">
        <f t="shared" si="147"/>
        <v>7.7112090435807117</v>
      </c>
      <c r="S497" s="484">
        <f t="shared" si="148"/>
        <v>9.1</v>
      </c>
      <c r="T497" s="484">
        <f t="shared" si="149"/>
        <v>7.3552862258306444</v>
      </c>
    </row>
    <row r="498" spans="1:20">
      <c r="A498" s="445">
        <f t="shared" si="156"/>
        <v>7</v>
      </c>
      <c r="B498" s="445">
        <f t="shared" si="139"/>
        <v>4</v>
      </c>
      <c r="C498" s="445">
        <f t="shared" si="150"/>
        <v>26</v>
      </c>
      <c r="D498" s="445">
        <f t="shared" si="150"/>
        <v>207</v>
      </c>
      <c r="E498" s="480">
        <f t="shared" si="151"/>
        <v>1</v>
      </c>
      <c r="F498" s="453">
        <f t="shared" si="142"/>
        <v>0.6</v>
      </c>
      <c r="G498" s="445">
        <f t="shared" si="143"/>
        <v>0.7</v>
      </c>
      <c r="I498" s="476">
        <f t="shared" si="152"/>
        <v>7.9099999999999984</v>
      </c>
      <c r="J498" s="445">
        <f t="shared" si="153"/>
        <v>0.7</v>
      </c>
      <c r="L498" s="476">
        <f t="shared" si="154"/>
        <v>8.19</v>
      </c>
      <c r="M498" s="484">
        <f t="shared" si="155"/>
        <v>0.7</v>
      </c>
      <c r="O498" s="482">
        <f t="shared" si="144"/>
        <v>15.399999999999999</v>
      </c>
      <c r="P498" s="482">
        <f t="shared" si="145"/>
        <v>15.399999999999999</v>
      </c>
      <c r="Q498" s="484">
        <f t="shared" si="146"/>
        <v>11.354000000000001</v>
      </c>
      <c r="R498" s="484">
        <f t="shared" si="147"/>
        <v>7.7112090435807117</v>
      </c>
      <c r="S498" s="484">
        <f t="shared" si="148"/>
        <v>9.1</v>
      </c>
      <c r="T498" s="484">
        <f t="shared" si="149"/>
        <v>7.3552862258306444</v>
      </c>
    </row>
    <row r="499" spans="1:20">
      <c r="A499" s="445">
        <f t="shared" si="156"/>
        <v>7</v>
      </c>
      <c r="B499" s="445">
        <f t="shared" si="140"/>
        <v>5</v>
      </c>
      <c r="C499" s="445">
        <f t="shared" si="150"/>
        <v>27</v>
      </c>
      <c r="D499" s="445">
        <f t="shared" si="150"/>
        <v>208</v>
      </c>
      <c r="E499" s="480">
        <f t="shared" si="151"/>
        <v>1</v>
      </c>
      <c r="F499" s="453">
        <f t="shared" si="142"/>
        <v>0.6</v>
      </c>
      <c r="G499" s="445">
        <f t="shared" si="143"/>
        <v>0.7</v>
      </c>
      <c r="I499" s="476">
        <f t="shared" si="152"/>
        <v>7.9099999999999984</v>
      </c>
      <c r="J499" s="445">
        <f t="shared" si="153"/>
        <v>0.7</v>
      </c>
      <c r="L499" s="476">
        <f t="shared" si="154"/>
        <v>8.19</v>
      </c>
      <c r="M499" s="484">
        <f t="shared" si="155"/>
        <v>0.7</v>
      </c>
      <c r="O499" s="482">
        <f t="shared" si="144"/>
        <v>15.399999999999999</v>
      </c>
      <c r="P499" s="482">
        <f t="shared" si="145"/>
        <v>15.399999999999999</v>
      </c>
      <c r="Q499" s="484">
        <f t="shared" si="146"/>
        <v>11.354000000000001</v>
      </c>
      <c r="R499" s="484">
        <f t="shared" si="147"/>
        <v>7.7112090435807117</v>
      </c>
      <c r="S499" s="484">
        <f t="shared" si="148"/>
        <v>9.1</v>
      </c>
      <c r="T499" s="484">
        <f t="shared" si="149"/>
        <v>7.3552862258306444</v>
      </c>
    </row>
    <row r="500" spans="1:20">
      <c r="A500" s="445">
        <f t="shared" si="156"/>
        <v>7</v>
      </c>
      <c r="B500" s="445">
        <f t="shared" si="141"/>
        <v>6</v>
      </c>
      <c r="C500" s="445">
        <f t="shared" si="150"/>
        <v>28</v>
      </c>
      <c r="D500" s="445">
        <f t="shared" si="150"/>
        <v>209</v>
      </c>
      <c r="E500" s="480">
        <f t="shared" si="151"/>
        <v>1</v>
      </c>
      <c r="F500" s="453">
        <f t="shared" si="142"/>
        <v>0.6</v>
      </c>
      <c r="G500" s="445">
        <f t="shared" si="143"/>
        <v>0.7</v>
      </c>
      <c r="I500" s="476">
        <f t="shared" si="152"/>
        <v>7.9099999999999984</v>
      </c>
      <c r="J500" s="445">
        <f t="shared" si="153"/>
        <v>0.7</v>
      </c>
      <c r="L500" s="476">
        <f t="shared" si="154"/>
        <v>8.19</v>
      </c>
      <c r="M500" s="484">
        <f t="shared" si="155"/>
        <v>0.7</v>
      </c>
      <c r="O500" s="482">
        <f t="shared" si="144"/>
        <v>15.399999999999999</v>
      </c>
      <c r="P500" s="482">
        <f t="shared" si="145"/>
        <v>15.399999999999999</v>
      </c>
      <c r="Q500" s="484">
        <f t="shared" si="146"/>
        <v>11.354000000000001</v>
      </c>
      <c r="R500" s="484">
        <f t="shared" si="147"/>
        <v>7.7112090435807117</v>
      </c>
      <c r="S500" s="484">
        <f t="shared" si="148"/>
        <v>9.1</v>
      </c>
      <c r="T500" s="484">
        <f t="shared" si="149"/>
        <v>7.3552862258306444</v>
      </c>
    </row>
    <row r="501" spans="1:20">
      <c r="A501" s="445">
        <f t="shared" si="156"/>
        <v>7</v>
      </c>
      <c r="B501" s="445">
        <f t="shared" si="136"/>
        <v>7</v>
      </c>
      <c r="C501" s="445">
        <f t="shared" ref="C501:D516" si="157">C500+1</f>
        <v>29</v>
      </c>
      <c r="D501" s="445">
        <f t="shared" si="157"/>
        <v>210</v>
      </c>
      <c r="E501" s="480">
        <f t="shared" si="151"/>
        <v>1</v>
      </c>
      <c r="F501" s="453">
        <f t="shared" si="142"/>
        <v>0.6</v>
      </c>
      <c r="G501" s="445">
        <f t="shared" si="143"/>
        <v>0.7</v>
      </c>
      <c r="I501" s="476">
        <f t="shared" si="152"/>
        <v>7.9099999999999984</v>
      </c>
      <c r="J501" s="445">
        <f t="shared" si="153"/>
        <v>0.7</v>
      </c>
      <c r="L501" s="476">
        <f t="shared" si="154"/>
        <v>8.19</v>
      </c>
      <c r="M501" s="484">
        <f t="shared" si="155"/>
        <v>0.7</v>
      </c>
      <c r="O501" s="482">
        <f t="shared" si="144"/>
        <v>15.399999999999999</v>
      </c>
      <c r="P501" s="482">
        <f t="shared" si="145"/>
        <v>15.399999999999999</v>
      </c>
      <c r="Q501" s="484">
        <f t="shared" si="146"/>
        <v>11.354000000000001</v>
      </c>
      <c r="R501" s="484">
        <f t="shared" si="147"/>
        <v>7.7112090435807117</v>
      </c>
      <c r="S501" s="484">
        <f t="shared" si="148"/>
        <v>9.1</v>
      </c>
      <c r="T501" s="484">
        <f t="shared" si="149"/>
        <v>7.3552862258306444</v>
      </c>
    </row>
    <row r="502" spans="1:20">
      <c r="A502" s="445">
        <f t="shared" si="156"/>
        <v>7</v>
      </c>
      <c r="B502" s="445">
        <f t="shared" si="134"/>
        <v>1</v>
      </c>
      <c r="C502" s="445">
        <f t="shared" si="157"/>
        <v>30</v>
      </c>
      <c r="D502" s="445">
        <f t="shared" si="157"/>
        <v>211</v>
      </c>
      <c r="E502" s="480">
        <f t="shared" si="151"/>
        <v>1</v>
      </c>
      <c r="F502" s="453">
        <f t="shared" si="142"/>
        <v>0.6</v>
      </c>
      <c r="G502" s="445">
        <f t="shared" si="143"/>
        <v>0.7</v>
      </c>
      <c r="I502" s="476">
        <f t="shared" si="152"/>
        <v>7.9099999999999984</v>
      </c>
      <c r="J502" s="445">
        <f t="shared" si="153"/>
        <v>0.7</v>
      </c>
      <c r="L502" s="476">
        <f t="shared" si="154"/>
        <v>8.19</v>
      </c>
      <c r="M502" s="484">
        <f t="shared" si="155"/>
        <v>0.7</v>
      </c>
      <c r="O502" s="482">
        <f t="shared" si="144"/>
        <v>15.399999999999999</v>
      </c>
      <c r="P502" s="482">
        <f t="shared" si="145"/>
        <v>15.399999999999999</v>
      </c>
      <c r="Q502" s="484">
        <f t="shared" si="146"/>
        <v>11.354000000000001</v>
      </c>
      <c r="R502" s="484">
        <f t="shared" si="147"/>
        <v>7.7112090435807117</v>
      </c>
      <c r="S502" s="484">
        <f t="shared" si="148"/>
        <v>9.1</v>
      </c>
      <c r="T502" s="484">
        <f t="shared" si="149"/>
        <v>7.3552862258306444</v>
      </c>
    </row>
    <row r="503" spans="1:20">
      <c r="A503" s="445">
        <f t="shared" si="156"/>
        <v>7</v>
      </c>
      <c r="B503" s="445">
        <f t="shared" si="135"/>
        <v>2</v>
      </c>
      <c r="C503" s="445">
        <f t="shared" si="157"/>
        <v>31</v>
      </c>
      <c r="D503" s="445">
        <f t="shared" si="157"/>
        <v>212</v>
      </c>
      <c r="E503" s="480">
        <f t="shared" si="151"/>
        <v>1</v>
      </c>
      <c r="F503" s="453">
        <f t="shared" si="142"/>
        <v>0.6</v>
      </c>
      <c r="G503" s="445">
        <f t="shared" si="143"/>
        <v>0.7</v>
      </c>
      <c r="I503" s="476">
        <f t="shared" si="152"/>
        <v>7.9099999999999984</v>
      </c>
      <c r="J503" s="445">
        <f t="shared" si="153"/>
        <v>0.7</v>
      </c>
      <c r="L503" s="476">
        <f t="shared" si="154"/>
        <v>8.19</v>
      </c>
      <c r="M503" s="484">
        <f t="shared" si="155"/>
        <v>0.7</v>
      </c>
      <c r="O503" s="482">
        <f t="shared" si="144"/>
        <v>15.399999999999999</v>
      </c>
      <c r="P503" s="482">
        <f t="shared" si="145"/>
        <v>15.399999999999999</v>
      </c>
      <c r="Q503" s="484">
        <f t="shared" si="146"/>
        <v>11.354000000000001</v>
      </c>
      <c r="R503" s="484">
        <f t="shared" si="147"/>
        <v>7.7112090435807117</v>
      </c>
      <c r="S503" s="484">
        <f t="shared" si="148"/>
        <v>9.1</v>
      </c>
      <c r="T503" s="484">
        <f t="shared" si="149"/>
        <v>7.3552862258306444</v>
      </c>
    </row>
    <row r="504" spans="1:20">
      <c r="A504" s="445">
        <v>8</v>
      </c>
      <c r="B504" s="445">
        <f t="shared" si="137"/>
        <v>3</v>
      </c>
      <c r="C504" s="445">
        <v>1</v>
      </c>
      <c r="D504" s="445">
        <f t="shared" si="157"/>
        <v>213</v>
      </c>
      <c r="E504" s="480">
        <f t="shared" si="151"/>
        <v>1</v>
      </c>
      <c r="F504" s="453">
        <f t="shared" si="142"/>
        <v>0.6</v>
      </c>
      <c r="G504" s="445">
        <f t="shared" si="143"/>
        <v>0.7</v>
      </c>
      <c r="I504" s="476">
        <f t="shared" si="152"/>
        <v>7.9099999999999984</v>
      </c>
      <c r="J504" s="445">
        <f t="shared" si="153"/>
        <v>0.7</v>
      </c>
      <c r="L504" s="476">
        <f t="shared" si="154"/>
        <v>8.19</v>
      </c>
      <c r="M504" s="484">
        <f t="shared" si="155"/>
        <v>0.7</v>
      </c>
      <c r="O504" s="482">
        <f t="shared" si="144"/>
        <v>15.399999999999999</v>
      </c>
      <c r="P504" s="482">
        <f t="shared" si="145"/>
        <v>15.399999999999999</v>
      </c>
      <c r="Q504" s="484">
        <f t="shared" si="146"/>
        <v>11.354000000000001</v>
      </c>
      <c r="R504" s="484">
        <f t="shared" si="147"/>
        <v>7.7112090435807117</v>
      </c>
      <c r="S504" s="484">
        <f t="shared" si="148"/>
        <v>9.1</v>
      </c>
      <c r="T504" s="484">
        <f t="shared" si="149"/>
        <v>7.3552862258306444</v>
      </c>
    </row>
    <row r="505" spans="1:20">
      <c r="A505" s="445">
        <f t="shared" si="156"/>
        <v>8</v>
      </c>
      <c r="B505" s="445">
        <f t="shared" si="139"/>
        <v>4</v>
      </c>
      <c r="C505" s="445">
        <f t="shared" si="157"/>
        <v>2</v>
      </c>
      <c r="D505" s="445">
        <f t="shared" si="157"/>
        <v>214</v>
      </c>
      <c r="E505" s="480">
        <f t="shared" si="151"/>
        <v>1</v>
      </c>
      <c r="F505" s="453">
        <f t="shared" si="142"/>
        <v>0.6</v>
      </c>
      <c r="G505" s="445">
        <f t="shared" si="143"/>
        <v>0.7</v>
      </c>
      <c r="I505" s="476">
        <f t="shared" si="152"/>
        <v>7.9099999999999984</v>
      </c>
      <c r="J505" s="445">
        <f t="shared" si="153"/>
        <v>0.7</v>
      </c>
      <c r="L505" s="476">
        <f t="shared" si="154"/>
        <v>8.19</v>
      </c>
      <c r="M505" s="484">
        <f t="shared" si="155"/>
        <v>0.7</v>
      </c>
      <c r="O505" s="482">
        <f t="shared" si="144"/>
        <v>15.399999999999999</v>
      </c>
      <c r="P505" s="482">
        <f t="shared" si="145"/>
        <v>15.399999999999999</v>
      </c>
      <c r="Q505" s="484">
        <f t="shared" si="146"/>
        <v>11.354000000000001</v>
      </c>
      <c r="R505" s="484">
        <f t="shared" si="147"/>
        <v>7.7112090435807117</v>
      </c>
      <c r="S505" s="484">
        <f t="shared" si="148"/>
        <v>9.1</v>
      </c>
      <c r="T505" s="484">
        <f t="shared" si="149"/>
        <v>7.3552862258306444</v>
      </c>
    </row>
    <row r="506" spans="1:20">
      <c r="A506" s="445">
        <f t="shared" si="156"/>
        <v>8</v>
      </c>
      <c r="B506" s="445">
        <f t="shared" si="140"/>
        <v>5</v>
      </c>
      <c r="C506" s="445">
        <f t="shared" si="157"/>
        <v>3</v>
      </c>
      <c r="D506" s="445">
        <f t="shared" si="157"/>
        <v>215</v>
      </c>
      <c r="E506" s="480">
        <f t="shared" si="151"/>
        <v>1</v>
      </c>
      <c r="F506" s="453">
        <f t="shared" si="142"/>
        <v>0.6</v>
      </c>
      <c r="G506" s="445">
        <f t="shared" si="143"/>
        <v>0.7</v>
      </c>
      <c r="I506" s="476">
        <f t="shared" si="152"/>
        <v>7.9099999999999984</v>
      </c>
      <c r="J506" s="445">
        <f t="shared" si="153"/>
        <v>0.7</v>
      </c>
      <c r="L506" s="476">
        <f t="shared" si="154"/>
        <v>8.19</v>
      </c>
      <c r="M506" s="484">
        <f t="shared" si="155"/>
        <v>0.7</v>
      </c>
      <c r="O506" s="482">
        <f t="shared" si="144"/>
        <v>15.399999999999999</v>
      </c>
      <c r="P506" s="482">
        <f t="shared" si="145"/>
        <v>15.399999999999999</v>
      </c>
      <c r="Q506" s="484">
        <f t="shared" si="146"/>
        <v>11.354000000000001</v>
      </c>
      <c r="R506" s="484">
        <f t="shared" si="147"/>
        <v>7.7112090435807117</v>
      </c>
      <c r="S506" s="484">
        <f t="shared" si="148"/>
        <v>9.1</v>
      </c>
      <c r="T506" s="484">
        <f t="shared" si="149"/>
        <v>7.3552862258306444</v>
      </c>
    </row>
    <row r="507" spans="1:20">
      <c r="A507" s="445">
        <f t="shared" si="156"/>
        <v>8</v>
      </c>
      <c r="B507" s="445">
        <f t="shared" si="141"/>
        <v>6</v>
      </c>
      <c r="C507" s="445">
        <f t="shared" si="157"/>
        <v>4</v>
      </c>
      <c r="D507" s="445">
        <f t="shared" si="157"/>
        <v>216</v>
      </c>
      <c r="E507" s="480">
        <f t="shared" si="151"/>
        <v>1</v>
      </c>
      <c r="F507" s="453">
        <f t="shared" si="142"/>
        <v>0.6</v>
      </c>
      <c r="G507" s="445">
        <f t="shared" si="143"/>
        <v>0.7</v>
      </c>
      <c r="I507" s="476">
        <f t="shared" si="152"/>
        <v>7.9099999999999984</v>
      </c>
      <c r="J507" s="445">
        <f t="shared" si="153"/>
        <v>0.7</v>
      </c>
      <c r="L507" s="476">
        <f t="shared" si="154"/>
        <v>8.19</v>
      </c>
      <c r="M507" s="484">
        <f t="shared" si="155"/>
        <v>0.7</v>
      </c>
      <c r="O507" s="482">
        <f t="shared" si="144"/>
        <v>15.399999999999999</v>
      </c>
      <c r="P507" s="482">
        <f t="shared" si="145"/>
        <v>15.399999999999999</v>
      </c>
      <c r="Q507" s="484">
        <f t="shared" si="146"/>
        <v>11.354000000000001</v>
      </c>
      <c r="R507" s="484">
        <f t="shared" si="147"/>
        <v>7.7112090435807117</v>
      </c>
      <c r="S507" s="484">
        <f t="shared" si="148"/>
        <v>9.1</v>
      </c>
      <c r="T507" s="484">
        <f t="shared" si="149"/>
        <v>7.3552862258306444</v>
      </c>
    </row>
    <row r="508" spans="1:20">
      <c r="A508" s="445">
        <f t="shared" si="156"/>
        <v>8</v>
      </c>
      <c r="B508" s="445">
        <f t="shared" si="136"/>
        <v>7</v>
      </c>
      <c r="C508" s="445">
        <f t="shared" si="157"/>
        <v>5</v>
      </c>
      <c r="D508" s="445">
        <f t="shared" si="157"/>
        <v>217</v>
      </c>
      <c r="E508" s="480">
        <f t="shared" si="151"/>
        <v>1</v>
      </c>
      <c r="F508" s="453">
        <f t="shared" si="142"/>
        <v>0.6</v>
      </c>
      <c r="G508" s="445">
        <f t="shared" si="143"/>
        <v>0.7</v>
      </c>
      <c r="I508" s="476">
        <f t="shared" si="152"/>
        <v>7.9099999999999984</v>
      </c>
      <c r="J508" s="445">
        <f t="shared" si="153"/>
        <v>0.7</v>
      </c>
      <c r="L508" s="476">
        <f t="shared" si="154"/>
        <v>8.19</v>
      </c>
      <c r="M508" s="484">
        <f t="shared" si="155"/>
        <v>0.7</v>
      </c>
      <c r="O508" s="482">
        <f t="shared" si="144"/>
        <v>15.399999999999999</v>
      </c>
      <c r="P508" s="482">
        <f t="shared" si="145"/>
        <v>15.399999999999999</v>
      </c>
      <c r="Q508" s="484">
        <f t="shared" si="146"/>
        <v>11.354000000000001</v>
      </c>
      <c r="R508" s="484">
        <f t="shared" si="147"/>
        <v>7.7112090435807117</v>
      </c>
      <c r="S508" s="484">
        <f t="shared" si="148"/>
        <v>9.1</v>
      </c>
      <c r="T508" s="484">
        <f t="shared" si="149"/>
        <v>7.3552862258306444</v>
      </c>
    </row>
    <row r="509" spans="1:20">
      <c r="A509" s="445">
        <f t="shared" si="156"/>
        <v>8</v>
      </c>
      <c r="B509" s="445">
        <f t="shared" si="134"/>
        <v>1</v>
      </c>
      <c r="C509" s="445">
        <f t="shared" si="157"/>
        <v>6</v>
      </c>
      <c r="D509" s="445">
        <f t="shared" si="157"/>
        <v>218</v>
      </c>
      <c r="E509" s="480">
        <f t="shared" si="151"/>
        <v>1</v>
      </c>
      <c r="F509" s="453">
        <f t="shared" si="142"/>
        <v>0.6</v>
      </c>
      <c r="G509" s="445">
        <f t="shared" si="143"/>
        <v>0.7</v>
      </c>
      <c r="I509" s="476">
        <f t="shared" si="152"/>
        <v>7.9099999999999984</v>
      </c>
      <c r="J509" s="445">
        <f t="shared" si="153"/>
        <v>0.7</v>
      </c>
      <c r="L509" s="476">
        <f t="shared" si="154"/>
        <v>8.19</v>
      </c>
      <c r="M509" s="484">
        <f t="shared" si="155"/>
        <v>0.7</v>
      </c>
      <c r="O509" s="482">
        <f t="shared" si="144"/>
        <v>15.399999999999999</v>
      </c>
      <c r="P509" s="482">
        <f t="shared" si="145"/>
        <v>15.399999999999999</v>
      </c>
      <c r="Q509" s="484">
        <f t="shared" si="146"/>
        <v>11.354000000000001</v>
      </c>
      <c r="R509" s="484">
        <f t="shared" si="147"/>
        <v>7.7112090435807117</v>
      </c>
      <c r="S509" s="484">
        <f t="shared" si="148"/>
        <v>9.1</v>
      </c>
      <c r="T509" s="484">
        <f t="shared" si="149"/>
        <v>7.3552862258306444</v>
      </c>
    </row>
    <row r="510" spans="1:20">
      <c r="A510" s="445">
        <f t="shared" si="156"/>
        <v>8</v>
      </c>
      <c r="B510" s="445">
        <f t="shared" si="135"/>
        <v>2</v>
      </c>
      <c r="C510" s="445">
        <f t="shared" si="157"/>
        <v>7</v>
      </c>
      <c r="D510" s="445">
        <f t="shared" si="157"/>
        <v>219</v>
      </c>
      <c r="E510" s="480">
        <f t="shared" si="151"/>
        <v>1</v>
      </c>
      <c r="F510" s="453">
        <f t="shared" si="142"/>
        <v>0.6</v>
      </c>
      <c r="G510" s="445">
        <f t="shared" si="143"/>
        <v>0.7</v>
      </c>
      <c r="I510" s="476">
        <f t="shared" si="152"/>
        <v>7.9099999999999984</v>
      </c>
      <c r="J510" s="445">
        <f t="shared" si="153"/>
        <v>0.7</v>
      </c>
      <c r="L510" s="476">
        <f t="shared" si="154"/>
        <v>8.19</v>
      </c>
      <c r="M510" s="484">
        <f t="shared" si="155"/>
        <v>0.7</v>
      </c>
      <c r="O510" s="482">
        <f t="shared" si="144"/>
        <v>15.399999999999999</v>
      </c>
      <c r="P510" s="482">
        <f t="shared" si="145"/>
        <v>15.399999999999999</v>
      </c>
      <c r="Q510" s="484">
        <f t="shared" si="146"/>
        <v>11.354000000000001</v>
      </c>
      <c r="R510" s="484">
        <f t="shared" si="147"/>
        <v>7.7112090435807117</v>
      </c>
      <c r="S510" s="484">
        <f t="shared" si="148"/>
        <v>9.1</v>
      </c>
      <c r="T510" s="484">
        <f t="shared" si="149"/>
        <v>7.3552862258306444</v>
      </c>
    </row>
    <row r="511" spans="1:20">
      <c r="A511" s="445">
        <f t="shared" si="156"/>
        <v>8</v>
      </c>
      <c r="B511" s="445">
        <f t="shared" si="137"/>
        <v>3</v>
      </c>
      <c r="C511" s="445">
        <f t="shared" si="157"/>
        <v>8</v>
      </c>
      <c r="D511" s="445">
        <f t="shared" si="157"/>
        <v>220</v>
      </c>
      <c r="E511" s="480">
        <f t="shared" si="151"/>
        <v>1</v>
      </c>
      <c r="F511" s="453">
        <f t="shared" si="142"/>
        <v>0.6</v>
      </c>
      <c r="G511" s="445">
        <f t="shared" si="143"/>
        <v>0.7</v>
      </c>
      <c r="I511" s="476">
        <f t="shared" si="152"/>
        <v>7.9099999999999984</v>
      </c>
      <c r="J511" s="445">
        <f t="shared" si="153"/>
        <v>0.7</v>
      </c>
      <c r="L511" s="476">
        <f t="shared" si="154"/>
        <v>8.19</v>
      </c>
      <c r="M511" s="484">
        <f t="shared" si="155"/>
        <v>0.7</v>
      </c>
      <c r="O511" s="482">
        <f t="shared" si="144"/>
        <v>15.399999999999999</v>
      </c>
      <c r="P511" s="482">
        <f t="shared" si="145"/>
        <v>15.399999999999999</v>
      </c>
      <c r="Q511" s="484">
        <f t="shared" si="146"/>
        <v>11.354000000000001</v>
      </c>
      <c r="R511" s="484">
        <f t="shared" si="147"/>
        <v>7.7112090435807117</v>
      </c>
      <c r="S511" s="484">
        <f t="shared" si="148"/>
        <v>9.1</v>
      </c>
      <c r="T511" s="484">
        <f t="shared" si="149"/>
        <v>7.3552862258306444</v>
      </c>
    </row>
    <row r="512" spans="1:20">
      <c r="A512" s="445">
        <f t="shared" si="156"/>
        <v>8</v>
      </c>
      <c r="B512" s="445">
        <f t="shared" si="139"/>
        <v>4</v>
      </c>
      <c r="C512" s="445">
        <f t="shared" si="157"/>
        <v>9</v>
      </c>
      <c r="D512" s="445">
        <f t="shared" si="157"/>
        <v>221</v>
      </c>
      <c r="E512" s="480">
        <f t="shared" si="151"/>
        <v>1</v>
      </c>
      <c r="F512" s="453">
        <f t="shared" si="142"/>
        <v>0.6</v>
      </c>
      <c r="G512" s="445">
        <f t="shared" si="143"/>
        <v>0.7</v>
      </c>
      <c r="I512" s="476">
        <f t="shared" si="152"/>
        <v>7.9099999999999984</v>
      </c>
      <c r="J512" s="445">
        <f t="shared" si="153"/>
        <v>0.7</v>
      </c>
      <c r="L512" s="476">
        <f t="shared" si="154"/>
        <v>8.19</v>
      </c>
      <c r="M512" s="484">
        <f t="shared" si="155"/>
        <v>0.7</v>
      </c>
      <c r="O512" s="482">
        <f t="shared" si="144"/>
        <v>15.399999999999999</v>
      </c>
      <c r="P512" s="482">
        <f t="shared" si="145"/>
        <v>15.399999999999999</v>
      </c>
      <c r="Q512" s="484">
        <f t="shared" si="146"/>
        <v>11.354000000000001</v>
      </c>
      <c r="R512" s="484">
        <f t="shared" si="147"/>
        <v>7.7112090435807117</v>
      </c>
      <c r="S512" s="484">
        <f t="shared" si="148"/>
        <v>9.1</v>
      </c>
      <c r="T512" s="484">
        <f t="shared" si="149"/>
        <v>7.3552862258306444</v>
      </c>
    </row>
    <row r="513" spans="1:20">
      <c r="A513" s="445">
        <f t="shared" si="156"/>
        <v>8</v>
      </c>
      <c r="B513" s="445">
        <f t="shared" si="140"/>
        <v>5</v>
      </c>
      <c r="C513" s="445">
        <f t="shared" si="157"/>
        <v>10</v>
      </c>
      <c r="D513" s="445">
        <f t="shared" si="157"/>
        <v>222</v>
      </c>
      <c r="E513" s="480">
        <f t="shared" si="151"/>
        <v>1</v>
      </c>
      <c r="F513" s="453">
        <f t="shared" si="142"/>
        <v>0.6</v>
      </c>
      <c r="G513" s="445">
        <f t="shared" si="143"/>
        <v>0.7</v>
      </c>
      <c r="I513" s="476">
        <f t="shared" si="152"/>
        <v>7.9099999999999984</v>
      </c>
      <c r="J513" s="445">
        <f t="shared" si="153"/>
        <v>0.7</v>
      </c>
      <c r="L513" s="476">
        <f t="shared" si="154"/>
        <v>8.19</v>
      </c>
      <c r="M513" s="484">
        <f t="shared" si="155"/>
        <v>0.7</v>
      </c>
      <c r="O513" s="482">
        <f t="shared" si="144"/>
        <v>15.399999999999999</v>
      </c>
      <c r="P513" s="482">
        <f t="shared" si="145"/>
        <v>15.399999999999999</v>
      </c>
      <c r="Q513" s="484">
        <f t="shared" si="146"/>
        <v>11.354000000000001</v>
      </c>
      <c r="R513" s="484">
        <f t="shared" si="147"/>
        <v>7.7112090435807117</v>
      </c>
      <c r="S513" s="484">
        <f t="shared" si="148"/>
        <v>9.1</v>
      </c>
      <c r="T513" s="484">
        <f t="shared" si="149"/>
        <v>7.3552862258306444</v>
      </c>
    </row>
    <row r="514" spans="1:20">
      <c r="A514" s="445">
        <f t="shared" si="156"/>
        <v>8</v>
      </c>
      <c r="B514" s="445">
        <f t="shared" si="141"/>
        <v>6</v>
      </c>
      <c r="C514" s="445">
        <f t="shared" si="157"/>
        <v>11</v>
      </c>
      <c r="D514" s="445">
        <f t="shared" si="157"/>
        <v>223</v>
      </c>
      <c r="E514" s="480">
        <f t="shared" si="151"/>
        <v>1</v>
      </c>
      <c r="F514" s="453">
        <f t="shared" si="142"/>
        <v>0.6</v>
      </c>
      <c r="G514" s="445">
        <f t="shared" si="143"/>
        <v>0.7</v>
      </c>
      <c r="I514" s="476">
        <f t="shared" si="152"/>
        <v>7.9099999999999984</v>
      </c>
      <c r="J514" s="445">
        <f t="shared" si="153"/>
        <v>0.7</v>
      </c>
      <c r="L514" s="476">
        <f t="shared" si="154"/>
        <v>8.19</v>
      </c>
      <c r="M514" s="484">
        <f t="shared" si="155"/>
        <v>0.7</v>
      </c>
      <c r="O514" s="482">
        <f t="shared" si="144"/>
        <v>15.399999999999999</v>
      </c>
      <c r="P514" s="482">
        <f t="shared" si="145"/>
        <v>15.399999999999999</v>
      </c>
      <c r="Q514" s="484">
        <f t="shared" si="146"/>
        <v>11.354000000000001</v>
      </c>
      <c r="R514" s="484">
        <f t="shared" si="147"/>
        <v>7.7112090435807117</v>
      </c>
      <c r="S514" s="484">
        <f t="shared" si="148"/>
        <v>9.1</v>
      </c>
      <c r="T514" s="484">
        <f t="shared" si="149"/>
        <v>7.3552862258306444</v>
      </c>
    </row>
    <row r="515" spans="1:20">
      <c r="A515" s="445">
        <f t="shared" si="156"/>
        <v>8</v>
      </c>
      <c r="B515" s="445">
        <f t="shared" si="136"/>
        <v>7</v>
      </c>
      <c r="C515" s="445">
        <f t="shared" si="157"/>
        <v>12</v>
      </c>
      <c r="D515" s="445">
        <f t="shared" si="157"/>
        <v>224</v>
      </c>
      <c r="E515" s="480">
        <f t="shared" si="151"/>
        <v>1</v>
      </c>
      <c r="F515" s="453">
        <f t="shared" si="142"/>
        <v>0.6</v>
      </c>
      <c r="G515" s="445">
        <f t="shared" si="143"/>
        <v>0.7</v>
      </c>
      <c r="I515" s="476">
        <f t="shared" si="152"/>
        <v>7.9099999999999984</v>
      </c>
      <c r="J515" s="445">
        <f t="shared" si="153"/>
        <v>0.7</v>
      </c>
      <c r="L515" s="476">
        <f t="shared" si="154"/>
        <v>8.19</v>
      </c>
      <c r="M515" s="484">
        <f t="shared" si="155"/>
        <v>0.7</v>
      </c>
      <c r="O515" s="482">
        <f t="shared" si="144"/>
        <v>15.399999999999999</v>
      </c>
      <c r="P515" s="482">
        <f t="shared" si="145"/>
        <v>15.399999999999999</v>
      </c>
      <c r="Q515" s="484">
        <f t="shared" si="146"/>
        <v>11.354000000000001</v>
      </c>
      <c r="R515" s="484">
        <f t="shared" si="147"/>
        <v>7.7112090435807117</v>
      </c>
      <c r="S515" s="484">
        <f t="shared" si="148"/>
        <v>9.1</v>
      </c>
      <c r="T515" s="484">
        <f t="shared" si="149"/>
        <v>7.3552862258306444</v>
      </c>
    </row>
    <row r="516" spans="1:20">
      <c r="A516" s="445">
        <f t="shared" si="156"/>
        <v>8</v>
      </c>
      <c r="B516" s="445">
        <f t="shared" si="134"/>
        <v>1</v>
      </c>
      <c r="C516" s="445">
        <f t="shared" si="157"/>
        <v>13</v>
      </c>
      <c r="D516" s="445">
        <f t="shared" si="157"/>
        <v>225</v>
      </c>
      <c r="E516" s="480">
        <f t="shared" si="151"/>
        <v>1</v>
      </c>
      <c r="F516" s="453">
        <f t="shared" si="142"/>
        <v>0.6</v>
      </c>
      <c r="G516" s="445">
        <f t="shared" si="143"/>
        <v>0.7</v>
      </c>
      <c r="I516" s="476">
        <f t="shared" si="152"/>
        <v>7.9099999999999984</v>
      </c>
      <c r="J516" s="445">
        <f t="shared" si="153"/>
        <v>0.7</v>
      </c>
      <c r="L516" s="476">
        <f t="shared" si="154"/>
        <v>8.19</v>
      </c>
      <c r="M516" s="484">
        <f t="shared" si="155"/>
        <v>0.7</v>
      </c>
      <c r="O516" s="482">
        <f t="shared" si="144"/>
        <v>15.399999999999999</v>
      </c>
      <c r="P516" s="482">
        <f t="shared" si="145"/>
        <v>15.399999999999999</v>
      </c>
      <c r="Q516" s="484">
        <f t="shared" si="146"/>
        <v>11.354000000000001</v>
      </c>
      <c r="R516" s="484">
        <f t="shared" si="147"/>
        <v>7.7112090435807117</v>
      </c>
      <c r="S516" s="484">
        <f t="shared" si="148"/>
        <v>9.1</v>
      </c>
      <c r="T516" s="484">
        <f t="shared" si="149"/>
        <v>7.3552862258306444</v>
      </c>
    </row>
    <row r="517" spans="1:20">
      <c r="A517" s="445">
        <f t="shared" si="156"/>
        <v>8</v>
      </c>
      <c r="B517" s="445">
        <f t="shared" si="135"/>
        <v>2</v>
      </c>
      <c r="C517" s="445">
        <f t="shared" ref="C517:D532" si="158">C516+1</f>
        <v>14</v>
      </c>
      <c r="D517" s="445">
        <f t="shared" si="158"/>
        <v>226</v>
      </c>
      <c r="E517" s="480">
        <f t="shared" si="151"/>
        <v>1</v>
      </c>
      <c r="F517" s="453">
        <f t="shared" si="142"/>
        <v>0.6</v>
      </c>
      <c r="G517" s="445">
        <f t="shared" si="143"/>
        <v>0.7</v>
      </c>
      <c r="I517" s="476">
        <f t="shared" si="152"/>
        <v>7.9099999999999984</v>
      </c>
      <c r="J517" s="445">
        <f t="shared" si="153"/>
        <v>0.7</v>
      </c>
      <c r="L517" s="476">
        <f t="shared" si="154"/>
        <v>8.19</v>
      </c>
      <c r="M517" s="484">
        <f t="shared" si="155"/>
        <v>0.7</v>
      </c>
      <c r="O517" s="482">
        <f t="shared" si="144"/>
        <v>15.399999999999999</v>
      </c>
      <c r="P517" s="482">
        <f t="shared" si="145"/>
        <v>15.399999999999999</v>
      </c>
      <c r="Q517" s="484">
        <f t="shared" si="146"/>
        <v>11.354000000000001</v>
      </c>
      <c r="R517" s="484">
        <f t="shared" si="147"/>
        <v>7.7112090435807117</v>
      </c>
      <c r="S517" s="484">
        <f t="shared" si="148"/>
        <v>9.1</v>
      </c>
      <c r="T517" s="484">
        <f t="shared" si="149"/>
        <v>7.3552862258306444</v>
      </c>
    </row>
    <row r="518" spans="1:20">
      <c r="A518" s="445">
        <f t="shared" si="156"/>
        <v>8</v>
      </c>
      <c r="B518" s="445">
        <f t="shared" si="137"/>
        <v>3</v>
      </c>
      <c r="C518" s="445">
        <f t="shared" si="158"/>
        <v>15</v>
      </c>
      <c r="D518" s="445">
        <f t="shared" si="158"/>
        <v>227</v>
      </c>
      <c r="E518" s="480">
        <f t="shared" si="151"/>
        <v>1</v>
      </c>
      <c r="F518" s="453">
        <f t="shared" si="142"/>
        <v>0.6</v>
      </c>
      <c r="G518" s="445">
        <f t="shared" si="143"/>
        <v>0.7</v>
      </c>
      <c r="I518" s="476">
        <f t="shared" si="152"/>
        <v>7.9099999999999984</v>
      </c>
      <c r="J518" s="445">
        <f t="shared" si="153"/>
        <v>0.7</v>
      </c>
      <c r="L518" s="476">
        <f t="shared" si="154"/>
        <v>8.19</v>
      </c>
      <c r="M518" s="484">
        <f t="shared" si="155"/>
        <v>0.7</v>
      </c>
      <c r="O518" s="482">
        <f t="shared" si="144"/>
        <v>15.399999999999999</v>
      </c>
      <c r="P518" s="482">
        <f t="shared" si="145"/>
        <v>15.399999999999999</v>
      </c>
      <c r="Q518" s="484">
        <f t="shared" si="146"/>
        <v>11.354000000000001</v>
      </c>
      <c r="R518" s="484">
        <f t="shared" si="147"/>
        <v>7.7112090435807117</v>
      </c>
      <c r="S518" s="484">
        <f t="shared" si="148"/>
        <v>9.1</v>
      </c>
      <c r="T518" s="484">
        <f t="shared" si="149"/>
        <v>7.3552862258306444</v>
      </c>
    </row>
    <row r="519" spans="1:20">
      <c r="A519" s="445">
        <f t="shared" si="156"/>
        <v>8</v>
      </c>
      <c r="B519" s="445">
        <f t="shared" si="139"/>
        <v>4</v>
      </c>
      <c r="C519" s="445">
        <f t="shared" si="158"/>
        <v>16</v>
      </c>
      <c r="D519" s="445">
        <f t="shared" si="158"/>
        <v>228</v>
      </c>
      <c r="E519" s="480">
        <f t="shared" si="151"/>
        <v>1</v>
      </c>
      <c r="F519" s="453">
        <f t="shared" si="142"/>
        <v>0.6</v>
      </c>
      <c r="G519" s="445">
        <f t="shared" si="143"/>
        <v>0.7</v>
      </c>
      <c r="I519" s="476">
        <f t="shared" si="152"/>
        <v>7.9099999999999984</v>
      </c>
      <c r="J519" s="445">
        <f t="shared" si="153"/>
        <v>0.7</v>
      </c>
      <c r="L519" s="476">
        <f t="shared" si="154"/>
        <v>8.19</v>
      </c>
      <c r="M519" s="484">
        <f t="shared" si="155"/>
        <v>0.7</v>
      </c>
      <c r="O519" s="482">
        <f t="shared" si="144"/>
        <v>15.399999999999999</v>
      </c>
      <c r="P519" s="482">
        <f t="shared" si="145"/>
        <v>15.399999999999999</v>
      </c>
      <c r="Q519" s="484">
        <f t="shared" si="146"/>
        <v>11.354000000000001</v>
      </c>
      <c r="R519" s="484">
        <f t="shared" si="147"/>
        <v>7.7112090435807117</v>
      </c>
      <c r="S519" s="484">
        <f t="shared" si="148"/>
        <v>9.1</v>
      </c>
      <c r="T519" s="484">
        <f t="shared" si="149"/>
        <v>7.3552862258306444</v>
      </c>
    </row>
    <row r="520" spans="1:20">
      <c r="A520" s="445">
        <f t="shared" si="156"/>
        <v>8</v>
      </c>
      <c r="B520" s="445">
        <f t="shared" si="140"/>
        <v>5</v>
      </c>
      <c r="C520" s="445">
        <f t="shared" si="158"/>
        <v>17</v>
      </c>
      <c r="D520" s="445">
        <f t="shared" si="158"/>
        <v>229</v>
      </c>
      <c r="E520" s="480">
        <f t="shared" si="151"/>
        <v>1</v>
      </c>
      <c r="F520" s="453">
        <f t="shared" si="142"/>
        <v>0.6</v>
      </c>
      <c r="G520" s="445">
        <f t="shared" si="143"/>
        <v>0.7</v>
      </c>
      <c r="I520" s="476">
        <f t="shared" si="152"/>
        <v>7.9099999999999984</v>
      </c>
      <c r="J520" s="445">
        <f t="shared" si="153"/>
        <v>0.7</v>
      </c>
      <c r="L520" s="476">
        <f t="shared" si="154"/>
        <v>8.19</v>
      </c>
      <c r="M520" s="484">
        <f t="shared" si="155"/>
        <v>0.7</v>
      </c>
      <c r="O520" s="482">
        <f t="shared" si="144"/>
        <v>15.399999999999999</v>
      </c>
      <c r="P520" s="482">
        <f t="shared" si="145"/>
        <v>15.399999999999999</v>
      </c>
      <c r="Q520" s="484">
        <f t="shared" si="146"/>
        <v>11.354000000000001</v>
      </c>
      <c r="R520" s="484">
        <f t="shared" si="147"/>
        <v>7.7112090435807117</v>
      </c>
      <c r="S520" s="484">
        <f t="shared" si="148"/>
        <v>9.1</v>
      </c>
      <c r="T520" s="484">
        <f t="shared" si="149"/>
        <v>7.3552862258306444</v>
      </c>
    </row>
    <row r="521" spans="1:20">
      <c r="A521" s="445">
        <f t="shared" si="156"/>
        <v>8</v>
      </c>
      <c r="B521" s="445">
        <f t="shared" si="141"/>
        <v>6</v>
      </c>
      <c r="C521" s="445">
        <f t="shared" si="158"/>
        <v>18</v>
      </c>
      <c r="D521" s="445">
        <f t="shared" si="158"/>
        <v>230</v>
      </c>
      <c r="E521" s="480">
        <f t="shared" si="151"/>
        <v>1</v>
      </c>
      <c r="F521" s="453">
        <f t="shared" si="142"/>
        <v>0.6</v>
      </c>
      <c r="G521" s="445">
        <f t="shared" si="143"/>
        <v>0.7</v>
      </c>
      <c r="I521" s="476">
        <f t="shared" si="152"/>
        <v>7.9099999999999984</v>
      </c>
      <c r="J521" s="445">
        <f t="shared" si="153"/>
        <v>0.7</v>
      </c>
      <c r="L521" s="476">
        <f t="shared" si="154"/>
        <v>8.19</v>
      </c>
      <c r="M521" s="484">
        <f t="shared" si="155"/>
        <v>0.7</v>
      </c>
      <c r="O521" s="482">
        <f t="shared" si="144"/>
        <v>15.399999999999999</v>
      </c>
      <c r="P521" s="482">
        <f t="shared" si="145"/>
        <v>15.399999999999999</v>
      </c>
      <c r="Q521" s="484">
        <f t="shared" si="146"/>
        <v>11.354000000000001</v>
      </c>
      <c r="R521" s="484">
        <f t="shared" si="147"/>
        <v>7.7112090435807117</v>
      </c>
      <c r="S521" s="484">
        <f t="shared" si="148"/>
        <v>9.1</v>
      </c>
      <c r="T521" s="484">
        <f t="shared" si="149"/>
        <v>7.3552862258306444</v>
      </c>
    </row>
    <row r="522" spans="1:20">
      <c r="A522" s="445">
        <f t="shared" si="156"/>
        <v>8</v>
      </c>
      <c r="B522" s="445">
        <f t="shared" si="136"/>
        <v>7</v>
      </c>
      <c r="C522" s="445">
        <f t="shared" si="158"/>
        <v>19</v>
      </c>
      <c r="D522" s="445">
        <f t="shared" si="158"/>
        <v>231</v>
      </c>
      <c r="E522" s="480">
        <f t="shared" si="151"/>
        <v>1</v>
      </c>
      <c r="F522" s="453">
        <f t="shared" si="142"/>
        <v>0.6</v>
      </c>
      <c r="G522" s="445">
        <f t="shared" si="143"/>
        <v>0.7</v>
      </c>
      <c r="I522" s="476">
        <f t="shared" si="152"/>
        <v>7.9099999999999984</v>
      </c>
      <c r="J522" s="445">
        <f t="shared" si="153"/>
        <v>0.7</v>
      </c>
      <c r="L522" s="476">
        <f t="shared" si="154"/>
        <v>8.19</v>
      </c>
      <c r="M522" s="484">
        <f t="shared" si="155"/>
        <v>0.7</v>
      </c>
      <c r="O522" s="482">
        <f t="shared" si="144"/>
        <v>15.399999999999999</v>
      </c>
      <c r="P522" s="482">
        <f t="shared" si="145"/>
        <v>15.399999999999999</v>
      </c>
      <c r="Q522" s="484">
        <f t="shared" si="146"/>
        <v>11.354000000000001</v>
      </c>
      <c r="R522" s="484">
        <f t="shared" si="147"/>
        <v>7.7112090435807117</v>
      </c>
      <c r="S522" s="484">
        <f t="shared" si="148"/>
        <v>9.1</v>
      </c>
      <c r="T522" s="484">
        <f t="shared" si="149"/>
        <v>7.3552862258306444</v>
      </c>
    </row>
    <row r="523" spans="1:20">
      <c r="A523" s="445">
        <f t="shared" si="156"/>
        <v>8</v>
      </c>
      <c r="B523" s="445">
        <f t="shared" si="134"/>
        <v>1</v>
      </c>
      <c r="C523" s="445">
        <f t="shared" si="158"/>
        <v>20</v>
      </c>
      <c r="D523" s="445">
        <f t="shared" si="158"/>
        <v>232</v>
      </c>
      <c r="E523" s="480">
        <f t="shared" si="151"/>
        <v>1</v>
      </c>
      <c r="F523" s="453">
        <f t="shared" si="142"/>
        <v>0.6</v>
      </c>
      <c r="G523" s="445">
        <f t="shared" si="143"/>
        <v>0.7</v>
      </c>
      <c r="I523" s="476">
        <f t="shared" si="152"/>
        <v>7.9099999999999984</v>
      </c>
      <c r="J523" s="445">
        <f t="shared" si="153"/>
        <v>0.7</v>
      </c>
      <c r="L523" s="476">
        <f t="shared" si="154"/>
        <v>8.19</v>
      </c>
      <c r="M523" s="484">
        <f t="shared" si="155"/>
        <v>0.7</v>
      </c>
      <c r="O523" s="482">
        <f t="shared" si="144"/>
        <v>15.399999999999999</v>
      </c>
      <c r="P523" s="482">
        <f t="shared" si="145"/>
        <v>15.399999999999999</v>
      </c>
      <c r="Q523" s="484">
        <f t="shared" si="146"/>
        <v>11.354000000000001</v>
      </c>
      <c r="R523" s="484">
        <f t="shared" si="147"/>
        <v>7.7112090435807117</v>
      </c>
      <c r="S523" s="484">
        <f t="shared" si="148"/>
        <v>9.1</v>
      </c>
      <c r="T523" s="484">
        <f t="shared" si="149"/>
        <v>7.3552862258306444</v>
      </c>
    </row>
    <row r="524" spans="1:20">
      <c r="A524" s="445">
        <f t="shared" si="156"/>
        <v>8</v>
      </c>
      <c r="B524" s="445">
        <f t="shared" si="135"/>
        <v>2</v>
      </c>
      <c r="C524" s="445">
        <f t="shared" si="158"/>
        <v>21</v>
      </c>
      <c r="D524" s="445">
        <f t="shared" si="158"/>
        <v>233</v>
      </c>
      <c r="E524" s="480">
        <f t="shared" si="151"/>
        <v>1</v>
      </c>
      <c r="F524" s="453">
        <f t="shared" si="142"/>
        <v>0.6</v>
      </c>
      <c r="G524" s="445">
        <f t="shared" si="143"/>
        <v>0.7</v>
      </c>
      <c r="I524" s="476">
        <f t="shared" si="152"/>
        <v>7.9099999999999984</v>
      </c>
      <c r="J524" s="445">
        <f t="shared" si="153"/>
        <v>0.7</v>
      </c>
      <c r="L524" s="476">
        <f t="shared" si="154"/>
        <v>8.19</v>
      </c>
      <c r="M524" s="484">
        <f t="shared" si="155"/>
        <v>0.7</v>
      </c>
      <c r="O524" s="482">
        <f t="shared" si="144"/>
        <v>15.399999999999999</v>
      </c>
      <c r="P524" s="482">
        <f t="shared" si="145"/>
        <v>15.399999999999999</v>
      </c>
      <c r="Q524" s="484">
        <f t="shared" si="146"/>
        <v>11.354000000000001</v>
      </c>
      <c r="R524" s="484">
        <f t="shared" si="147"/>
        <v>7.7112090435807117</v>
      </c>
      <c r="S524" s="484">
        <f t="shared" si="148"/>
        <v>9.1</v>
      </c>
      <c r="T524" s="484">
        <f t="shared" si="149"/>
        <v>7.3552862258306444</v>
      </c>
    </row>
    <row r="525" spans="1:20">
      <c r="A525" s="445">
        <f t="shared" si="156"/>
        <v>8</v>
      </c>
      <c r="B525" s="445">
        <f t="shared" si="137"/>
        <v>3</v>
      </c>
      <c r="C525" s="445">
        <f t="shared" si="158"/>
        <v>22</v>
      </c>
      <c r="D525" s="445">
        <f t="shared" si="158"/>
        <v>234</v>
      </c>
      <c r="E525" s="480">
        <f t="shared" si="151"/>
        <v>1</v>
      </c>
      <c r="F525" s="453">
        <f t="shared" si="142"/>
        <v>0.6</v>
      </c>
      <c r="G525" s="445">
        <f t="shared" si="143"/>
        <v>0.7</v>
      </c>
      <c r="I525" s="476">
        <f t="shared" si="152"/>
        <v>7.9099999999999984</v>
      </c>
      <c r="J525" s="445">
        <f t="shared" si="153"/>
        <v>0.7</v>
      </c>
      <c r="L525" s="476">
        <f t="shared" si="154"/>
        <v>8.19</v>
      </c>
      <c r="M525" s="484">
        <f t="shared" si="155"/>
        <v>0.7</v>
      </c>
      <c r="O525" s="482">
        <f t="shared" si="144"/>
        <v>15.399999999999999</v>
      </c>
      <c r="P525" s="482">
        <f t="shared" si="145"/>
        <v>15.399999999999999</v>
      </c>
      <c r="Q525" s="484">
        <f t="shared" si="146"/>
        <v>11.354000000000001</v>
      </c>
      <c r="R525" s="484">
        <f t="shared" si="147"/>
        <v>7.7112090435807117</v>
      </c>
      <c r="S525" s="484">
        <f t="shared" si="148"/>
        <v>9.1</v>
      </c>
      <c r="T525" s="484">
        <f t="shared" si="149"/>
        <v>7.3552862258306444</v>
      </c>
    </row>
    <row r="526" spans="1:20">
      <c r="A526" s="445">
        <f t="shared" si="156"/>
        <v>8</v>
      </c>
      <c r="B526" s="445">
        <f t="shared" si="139"/>
        <v>4</v>
      </c>
      <c r="C526" s="445">
        <f t="shared" si="158"/>
        <v>23</v>
      </c>
      <c r="D526" s="445">
        <f t="shared" si="158"/>
        <v>235</v>
      </c>
      <c r="E526" s="480">
        <f t="shared" si="151"/>
        <v>1</v>
      </c>
      <c r="F526" s="453">
        <f t="shared" si="142"/>
        <v>0.6</v>
      </c>
      <c r="G526" s="445">
        <f t="shared" si="143"/>
        <v>0.7</v>
      </c>
      <c r="I526" s="476">
        <f t="shared" si="152"/>
        <v>7.9099999999999984</v>
      </c>
      <c r="J526" s="445">
        <f t="shared" si="153"/>
        <v>0.7</v>
      </c>
      <c r="L526" s="476">
        <f t="shared" si="154"/>
        <v>8.19</v>
      </c>
      <c r="M526" s="484">
        <f t="shared" si="155"/>
        <v>0.7</v>
      </c>
      <c r="O526" s="482">
        <f t="shared" si="144"/>
        <v>15.399999999999999</v>
      </c>
      <c r="P526" s="482">
        <f t="shared" si="145"/>
        <v>15.399999999999999</v>
      </c>
      <c r="Q526" s="484">
        <f t="shared" si="146"/>
        <v>11.354000000000001</v>
      </c>
      <c r="R526" s="484">
        <f t="shared" si="147"/>
        <v>7.7112090435807117</v>
      </c>
      <c r="S526" s="484">
        <f t="shared" si="148"/>
        <v>9.1</v>
      </c>
      <c r="T526" s="484">
        <f t="shared" si="149"/>
        <v>7.3552862258306444</v>
      </c>
    </row>
    <row r="527" spans="1:20">
      <c r="A527" s="445">
        <f t="shared" si="156"/>
        <v>8</v>
      </c>
      <c r="B527" s="445">
        <f t="shared" si="140"/>
        <v>5</v>
      </c>
      <c r="C527" s="445">
        <f t="shared" si="158"/>
        <v>24</v>
      </c>
      <c r="D527" s="445">
        <f t="shared" si="158"/>
        <v>236</v>
      </c>
      <c r="E527" s="480">
        <f t="shared" si="151"/>
        <v>1</v>
      </c>
      <c r="F527" s="453">
        <f t="shared" si="142"/>
        <v>0.6</v>
      </c>
      <c r="G527" s="445">
        <f t="shared" si="143"/>
        <v>0.7</v>
      </c>
      <c r="I527" s="476">
        <f t="shared" si="152"/>
        <v>7.9099999999999984</v>
      </c>
      <c r="J527" s="445">
        <f t="shared" si="153"/>
        <v>0.7</v>
      </c>
      <c r="L527" s="476">
        <f t="shared" si="154"/>
        <v>8.19</v>
      </c>
      <c r="M527" s="484">
        <f t="shared" si="155"/>
        <v>0.7</v>
      </c>
      <c r="O527" s="482">
        <f t="shared" si="144"/>
        <v>15.399999999999999</v>
      </c>
      <c r="P527" s="482">
        <f t="shared" si="145"/>
        <v>15.399999999999999</v>
      </c>
      <c r="Q527" s="484">
        <f t="shared" si="146"/>
        <v>11.354000000000001</v>
      </c>
      <c r="R527" s="484">
        <f t="shared" si="147"/>
        <v>7.7112090435807117</v>
      </c>
      <c r="S527" s="484">
        <f t="shared" si="148"/>
        <v>9.1</v>
      </c>
      <c r="T527" s="484">
        <f t="shared" si="149"/>
        <v>7.3552862258306444</v>
      </c>
    </row>
    <row r="528" spans="1:20">
      <c r="A528" s="445">
        <f t="shared" si="156"/>
        <v>8</v>
      </c>
      <c r="B528" s="445">
        <f t="shared" si="141"/>
        <v>6</v>
      </c>
      <c r="C528" s="445">
        <f t="shared" si="158"/>
        <v>25</v>
      </c>
      <c r="D528" s="445">
        <f t="shared" si="158"/>
        <v>237</v>
      </c>
      <c r="E528" s="480">
        <f t="shared" si="151"/>
        <v>1</v>
      </c>
      <c r="F528" s="453">
        <f t="shared" si="142"/>
        <v>0.6</v>
      </c>
      <c r="G528" s="445">
        <f t="shared" si="143"/>
        <v>0.7</v>
      </c>
      <c r="I528" s="476">
        <f t="shared" si="152"/>
        <v>7.9099999999999984</v>
      </c>
      <c r="J528" s="445">
        <f t="shared" si="153"/>
        <v>0.7</v>
      </c>
      <c r="L528" s="476">
        <f t="shared" si="154"/>
        <v>8.19</v>
      </c>
      <c r="M528" s="484">
        <f t="shared" si="155"/>
        <v>0.7</v>
      </c>
      <c r="O528" s="482">
        <f t="shared" si="144"/>
        <v>15.399999999999999</v>
      </c>
      <c r="P528" s="482">
        <f t="shared" si="145"/>
        <v>15.399999999999999</v>
      </c>
      <c r="Q528" s="484">
        <f t="shared" si="146"/>
        <v>11.354000000000001</v>
      </c>
      <c r="R528" s="484">
        <f t="shared" si="147"/>
        <v>7.7112090435807117</v>
      </c>
      <c r="S528" s="484">
        <f t="shared" si="148"/>
        <v>9.1</v>
      </c>
      <c r="T528" s="484">
        <f t="shared" si="149"/>
        <v>7.3552862258306444</v>
      </c>
    </row>
    <row r="529" spans="1:20">
      <c r="A529" s="445">
        <f t="shared" si="156"/>
        <v>8</v>
      </c>
      <c r="B529" s="445">
        <f t="shared" si="136"/>
        <v>7</v>
      </c>
      <c r="C529" s="445">
        <f t="shared" si="158"/>
        <v>26</v>
      </c>
      <c r="D529" s="445">
        <f t="shared" si="158"/>
        <v>238</v>
      </c>
      <c r="E529" s="480">
        <f t="shared" si="151"/>
        <v>1</v>
      </c>
      <c r="F529" s="453">
        <f t="shared" si="142"/>
        <v>0.6</v>
      </c>
      <c r="G529" s="445">
        <f t="shared" si="143"/>
        <v>0.7</v>
      </c>
      <c r="I529" s="476">
        <f t="shared" si="152"/>
        <v>7.9099999999999984</v>
      </c>
      <c r="J529" s="445">
        <f t="shared" si="153"/>
        <v>0.7</v>
      </c>
      <c r="L529" s="476">
        <f t="shared" si="154"/>
        <v>8.19</v>
      </c>
      <c r="M529" s="484">
        <f t="shared" si="155"/>
        <v>0.7</v>
      </c>
      <c r="O529" s="482">
        <f t="shared" si="144"/>
        <v>15.399999999999999</v>
      </c>
      <c r="P529" s="482">
        <f t="shared" si="145"/>
        <v>15.399999999999999</v>
      </c>
      <c r="Q529" s="484">
        <f t="shared" si="146"/>
        <v>11.354000000000001</v>
      </c>
      <c r="R529" s="484">
        <f t="shared" si="147"/>
        <v>7.7112090435807117</v>
      </c>
      <c r="S529" s="484">
        <f t="shared" si="148"/>
        <v>9.1</v>
      </c>
      <c r="T529" s="484">
        <f t="shared" si="149"/>
        <v>7.3552862258306444</v>
      </c>
    </row>
    <row r="530" spans="1:20">
      <c r="A530" s="445">
        <f t="shared" si="156"/>
        <v>8</v>
      </c>
      <c r="B530" s="445">
        <f t="shared" ref="B530:B593" si="159">$F$271</f>
        <v>1</v>
      </c>
      <c r="C530" s="445">
        <f t="shared" si="158"/>
        <v>27</v>
      </c>
      <c r="D530" s="445">
        <f t="shared" si="158"/>
        <v>239</v>
      </c>
      <c r="E530" s="480">
        <f t="shared" si="151"/>
        <v>1</v>
      </c>
      <c r="F530" s="453">
        <f t="shared" si="142"/>
        <v>0.6</v>
      </c>
      <c r="G530" s="445">
        <f t="shared" si="143"/>
        <v>0.7</v>
      </c>
      <c r="I530" s="476">
        <f t="shared" si="152"/>
        <v>7.9099999999999984</v>
      </c>
      <c r="J530" s="445">
        <f t="shared" si="153"/>
        <v>0.7</v>
      </c>
      <c r="L530" s="476">
        <f t="shared" si="154"/>
        <v>8.19</v>
      </c>
      <c r="M530" s="484">
        <f t="shared" si="155"/>
        <v>0.7</v>
      </c>
      <c r="O530" s="482">
        <f t="shared" si="144"/>
        <v>15.399999999999999</v>
      </c>
      <c r="P530" s="482">
        <f t="shared" si="145"/>
        <v>15.399999999999999</v>
      </c>
      <c r="Q530" s="484">
        <f t="shared" si="146"/>
        <v>11.354000000000001</v>
      </c>
      <c r="R530" s="484">
        <f t="shared" si="147"/>
        <v>7.7112090435807117</v>
      </c>
      <c r="S530" s="484">
        <f t="shared" si="148"/>
        <v>9.1</v>
      </c>
      <c r="T530" s="484">
        <f t="shared" si="149"/>
        <v>7.3552862258306444</v>
      </c>
    </row>
    <row r="531" spans="1:20">
      <c r="A531" s="445">
        <f t="shared" si="156"/>
        <v>8</v>
      </c>
      <c r="B531" s="445">
        <f t="shared" ref="B531:B594" si="160">$F$272</f>
        <v>2</v>
      </c>
      <c r="C531" s="445">
        <f t="shared" si="158"/>
        <v>28</v>
      </c>
      <c r="D531" s="445">
        <f t="shared" si="158"/>
        <v>240</v>
      </c>
      <c r="E531" s="480">
        <f t="shared" si="151"/>
        <v>1</v>
      </c>
      <c r="F531" s="453">
        <f t="shared" si="142"/>
        <v>0.6</v>
      </c>
      <c r="G531" s="445">
        <f t="shared" si="143"/>
        <v>0.7</v>
      </c>
      <c r="I531" s="476">
        <f t="shared" si="152"/>
        <v>7.9099999999999984</v>
      </c>
      <c r="J531" s="445">
        <f t="shared" si="153"/>
        <v>0.7</v>
      </c>
      <c r="L531" s="476">
        <f t="shared" si="154"/>
        <v>8.19</v>
      </c>
      <c r="M531" s="484">
        <f t="shared" si="155"/>
        <v>0.7</v>
      </c>
      <c r="O531" s="482">
        <f t="shared" si="144"/>
        <v>15.399999999999999</v>
      </c>
      <c r="P531" s="482">
        <f t="shared" si="145"/>
        <v>15.399999999999999</v>
      </c>
      <c r="Q531" s="484">
        <f t="shared" si="146"/>
        <v>11.354000000000001</v>
      </c>
      <c r="R531" s="484">
        <f t="shared" si="147"/>
        <v>7.7112090435807117</v>
      </c>
      <c r="S531" s="484">
        <f t="shared" si="148"/>
        <v>9.1</v>
      </c>
      <c r="T531" s="484">
        <f t="shared" si="149"/>
        <v>7.3552862258306444</v>
      </c>
    </row>
    <row r="532" spans="1:20">
      <c r="A532" s="445">
        <f t="shared" si="156"/>
        <v>8</v>
      </c>
      <c r="B532" s="445">
        <f t="shared" si="137"/>
        <v>3</v>
      </c>
      <c r="C532" s="445">
        <f t="shared" si="158"/>
        <v>29</v>
      </c>
      <c r="D532" s="445">
        <f t="shared" si="158"/>
        <v>241</v>
      </c>
      <c r="E532" s="480">
        <f t="shared" si="151"/>
        <v>1</v>
      </c>
      <c r="F532" s="453">
        <f t="shared" si="142"/>
        <v>0.6</v>
      </c>
      <c r="G532" s="445">
        <f t="shared" si="143"/>
        <v>0.7</v>
      </c>
      <c r="I532" s="476">
        <f t="shared" si="152"/>
        <v>7.9099999999999984</v>
      </c>
      <c r="J532" s="445">
        <f t="shared" si="153"/>
        <v>0.7</v>
      </c>
      <c r="L532" s="476">
        <f t="shared" si="154"/>
        <v>8.19</v>
      </c>
      <c r="M532" s="484">
        <f t="shared" si="155"/>
        <v>0.7</v>
      </c>
      <c r="O532" s="482">
        <f t="shared" si="144"/>
        <v>15.399999999999999</v>
      </c>
      <c r="P532" s="482">
        <f t="shared" si="145"/>
        <v>15.399999999999999</v>
      </c>
      <c r="Q532" s="484">
        <f t="shared" si="146"/>
        <v>11.354000000000001</v>
      </c>
      <c r="R532" s="484">
        <f t="shared" si="147"/>
        <v>7.7112090435807117</v>
      </c>
      <c r="S532" s="484">
        <f t="shared" si="148"/>
        <v>9.1</v>
      </c>
      <c r="T532" s="484">
        <f t="shared" si="149"/>
        <v>7.3552862258306444</v>
      </c>
    </row>
    <row r="533" spans="1:20">
      <c r="A533" s="445">
        <f t="shared" si="156"/>
        <v>8</v>
      </c>
      <c r="B533" s="445">
        <f t="shared" si="139"/>
        <v>4</v>
      </c>
      <c r="C533" s="445">
        <f t="shared" ref="C533:D548" si="161">C532+1</f>
        <v>30</v>
      </c>
      <c r="D533" s="445">
        <f t="shared" si="161"/>
        <v>242</v>
      </c>
      <c r="E533" s="480">
        <f t="shared" si="151"/>
        <v>1</v>
      </c>
      <c r="F533" s="453">
        <f t="shared" si="142"/>
        <v>0.6</v>
      </c>
      <c r="G533" s="445">
        <f t="shared" si="143"/>
        <v>0.7</v>
      </c>
      <c r="I533" s="476">
        <f t="shared" si="152"/>
        <v>7.9099999999999984</v>
      </c>
      <c r="J533" s="445">
        <f t="shared" si="153"/>
        <v>0.7</v>
      </c>
      <c r="L533" s="476">
        <f t="shared" si="154"/>
        <v>8.19</v>
      </c>
      <c r="M533" s="484">
        <f t="shared" si="155"/>
        <v>0.7</v>
      </c>
      <c r="O533" s="482">
        <f t="shared" si="144"/>
        <v>15.399999999999999</v>
      </c>
      <c r="P533" s="482">
        <f t="shared" si="145"/>
        <v>15.399999999999999</v>
      </c>
      <c r="Q533" s="484">
        <f t="shared" si="146"/>
        <v>11.354000000000001</v>
      </c>
      <c r="R533" s="484">
        <f t="shared" si="147"/>
        <v>7.7112090435807117</v>
      </c>
      <c r="S533" s="484">
        <f t="shared" si="148"/>
        <v>9.1</v>
      </c>
      <c r="T533" s="484">
        <f t="shared" si="149"/>
        <v>7.3552862258306444</v>
      </c>
    </row>
    <row r="534" spans="1:20">
      <c r="A534" s="445">
        <f t="shared" si="156"/>
        <v>8</v>
      </c>
      <c r="B534" s="445">
        <f t="shared" si="140"/>
        <v>5</v>
      </c>
      <c r="C534" s="445">
        <f t="shared" si="161"/>
        <v>31</v>
      </c>
      <c r="D534" s="445">
        <f t="shared" si="161"/>
        <v>243</v>
      </c>
      <c r="E534" s="480">
        <f t="shared" si="151"/>
        <v>1</v>
      </c>
      <c r="F534" s="453">
        <f t="shared" si="142"/>
        <v>0.6</v>
      </c>
      <c r="G534" s="445">
        <f t="shared" si="143"/>
        <v>0.7</v>
      </c>
      <c r="I534" s="476">
        <f t="shared" si="152"/>
        <v>7.9099999999999984</v>
      </c>
      <c r="J534" s="445">
        <f t="shared" si="153"/>
        <v>0.7</v>
      </c>
      <c r="L534" s="476">
        <f t="shared" si="154"/>
        <v>8.19</v>
      </c>
      <c r="M534" s="484">
        <f t="shared" si="155"/>
        <v>0.7</v>
      </c>
      <c r="O534" s="482">
        <f t="shared" si="144"/>
        <v>15.399999999999999</v>
      </c>
      <c r="P534" s="482">
        <f t="shared" si="145"/>
        <v>15.399999999999999</v>
      </c>
      <c r="Q534" s="484">
        <f t="shared" si="146"/>
        <v>11.354000000000001</v>
      </c>
      <c r="R534" s="484">
        <f t="shared" si="147"/>
        <v>7.7112090435807117</v>
      </c>
      <c r="S534" s="484">
        <f t="shared" si="148"/>
        <v>9.1</v>
      </c>
      <c r="T534" s="484">
        <f t="shared" si="149"/>
        <v>7.3552862258306444</v>
      </c>
    </row>
    <row r="535" spans="1:20">
      <c r="A535" s="445">
        <v>9</v>
      </c>
      <c r="B535" s="445">
        <f t="shared" si="141"/>
        <v>6</v>
      </c>
      <c r="C535" s="445">
        <v>1</v>
      </c>
      <c r="D535" s="445">
        <f t="shared" si="161"/>
        <v>244</v>
      </c>
      <c r="E535" s="480">
        <f t="shared" si="151"/>
        <v>1</v>
      </c>
      <c r="F535" s="453">
        <f t="shared" si="142"/>
        <v>1</v>
      </c>
      <c r="G535" s="445">
        <f t="shared" si="143"/>
        <v>0.7</v>
      </c>
      <c r="I535" s="476">
        <f t="shared" si="152"/>
        <v>7.9099999999999984</v>
      </c>
      <c r="J535" s="445">
        <f t="shared" si="153"/>
        <v>0.7</v>
      </c>
      <c r="L535" s="476">
        <f t="shared" si="154"/>
        <v>8.19</v>
      </c>
      <c r="M535" s="484">
        <f t="shared" si="155"/>
        <v>0.7</v>
      </c>
      <c r="O535" s="482">
        <f t="shared" si="144"/>
        <v>15.399999999999999</v>
      </c>
      <c r="P535" s="482">
        <f t="shared" si="145"/>
        <v>15.399999999999999</v>
      </c>
      <c r="Q535" s="484">
        <f t="shared" si="146"/>
        <v>11.354000000000001</v>
      </c>
      <c r="R535" s="484">
        <f t="shared" si="147"/>
        <v>7.7112090435807117</v>
      </c>
      <c r="S535" s="484">
        <f t="shared" si="148"/>
        <v>9.1</v>
      </c>
      <c r="T535" s="484">
        <f t="shared" si="149"/>
        <v>7.3552862258306444</v>
      </c>
    </row>
    <row r="536" spans="1:20">
      <c r="A536" s="445">
        <f t="shared" si="156"/>
        <v>9</v>
      </c>
      <c r="B536" s="445">
        <f t="shared" ref="B536:B599" si="162">$F$277</f>
        <v>7</v>
      </c>
      <c r="C536" s="445">
        <f t="shared" si="161"/>
        <v>2</v>
      </c>
      <c r="D536" s="445">
        <f t="shared" si="161"/>
        <v>245</v>
      </c>
      <c r="E536" s="480">
        <f t="shared" si="151"/>
        <v>1</v>
      </c>
      <c r="F536" s="453">
        <f t="shared" si="142"/>
        <v>1</v>
      </c>
      <c r="G536" s="445">
        <f t="shared" si="143"/>
        <v>0.7</v>
      </c>
      <c r="I536" s="476">
        <f t="shared" si="152"/>
        <v>7.9099999999999984</v>
      </c>
      <c r="J536" s="445">
        <f t="shared" si="153"/>
        <v>0.7</v>
      </c>
      <c r="L536" s="476">
        <f t="shared" si="154"/>
        <v>8.19</v>
      </c>
      <c r="M536" s="484">
        <f t="shared" si="155"/>
        <v>0.7</v>
      </c>
      <c r="O536" s="482">
        <f t="shared" si="144"/>
        <v>15.399999999999999</v>
      </c>
      <c r="P536" s="482">
        <f t="shared" si="145"/>
        <v>15.399999999999999</v>
      </c>
      <c r="Q536" s="484">
        <f t="shared" si="146"/>
        <v>11.354000000000001</v>
      </c>
      <c r="R536" s="484">
        <f t="shared" si="147"/>
        <v>7.7112090435807117</v>
      </c>
      <c r="S536" s="484">
        <f t="shared" si="148"/>
        <v>9.1</v>
      </c>
      <c r="T536" s="484">
        <f t="shared" si="149"/>
        <v>7.3552862258306444</v>
      </c>
    </row>
    <row r="537" spans="1:20">
      <c r="A537" s="445">
        <f t="shared" si="156"/>
        <v>9</v>
      </c>
      <c r="B537" s="445">
        <f t="shared" si="159"/>
        <v>1</v>
      </c>
      <c r="C537" s="445">
        <f t="shared" si="161"/>
        <v>3</v>
      </c>
      <c r="D537" s="445">
        <f t="shared" si="161"/>
        <v>246</v>
      </c>
      <c r="E537" s="480">
        <f t="shared" si="151"/>
        <v>1</v>
      </c>
      <c r="F537" s="453">
        <f t="shared" si="142"/>
        <v>1</v>
      </c>
      <c r="G537" s="445">
        <f t="shared" si="143"/>
        <v>0.7</v>
      </c>
      <c r="I537" s="476">
        <f t="shared" si="152"/>
        <v>7.9099999999999984</v>
      </c>
      <c r="J537" s="445">
        <f t="shared" si="153"/>
        <v>0.7</v>
      </c>
      <c r="L537" s="476">
        <f t="shared" si="154"/>
        <v>8.19</v>
      </c>
      <c r="M537" s="484">
        <f t="shared" si="155"/>
        <v>0.7</v>
      </c>
      <c r="O537" s="482">
        <f t="shared" si="144"/>
        <v>15.399999999999999</v>
      </c>
      <c r="P537" s="482">
        <f t="shared" si="145"/>
        <v>15.399999999999999</v>
      </c>
      <c r="Q537" s="484">
        <f t="shared" si="146"/>
        <v>11.354000000000001</v>
      </c>
      <c r="R537" s="484">
        <f t="shared" si="147"/>
        <v>7.7112090435807117</v>
      </c>
      <c r="S537" s="484">
        <f t="shared" si="148"/>
        <v>9.1</v>
      </c>
      <c r="T537" s="484">
        <f t="shared" si="149"/>
        <v>7.3552862258306444</v>
      </c>
    </row>
    <row r="538" spans="1:20">
      <c r="A538" s="445">
        <f t="shared" si="156"/>
        <v>9</v>
      </c>
      <c r="B538" s="445">
        <f t="shared" si="160"/>
        <v>2</v>
      </c>
      <c r="C538" s="445">
        <f t="shared" si="161"/>
        <v>4</v>
      </c>
      <c r="D538" s="445">
        <f t="shared" si="161"/>
        <v>247</v>
      </c>
      <c r="E538" s="480">
        <f t="shared" si="151"/>
        <v>1</v>
      </c>
      <c r="F538" s="453">
        <f t="shared" si="142"/>
        <v>1</v>
      </c>
      <c r="G538" s="445">
        <f t="shared" si="143"/>
        <v>0.7</v>
      </c>
      <c r="I538" s="476">
        <f t="shared" si="152"/>
        <v>7.9099999999999984</v>
      </c>
      <c r="J538" s="445">
        <f t="shared" si="153"/>
        <v>0.7</v>
      </c>
      <c r="L538" s="476">
        <f t="shared" si="154"/>
        <v>8.19</v>
      </c>
      <c r="M538" s="484">
        <f t="shared" si="155"/>
        <v>0.7</v>
      </c>
      <c r="O538" s="482">
        <f t="shared" si="144"/>
        <v>15.399999999999999</v>
      </c>
      <c r="P538" s="482">
        <f t="shared" si="145"/>
        <v>15.399999999999999</v>
      </c>
      <c r="Q538" s="484">
        <f t="shared" si="146"/>
        <v>11.354000000000001</v>
      </c>
      <c r="R538" s="484">
        <f t="shared" si="147"/>
        <v>7.7112090435807117</v>
      </c>
      <c r="S538" s="484">
        <f t="shared" si="148"/>
        <v>9.1</v>
      </c>
      <c r="T538" s="484">
        <f t="shared" si="149"/>
        <v>7.3552862258306444</v>
      </c>
    </row>
    <row r="539" spans="1:20">
      <c r="A539" s="445">
        <f t="shared" si="156"/>
        <v>9</v>
      </c>
      <c r="B539" s="445">
        <f t="shared" ref="B539:B602" si="163">$F$273</f>
        <v>3</v>
      </c>
      <c r="C539" s="445">
        <f t="shared" si="161"/>
        <v>5</v>
      </c>
      <c r="D539" s="445">
        <f t="shared" si="161"/>
        <v>248</v>
      </c>
      <c r="E539" s="480">
        <f t="shared" si="151"/>
        <v>1</v>
      </c>
      <c r="F539" s="453">
        <f t="shared" si="142"/>
        <v>1</v>
      </c>
      <c r="G539" s="445">
        <f t="shared" si="143"/>
        <v>0.7</v>
      </c>
      <c r="I539" s="476">
        <f t="shared" si="152"/>
        <v>7.9099999999999984</v>
      </c>
      <c r="J539" s="445">
        <f t="shared" si="153"/>
        <v>0.7</v>
      </c>
      <c r="L539" s="476">
        <f t="shared" si="154"/>
        <v>8.19</v>
      </c>
      <c r="M539" s="484">
        <f t="shared" si="155"/>
        <v>0.7</v>
      </c>
      <c r="O539" s="482">
        <f t="shared" si="144"/>
        <v>15.399999999999999</v>
      </c>
      <c r="P539" s="482">
        <f t="shared" si="145"/>
        <v>15.399999999999999</v>
      </c>
      <c r="Q539" s="484">
        <f t="shared" si="146"/>
        <v>11.354000000000001</v>
      </c>
      <c r="R539" s="484">
        <f t="shared" si="147"/>
        <v>7.7112090435807117</v>
      </c>
      <c r="S539" s="484">
        <f t="shared" si="148"/>
        <v>9.1</v>
      </c>
      <c r="T539" s="484">
        <f t="shared" si="149"/>
        <v>7.3552862258306444</v>
      </c>
    </row>
    <row r="540" spans="1:20">
      <c r="A540" s="445">
        <f t="shared" si="156"/>
        <v>9</v>
      </c>
      <c r="B540" s="445">
        <f t="shared" ref="B540:B603" si="164">$F$274</f>
        <v>4</v>
      </c>
      <c r="C540" s="445">
        <f t="shared" si="161"/>
        <v>6</v>
      </c>
      <c r="D540" s="445">
        <f t="shared" si="161"/>
        <v>249</v>
      </c>
      <c r="E540" s="480">
        <f t="shared" si="151"/>
        <v>1</v>
      </c>
      <c r="F540" s="453">
        <f t="shared" si="142"/>
        <v>1</v>
      </c>
      <c r="G540" s="445">
        <f t="shared" si="143"/>
        <v>0.7</v>
      </c>
      <c r="I540" s="476">
        <f t="shared" si="152"/>
        <v>7.9099999999999984</v>
      </c>
      <c r="J540" s="445">
        <f t="shared" si="153"/>
        <v>0.7</v>
      </c>
      <c r="L540" s="476">
        <f t="shared" si="154"/>
        <v>8.19</v>
      </c>
      <c r="M540" s="484">
        <f t="shared" si="155"/>
        <v>0.7</v>
      </c>
      <c r="O540" s="482">
        <f t="shared" si="144"/>
        <v>15.399999999999999</v>
      </c>
      <c r="P540" s="482">
        <f t="shared" si="145"/>
        <v>15.399999999999999</v>
      </c>
      <c r="Q540" s="484">
        <f t="shared" si="146"/>
        <v>11.354000000000001</v>
      </c>
      <c r="R540" s="484">
        <f t="shared" si="147"/>
        <v>7.7112090435807117</v>
      </c>
      <c r="S540" s="484">
        <f t="shared" si="148"/>
        <v>9.1</v>
      </c>
      <c r="T540" s="484">
        <f t="shared" si="149"/>
        <v>7.3552862258306444</v>
      </c>
    </row>
    <row r="541" spans="1:20">
      <c r="A541" s="445">
        <f t="shared" si="156"/>
        <v>9</v>
      </c>
      <c r="B541" s="445">
        <f t="shared" ref="B541:B604" si="165">$F$275</f>
        <v>5</v>
      </c>
      <c r="C541" s="445">
        <f t="shared" si="161"/>
        <v>7</v>
      </c>
      <c r="D541" s="445">
        <f t="shared" si="161"/>
        <v>250</v>
      </c>
      <c r="E541" s="480">
        <f t="shared" si="151"/>
        <v>1</v>
      </c>
      <c r="F541" s="453">
        <f t="shared" si="142"/>
        <v>1</v>
      </c>
      <c r="G541" s="445">
        <f t="shared" si="143"/>
        <v>0.7</v>
      </c>
      <c r="I541" s="476">
        <f t="shared" si="152"/>
        <v>7.9099999999999984</v>
      </c>
      <c r="J541" s="445">
        <f t="shared" si="153"/>
        <v>0.7</v>
      </c>
      <c r="L541" s="476">
        <f t="shared" si="154"/>
        <v>8.19</v>
      </c>
      <c r="M541" s="484">
        <f t="shared" si="155"/>
        <v>0.7</v>
      </c>
      <c r="O541" s="482">
        <f t="shared" si="144"/>
        <v>15.399999999999999</v>
      </c>
      <c r="P541" s="482">
        <f t="shared" si="145"/>
        <v>15.399999999999999</v>
      </c>
      <c r="Q541" s="484">
        <f t="shared" si="146"/>
        <v>11.354000000000001</v>
      </c>
      <c r="R541" s="484">
        <f t="shared" si="147"/>
        <v>7.7112090435807117</v>
      </c>
      <c r="S541" s="484">
        <f t="shared" si="148"/>
        <v>9.1</v>
      </c>
      <c r="T541" s="484">
        <f t="shared" si="149"/>
        <v>7.3552862258306444</v>
      </c>
    </row>
    <row r="542" spans="1:20">
      <c r="A542" s="445">
        <f t="shared" si="156"/>
        <v>9</v>
      </c>
      <c r="B542" s="445">
        <f t="shared" ref="B542:B605" si="166">$F$276</f>
        <v>6</v>
      </c>
      <c r="C542" s="445">
        <f t="shared" si="161"/>
        <v>8</v>
      </c>
      <c r="D542" s="445">
        <f t="shared" si="161"/>
        <v>251</v>
      </c>
      <c r="E542" s="480">
        <f t="shared" si="151"/>
        <v>1</v>
      </c>
      <c r="F542" s="453">
        <f t="shared" si="142"/>
        <v>1</v>
      </c>
      <c r="G542" s="445">
        <f t="shared" si="143"/>
        <v>0.7</v>
      </c>
      <c r="I542" s="476">
        <f t="shared" si="152"/>
        <v>7.9099999999999984</v>
      </c>
      <c r="J542" s="445">
        <f t="shared" si="153"/>
        <v>0.7</v>
      </c>
      <c r="L542" s="476">
        <f t="shared" si="154"/>
        <v>8.19</v>
      </c>
      <c r="M542" s="484">
        <f t="shared" si="155"/>
        <v>0.7</v>
      </c>
      <c r="O542" s="482">
        <f t="shared" si="144"/>
        <v>15.399999999999999</v>
      </c>
      <c r="P542" s="482">
        <f t="shared" si="145"/>
        <v>15.399999999999999</v>
      </c>
      <c r="Q542" s="484">
        <f t="shared" si="146"/>
        <v>11.354000000000001</v>
      </c>
      <c r="R542" s="484">
        <f t="shared" si="147"/>
        <v>7.7112090435807117</v>
      </c>
      <c r="S542" s="484">
        <f t="shared" si="148"/>
        <v>9.1</v>
      </c>
      <c r="T542" s="484">
        <f t="shared" si="149"/>
        <v>7.3552862258306444</v>
      </c>
    </row>
    <row r="543" spans="1:20">
      <c r="A543" s="445">
        <f t="shared" si="156"/>
        <v>9</v>
      </c>
      <c r="B543" s="445">
        <f t="shared" si="162"/>
        <v>7</v>
      </c>
      <c r="C543" s="445">
        <f t="shared" si="161"/>
        <v>9</v>
      </c>
      <c r="D543" s="445">
        <f t="shared" si="161"/>
        <v>252</v>
      </c>
      <c r="E543" s="480">
        <f t="shared" si="151"/>
        <v>1</v>
      </c>
      <c r="F543" s="453">
        <f t="shared" si="142"/>
        <v>1</v>
      </c>
      <c r="G543" s="445">
        <f t="shared" si="143"/>
        <v>0.7</v>
      </c>
      <c r="I543" s="476">
        <f t="shared" si="152"/>
        <v>7.9099999999999984</v>
      </c>
      <c r="J543" s="445">
        <f t="shared" si="153"/>
        <v>0.7</v>
      </c>
      <c r="L543" s="476">
        <f t="shared" si="154"/>
        <v>8.19</v>
      </c>
      <c r="M543" s="484">
        <f t="shared" si="155"/>
        <v>0.7</v>
      </c>
      <c r="O543" s="482">
        <f t="shared" si="144"/>
        <v>15.399999999999999</v>
      </c>
      <c r="P543" s="482">
        <f t="shared" si="145"/>
        <v>15.399999999999999</v>
      </c>
      <c r="Q543" s="484">
        <f t="shared" si="146"/>
        <v>11.354000000000001</v>
      </c>
      <c r="R543" s="484">
        <f t="shared" si="147"/>
        <v>7.7112090435807117</v>
      </c>
      <c r="S543" s="484">
        <f t="shared" si="148"/>
        <v>9.1</v>
      </c>
      <c r="T543" s="484">
        <f t="shared" si="149"/>
        <v>7.3552862258306444</v>
      </c>
    </row>
    <row r="544" spans="1:20">
      <c r="A544" s="445">
        <f t="shared" si="156"/>
        <v>9</v>
      </c>
      <c r="B544" s="445">
        <f t="shared" si="159"/>
        <v>1</v>
      </c>
      <c r="C544" s="445">
        <f t="shared" si="161"/>
        <v>10</v>
      </c>
      <c r="D544" s="445">
        <f t="shared" si="161"/>
        <v>253</v>
      </c>
      <c r="E544" s="480">
        <f t="shared" si="151"/>
        <v>1</v>
      </c>
      <c r="F544" s="453">
        <f t="shared" si="142"/>
        <v>1</v>
      </c>
      <c r="G544" s="445">
        <f t="shared" si="143"/>
        <v>0.7</v>
      </c>
      <c r="I544" s="476">
        <f t="shared" si="152"/>
        <v>7.9099999999999984</v>
      </c>
      <c r="J544" s="445">
        <f t="shared" si="153"/>
        <v>0.7</v>
      </c>
      <c r="L544" s="476">
        <f t="shared" si="154"/>
        <v>8.19</v>
      </c>
      <c r="M544" s="484">
        <f t="shared" si="155"/>
        <v>0.7</v>
      </c>
      <c r="O544" s="482">
        <f t="shared" si="144"/>
        <v>15.399999999999999</v>
      </c>
      <c r="P544" s="482">
        <f t="shared" si="145"/>
        <v>15.399999999999999</v>
      </c>
      <c r="Q544" s="484">
        <f t="shared" si="146"/>
        <v>11.354000000000001</v>
      </c>
      <c r="R544" s="484">
        <f t="shared" si="147"/>
        <v>7.7112090435807117</v>
      </c>
      <c r="S544" s="484">
        <f t="shared" si="148"/>
        <v>9.1</v>
      </c>
      <c r="T544" s="484">
        <f t="shared" si="149"/>
        <v>7.3552862258306444</v>
      </c>
    </row>
    <row r="545" spans="1:20">
      <c r="A545" s="445">
        <f t="shared" si="156"/>
        <v>9</v>
      </c>
      <c r="B545" s="445">
        <f t="shared" si="160"/>
        <v>2</v>
      </c>
      <c r="C545" s="445">
        <f t="shared" si="161"/>
        <v>11</v>
      </c>
      <c r="D545" s="445">
        <f t="shared" si="161"/>
        <v>254</v>
      </c>
      <c r="E545" s="480">
        <f t="shared" si="151"/>
        <v>1</v>
      </c>
      <c r="F545" s="453">
        <f t="shared" si="142"/>
        <v>1</v>
      </c>
      <c r="G545" s="445">
        <f t="shared" si="143"/>
        <v>0.7</v>
      </c>
      <c r="I545" s="476">
        <f t="shared" si="152"/>
        <v>7.9099999999999984</v>
      </c>
      <c r="J545" s="445">
        <f t="shared" si="153"/>
        <v>0.7</v>
      </c>
      <c r="L545" s="476">
        <f t="shared" si="154"/>
        <v>8.19</v>
      </c>
      <c r="M545" s="484">
        <f t="shared" si="155"/>
        <v>0.7</v>
      </c>
      <c r="O545" s="482">
        <f t="shared" si="144"/>
        <v>15.399999999999999</v>
      </c>
      <c r="P545" s="482">
        <f t="shared" si="145"/>
        <v>15.399999999999999</v>
      </c>
      <c r="Q545" s="484">
        <f t="shared" si="146"/>
        <v>11.354000000000001</v>
      </c>
      <c r="R545" s="484">
        <f t="shared" si="147"/>
        <v>7.7112090435807117</v>
      </c>
      <c r="S545" s="484">
        <f t="shared" si="148"/>
        <v>9.1</v>
      </c>
      <c r="T545" s="484">
        <f t="shared" si="149"/>
        <v>7.3552862258306444</v>
      </c>
    </row>
    <row r="546" spans="1:20">
      <c r="A546" s="445">
        <f t="shared" si="156"/>
        <v>9</v>
      </c>
      <c r="B546" s="445">
        <f t="shared" si="163"/>
        <v>3</v>
      </c>
      <c r="C546" s="445">
        <f t="shared" si="161"/>
        <v>12</v>
      </c>
      <c r="D546" s="445">
        <f t="shared" si="161"/>
        <v>255</v>
      </c>
      <c r="E546" s="480">
        <f t="shared" si="151"/>
        <v>1</v>
      </c>
      <c r="F546" s="453">
        <f t="shared" si="142"/>
        <v>1</v>
      </c>
      <c r="G546" s="445">
        <f t="shared" si="143"/>
        <v>0.7</v>
      </c>
      <c r="I546" s="476">
        <f t="shared" si="152"/>
        <v>7.9099999999999984</v>
      </c>
      <c r="J546" s="445">
        <f t="shared" si="153"/>
        <v>0.7</v>
      </c>
      <c r="L546" s="476">
        <f t="shared" si="154"/>
        <v>8.19</v>
      </c>
      <c r="M546" s="484">
        <f t="shared" si="155"/>
        <v>0.7</v>
      </c>
      <c r="O546" s="482">
        <f t="shared" si="144"/>
        <v>15.399999999999999</v>
      </c>
      <c r="P546" s="482">
        <f t="shared" si="145"/>
        <v>15.399999999999999</v>
      </c>
      <c r="Q546" s="484">
        <f t="shared" si="146"/>
        <v>11.354000000000001</v>
      </c>
      <c r="R546" s="484">
        <f t="shared" si="147"/>
        <v>7.7112090435807117</v>
      </c>
      <c r="S546" s="484">
        <f t="shared" si="148"/>
        <v>9.1</v>
      </c>
      <c r="T546" s="484">
        <f t="shared" si="149"/>
        <v>7.3552862258306444</v>
      </c>
    </row>
    <row r="547" spans="1:20">
      <c r="A547" s="445">
        <f t="shared" si="156"/>
        <v>9</v>
      </c>
      <c r="B547" s="445">
        <f t="shared" si="164"/>
        <v>4</v>
      </c>
      <c r="C547" s="445">
        <f t="shared" si="161"/>
        <v>13</v>
      </c>
      <c r="D547" s="445">
        <f t="shared" si="161"/>
        <v>256</v>
      </c>
      <c r="E547" s="480">
        <f t="shared" si="151"/>
        <v>1</v>
      </c>
      <c r="F547" s="453">
        <f t="shared" si="142"/>
        <v>1</v>
      </c>
      <c r="G547" s="445">
        <f t="shared" si="143"/>
        <v>0.7</v>
      </c>
      <c r="I547" s="476">
        <f t="shared" si="152"/>
        <v>7.9099999999999984</v>
      </c>
      <c r="J547" s="445">
        <f t="shared" si="153"/>
        <v>0.7</v>
      </c>
      <c r="L547" s="476">
        <f t="shared" si="154"/>
        <v>8.19</v>
      </c>
      <c r="M547" s="484">
        <f t="shared" si="155"/>
        <v>0.7</v>
      </c>
      <c r="O547" s="482">
        <f t="shared" si="144"/>
        <v>15.399999999999999</v>
      </c>
      <c r="P547" s="482">
        <f t="shared" si="145"/>
        <v>15.399999999999999</v>
      </c>
      <c r="Q547" s="484">
        <f t="shared" si="146"/>
        <v>11.354000000000001</v>
      </c>
      <c r="R547" s="484">
        <f t="shared" si="147"/>
        <v>7.7112090435807117</v>
      </c>
      <c r="S547" s="484">
        <f t="shared" si="148"/>
        <v>9.1</v>
      </c>
      <c r="T547" s="484">
        <f t="shared" si="149"/>
        <v>7.3552862258306444</v>
      </c>
    </row>
    <row r="548" spans="1:20">
      <c r="A548" s="445">
        <f t="shared" si="156"/>
        <v>9</v>
      </c>
      <c r="B548" s="445">
        <f t="shared" si="165"/>
        <v>5</v>
      </c>
      <c r="C548" s="445">
        <f t="shared" si="161"/>
        <v>14</v>
      </c>
      <c r="D548" s="445">
        <f t="shared" si="161"/>
        <v>257</v>
      </c>
      <c r="E548" s="480">
        <f t="shared" si="151"/>
        <v>1</v>
      </c>
      <c r="F548" s="453">
        <f t="shared" ref="F548:F611" si="167">INDEX($C$271:$C$282,A548)</f>
        <v>1</v>
      </c>
      <c r="G548" s="445">
        <f t="shared" ref="G548:G611" si="168">INDEX($D$271:$D$282,A548)</f>
        <v>0.7</v>
      </c>
      <c r="I548" s="476">
        <f t="shared" si="152"/>
        <v>7.9099999999999984</v>
      </c>
      <c r="J548" s="445">
        <f t="shared" si="153"/>
        <v>0.7</v>
      </c>
      <c r="L548" s="476">
        <f t="shared" si="154"/>
        <v>8.19</v>
      </c>
      <c r="M548" s="484">
        <f t="shared" si="155"/>
        <v>0.7</v>
      </c>
      <c r="O548" s="482">
        <f t="shared" ref="O548:O611" si="169">IF($F$287="bisherig", $E548*$F$66*F548, $E548*$F$66*G548)</f>
        <v>15.399999999999999</v>
      </c>
      <c r="P548" s="482">
        <f t="shared" ref="P548:P611" si="170">IF($F$287="bisherig", $E548*$F$66*F548, $E548*$F$66*G548)</f>
        <v>15.399999999999999</v>
      </c>
      <c r="Q548" s="484">
        <f t="shared" ref="Q548:Q611" si="171">IF($F$287="bisherig", $E548*$G$66*F548, $E548*$G$66*G548)</f>
        <v>11.354000000000001</v>
      </c>
      <c r="R548" s="484">
        <f t="shared" ref="R548:R611" si="172">IF($F$287="bisherig", $E548*$H$66*F548, $E548*$H$66*G548)</f>
        <v>7.7112090435807117</v>
      </c>
      <c r="S548" s="484">
        <f t="shared" ref="S548:S611" si="173">IF($F$287="bisherig", $E548*$I$66*F548, $E548*$I$66*G548)</f>
        <v>9.1</v>
      </c>
      <c r="T548" s="484">
        <f t="shared" ref="T548:T611" si="174">IF($F$287="bisherig", $E548*$J$66*F548, $E548*$J$66*G548)</f>
        <v>7.3552862258306444</v>
      </c>
    </row>
    <row r="549" spans="1:20">
      <c r="A549" s="445">
        <f t="shared" si="156"/>
        <v>9</v>
      </c>
      <c r="B549" s="445">
        <f t="shared" si="166"/>
        <v>6</v>
      </c>
      <c r="C549" s="445">
        <f t="shared" ref="C549:D564" si="175">C548+1</f>
        <v>15</v>
      </c>
      <c r="D549" s="445">
        <f t="shared" si="175"/>
        <v>258</v>
      </c>
      <c r="E549" s="480">
        <f t="shared" ref="E549:E612" si="176">INDEX($H$271:$H$277,B549)</f>
        <v>1</v>
      </c>
      <c r="F549" s="453">
        <f t="shared" si="167"/>
        <v>1</v>
      </c>
      <c r="G549" s="445">
        <f t="shared" si="168"/>
        <v>0.7</v>
      </c>
      <c r="I549" s="476">
        <f t="shared" ref="I549:I612" si="177">IF($F$287="bisherig", $E549*$B$66*F549, $E549*$B$66*G549)</f>
        <v>7.9099999999999984</v>
      </c>
      <c r="J549" s="445">
        <f t="shared" ref="J549:J612" si="178">IF($F$287="bisherig",$E549*MAX($B$67:$B$90)*F549,$E549*MAX($B$67:$B$90)*G549)</f>
        <v>0.7</v>
      </c>
      <c r="L549" s="476">
        <f t="shared" ref="L549:L612" si="179">IF($F$287="bisherig", IF(E549=1, $D$66*F549,$E$66*F549), IF(E549=1, $D$66*G549,$E$66*G549))</f>
        <v>8.19</v>
      </c>
      <c r="M549" s="484">
        <f t="shared" ref="M549:M612" si="180">IF($F$287="bisherig", IF(E549=1, MAX($D$67:$D$90)*F549,MAX($E$67:$E$90)*F549), IF(E549=1,MAX($D$67:$D$90)*G549,MAX($E$67:$E$90)*G549))</f>
        <v>0.7</v>
      </c>
      <c r="O549" s="482">
        <f t="shared" si="169"/>
        <v>15.399999999999999</v>
      </c>
      <c r="P549" s="482">
        <f t="shared" si="170"/>
        <v>15.399999999999999</v>
      </c>
      <c r="Q549" s="484">
        <f t="shared" si="171"/>
        <v>11.354000000000001</v>
      </c>
      <c r="R549" s="484">
        <f t="shared" si="172"/>
        <v>7.7112090435807117</v>
      </c>
      <c r="S549" s="484">
        <f t="shared" si="173"/>
        <v>9.1</v>
      </c>
      <c r="T549" s="484">
        <f t="shared" si="174"/>
        <v>7.3552862258306444</v>
      </c>
    </row>
    <row r="550" spans="1:20">
      <c r="A550" s="445">
        <f t="shared" ref="A550:A613" si="181">A549</f>
        <v>9</v>
      </c>
      <c r="B550" s="445">
        <f t="shared" si="162"/>
        <v>7</v>
      </c>
      <c r="C550" s="445">
        <f t="shared" si="175"/>
        <v>16</v>
      </c>
      <c r="D550" s="445">
        <f t="shared" si="175"/>
        <v>259</v>
      </c>
      <c r="E550" s="480">
        <f t="shared" si="176"/>
        <v>1</v>
      </c>
      <c r="F550" s="453">
        <f t="shared" si="167"/>
        <v>1</v>
      </c>
      <c r="G550" s="445">
        <f t="shared" si="168"/>
        <v>0.7</v>
      </c>
      <c r="I550" s="476">
        <f t="shared" si="177"/>
        <v>7.9099999999999984</v>
      </c>
      <c r="J550" s="445">
        <f t="shared" si="178"/>
        <v>0.7</v>
      </c>
      <c r="L550" s="476">
        <f t="shared" si="179"/>
        <v>8.19</v>
      </c>
      <c r="M550" s="484">
        <f t="shared" si="180"/>
        <v>0.7</v>
      </c>
      <c r="O550" s="482">
        <f t="shared" si="169"/>
        <v>15.399999999999999</v>
      </c>
      <c r="P550" s="482">
        <f t="shared" si="170"/>
        <v>15.399999999999999</v>
      </c>
      <c r="Q550" s="484">
        <f t="shared" si="171"/>
        <v>11.354000000000001</v>
      </c>
      <c r="R550" s="484">
        <f t="shared" si="172"/>
        <v>7.7112090435807117</v>
      </c>
      <c r="S550" s="484">
        <f t="shared" si="173"/>
        <v>9.1</v>
      </c>
      <c r="T550" s="484">
        <f t="shared" si="174"/>
        <v>7.3552862258306444</v>
      </c>
    </row>
    <row r="551" spans="1:20">
      <c r="A551" s="445">
        <f t="shared" si="181"/>
        <v>9</v>
      </c>
      <c r="B551" s="445">
        <f t="shared" si="159"/>
        <v>1</v>
      </c>
      <c r="C551" s="445">
        <f t="shared" si="175"/>
        <v>17</v>
      </c>
      <c r="D551" s="445">
        <f t="shared" si="175"/>
        <v>260</v>
      </c>
      <c r="E551" s="480">
        <f t="shared" si="176"/>
        <v>1</v>
      </c>
      <c r="F551" s="453">
        <f t="shared" si="167"/>
        <v>1</v>
      </c>
      <c r="G551" s="445">
        <f t="shared" si="168"/>
        <v>0.7</v>
      </c>
      <c r="I551" s="476">
        <f t="shared" si="177"/>
        <v>7.9099999999999984</v>
      </c>
      <c r="J551" s="445">
        <f t="shared" si="178"/>
        <v>0.7</v>
      </c>
      <c r="L551" s="476">
        <f t="shared" si="179"/>
        <v>8.19</v>
      </c>
      <c r="M551" s="484">
        <f t="shared" si="180"/>
        <v>0.7</v>
      </c>
      <c r="O551" s="482">
        <f t="shared" si="169"/>
        <v>15.399999999999999</v>
      </c>
      <c r="P551" s="482">
        <f t="shared" si="170"/>
        <v>15.399999999999999</v>
      </c>
      <c r="Q551" s="484">
        <f t="shared" si="171"/>
        <v>11.354000000000001</v>
      </c>
      <c r="R551" s="484">
        <f t="shared" si="172"/>
        <v>7.7112090435807117</v>
      </c>
      <c r="S551" s="484">
        <f t="shared" si="173"/>
        <v>9.1</v>
      </c>
      <c r="T551" s="484">
        <f t="shared" si="174"/>
        <v>7.3552862258306444</v>
      </c>
    </row>
    <row r="552" spans="1:20">
      <c r="A552" s="445">
        <f t="shared" si="181"/>
        <v>9</v>
      </c>
      <c r="B552" s="445">
        <f t="shared" si="160"/>
        <v>2</v>
      </c>
      <c r="C552" s="445">
        <f t="shared" si="175"/>
        <v>18</v>
      </c>
      <c r="D552" s="445">
        <f t="shared" si="175"/>
        <v>261</v>
      </c>
      <c r="E552" s="480">
        <f t="shared" si="176"/>
        <v>1</v>
      </c>
      <c r="F552" s="453">
        <f t="shared" si="167"/>
        <v>1</v>
      </c>
      <c r="G552" s="445">
        <f t="shared" si="168"/>
        <v>0.7</v>
      </c>
      <c r="I552" s="476">
        <f t="shared" si="177"/>
        <v>7.9099999999999984</v>
      </c>
      <c r="J552" s="445">
        <f t="shared" si="178"/>
        <v>0.7</v>
      </c>
      <c r="L552" s="476">
        <f t="shared" si="179"/>
        <v>8.19</v>
      </c>
      <c r="M552" s="484">
        <f t="shared" si="180"/>
        <v>0.7</v>
      </c>
      <c r="O552" s="482">
        <f t="shared" si="169"/>
        <v>15.399999999999999</v>
      </c>
      <c r="P552" s="482">
        <f t="shared" si="170"/>
        <v>15.399999999999999</v>
      </c>
      <c r="Q552" s="484">
        <f t="shared" si="171"/>
        <v>11.354000000000001</v>
      </c>
      <c r="R552" s="484">
        <f t="shared" si="172"/>
        <v>7.7112090435807117</v>
      </c>
      <c r="S552" s="484">
        <f t="shared" si="173"/>
        <v>9.1</v>
      </c>
      <c r="T552" s="484">
        <f t="shared" si="174"/>
        <v>7.3552862258306444</v>
      </c>
    </row>
    <row r="553" spans="1:20">
      <c r="A553" s="445">
        <f t="shared" si="181"/>
        <v>9</v>
      </c>
      <c r="B553" s="445">
        <f t="shared" si="163"/>
        <v>3</v>
      </c>
      <c r="C553" s="445">
        <f t="shared" si="175"/>
        <v>19</v>
      </c>
      <c r="D553" s="445">
        <f t="shared" si="175"/>
        <v>262</v>
      </c>
      <c r="E553" s="480">
        <f t="shared" si="176"/>
        <v>1</v>
      </c>
      <c r="F553" s="453">
        <f t="shared" si="167"/>
        <v>1</v>
      </c>
      <c r="G553" s="445">
        <f t="shared" si="168"/>
        <v>0.7</v>
      </c>
      <c r="I553" s="476">
        <f t="shared" si="177"/>
        <v>7.9099999999999984</v>
      </c>
      <c r="J553" s="445">
        <f t="shared" si="178"/>
        <v>0.7</v>
      </c>
      <c r="L553" s="476">
        <f t="shared" si="179"/>
        <v>8.19</v>
      </c>
      <c r="M553" s="484">
        <f t="shared" si="180"/>
        <v>0.7</v>
      </c>
      <c r="O553" s="482">
        <f t="shared" si="169"/>
        <v>15.399999999999999</v>
      </c>
      <c r="P553" s="482">
        <f t="shared" si="170"/>
        <v>15.399999999999999</v>
      </c>
      <c r="Q553" s="484">
        <f t="shared" si="171"/>
        <v>11.354000000000001</v>
      </c>
      <c r="R553" s="484">
        <f t="shared" si="172"/>
        <v>7.7112090435807117</v>
      </c>
      <c r="S553" s="484">
        <f t="shared" si="173"/>
        <v>9.1</v>
      </c>
      <c r="T553" s="484">
        <f t="shared" si="174"/>
        <v>7.3552862258306444</v>
      </c>
    </row>
    <row r="554" spans="1:20">
      <c r="A554" s="445">
        <f t="shared" si="181"/>
        <v>9</v>
      </c>
      <c r="B554" s="445">
        <f t="shared" si="164"/>
        <v>4</v>
      </c>
      <c r="C554" s="445">
        <f t="shared" si="175"/>
        <v>20</v>
      </c>
      <c r="D554" s="445">
        <f t="shared" si="175"/>
        <v>263</v>
      </c>
      <c r="E554" s="480">
        <f t="shared" si="176"/>
        <v>1</v>
      </c>
      <c r="F554" s="453">
        <f t="shared" si="167"/>
        <v>1</v>
      </c>
      <c r="G554" s="445">
        <f t="shared" si="168"/>
        <v>0.7</v>
      </c>
      <c r="I554" s="476">
        <f t="shared" si="177"/>
        <v>7.9099999999999984</v>
      </c>
      <c r="J554" s="445">
        <f t="shared" si="178"/>
        <v>0.7</v>
      </c>
      <c r="L554" s="476">
        <f t="shared" si="179"/>
        <v>8.19</v>
      </c>
      <c r="M554" s="484">
        <f t="shared" si="180"/>
        <v>0.7</v>
      </c>
      <c r="O554" s="482">
        <f t="shared" si="169"/>
        <v>15.399999999999999</v>
      </c>
      <c r="P554" s="482">
        <f t="shared" si="170"/>
        <v>15.399999999999999</v>
      </c>
      <c r="Q554" s="484">
        <f t="shared" si="171"/>
        <v>11.354000000000001</v>
      </c>
      <c r="R554" s="484">
        <f t="shared" si="172"/>
        <v>7.7112090435807117</v>
      </c>
      <c r="S554" s="484">
        <f t="shared" si="173"/>
        <v>9.1</v>
      </c>
      <c r="T554" s="484">
        <f t="shared" si="174"/>
        <v>7.3552862258306444</v>
      </c>
    </row>
    <row r="555" spans="1:20">
      <c r="A555" s="445">
        <f t="shared" si="181"/>
        <v>9</v>
      </c>
      <c r="B555" s="445">
        <f t="shared" si="165"/>
        <v>5</v>
      </c>
      <c r="C555" s="445">
        <f t="shared" si="175"/>
        <v>21</v>
      </c>
      <c r="D555" s="445">
        <f t="shared" si="175"/>
        <v>264</v>
      </c>
      <c r="E555" s="480">
        <f t="shared" si="176"/>
        <v>1</v>
      </c>
      <c r="F555" s="453">
        <f t="shared" si="167"/>
        <v>1</v>
      </c>
      <c r="G555" s="445">
        <f t="shared" si="168"/>
        <v>0.7</v>
      </c>
      <c r="I555" s="476">
        <f t="shared" si="177"/>
        <v>7.9099999999999984</v>
      </c>
      <c r="J555" s="445">
        <f t="shared" si="178"/>
        <v>0.7</v>
      </c>
      <c r="L555" s="476">
        <f t="shared" si="179"/>
        <v>8.19</v>
      </c>
      <c r="M555" s="484">
        <f t="shared" si="180"/>
        <v>0.7</v>
      </c>
      <c r="O555" s="482">
        <f t="shared" si="169"/>
        <v>15.399999999999999</v>
      </c>
      <c r="P555" s="482">
        <f t="shared" si="170"/>
        <v>15.399999999999999</v>
      </c>
      <c r="Q555" s="484">
        <f t="shared" si="171"/>
        <v>11.354000000000001</v>
      </c>
      <c r="R555" s="484">
        <f t="shared" si="172"/>
        <v>7.7112090435807117</v>
      </c>
      <c r="S555" s="484">
        <f t="shared" si="173"/>
        <v>9.1</v>
      </c>
      <c r="T555" s="484">
        <f t="shared" si="174"/>
        <v>7.3552862258306444</v>
      </c>
    </row>
    <row r="556" spans="1:20">
      <c r="A556" s="445">
        <f t="shared" si="181"/>
        <v>9</v>
      </c>
      <c r="B556" s="445">
        <f t="shared" si="166"/>
        <v>6</v>
      </c>
      <c r="C556" s="445">
        <f t="shared" si="175"/>
        <v>22</v>
      </c>
      <c r="D556" s="445">
        <f t="shared" si="175"/>
        <v>265</v>
      </c>
      <c r="E556" s="480">
        <f t="shared" si="176"/>
        <v>1</v>
      </c>
      <c r="F556" s="453">
        <f t="shared" si="167"/>
        <v>1</v>
      </c>
      <c r="G556" s="445">
        <f t="shared" si="168"/>
        <v>0.7</v>
      </c>
      <c r="I556" s="476">
        <f t="shared" si="177"/>
        <v>7.9099999999999984</v>
      </c>
      <c r="J556" s="445">
        <f t="shared" si="178"/>
        <v>0.7</v>
      </c>
      <c r="L556" s="476">
        <f t="shared" si="179"/>
        <v>8.19</v>
      </c>
      <c r="M556" s="484">
        <f t="shared" si="180"/>
        <v>0.7</v>
      </c>
      <c r="O556" s="482">
        <f t="shared" si="169"/>
        <v>15.399999999999999</v>
      </c>
      <c r="P556" s="482">
        <f t="shared" si="170"/>
        <v>15.399999999999999</v>
      </c>
      <c r="Q556" s="484">
        <f t="shared" si="171"/>
        <v>11.354000000000001</v>
      </c>
      <c r="R556" s="484">
        <f t="shared" si="172"/>
        <v>7.7112090435807117</v>
      </c>
      <c r="S556" s="484">
        <f t="shared" si="173"/>
        <v>9.1</v>
      </c>
      <c r="T556" s="484">
        <f t="shared" si="174"/>
        <v>7.3552862258306444</v>
      </c>
    </row>
    <row r="557" spans="1:20">
      <c r="A557" s="445">
        <f t="shared" si="181"/>
        <v>9</v>
      </c>
      <c r="B557" s="445">
        <f t="shared" si="162"/>
        <v>7</v>
      </c>
      <c r="C557" s="445">
        <f t="shared" si="175"/>
        <v>23</v>
      </c>
      <c r="D557" s="445">
        <f t="shared" si="175"/>
        <v>266</v>
      </c>
      <c r="E557" s="480">
        <f t="shared" si="176"/>
        <v>1</v>
      </c>
      <c r="F557" s="453">
        <f t="shared" si="167"/>
        <v>1</v>
      </c>
      <c r="G557" s="445">
        <f t="shared" si="168"/>
        <v>0.7</v>
      </c>
      <c r="I557" s="476">
        <f t="shared" si="177"/>
        <v>7.9099999999999984</v>
      </c>
      <c r="J557" s="445">
        <f t="shared" si="178"/>
        <v>0.7</v>
      </c>
      <c r="L557" s="476">
        <f t="shared" si="179"/>
        <v>8.19</v>
      </c>
      <c r="M557" s="484">
        <f t="shared" si="180"/>
        <v>0.7</v>
      </c>
      <c r="O557" s="482">
        <f t="shared" si="169"/>
        <v>15.399999999999999</v>
      </c>
      <c r="P557" s="482">
        <f t="shared" si="170"/>
        <v>15.399999999999999</v>
      </c>
      <c r="Q557" s="484">
        <f t="shared" si="171"/>
        <v>11.354000000000001</v>
      </c>
      <c r="R557" s="484">
        <f t="shared" si="172"/>
        <v>7.7112090435807117</v>
      </c>
      <c r="S557" s="484">
        <f t="shared" si="173"/>
        <v>9.1</v>
      </c>
      <c r="T557" s="484">
        <f t="shared" si="174"/>
        <v>7.3552862258306444</v>
      </c>
    </row>
    <row r="558" spans="1:20">
      <c r="A558" s="445">
        <f t="shared" si="181"/>
        <v>9</v>
      </c>
      <c r="B558" s="445">
        <f t="shared" si="159"/>
        <v>1</v>
      </c>
      <c r="C558" s="445">
        <f t="shared" si="175"/>
        <v>24</v>
      </c>
      <c r="D558" s="445">
        <f t="shared" si="175"/>
        <v>267</v>
      </c>
      <c r="E558" s="480">
        <f t="shared" si="176"/>
        <v>1</v>
      </c>
      <c r="F558" s="453">
        <f t="shared" si="167"/>
        <v>1</v>
      </c>
      <c r="G558" s="445">
        <f t="shared" si="168"/>
        <v>0.7</v>
      </c>
      <c r="I558" s="476">
        <f t="shared" si="177"/>
        <v>7.9099999999999984</v>
      </c>
      <c r="J558" s="445">
        <f t="shared" si="178"/>
        <v>0.7</v>
      </c>
      <c r="L558" s="476">
        <f t="shared" si="179"/>
        <v>8.19</v>
      </c>
      <c r="M558" s="484">
        <f t="shared" si="180"/>
        <v>0.7</v>
      </c>
      <c r="O558" s="482">
        <f t="shared" si="169"/>
        <v>15.399999999999999</v>
      </c>
      <c r="P558" s="482">
        <f t="shared" si="170"/>
        <v>15.399999999999999</v>
      </c>
      <c r="Q558" s="484">
        <f t="shared" si="171"/>
        <v>11.354000000000001</v>
      </c>
      <c r="R558" s="484">
        <f t="shared" si="172"/>
        <v>7.7112090435807117</v>
      </c>
      <c r="S558" s="484">
        <f t="shared" si="173"/>
        <v>9.1</v>
      </c>
      <c r="T558" s="484">
        <f t="shared" si="174"/>
        <v>7.3552862258306444</v>
      </c>
    </row>
    <row r="559" spans="1:20">
      <c r="A559" s="445">
        <f t="shared" si="181"/>
        <v>9</v>
      </c>
      <c r="B559" s="445">
        <f t="shared" si="160"/>
        <v>2</v>
      </c>
      <c r="C559" s="445">
        <f t="shared" si="175"/>
        <v>25</v>
      </c>
      <c r="D559" s="445">
        <f t="shared" si="175"/>
        <v>268</v>
      </c>
      <c r="E559" s="480">
        <f t="shared" si="176"/>
        <v>1</v>
      </c>
      <c r="F559" s="453">
        <f t="shared" si="167"/>
        <v>1</v>
      </c>
      <c r="G559" s="445">
        <f t="shared" si="168"/>
        <v>0.7</v>
      </c>
      <c r="I559" s="476">
        <f t="shared" si="177"/>
        <v>7.9099999999999984</v>
      </c>
      <c r="J559" s="445">
        <f t="shared" si="178"/>
        <v>0.7</v>
      </c>
      <c r="L559" s="476">
        <f t="shared" si="179"/>
        <v>8.19</v>
      </c>
      <c r="M559" s="484">
        <f t="shared" si="180"/>
        <v>0.7</v>
      </c>
      <c r="O559" s="482">
        <f t="shared" si="169"/>
        <v>15.399999999999999</v>
      </c>
      <c r="P559" s="482">
        <f t="shared" si="170"/>
        <v>15.399999999999999</v>
      </c>
      <c r="Q559" s="484">
        <f t="shared" si="171"/>
        <v>11.354000000000001</v>
      </c>
      <c r="R559" s="484">
        <f t="shared" si="172"/>
        <v>7.7112090435807117</v>
      </c>
      <c r="S559" s="484">
        <f t="shared" si="173"/>
        <v>9.1</v>
      </c>
      <c r="T559" s="484">
        <f t="shared" si="174"/>
        <v>7.3552862258306444</v>
      </c>
    </row>
    <row r="560" spans="1:20">
      <c r="A560" s="445">
        <f t="shared" si="181"/>
        <v>9</v>
      </c>
      <c r="B560" s="445">
        <f t="shared" si="163"/>
        <v>3</v>
      </c>
      <c r="C560" s="445">
        <f t="shared" si="175"/>
        <v>26</v>
      </c>
      <c r="D560" s="445">
        <f t="shared" si="175"/>
        <v>269</v>
      </c>
      <c r="E560" s="480">
        <f t="shared" si="176"/>
        <v>1</v>
      </c>
      <c r="F560" s="453">
        <f t="shared" si="167"/>
        <v>1</v>
      </c>
      <c r="G560" s="445">
        <f t="shared" si="168"/>
        <v>0.7</v>
      </c>
      <c r="I560" s="476">
        <f t="shared" si="177"/>
        <v>7.9099999999999984</v>
      </c>
      <c r="J560" s="445">
        <f t="shared" si="178"/>
        <v>0.7</v>
      </c>
      <c r="L560" s="476">
        <f t="shared" si="179"/>
        <v>8.19</v>
      </c>
      <c r="M560" s="484">
        <f t="shared" si="180"/>
        <v>0.7</v>
      </c>
      <c r="O560" s="482">
        <f t="shared" si="169"/>
        <v>15.399999999999999</v>
      </c>
      <c r="P560" s="482">
        <f t="shared" si="170"/>
        <v>15.399999999999999</v>
      </c>
      <c r="Q560" s="484">
        <f t="shared" si="171"/>
        <v>11.354000000000001</v>
      </c>
      <c r="R560" s="484">
        <f t="shared" si="172"/>
        <v>7.7112090435807117</v>
      </c>
      <c r="S560" s="484">
        <f t="shared" si="173"/>
        <v>9.1</v>
      </c>
      <c r="T560" s="484">
        <f t="shared" si="174"/>
        <v>7.3552862258306444</v>
      </c>
    </row>
    <row r="561" spans="1:20">
      <c r="A561" s="445">
        <f t="shared" si="181"/>
        <v>9</v>
      </c>
      <c r="B561" s="445">
        <f t="shared" si="164"/>
        <v>4</v>
      </c>
      <c r="C561" s="445">
        <f t="shared" si="175"/>
        <v>27</v>
      </c>
      <c r="D561" s="445">
        <f t="shared" si="175"/>
        <v>270</v>
      </c>
      <c r="E561" s="480">
        <f t="shared" si="176"/>
        <v>1</v>
      </c>
      <c r="F561" s="453">
        <f t="shared" si="167"/>
        <v>1</v>
      </c>
      <c r="G561" s="445">
        <f t="shared" si="168"/>
        <v>0.7</v>
      </c>
      <c r="I561" s="476">
        <f t="shared" si="177"/>
        <v>7.9099999999999984</v>
      </c>
      <c r="J561" s="445">
        <f t="shared" si="178"/>
        <v>0.7</v>
      </c>
      <c r="L561" s="476">
        <f t="shared" si="179"/>
        <v>8.19</v>
      </c>
      <c r="M561" s="484">
        <f t="shared" si="180"/>
        <v>0.7</v>
      </c>
      <c r="O561" s="482">
        <f t="shared" si="169"/>
        <v>15.399999999999999</v>
      </c>
      <c r="P561" s="482">
        <f t="shared" si="170"/>
        <v>15.399999999999999</v>
      </c>
      <c r="Q561" s="484">
        <f t="shared" si="171"/>
        <v>11.354000000000001</v>
      </c>
      <c r="R561" s="484">
        <f t="shared" si="172"/>
        <v>7.7112090435807117</v>
      </c>
      <c r="S561" s="484">
        <f t="shared" si="173"/>
        <v>9.1</v>
      </c>
      <c r="T561" s="484">
        <f t="shared" si="174"/>
        <v>7.3552862258306444</v>
      </c>
    </row>
    <row r="562" spans="1:20">
      <c r="A562" s="445">
        <f t="shared" si="181"/>
        <v>9</v>
      </c>
      <c r="B562" s="445">
        <f t="shared" si="165"/>
        <v>5</v>
      </c>
      <c r="C562" s="445">
        <f t="shared" si="175"/>
        <v>28</v>
      </c>
      <c r="D562" s="445">
        <f t="shared" si="175"/>
        <v>271</v>
      </c>
      <c r="E562" s="480">
        <f t="shared" si="176"/>
        <v>1</v>
      </c>
      <c r="F562" s="453">
        <f t="shared" si="167"/>
        <v>1</v>
      </c>
      <c r="G562" s="445">
        <f t="shared" si="168"/>
        <v>0.7</v>
      </c>
      <c r="I562" s="476">
        <f t="shared" si="177"/>
        <v>7.9099999999999984</v>
      </c>
      <c r="J562" s="445">
        <f t="shared" si="178"/>
        <v>0.7</v>
      </c>
      <c r="L562" s="476">
        <f t="shared" si="179"/>
        <v>8.19</v>
      </c>
      <c r="M562" s="484">
        <f t="shared" si="180"/>
        <v>0.7</v>
      </c>
      <c r="O562" s="482">
        <f t="shared" si="169"/>
        <v>15.399999999999999</v>
      </c>
      <c r="P562" s="482">
        <f t="shared" si="170"/>
        <v>15.399999999999999</v>
      </c>
      <c r="Q562" s="484">
        <f t="shared" si="171"/>
        <v>11.354000000000001</v>
      </c>
      <c r="R562" s="484">
        <f t="shared" si="172"/>
        <v>7.7112090435807117</v>
      </c>
      <c r="S562" s="484">
        <f t="shared" si="173"/>
        <v>9.1</v>
      </c>
      <c r="T562" s="484">
        <f t="shared" si="174"/>
        <v>7.3552862258306444</v>
      </c>
    </row>
    <row r="563" spans="1:20">
      <c r="A563" s="445">
        <f t="shared" si="181"/>
        <v>9</v>
      </c>
      <c r="B563" s="445">
        <f t="shared" si="166"/>
        <v>6</v>
      </c>
      <c r="C563" s="445">
        <f t="shared" si="175"/>
        <v>29</v>
      </c>
      <c r="D563" s="445">
        <f t="shared" si="175"/>
        <v>272</v>
      </c>
      <c r="E563" s="480">
        <f t="shared" si="176"/>
        <v>1</v>
      </c>
      <c r="F563" s="453">
        <f t="shared" si="167"/>
        <v>1</v>
      </c>
      <c r="G563" s="445">
        <f t="shared" si="168"/>
        <v>0.7</v>
      </c>
      <c r="I563" s="476">
        <f t="shared" si="177"/>
        <v>7.9099999999999984</v>
      </c>
      <c r="J563" s="445">
        <f t="shared" si="178"/>
        <v>0.7</v>
      </c>
      <c r="L563" s="476">
        <f t="shared" si="179"/>
        <v>8.19</v>
      </c>
      <c r="M563" s="484">
        <f t="shared" si="180"/>
        <v>0.7</v>
      </c>
      <c r="O563" s="482">
        <f t="shared" si="169"/>
        <v>15.399999999999999</v>
      </c>
      <c r="P563" s="482">
        <f t="shared" si="170"/>
        <v>15.399999999999999</v>
      </c>
      <c r="Q563" s="484">
        <f t="shared" si="171"/>
        <v>11.354000000000001</v>
      </c>
      <c r="R563" s="484">
        <f t="shared" si="172"/>
        <v>7.7112090435807117</v>
      </c>
      <c r="S563" s="484">
        <f t="shared" si="173"/>
        <v>9.1</v>
      </c>
      <c r="T563" s="484">
        <f t="shared" si="174"/>
        <v>7.3552862258306444</v>
      </c>
    </row>
    <row r="564" spans="1:20">
      <c r="A564" s="445">
        <f t="shared" si="181"/>
        <v>9</v>
      </c>
      <c r="B564" s="445">
        <f t="shared" si="162"/>
        <v>7</v>
      </c>
      <c r="C564" s="445">
        <f t="shared" si="175"/>
        <v>30</v>
      </c>
      <c r="D564" s="445">
        <f t="shared" si="175"/>
        <v>273</v>
      </c>
      <c r="E564" s="480">
        <f t="shared" si="176"/>
        <v>1</v>
      </c>
      <c r="F564" s="453">
        <f t="shared" si="167"/>
        <v>1</v>
      </c>
      <c r="G564" s="445">
        <f t="shared" si="168"/>
        <v>0.7</v>
      </c>
      <c r="I564" s="476">
        <f t="shared" si="177"/>
        <v>7.9099999999999984</v>
      </c>
      <c r="J564" s="445">
        <f t="shared" si="178"/>
        <v>0.7</v>
      </c>
      <c r="L564" s="476">
        <f t="shared" si="179"/>
        <v>8.19</v>
      </c>
      <c r="M564" s="484">
        <f t="shared" si="180"/>
        <v>0.7</v>
      </c>
      <c r="O564" s="482">
        <f t="shared" si="169"/>
        <v>15.399999999999999</v>
      </c>
      <c r="P564" s="482">
        <f t="shared" si="170"/>
        <v>15.399999999999999</v>
      </c>
      <c r="Q564" s="484">
        <f t="shared" si="171"/>
        <v>11.354000000000001</v>
      </c>
      <c r="R564" s="484">
        <f t="shared" si="172"/>
        <v>7.7112090435807117</v>
      </c>
      <c r="S564" s="484">
        <f t="shared" si="173"/>
        <v>9.1</v>
      </c>
      <c r="T564" s="484">
        <f t="shared" si="174"/>
        <v>7.3552862258306444</v>
      </c>
    </row>
    <row r="565" spans="1:20">
      <c r="A565" s="445">
        <v>10</v>
      </c>
      <c r="B565" s="445">
        <f t="shared" si="159"/>
        <v>1</v>
      </c>
      <c r="C565" s="445">
        <v>1</v>
      </c>
      <c r="D565" s="445">
        <f t="shared" ref="D565:D628" si="182">D564+1</f>
        <v>274</v>
      </c>
      <c r="E565" s="480">
        <f t="shared" si="176"/>
        <v>1</v>
      </c>
      <c r="F565" s="453">
        <f t="shared" si="167"/>
        <v>0.8</v>
      </c>
      <c r="G565" s="445">
        <f t="shared" si="168"/>
        <v>0.7</v>
      </c>
      <c r="I565" s="476">
        <f t="shared" si="177"/>
        <v>7.9099999999999984</v>
      </c>
      <c r="J565" s="445">
        <f t="shared" si="178"/>
        <v>0.7</v>
      </c>
      <c r="L565" s="476">
        <f t="shared" si="179"/>
        <v>8.19</v>
      </c>
      <c r="M565" s="484">
        <f t="shared" si="180"/>
        <v>0.7</v>
      </c>
      <c r="O565" s="482">
        <f t="shared" si="169"/>
        <v>15.399999999999999</v>
      </c>
      <c r="P565" s="482">
        <f t="shared" si="170"/>
        <v>15.399999999999999</v>
      </c>
      <c r="Q565" s="484">
        <f t="shared" si="171"/>
        <v>11.354000000000001</v>
      </c>
      <c r="R565" s="484">
        <f t="shared" si="172"/>
        <v>7.7112090435807117</v>
      </c>
      <c r="S565" s="484">
        <f t="shared" si="173"/>
        <v>9.1</v>
      </c>
      <c r="T565" s="484">
        <f t="shared" si="174"/>
        <v>7.3552862258306444</v>
      </c>
    </row>
    <row r="566" spans="1:20">
      <c r="A566" s="445">
        <f t="shared" si="181"/>
        <v>10</v>
      </c>
      <c r="B566" s="445">
        <f t="shared" si="160"/>
        <v>2</v>
      </c>
      <c r="C566" s="445">
        <f t="shared" ref="C566:D629" si="183">C565+1</f>
        <v>2</v>
      </c>
      <c r="D566" s="445">
        <f t="shared" si="182"/>
        <v>275</v>
      </c>
      <c r="E566" s="480">
        <f t="shared" si="176"/>
        <v>1</v>
      </c>
      <c r="F566" s="453">
        <f t="shared" si="167"/>
        <v>0.8</v>
      </c>
      <c r="G566" s="445">
        <f t="shared" si="168"/>
        <v>0.7</v>
      </c>
      <c r="I566" s="476">
        <f t="shared" si="177"/>
        <v>7.9099999999999984</v>
      </c>
      <c r="J566" s="445">
        <f t="shared" si="178"/>
        <v>0.7</v>
      </c>
      <c r="L566" s="476">
        <f t="shared" si="179"/>
        <v>8.19</v>
      </c>
      <c r="M566" s="484">
        <f t="shared" si="180"/>
        <v>0.7</v>
      </c>
      <c r="O566" s="482">
        <f t="shared" si="169"/>
        <v>15.399999999999999</v>
      </c>
      <c r="P566" s="482">
        <f t="shared" si="170"/>
        <v>15.399999999999999</v>
      </c>
      <c r="Q566" s="484">
        <f t="shared" si="171"/>
        <v>11.354000000000001</v>
      </c>
      <c r="R566" s="484">
        <f t="shared" si="172"/>
        <v>7.7112090435807117</v>
      </c>
      <c r="S566" s="484">
        <f t="shared" si="173"/>
        <v>9.1</v>
      </c>
      <c r="T566" s="484">
        <f t="shared" si="174"/>
        <v>7.3552862258306444</v>
      </c>
    </row>
    <row r="567" spans="1:20">
      <c r="A567" s="445">
        <f t="shared" si="181"/>
        <v>10</v>
      </c>
      <c r="B567" s="445">
        <f t="shared" si="163"/>
        <v>3</v>
      </c>
      <c r="C567" s="445">
        <f t="shared" si="183"/>
        <v>3</v>
      </c>
      <c r="D567" s="445">
        <f t="shared" si="182"/>
        <v>276</v>
      </c>
      <c r="E567" s="480">
        <f t="shared" si="176"/>
        <v>1</v>
      </c>
      <c r="F567" s="453">
        <f t="shared" si="167"/>
        <v>0.8</v>
      </c>
      <c r="G567" s="445">
        <f t="shared" si="168"/>
        <v>0.7</v>
      </c>
      <c r="I567" s="476">
        <f t="shared" si="177"/>
        <v>7.9099999999999984</v>
      </c>
      <c r="J567" s="445">
        <f t="shared" si="178"/>
        <v>0.7</v>
      </c>
      <c r="L567" s="476">
        <f t="shared" si="179"/>
        <v>8.19</v>
      </c>
      <c r="M567" s="484">
        <f t="shared" si="180"/>
        <v>0.7</v>
      </c>
      <c r="O567" s="482">
        <f t="shared" si="169"/>
        <v>15.399999999999999</v>
      </c>
      <c r="P567" s="482">
        <f t="shared" si="170"/>
        <v>15.399999999999999</v>
      </c>
      <c r="Q567" s="484">
        <f t="shared" si="171"/>
        <v>11.354000000000001</v>
      </c>
      <c r="R567" s="484">
        <f t="shared" si="172"/>
        <v>7.7112090435807117</v>
      </c>
      <c r="S567" s="484">
        <f t="shared" si="173"/>
        <v>9.1</v>
      </c>
      <c r="T567" s="484">
        <f t="shared" si="174"/>
        <v>7.3552862258306444</v>
      </c>
    </row>
    <row r="568" spans="1:20">
      <c r="A568" s="445">
        <f t="shared" si="181"/>
        <v>10</v>
      </c>
      <c r="B568" s="445">
        <f t="shared" si="164"/>
        <v>4</v>
      </c>
      <c r="C568" s="445">
        <f t="shared" si="183"/>
        <v>4</v>
      </c>
      <c r="D568" s="445">
        <f t="shared" si="182"/>
        <v>277</v>
      </c>
      <c r="E568" s="480">
        <f t="shared" si="176"/>
        <v>1</v>
      </c>
      <c r="F568" s="453">
        <f t="shared" si="167"/>
        <v>0.8</v>
      </c>
      <c r="G568" s="445">
        <f t="shared" si="168"/>
        <v>0.7</v>
      </c>
      <c r="I568" s="476">
        <f t="shared" si="177"/>
        <v>7.9099999999999984</v>
      </c>
      <c r="J568" s="445">
        <f t="shared" si="178"/>
        <v>0.7</v>
      </c>
      <c r="L568" s="476">
        <f t="shared" si="179"/>
        <v>8.19</v>
      </c>
      <c r="M568" s="484">
        <f t="shared" si="180"/>
        <v>0.7</v>
      </c>
      <c r="O568" s="482">
        <f t="shared" si="169"/>
        <v>15.399999999999999</v>
      </c>
      <c r="P568" s="482">
        <f t="shared" si="170"/>
        <v>15.399999999999999</v>
      </c>
      <c r="Q568" s="484">
        <f t="shared" si="171"/>
        <v>11.354000000000001</v>
      </c>
      <c r="R568" s="484">
        <f t="shared" si="172"/>
        <v>7.7112090435807117</v>
      </c>
      <c r="S568" s="484">
        <f t="shared" si="173"/>
        <v>9.1</v>
      </c>
      <c r="T568" s="484">
        <f t="shared" si="174"/>
        <v>7.3552862258306444</v>
      </c>
    </row>
    <row r="569" spans="1:20">
      <c r="A569" s="445">
        <f t="shared" si="181"/>
        <v>10</v>
      </c>
      <c r="B569" s="445">
        <f t="shared" si="165"/>
        <v>5</v>
      </c>
      <c r="C569" s="445">
        <f t="shared" si="183"/>
        <v>5</v>
      </c>
      <c r="D569" s="445">
        <f t="shared" si="182"/>
        <v>278</v>
      </c>
      <c r="E569" s="480">
        <f t="shared" si="176"/>
        <v>1</v>
      </c>
      <c r="F569" s="453">
        <f t="shared" si="167"/>
        <v>0.8</v>
      </c>
      <c r="G569" s="445">
        <f t="shared" si="168"/>
        <v>0.7</v>
      </c>
      <c r="I569" s="476">
        <f t="shared" si="177"/>
        <v>7.9099999999999984</v>
      </c>
      <c r="J569" s="445">
        <f t="shared" si="178"/>
        <v>0.7</v>
      </c>
      <c r="L569" s="476">
        <f t="shared" si="179"/>
        <v>8.19</v>
      </c>
      <c r="M569" s="484">
        <f t="shared" si="180"/>
        <v>0.7</v>
      </c>
      <c r="O569" s="482">
        <f t="shared" si="169"/>
        <v>15.399999999999999</v>
      </c>
      <c r="P569" s="482">
        <f t="shared" si="170"/>
        <v>15.399999999999999</v>
      </c>
      <c r="Q569" s="484">
        <f t="shared" si="171"/>
        <v>11.354000000000001</v>
      </c>
      <c r="R569" s="484">
        <f t="shared" si="172"/>
        <v>7.7112090435807117</v>
      </c>
      <c r="S569" s="484">
        <f t="shared" si="173"/>
        <v>9.1</v>
      </c>
      <c r="T569" s="484">
        <f t="shared" si="174"/>
        <v>7.3552862258306444</v>
      </c>
    </row>
    <row r="570" spans="1:20">
      <c r="A570" s="445">
        <f t="shared" si="181"/>
        <v>10</v>
      </c>
      <c r="B570" s="445">
        <f t="shared" si="166"/>
        <v>6</v>
      </c>
      <c r="C570" s="445">
        <f t="shared" si="183"/>
        <v>6</v>
      </c>
      <c r="D570" s="445">
        <f t="shared" si="182"/>
        <v>279</v>
      </c>
      <c r="E570" s="480">
        <f t="shared" si="176"/>
        <v>1</v>
      </c>
      <c r="F570" s="453">
        <f t="shared" si="167"/>
        <v>0.8</v>
      </c>
      <c r="G570" s="445">
        <f t="shared" si="168"/>
        <v>0.7</v>
      </c>
      <c r="I570" s="476">
        <f t="shared" si="177"/>
        <v>7.9099999999999984</v>
      </c>
      <c r="J570" s="445">
        <f t="shared" si="178"/>
        <v>0.7</v>
      </c>
      <c r="L570" s="476">
        <f t="shared" si="179"/>
        <v>8.19</v>
      </c>
      <c r="M570" s="484">
        <f t="shared" si="180"/>
        <v>0.7</v>
      </c>
      <c r="O570" s="482">
        <f t="shared" si="169"/>
        <v>15.399999999999999</v>
      </c>
      <c r="P570" s="482">
        <f t="shared" si="170"/>
        <v>15.399999999999999</v>
      </c>
      <c r="Q570" s="484">
        <f t="shared" si="171"/>
        <v>11.354000000000001</v>
      </c>
      <c r="R570" s="484">
        <f t="shared" si="172"/>
        <v>7.7112090435807117</v>
      </c>
      <c r="S570" s="484">
        <f t="shared" si="173"/>
        <v>9.1</v>
      </c>
      <c r="T570" s="484">
        <f t="shared" si="174"/>
        <v>7.3552862258306444</v>
      </c>
    </row>
    <row r="571" spans="1:20">
      <c r="A571" s="445">
        <f t="shared" si="181"/>
        <v>10</v>
      </c>
      <c r="B571" s="445">
        <f t="shared" si="162"/>
        <v>7</v>
      </c>
      <c r="C571" s="445">
        <f t="shared" si="183"/>
        <v>7</v>
      </c>
      <c r="D571" s="445">
        <f t="shared" si="182"/>
        <v>280</v>
      </c>
      <c r="E571" s="480">
        <f t="shared" si="176"/>
        <v>1</v>
      </c>
      <c r="F571" s="453">
        <f t="shared" si="167"/>
        <v>0.8</v>
      </c>
      <c r="G571" s="445">
        <f t="shared" si="168"/>
        <v>0.7</v>
      </c>
      <c r="I571" s="476">
        <f t="shared" si="177"/>
        <v>7.9099999999999984</v>
      </c>
      <c r="J571" s="445">
        <f t="shared" si="178"/>
        <v>0.7</v>
      </c>
      <c r="L571" s="476">
        <f t="shared" si="179"/>
        <v>8.19</v>
      </c>
      <c r="M571" s="484">
        <f t="shared" si="180"/>
        <v>0.7</v>
      </c>
      <c r="O571" s="482">
        <f t="shared" si="169"/>
        <v>15.399999999999999</v>
      </c>
      <c r="P571" s="482">
        <f t="shared" si="170"/>
        <v>15.399999999999999</v>
      </c>
      <c r="Q571" s="484">
        <f t="shared" si="171"/>
        <v>11.354000000000001</v>
      </c>
      <c r="R571" s="484">
        <f t="shared" si="172"/>
        <v>7.7112090435807117</v>
      </c>
      <c r="S571" s="484">
        <f t="shared" si="173"/>
        <v>9.1</v>
      </c>
      <c r="T571" s="484">
        <f t="shared" si="174"/>
        <v>7.3552862258306444</v>
      </c>
    </row>
    <row r="572" spans="1:20">
      <c r="A572" s="445">
        <f t="shared" si="181"/>
        <v>10</v>
      </c>
      <c r="B572" s="445">
        <f t="shared" si="159"/>
        <v>1</v>
      </c>
      <c r="C572" s="445">
        <f t="shared" si="183"/>
        <v>8</v>
      </c>
      <c r="D572" s="445">
        <f t="shared" si="182"/>
        <v>281</v>
      </c>
      <c r="E572" s="480">
        <f t="shared" si="176"/>
        <v>1</v>
      </c>
      <c r="F572" s="453">
        <f t="shared" si="167"/>
        <v>0.8</v>
      </c>
      <c r="G572" s="445">
        <f t="shared" si="168"/>
        <v>0.7</v>
      </c>
      <c r="I572" s="476">
        <f t="shared" si="177"/>
        <v>7.9099999999999984</v>
      </c>
      <c r="J572" s="445">
        <f t="shared" si="178"/>
        <v>0.7</v>
      </c>
      <c r="L572" s="476">
        <f t="shared" si="179"/>
        <v>8.19</v>
      </c>
      <c r="M572" s="484">
        <f t="shared" si="180"/>
        <v>0.7</v>
      </c>
      <c r="O572" s="482">
        <f t="shared" si="169"/>
        <v>15.399999999999999</v>
      </c>
      <c r="P572" s="482">
        <f t="shared" si="170"/>
        <v>15.399999999999999</v>
      </c>
      <c r="Q572" s="484">
        <f t="shared" si="171"/>
        <v>11.354000000000001</v>
      </c>
      <c r="R572" s="484">
        <f t="shared" si="172"/>
        <v>7.7112090435807117</v>
      </c>
      <c r="S572" s="484">
        <f t="shared" si="173"/>
        <v>9.1</v>
      </c>
      <c r="T572" s="484">
        <f t="shared" si="174"/>
        <v>7.3552862258306444</v>
      </c>
    </row>
    <row r="573" spans="1:20">
      <c r="A573" s="445">
        <f t="shared" si="181"/>
        <v>10</v>
      </c>
      <c r="B573" s="445">
        <f t="shared" si="160"/>
        <v>2</v>
      </c>
      <c r="C573" s="445">
        <f t="shared" si="183"/>
        <v>9</v>
      </c>
      <c r="D573" s="445">
        <f t="shared" si="182"/>
        <v>282</v>
      </c>
      <c r="E573" s="480">
        <f t="shared" si="176"/>
        <v>1</v>
      </c>
      <c r="F573" s="453">
        <f t="shared" si="167"/>
        <v>0.8</v>
      </c>
      <c r="G573" s="445">
        <f t="shared" si="168"/>
        <v>0.7</v>
      </c>
      <c r="I573" s="476">
        <f t="shared" si="177"/>
        <v>7.9099999999999984</v>
      </c>
      <c r="J573" s="445">
        <f t="shared" si="178"/>
        <v>0.7</v>
      </c>
      <c r="L573" s="476">
        <f t="shared" si="179"/>
        <v>8.19</v>
      </c>
      <c r="M573" s="484">
        <f t="shared" si="180"/>
        <v>0.7</v>
      </c>
      <c r="O573" s="482">
        <f t="shared" si="169"/>
        <v>15.399999999999999</v>
      </c>
      <c r="P573" s="482">
        <f t="shared" si="170"/>
        <v>15.399999999999999</v>
      </c>
      <c r="Q573" s="484">
        <f t="shared" si="171"/>
        <v>11.354000000000001</v>
      </c>
      <c r="R573" s="484">
        <f t="shared" si="172"/>
        <v>7.7112090435807117</v>
      </c>
      <c r="S573" s="484">
        <f t="shared" si="173"/>
        <v>9.1</v>
      </c>
      <c r="T573" s="484">
        <f t="shared" si="174"/>
        <v>7.3552862258306444</v>
      </c>
    </row>
    <row r="574" spans="1:20">
      <c r="A574" s="445">
        <f t="shared" si="181"/>
        <v>10</v>
      </c>
      <c r="B574" s="445">
        <f t="shared" si="163"/>
        <v>3</v>
      </c>
      <c r="C574" s="445">
        <f t="shared" si="183"/>
        <v>10</v>
      </c>
      <c r="D574" s="445">
        <f t="shared" si="182"/>
        <v>283</v>
      </c>
      <c r="E574" s="480">
        <f t="shared" si="176"/>
        <v>1</v>
      </c>
      <c r="F574" s="453">
        <f t="shared" si="167"/>
        <v>0.8</v>
      </c>
      <c r="G574" s="445">
        <f t="shared" si="168"/>
        <v>0.7</v>
      </c>
      <c r="I574" s="476">
        <f t="shared" si="177"/>
        <v>7.9099999999999984</v>
      </c>
      <c r="J574" s="445">
        <f t="shared" si="178"/>
        <v>0.7</v>
      </c>
      <c r="L574" s="476">
        <f t="shared" si="179"/>
        <v>8.19</v>
      </c>
      <c r="M574" s="484">
        <f t="shared" si="180"/>
        <v>0.7</v>
      </c>
      <c r="O574" s="482">
        <f t="shared" si="169"/>
        <v>15.399999999999999</v>
      </c>
      <c r="P574" s="482">
        <f t="shared" si="170"/>
        <v>15.399999999999999</v>
      </c>
      <c r="Q574" s="484">
        <f t="shared" si="171"/>
        <v>11.354000000000001</v>
      </c>
      <c r="R574" s="484">
        <f t="shared" si="172"/>
        <v>7.7112090435807117</v>
      </c>
      <c r="S574" s="484">
        <f t="shared" si="173"/>
        <v>9.1</v>
      </c>
      <c r="T574" s="484">
        <f t="shared" si="174"/>
        <v>7.3552862258306444</v>
      </c>
    </row>
    <row r="575" spans="1:20">
      <c r="A575" s="445">
        <f t="shared" si="181"/>
        <v>10</v>
      </c>
      <c r="B575" s="445">
        <f t="shared" si="164"/>
        <v>4</v>
      </c>
      <c r="C575" s="445">
        <f t="shared" si="183"/>
        <v>11</v>
      </c>
      <c r="D575" s="445">
        <f t="shared" si="182"/>
        <v>284</v>
      </c>
      <c r="E575" s="480">
        <f t="shared" si="176"/>
        <v>1</v>
      </c>
      <c r="F575" s="453">
        <f t="shared" si="167"/>
        <v>0.8</v>
      </c>
      <c r="G575" s="445">
        <f t="shared" si="168"/>
        <v>0.7</v>
      </c>
      <c r="I575" s="476">
        <f t="shared" si="177"/>
        <v>7.9099999999999984</v>
      </c>
      <c r="J575" s="445">
        <f t="shared" si="178"/>
        <v>0.7</v>
      </c>
      <c r="L575" s="476">
        <f t="shared" si="179"/>
        <v>8.19</v>
      </c>
      <c r="M575" s="484">
        <f t="shared" si="180"/>
        <v>0.7</v>
      </c>
      <c r="O575" s="482">
        <f t="shared" si="169"/>
        <v>15.399999999999999</v>
      </c>
      <c r="P575" s="482">
        <f t="shared" si="170"/>
        <v>15.399999999999999</v>
      </c>
      <c r="Q575" s="484">
        <f t="shared" si="171"/>
        <v>11.354000000000001</v>
      </c>
      <c r="R575" s="484">
        <f t="shared" si="172"/>
        <v>7.7112090435807117</v>
      </c>
      <c r="S575" s="484">
        <f t="shared" si="173"/>
        <v>9.1</v>
      </c>
      <c r="T575" s="484">
        <f t="shared" si="174"/>
        <v>7.3552862258306444</v>
      </c>
    </row>
    <row r="576" spans="1:20">
      <c r="A576" s="445">
        <f t="shared" si="181"/>
        <v>10</v>
      </c>
      <c r="B576" s="445">
        <f t="shared" si="165"/>
        <v>5</v>
      </c>
      <c r="C576" s="445">
        <f t="shared" si="183"/>
        <v>12</v>
      </c>
      <c r="D576" s="445">
        <f t="shared" si="182"/>
        <v>285</v>
      </c>
      <c r="E576" s="480">
        <f t="shared" si="176"/>
        <v>1</v>
      </c>
      <c r="F576" s="453">
        <f t="shared" si="167"/>
        <v>0.8</v>
      </c>
      <c r="G576" s="445">
        <f t="shared" si="168"/>
        <v>0.7</v>
      </c>
      <c r="I576" s="476">
        <f t="shared" si="177"/>
        <v>7.9099999999999984</v>
      </c>
      <c r="J576" s="445">
        <f t="shared" si="178"/>
        <v>0.7</v>
      </c>
      <c r="L576" s="476">
        <f t="shared" si="179"/>
        <v>8.19</v>
      </c>
      <c r="M576" s="484">
        <f t="shared" si="180"/>
        <v>0.7</v>
      </c>
      <c r="O576" s="482">
        <f t="shared" si="169"/>
        <v>15.399999999999999</v>
      </c>
      <c r="P576" s="482">
        <f t="shared" si="170"/>
        <v>15.399999999999999</v>
      </c>
      <c r="Q576" s="484">
        <f t="shared" si="171"/>
        <v>11.354000000000001</v>
      </c>
      <c r="R576" s="484">
        <f t="shared" si="172"/>
        <v>7.7112090435807117</v>
      </c>
      <c r="S576" s="484">
        <f t="shared" si="173"/>
        <v>9.1</v>
      </c>
      <c r="T576" s="484">
        <f t="shared" si="174"/>
        <v>7.3552862258306444</v>
      </c>
    </row>
    <row r="577" spans="1:20">
      <c r="A577" s="445">
        <f t="shared" si="181"/>
        <v>10</v>
      </c>
      <c r="B577" s="445">
        <f t="shared" si="166"/>
        <v>6</v>
      </c>
      <c r="C577" s="445">
        <f t="shared" si="183"/>
        <v>13</v>
      </c>
      <c r="D577" s="445">
        <f t="shared" si="182"/>
        <v>286</v>
      </c>
      <c r="E577" s="480">
        <f t="shared" si="176"/>
        <v>1</v>
      </c>
      <c r="F577" s="453">
        <f t="shared" si="167"/>
        <v>0.8</v>
      </c>
      <c r="G577" s="445">
        <f t="shared" si="168"/>
        <v>0.7</v>
      </c>
      <c r="I577" s="476">
        <f t="shared" si="177"/>
        <v>7.9099999999999984</v>
      </c>
      <c r="J577" s="445">
        <f t="shared" si="178"/>
        <v>0.7</v>
      </c>
      <c r="L577" s="476">
        <f t="shared" si="179"/>
        <v>8.19</v>
      </c>
      <c r="M577" s="484">
        <f t="shared" si="180"/>
        <v>0.7</v>
      </c>
      <c r="O577" s="482">
        <f t="shared" si="169"/>
        <v>15.399999999999999</v>
      </c>
      <c r="P577" s="482">
        <f t="shared" si="170"/>
        <v>15.399999999999999</v>
      </c>
      <c r="Q577" s="484">
        <f t="shared" si="171"/>
        <v>11.354000000000001</v>
      </c>
      <c r="R577" s="484">
        <f t="shared" si="172"/>
        <v>7.7112090435807117</v>
      </c>
      <c r="S577" s="484">
        <f t="shared" si="173"/>
        <v>9.1</v>
      </c>
      <c r="T577" s="484">
        <f t="shared" si="174"/>
        <v>7.3552862258306444</v>
      </c>
    </row>
    <row r="578" spans="1:20">
      <c r="A578" s="445">
        <f t="shared" si="181"/>
        <v>10</v>
      </c>
      <c r="B578" s="445">
        <f t="shared" si="162"/>
        <v>7</v>
      </c>
      <c r="C578" s="445">
        <f t="shared" si="183"/>
        <v>14</v>
      </c>
      <c r="D578" s="445">
        <f t="shared" si="182"/>
        <v>287</v>
      </c>
      <c r="E578" s="480">
        <f t="shared" si="176"/>
        <v>1</v>
      </c>
      <c r="F578" s="453">
        <f t="shared" si="167"/>
        <v>0.8</v>
      </c>
      <c r="G578" s="445">
        <f t="shared" si="168"/>
        <v>0.7</v>
      </c>
      <c r="I578" s="476">
        <f t="shared" si="177"/>
        <v>7.9099999999999984</v>
      </c>
      <c r="J578" s="445">
        <f t="shared" si="178"/>
        <v>0.7</v>
      </c>
      <c r="L578" s="476">
        <f t="shared" si="179"/>
        <v>8.19</v>
      </c>
      <c r="M578" s="484">
        <f t="shared" si="180"/>
        <v>0.7</v>
      </c>
      <c r="O578" s="482">
        <f t="shared" si="169"/>
        <v>15.399999999999999</v>
      </c>
      <c r="P578" s="482">
        <f t="shared" si="170"/>
        <v>15.399999999999999</v>
      </c>
      <c r="Q578" s="484">
        <f t="shared" si="171"/>
        <v>11.354000000000001</v>
      </c>
      <c r="R578" s="484">
        <f t="shared" si="172"/>
        <v>7.7112090435807117</v>
      </c>
      <c r="S578" s="484">
        <f t="shared" si="173"/>
        <v>9.1</v>
      </c>
      <c r="T578" s="484">
        <f t="shared" si="174"/>
        <v>7.3552862258306444</v>
      </c>
    </row>
    <row r="579" spans="1:20">
      <c r="A579" s="445">
        <f t="shared" si="181"/>
        <v>10</v>
      </c>
      <c r="B579" s="445">
        <f t="shared" si="159"/>
        <v>1</v>
      </c>
      <c r="C579" s="445">
        <f t="shared" si="183"/>
        <v>15</v>
      </c>
      <c r="D579" s="445">
        <f t="shared" si="182"/>
        <v>288</v>
      </c>
      <c r="E579" s="480">
        <f t="shared" si="176"/>
        <v>1</v>
      </c>
      <c r="F579" s="453">
        <f t="shared" si="167"/>
        <v>0.8</v>
      </c>
      <c r="G579" s="445">
        <f t="shared" si="168"/>
        <v>0.7</v>
      </c>
      <c r="I579" s="476">
        <f t="shared" si="177"/>
        <v>7.9099999999999984</v>
      </c>
      <c r="J579" s="445">
        <f t="shared" si="178"/>
        <v>0.7</v>
      </c>
      <c r="L579" s="476">
        <f t="shared" si="179"/>
        <v>8.19</v>
      </c>
      <c r="M579" s="484">
        <f t="shared" si="180"/>
        <v>0.7</v>
      </c>
      <c r="O579" s="482">
        <f t="shared" si="169"/>
        <v>15.399999999999999</v>
      </c>
      <c r="P579" s="482">
        <f t="shared" si="170"/>
        <v>15.399999999999999</v>
      </c>
      <c r="Q579" s="484">
        <f t="shared" si="171"/>
        <v>11.354000000000001</v>
      </c>
      <c r="R579" s="484">
        <f t="shared" si="172"/>
        <v>7.7112090435807117</v>
      </c>
      <c r="S579" s="484">
        <f t="shared" si="173"/>
        <v>9.1</v>
      </c>
      <c r="T579" s="484">
        <f t="shared" si="174"/>
        <v>7.3552862258306444</v>
      </c>
    </row>
    <row r="580" spans="1:20">
      <c r="A580" s="445">
        <f t="shared" si="181"/>
        <v>10</v>
      </c>
      <c r="B580" s="445">
        <f t="shared" si="160"/>
        <v>2</v>
      </c>
      <c r="C580" s="445">
        <f t="shared" si="183"/>
        <v>16</v>
      </c>
      <c r="D580" s="445">
        <f t="shared" si="182"/>
        <v>289</v>
      </c>
      <c r="E580" s="480">
        <f t="shared" si="176"/>
        <v>1</v>
      </c>
      <c r="F580" s="453">
        <f t="shared" si="167"/>
        <v>0.8</v>
      </c>
      <c r="G580" s="445">
        <f t="shared" si="168"/>
        <v>0.7</v>
      </c>
      <c r="I580" s="476">
        <f t="shared" si="177"/>
        <v>7.9099999999999984</v>
      </c>
      <c r="J580" s="445">
        <f t="shared" si="178"/>
        <v>0.7</v>
      </c>
      <c r="L580" s="476">
        <f t="shared" si="179"/>
        <v>8.19</v>
      </c>
      <c r="M580" s="484">
        <f t="shared" si="180"/>
        <v>0.7</v>
      </c>
      <c r="O580" s="482">
        <f t="shared" si="169"/>
        <v>15.399999999999999</v>
      </c>
      <c r="P580" s="482">
        <f t="shared" si="170"/>
        <v>15.399999999999999</v>
      </c>
      <c r="Q580" s="484">
        <f t="shared" si="171"/>
        <v>11.354000000000001</v>
      </c>
      <c r="R580" s="484">
        <f t="shared" si="172"/>
        <v>7.7112090435807117</v>
      </c>
      <c r="S580" s="484">
        <f t="shared" si="173"/>
        <v>9.1</v>
      </c>
      <c r="T580" s="484">
        <f t="shared" si="174"/>
        <v>7.3552862258306444</v>
      </c>
    </row>
    <row r="581" spans="1:20">
      <c r="A581" s="445">
        <f t="shared" si="181"/>
        <v>10</v>
      </c>
      <c r="B581" s="445">
        <f t="shared" si="163"/>
        <v>3</v>
      </c>
      <c r="C581" s="445">
        <f t="shared" si="183"/>
        <v>17</v>
      </c>
      <c r="D581" s="445">
        <f t="shared" si="182"/>
        <v>290</v>
      </c>
      <c r="E581" s="480">
        <f t="shared" si="176"/>
        <v>1</v>
      </c>
      <c r="F581" s="453">
        <f t="shared" si="167"/>
        <v>0.8</v>
      </c>
      <c r="G581" s="445">
        <f t="shared" si="168"/>
        <v>0.7</v>
      </c>
      <c r="I581" s="476">
        <f t="shared" si="177"/>
        <v>7.9099999999999984</v>
      </c>
      <c r="J581" s="445">
        <f t="shared" si="178"/>
        <v>0.7</v>
      </c>
      <c r="L581" s="476">
        <f t="shared" si="179"/>
        <v>8.19</v>
      </c>
      <c r="M581" s="484">
        <f t="shared" si="180"/>
        <v>0.7</v>
      </c>
      <c r="O581" s="482">
        <f t="shared" si="169"/>
        <v>15.399999999999999</v>
      </c>
      <c r="P581" s="482">
        <f t="shared" si="170"/>
        <v>15.399999999999999</v>
      </c>
      <c r="Q581" s="484">
        <f t="shared" si="171"/>
        <v>11.354000000000001</v>
      </c>
      <c r="R581" s="484">
        <f t="shared" si="172"/>
        <v>7.7112090435807117</v>
      </c>
      <c r="S581" s="484">
        <f t="shared" si="173"/>
        <v>9.1</v>
      </c>
      <c r="T581" s="484">
        <f t="shared" si="174"/>
        <v>7.3552862258306444</v>
      </c>
    </row>
    <row r="582" spans="1:20">
      <c r="A582" s="445">
        <f t="shared" si="181"/>
        <v>10</v>
      </c>
      <c r="B582" s="445">
        <f t="shared" si="164"/>
        <v>4</v>
      </c>
      <c r="C582" s="445">
        <f t="shared" si="183"/>
        <v>18</v>
      </c>
      <c r="D582" s="445">
        <f t="shared" si="182"/>
        <v>291</v>
      </c>
      <c r="E582" s="480">
        <f t="shared" si="176"/>
        <v>1</v>
      </c>
      <c r="F582" s="453">
        <f t="shared" si="167"/>
        <v>0.8</v>
      </c>
      <c r="G582" s="445">
        <f t="shared" si="168"/>
        <v>0.7</v>
      </c>
      <c r="I582" s="476">
        <f t="shared" si="177"/>
        <v>7.9099999999999984</v>
      </c>
      <c r="J582" s="445">
        <f t="shared" si="178"/>
        <v>0.7</v>
      </c>
      <c r="L582" s="476">
        <f t="shared" si="179"/>
        <v>8.19</v>
      </c>
      <c r="M582" s="484">
        <f t="shared" si="180"/>
        <v>0.7</v>
      </c>
      <c r="O582" s="482">
        <f t="shared" si="169"/>
        <v>15.399999999999999</v>
      </c>
      <c r="P582" s="482">
        <f t="shared" si="170"/>
        <v>15.399999999999999</v>
      </c>
      <c r="Q582" s="484">
        <f t="shared" si="171"/>
        <v>11.354000000000001</v>
      </c>
      <c r="R582" s="484">
        <f t="shared" si="172"/>
        <v>7.7112090435807117</v>
      </c>
      <c r="S582" s="484">
        <f t="shared" si="173"/>
        <v>9.1</v>
      </c>
      <c r="T582" s="484">
        <f t="shared" si="174"/>
        <v>7.3552862258306444</v>
      </c>
    </row>
    <row r="583" spans="1:20">
      <c r="A583" s="445">
        <f t="shared" si="181"/>
        <v>10</v>
      </c>
      <c r="B583" s="445">
        <f t="shared" si="165"/>
        <v>5</v>
      </c>
      <c r="C583" s="445">
        <f t="shared" si="183"/>
        <v>19</v>
      </c>
      <c r="D583" s="445">
        <f t="shared" si="182"/>
        <v>292</v>
      </c>
      <c r="E583" s="480">
        <f t="shared" si="176"/>
        <v>1</v>
      </c>
      <c r="F583" s="453">
        <f t="shared" si="167"/>
        <v>0.8</v>
      </c>
      <c r="G583" s="445">
        <f t="shared" si="168"/>
        <v>0.7</v>
      </c>
      <c r="I583" s="476">
        <f t="shared" si="177"/>
        <v>7.9099999999999984</v>
      </c>
      <c r="J583" s="445">
        <f t="shared" si="178"/>
        <v>0.7</v>
      </c>
      <c r="L583" s="476">
        <f t="shared" si="179"/>
        <v>8.19</v>
      </c>
      <c r="M583" s="484">
        <f t="shared" si="180"/>
        <v>0.7</v>
      </c>
      <c r="O583" s="482">
        <f t="shared" si="169"/>
        <v>15.399999999999999</v>
      </c>
      <c r="P583" s="482">
        <f t="shared" si="170"/>
        <v>15.399999999999999</v>
      </c>
      <c r="Q583" s="484">
        <f t="shared" si="171"/>
        <v>11.354000000000001</v>
      </c>
      <c r="R583" s="484">
        <f t="shared" si="172"/>
        <v>7.7112090435807117</v>
      </c>
      <c r="S583" s="484">
        <f t="shared" si="173"/>
        <v>9.1</v>
      </c>
      <c r="T583" s="484">
        <f t="shared" si="174"/>
        <v>7.3552862258306444</v>
      </c>
    </row>
    <row r="584" spans="1:20">
      <c r="A584" s="445">
        <f t="shared" si="181"/>
        <v>10</v>
      </c>
      <c r="B584" s="445">
        <f t="shared" si="166"/>
        <v>6</v>
      </c>
      <c r="C584" s="445">
        <f t="shared" si="183"/>
        <v>20</v>
      </c>
      <c r="D584" s="445">
        <f t="shared" si="182"/>
        <v>293</v>
      </c>
      <c r="E584" s="480">
        <f t="shared" si="176"/>
        <v>1</v>
      </c>
      <c r="F584" s="453">
        <f t="shared" si="167"/>
        <v>0.8</v>
      </c>
      <c r="G584" s="445">
        <f t="shared" si="168"/>
        <v>0.7</v>
      </c>
      <c r="I584" s="476">
        <f t="shared" si="177"/>
        <v>7.9099999999999984</v>
      </c>
      <c r="J584" s="445">
        <f t="shared" si="178"/>
        <v>0.7</v>
      </c>
      <c r="L584" s="476">
        <f t="shared" si="179"/>
        <v>8.19</v>
      </c>
      <c r="M584" s="484">
        <f t="shared" si="180"/>
        <v>0.7</v>
      </c>
      <c r="O584" s="482">
        <f t="shared" si="169"/>
        <v>15.399999999999999</v>
      </c>
      <c r="P584" s="482">
        <f t="shared" si="170"/>
        <v>15.399999999999999</v>
      </c>
      <c r="Q584" s="484">
        <f t="shared" si="171"/>
        <v>11.354000000000001</v>
      </c>
      <c r="R584" s="484">
        <f t="shared" si="172"/>
        <v>7.7112090435807117</v>
      </c>
      <c r="S584" s="484">
        <f t="shared" si="173"/>
        <v>9.1</v>
      </c>
      <c r="T584" s="484">
        <f t="shared" si="174"/>
        <v>7.3552862258306444</v>
      </c>
    </row>
    <row r="585" spans="1:20">
      <c r="A585" s="445">
        <f t="shared" si="181"/>
        <v>10</v>
      </c>
      <c r="B585" s="445">
        <f t="shared" si="162"/>
        <v>7</v>
      </c>
      <c r="C585" s="445">
        <f t="shared" si="183"/>
        <v>21</v>
      </c>
      <c r="D585" s="445">
        <f t="shared" si="182"/>
        <v>294</v>
      </c>
      <c r="E585" s="480">
        <f t="shared" si="176"/>
        <v>1</v>
      </c>
      <c r="F585" s="453">
        <f t="shared" si="167"/>
        <v>0.8</v>
      </c>
      <c r="G585" s="445">
        <f t="shared" si="168"/>
        <v>0.7</v>
      </c>
      <c r="I585" s="476">
        <f t="shared" si="177"/>
        <v>7.9099999999999984</v>
      </c>
      <c r="J585" s="445">
        <f t="shared" si="178"/>
        <v>0.7</v>
      </c>
      <c r="L585" s="476">
        <f t="shared" si="179"/>
        <v>8.19</v>
      </c>
      <c r="M585" s="484">
        <f t="shared" si="180"/>
        <v>0.7</v>
      </c>
      <c r="O585" s="482">
        <f t="shared" si="169"/>
        <v>15.399999999999999</v>
      </c>
      <c r="P585" s="482">
        <f t="shared" si="170"/>
        <v>15.399999999999999</v>
      </c>
      <c r="Q585" s="484">
        <f t="shared" si="171"/>
        <v>11.354000000000001</v>
      </c>
      <c r="R585" s="484">
        <f t="shared" si="172"/>
        <v>7.7112090435807117</v>
      </c>
      <c r="S585" s="484">
        <f t="shared" si="173"/>
        <v>9.1</v>
      </c>
      <c r="T585" s="484">
        <f t="shared" si="174"/>
        <v>7.3552862258306444</v>
      </c>
    </row>
    <row r="586" spans="1:20">
      <c r="A586" s="445">
        <f t="shared" si="181"/>
        <v>10</v>
      </c>
      <c r="B586" s="445">
        <f t="shared" si="159"/>
        <v>1</v>
      </c>
      <c r="C586" s="445">
        <f t="shared" si="183"/>
        <v>22</v>
      </c>
      <c r="D586" s="445">
        <f t="shared" si="182"/>
        <v>295</v>
      </c>
      <c r="E586" s="480">
        <f t="shared" si="176"/>
        <v>1</v>
      </c>
      <c r="F586" s="453">
        <f t="shared" si="167"/>
        <v>0.8</v>
      </c>
      <c r="G586" s="445">
        <f t="shared" si="168"/>
        <v>0.7</v>
      </c>
      <c r="I586" s="476">
        <f t="shared" si="177"/>
        <v>7.9099999999999984</v>
      </c>
      <c r="J586" s="445">
        <f t="shared" si="178"/>
        <v>0.7</v>
      </c>
      <c r="L586" s="476">
        <f t="shared" si="179"/>
        <v>8.19</v>
      </c>
      <c r="M586" s="484">
        <f t="shared" si="180"/>
        <v>0.7</v>
      </c>
      <c r="O586" s="482">
        <f t="shared" si="169"/>
        <v>15.399999999999999</v>
      </c>
      <c r="P586" s="482">
        <f t="shared" si="170"/>
        <v>15.399999999999999</v>
      </c>
      <c r="Q586" s="484">
        <f t="shared" si="171"/>
        <v>11.354000000000001</v>
      </c>
      <c r="R586" s="484">
        <f t="shared" si="172"/>
        <v>7.7112090435807117</v>
      </c>
      <c r="S586" s="484">
        <f t="shared" si="173"/>
        <v>9.1</v>
      </c>
      <c r="T586" s="484">
        <f t="shared" si="174"/>
        <v>7.3552862258306444</v>
      </c>
    </row>
    <row r="587" spans="1:20">
      <c r="A587" s="445">
        <f t="shared" si="181"/>
        <v>10</v>
      </c>
      <c r="B587" s="445">
        <f t="shared" si="160"/>
        <v>2</v>
      </c>
      <c r="C587" s="445">
        <f t="shared" si="183"/>
        <v>23</v>
      </c>
      <c r="D587" s="445">
        <f t="shared" si="182"/>
        <v>296</v>
      </c>
      <c r="E587" s="480">
        <f t="shared" si="176"/>
        <v>1</v>
      </c>
      <c r="F587" s="453">
        <f t="shared" si="167"/>
        <v>0.8</v>
      </c>
      <c r="G587" s="445">
        <f t="shared" si="168"/>
        <v>0.7</v>
      </c>
      <c r="I587" s="476">
        <f t="shared" si="177"/>
        <v>7.9099999999999984</v>
      </c>
      <c r="J587" s="445">
        <f t="shared" si="178"/>
        <v>0.7</v>
      </c>
      <c r="L587" s="476">
        <f t="shared" si="179"/>
        <v>8.19</v>
      </c>
      <c r="M587" s="484">
        <f t="shared" si="180"/>
        <v>0.7</v>
      </c>
      <c r="O587" s="482">
        <f t="shared" si="169"/>
        <v>15.399999999999999</v>
      </c>
      <c r="P587" s="482">
        <f t="shared" si="170"/>
        <v>15.399999999999999</v>
      </c>
      <c r="Q587" s="484">
        <f t="shared" si="171"/>
        <v>11.354000000000001</v>
      </c>
      <c r="R587" s="484">
        <f t="shared" si="172"/>
        <v>7.7112090435807117</v>
      </c>
      <c r="S587" s="484">
        <f t="shared" si="173"/>
        <v>9.1</v>
      </c>
      <c r="T587" s="484">
        <f t="shared" si="174"/>
        <v>7.3552862258306444</v>
      </c>
    </row>
    <row r="588" spans="1:20">
      <c r="A588" s="445">
        <f t="shared" si="181"/>
        <v>10</v>
      </c>
      <c r="B588" s="445">
        <f t="shared" si="163"/>
        <v>3</v>
      </c>
      <c r="C588" s="445">
        <f t="shared" si="183"/>
        <v>24</v>
      </c>
      <c r="D588" s="445">
        <f t="shared" si="182"/>
        <v>297</v>
      </c>
      <c r="E588" s="480">
        <f t="shared" si="176"/>
        <v>1</v>
      </c>
      <c r="F588" s="453">
        <f t="shared" si="167"/>
        <v>0.8</v>
      </c>
      <c r="G588" s="445">
        <f t="shared" si="168"/>
        <v>0.7</v>
      </c>
      <c r="I588" s="476">
        <f t="shared" si="177"/>
        <v>7.9099999999999984</v>
      </c>
      <c r="J588" s="445">
        <f t="shared" si="178"/>
        <v>0.7</v>
      </c>
      <c r="L588" s="476">
        <f t="shared" si="179"/>
        <v>8.19</v>
      </c>
      <c r="M588" s="484">
        <f t="shared" si="180"/>
        <v>0.7</v>
      </c>
      <c r="O588" s="482">
        <f t="shared" si="169"/>
        <v>15.399999999999999</v>
      </c>
      <c r="P588" s="482">
        <f t="shared" si="170"/>
        <v>15.399999999999999</v>
      </c>
      <c r="Q588" s="484">
        <f t="shared" si="171"/>
        <v>11.354000000000001</v>
      </c>
      <c r="R588" s="484">
        <f t="shared" si="172"/>
        <v>7.7112090435807117</v>
      </c>
      <c r="S588" s="484">
        <f t="shared" si="173"/>
        <v>9.1</v>
      </c>
      <c r="T588" s="484">
        <f t="shared" si="174"/>
        <v>7.3552862258306444</v>
      </c>
    </row>
    <row r="589" spans="1:20">
      <c r="A589" s="445">
        <f t="shared" si="181"/>
        <v>10</v>
      </c>
      <c r="B589" s="445">
        <f t="shared" si="164"/>
        <v>4</v>
      </c>
      <c r="C589" s="445">
        <f t="shared" si="183"/>
        <v>25</v>
      </c>
      <c r="D589" s="445">
        <f t="shared" si="182"/>
        <v>298</v>
      </c>
      <c r="E589" s="480">
        <f t="shared" si="176"/>
        <v>1</v>
      </c>
      <c r="F589" s="453">
        <f t="shared" si="167"/>
        <v>0.8</v>
      </c>
      <c r="G589" s="445">
        <f t="shared" si="168"/>
        <v>0.7</v>
      </c>
      <c r="I589" s="476">
        <f t="shared" si="177"/>
        <v>7.9099999999999984</v>
      </c>
      <c r="J589" s="445">
        <f t="shared" si="178"/>
        <v>0.7</v>
      </c>
      <c r="L589" s="476">
        <f t="shared" si="179"/>
        <v>8.19</v>
      </c>
      <c r="M589" s="484">
        <f t="shared" si="180"/>
        <v>0.7</v>
      </c>
      <c r="O589" s="482">
        <f t="shared" si="169"/>
        <v>15.399999999999999</v>
      </c>
      <c r="P589" s="482">
        <f t="shared" si="170"/>
        <v>15.399999999999999</v>
      </c>
      <c r="Q589" s="484">
        <f t="shared" si="171"/>
        <v>11.354000000000001</v>
      </c>
      <c r="R589" s="484">
        <f t="shared" si="172"/>
        <v>7.7112090435807117</v>
      </c>
      <c r="S589" s="484">
        <f t="shared" si="173"/>
        <v>9.1</v>
      </c>
      <c r="T589" s="484">
        <f t="shared" si="174"/>
        <v>7.3552862258306444</v>
      </c>
    </row>
    <row r="590" spans="1:20">
      <c r="A590" s="445">
        <f t="shared" si="181"/>
        <v>10</v>
      </c>
      <c r="B590" s="445">
        <f t="shared" si="165"/>
        <v>5</v>
      </c>
      <c r="C590" s="445">
        <f t="shared" si="183"/>
        <v>26</v>
      </c>
      <c r="D590" s="445">
        <f t="shared" si="182"/>
        <v>299</v>
      </c>
      <c r="E590" s="480">
        <f t="shared" si="176"/>
        <v>1</v>
      </c>
      <c r="F590" s="453">
        <f t="shared" si="167"/>
        <v>0.8</v>
      </c>
      <c r="G590" s="445">
        <f t="shared" si="168"/>
        <v>0.7</v>
      </c>
      <c r="I590" s="476">
        <f t="shared" si="177"/>
        <v>7.9099999999999984</v>
      </c>
      <c r="J590" s="445">
        <f t="shared" si="178"/>
        <v>0.7</v>
      </c>
      <c r="L590" s="476">
        <f t="shared" si="179"/>
        <v>8.19</v>
      </c>
      <c r="M590" s="484">
        <f t="shared" si="180"/>
        <v>0.7</v>
      </c>
      <c r="O590" s="482">
        <f t="shared" si="169"/>
        <v>15.399999999999999</v>
      </c>
      <c r="P590" s="482">
        <f t="shared" si="170"/>
        <v>15.399999999999999</v>
      </c>
      <c r="Q590" s="484">
        <f t="shared" si="171"/>
        <v>11.354000000000001</v>
      </c>
      <c r="R590" s="484">
        <f t="shared" si="172"/>
        <v>7.7112090435807117</v>
      </c>
      <c r="S590" s="484">
        <f t="shared" si="173"/>
        <v>9.1</v>
      </c>
      <c r="T590" s="484">
        <f t="shared" si="174"/>
        <v>7.3552862258306444</v>
      </c>
    </row>
    <row r="591" spans="1:20">
      <c r="A591" s="445">
        <f t="shared" si="181"/>
        <v>10</v>
      </c>
      <c r="B591" s="445">
        <f t="shared" si="166"/>
        <v>6</v>
      </c>
      <c r="C591" s="445">
        <f t="shared" si="183"/>
        <v>27</v>
      </c>
      <c r="D591" s="445">
        <f t="shared" si="182"/>
        <v>300</v>
      </c>
      <c r="E591" s="480">
        <f t="shared" si="176"/>
        <v>1</v>
      </c>
      <c r="F591" s="453">
        <f t="shared" si="167"/>
        <v>0.8</v>
      </c>
      <c r="G591" s="445">
        <f t="shared" si="168"/>
        <v>0.7</v>
      </c>
      <c r="I591" s="476">
        <f t="shared" si="177"/>
        <v>7.9099999999999984</v>
      </c>
      <c r="J591" s="445">
        <f t="shared" si="178"/>
        <v>0.7</v>
      </c>
      <c r="L591" s="476">
        <f t="shared" si="179"/>
        <v>8.19</v>
      </c>
      <c r="M591" s="484">
        <f t="shared" si="180"/>
        <v>0.7</v>
      </c>
      <c r="O591" s="482">
        <f t="shared" si="169"/>
        <v>15.399999999999999</v>
      </c>
      <c r="P591" s="482">
        <f t="shared" si="170"/>
        <v>15.399999999999999</v>
      </c>
      <c r="Q591" s="484">
        <f t="shared" si="171"/>
        <v>11.354000000000001</v>
      </c>
      <c r="R591" s="484">
        <f t="shared" si="172"/>
        <v>7.7112090435807117</v>
      </c>
      <c r="S591" s="484">
        <f t="shared" si="173"/>
        <v>9.1</v>
      </c>
      <c r="T591" s="484">
        <f t="shared" si="174"/>
        <v>7.3552862258306444</v>
      </c>
    </row>
    <row r="592" spans="1:20">
      <c r="A592" s="445">
        <f t="shared" si="181"/>
        <v>10</v>
      </c>
      <c r="B592" s="445">
        <f t="shared" si="162"/>
        <v>7</v>
      </c>
      <c r="C592" s="445">
        <f t="shared" si="183"/>
        <v>28</v>
      </c>
      <c r="D592" s="445">
        <f t="shared" si="182"/>
        <v>301</v>
      </c>
      <c r="E592" s="480">
        <f t="shared" si="176"/>
        <v>1</v>
      </c>
      <c r="F592" s="453">
        <f t="shared" si="167"/>
        <v>0.8</v>
      </c>
      <c r="G592" s="445">
        <f t="shared" si="168"/>
        <v>0.7</v>
      </c>
      <c r="I592" s="476">
        <f t="shared" si="177"/>
        <v>7.9099999999999984</v>
      </c>
      <c r="J592" s="445">
        <f t="shared" si="178"/>
        <v>0.7</v>
      </c>
      <c r="L592" s="476">
        <f t="shared" si="179"/>
        <v>8.19</v>
      </c>
      <c r="M592" s="484">
        <f t="shared" si="180"/>
        <v>0.7</v>
      </c>
      <c r="O592" s="482">
        <f t="shared" si="169"/>
        <v>15.399999999999999</v>
      </c>
      <c r="P592" s="482">
        <f t="shared" si="170"/>
        <v>15.399999999999999</v>
      </c>
      <c r="Q592" s="484">
        <f t="shared" si="171"/>
        <v>11.354000000000001</v>
      </c>
      <c r="R592" s="484">
        <f t="shared" si="172"/>
        <v>7.7112090435807117</v>
      </c>
      <c r="S592" s="484">
        <f t="shared" si="173"/>
        <v>9.1</v>
      </c>
      <c r="T592" s="484">
        <f t="shared" si="174"/>
        <v>7.3552862258306444</v>
      </c>
    </row>
    <row r="593" spans="1:20">
      <c r="A593" s="445">
        <f t="shared" si="181"/>
        <v>10</v>
      </c>
      <c r="B593" s="445">
        <f t="shared" si="159"/>
        <v>1</v>
      </c>
      <c r="C593" s="445">
        <f t="shared" si="183"/>
        <v>29</v>
      </c>
      <c r="D593" s="445">
        <f t="shared" si="182"/>
        <v>302</v>
      </c>
      <c r="E593" s="480">
        <f t="shared" si="176"/>
        <v>1</v>
      </c>
      <c r="F593" s="453">
        <f t="shared" si="167"/>
        <v>0.8</v>
      </c>
      <c r="G593" s="445">
        <f t="shared" si="168"/>
        <v>0.7</v>
      </c>
      <c r="I593" s="476">
        <f t="shared" si="177"/>
        <v>7.9099999999999984</v>
      </c>
      <c r="J593" s="445">
        <f t="shared" si="178"/>
        <v>0.7</v>
      </c>
      <c r="L593" s="476">
        <f t="shared" si="179"/>
        <v>8.19</v>
      </c>
      <c r="M593" s="484">
        <f t="shared" si="180"/>
        <v>0.7</v>
      </c>
      <c r="O593" s="482">
        <f t="shared" si="169"/>
        <v>15.399999999999999</v>
      </c>
      <c r="P593" s="482">
        <f t="shared" si="170"/>
        <v>15.399999999999999</v>
      </c>
      <c r="Q593" s="484">
        <f t="shared" si="171"/>
        <v>11.354000000000001</v>
      </c>
      <c r="R593" s="484">
        <f t="shared" si="172"/>
        <v>7.7112090435807117</v>
      </c>
      <c r="S593" s="484">
        <f t="shared" si="173"/>
        <v>9.1</v>
      </c>
      <c r="T593" s="484">
        <f t="shared" si="174"/>
        <v>7.3552862258306444</v>
      </c>
    </row>
    <row r="594" spans="1:20">
      <c r="A594" s="445">
        <f t="shared" si="181"/>
        <v>10</v>
      </c>
      <c r="B594" s="445">
        <f t="shared" si="160"/>
        <v>2</v>
      </c>
      <c r="C594" s="445">
        <f t="shared" si="183"/>
        <v>30</v>
      </c>
      <c r="D594" s="445">
        <f t="shared" si="182"/>
        <v>303</v>
      </c>
      <c r="E594" s="480">
        <f t="shared" si="176"/>
        <v>1</v>
      </c>
      <c r="F594" s="453">
        <f t="shared" si="167"/>
        <v>0.8</v>
      </c>
      <c r="G594" s="445">
        <f t="shared" si="168"/>
        <v>0.7</v>
      </c>
      <c r="I594" s="476">
        <f t="shared" si="177"/>
        <v>7.9099999999999984</v>
      </c>
      <c r="J594" s="445">
        <f t="shared" si="178"/>
        <v>0.7</v>
      </c>
      <c r="L594" s="476">
        <f t="shared" si="179"/>
        <v>8.19</v>
      </c>
      <c r="M594" s="484">
        <f t="shared" si="180"/>
        <v>0.7</v>
      </c>
      <c r="O594" s="482">
        <f t="shared" si="169"/>
        <v>15.399999999999999</v>
      </c>
      <c r="P594" s="482">
        <f t="shared" si="170"/>
        <v>15.399999999999999</v>
      </c>
      <c r="Q594" s="484">
        <f t="shared" si="171"/>
        <v>11.354000000000001</v>
      </c>
      <c r="R594" s="484">
        <f t="shared" si="172"/>
        <v>7.7112090435807117</v>
      </c>
      <c r="S594" s="484">
        <f t="shared" si="173"/>
        <v>9.1</v>
      </c>
      <c r="T594" s="484">
        <f t="shared" si="174"/>
        <v>7.3552862258306444</v>
      </c>
    </row>
    <row r="595" spans="1:20">
      <c r="A595" s="445">
        <f t="shared" si="181"/>
        <v>10</v>
      </c>
      <c r="B595" s="445">
        <f t="shared" si="163"/>
        <v>3</v>
      </c>
      <c r="C595" s="445">
        <f t="shared" si="183"/>
        <v>31</v>
      </c>
      <c r="D595" s="445">
        <f t="shared" si="182"/>
        <v>304</v>
      </c>
      <c r="E595" s="480">
        <f t="shared" si="176"/>
        <v>1</v>
      </c>
      <c r="F595" s="453">
        <f t="shared" si="167"/>
        <v>0.8</v>
      </c>
      <c r="G595" s="445">
        <f t="shared" si="168"/>
        <v>0.7</v>
      </c>
      <c r="I595" s="476">
        <f t="shared" si="177"/>
        <v>7.9099999999999984</v>
      </c>
      <c r="J595" s="445">
        <f t="shared" si="178"/>
        <v>0.7</v>
      </c>
      <c r="L595" s="476">
        <f t="shared" si="179"/>
        <v>8.19</v>
      </c>
      <c r="M595" s="484">
        <f t="shared" si="180"/>
        <v>0.7</v>
      </c>
      <c r="O595" s="482">
        <f t="shared" si="169"/>
        <v>15.399999999999999</v>
      </c>
      <c r="P595" s="482">
        <f t="shared" si="170"/>
        <v>15.399999999999999</v>
      </c>
      <c r="Q595" s="484">
        <f t="shared" si="171"/>
        <v>11.354000000000001</v>
      </c>
      <c r="R595" s="484">
        <f t="shared" si="172"/>
        <v>7.7112090435807117</v>
      </c>
      <c r="S595" s="484">
        <f t="shared" si="173"/>
        <v>9.1</v>
      </c>
      <c r="T595" s="484">
        <f t="shared" si="174"/>
        <v>7.3552862258306444</v>
      </c>
    </row>
    <row r="596" spans="1:20">
      <c r="A596" s="445">
        <v>11</v>
      </c>
      <c r="B596" s="445">
        <f t="shared" si="164"/>
        <v>4</v>
      </c>
      <c r="C596" s="445">
        <v>1</v>
      </c>
      <c r="D596" s="445">
        <f t="shared" si="182"/>
        <v>305</v>
      </c>
      <c r="E596" s="480">
        <f t="shared" si="176"/>
        <v>1</v>
      </c>
      <c r="F596" s="453">
        <f t="shared" si="167"/>
        <v>1</v>
      </c>
      <c r="G596" s="445">
        <f t="shared" si="168"/>
        <v>0.7</v>
      </c>
      <c r="I596" s="476">
        <f t="shared" si="177"/>
        <v>7.9099999999999984</v>
      </c>
      <c r="J596" s="445">
        <f t="shared" si="178"/>
        <v>0.7</v>
      </c>
      <c r="L596" s="476">
        <f t="shared" si="179"/>
        <v>8.19</v>
      </c>
      <c r="M596" s="484">
        <f t="shared" si="180"/>
        <v>0.7</v>
      </c>
      <c r="O596" s="482">
        <f t="shared" si="169"/>
        <v>15.399999999999999</v>
      </c>
      <c r="P596" s="482">
        <f t="shared" si="170"/>
        <v>15.399999999999999</v>
      </c>
      <c r="Q596" s="484">
        <f t="shared" si="171"/>
        <v>11.354000000000001</v>
      </c>
      <c r="R596" s="484">
        <f t="shared" si="172"/>
        <v>7.7112090435807117</v>
      </c>
      <c r="S596" s="484">
        <f t="shared" si="173"/>
        <v>9.1</v>
      </c>
      <c r="T596" s="484">
        <f t="shared" si="174"/>
        <v>7.3552862258306444</v>
      </c>
    </row>
    <row r="597" spans="1:20">
      <c r="A597" s="445">
        <f t="shared" si="181"/>
        <v>11</v>
      </c>
      <c r="B597" s="445">
        <f t="shared" si="165"/>
        <v>5</v>
      </c>
      <c r="C597" s="445">
        <f t="shared" si="183"/>
        <v>2</v>
      </c>
      <c r="D597" s="445">
        <f t="shared" si="182"/>
        <v>306</v>
      </c>
      <c r="E597" s="480">
        <f t="shared" si="176"/>
        <v>1</v>
      </c>
      <c r="F597" s="453">
        <f t="shared" si="167"/>
        <v>1</v>
      </c>
      <c r="G597" s="445">
        <f t="shared" si="168"/>
        <v>0.7</v>
      </c>
      <c r="I597" s="476">
        <f t="shared" si="177"/>
        <v>7.9099999999999984</v>
      </c>
      <c r="J597" s="445">
        <f t="shared" si="178"/>
        <v>0.7</v>
      </c>
      <c r="L597" s="476">
        <f t="shared" si="179"/>
        <v>8.19</v>
      </c>
      <c r="M597" s="484">
        <f t="shared" si="180"/>
        <v>0.7</v>
      </c>
      <c r="O597" s="482">
        <f t="shared" si="169"/>
        <v>15.399999999999999</v>
      </c>
      <c r="P597" s="482">
        <f t="shared" si="170"/>
        <v>15.399999999999999</v>
      </c>
      <c r="Q597" s="484">
        <f t="shared" si="171"/>
        <v>11.354000000000001</v>
      </c>
      <c r="R597" s="484">
        <f t="shared" si="172"/>
        <v>7.7112090435807117</v>
      </c>
      <c r="S597" s="484">
        <f t="shared" si="173"/>
        <v>9.1</v>
      </c>
      <c r="T597" s="484">
        <f t="shared" si="174"/>
        <v>7.3552862258306444</v>
      </c>
    </row>
    <row r="598" spans="1:20">
      <c r="A598" s="445">
        <f t="shared" si="181"/>
        <v>11</v>
      </c>
      <c r="B598" s="445">
        <f t="shared" si="166"/>
        <v>6</v>
      </c>
      <c r="C598" s="445">
        <f t="shared" si="183"/>
        <v>3</v>
      </c>
      <c r="D598" s="445">
        <f t="shared" si="182"/>
        <v>307</v>
      </c>
      <c r="E598" s="480">
        <f t="shared" si="176"/>
        <v>1</v>
      </c>
      <c r="F598" s="453">
        <f t="shared" si="167"/>
        <v>1</v>
      </c>
      <c r="G598" s="445">
        <f t="shared" si="168"/>
        <v>0.7</v>
      </c>
      <c r="I598" s="476">
        <f t="shared" si="177"/>
        <v>7.9099999999999984</v>
      </c>
      <c r="J598" s="445">
        <f t="shared" si="178"/>
        <v>0.7</v>
      </c>
      <c r="L598" s="476">
        <f t="shared" si="179"/>
        <v>8.19</v>
      </c>
      <c r="M598" s="484">
        <f t="shared" si="180"/>
        <v>0.7</v>
      </c>
      <c r="O598" s="482">
        <f t="shared" si="169"/>
        <v>15.399999999999999</v>
      </c>
      <c r="P598" s="482">
        <f t="shared" si="170"/>
        <v>15.399999999999999</v>
      </c>
      <c r="Q598" s="484">
        <f t="shared" si="171"/>
        <v>11.354000000000001</v>
      </c>
      <c r="R598" s="484">
        <f t="shared" si="172"/>
        <v>7.7112090435807117</v>
      </c>
      <c r="S598" s="484">
        <f t="shared" si="173"/>
        <v>9.1</v>
      </c>
      <c r="T598" s="484">
        <f t="shared" si="174"/>
        <v>7.3552862258306444</v>
      </c>
    </row>
    <row r="599" spans="1:20">
      <c r="A599" s="445">
        <f t="shared" si="181"/>
        <v>11</v>
      </c>
      <c r="B599" s="445">
        <f t="shared" si="162"/>
        <v>7</v>
      </c>
      <c r="C599" s="445">
        <f t="shared" si="183"/>
        <v>4</v>
      </c>
      <c r="D599" s="445">
        <f t="shared" si="182"/>
        <v>308</v>
      </c>
      <c r="E599" s="480">
        <f t="shared" si="176"/>
        <v>1</v>
      </c>
      <c r="F599" s="453">
        <f t="shared" si="167"/>
        <v>1</v>
      </c>
      <c r="G599" s="445">
        <f t="shared" si="168"/>
        <v>0.7</v>
      </c>
      <c r="I599" s="476">
        <f t="shared" si="177"/>
        <v>7.9099999999999984</v>
      </c>
      <c r="J599" s="445">
        <f t="shared" si="178"/>
        <v>0.7</v>
      </c>
      <c r="L599" s="476">
        <f t="shared" si="179"/>
        <v>8.19</v>
      </c>
      <c r="M599" s="484">
        <f t="shared" si="180"/>
        <v>0.7</v>
      </c>
      <c r="O599" s="482">
        <f t="shared" si="169"/>
        <v>15.399999999999999</v>
      </c>
      <c r="P599" s="482">
        <f t="shared" si="170"/>
        <v>15.399999999999999</v>
      </c>
      <c r="Q599" s="484">
        <f t="shared" si="171"/>
        <v>11.354000000000001</v>
      </c>
      <c r="R599" s="484">
        <f t="shared" si="172"/>
        <v>7.7112090435807117</v>
      </c>
      <c r="S599" s="484">
        <f t="shared" si="173"/>
        <v>9.1</v>
      </c>
      <c r="T599" s="484">
        <f t="shared" si="174"/>
        <v>7.3552862258306444</v>
      </c>
    </row>
    <row r="600" spans="1:20">
      <c r="A600" s="445">
        <f t="shared" si="181"/>
        <v>11</v>
      </c>
      <c r="B600" s="445">
        <f t="shared" ref="B600:B656" si="184">$F$271</f>
        <v>1</v>
      </c>
      <c r="C600" s="445">
        <f t="shared" si="183"/>
        <v>5</v>
      </c>
      <c r="D600" s="445">
        <f t="shared" si="182"/>
        <v>309</v>
      </c>
      <c r="E600" s="480">
        <f t="shared" si="176"/>
        <v>1</v>
      </c>
      <c r="F600" s="453">
        <f t="shared" si="167"/>
        <v>1</v>
      </c>
      <c r="G600" s="445">
        <f t="shared" si="168"/>
        <v>0.7</v>
      </c>
      <c r="I600" s="476">
        <f t="shared" si="177"/>
        <v>7.9099999999999984</v>
      </c>
      <c r="J600" s="445">
        <f t="shared" si="178"/>
        <v>0.7</v>
      </c>
      <c r="L600" s="476">
        <f t="shared" si="179"/>
        <v>8.19</v>
      </c>
      <c r="M600" s="484">
        <f t="shared" si="180"/>
        <v>0.7</v>
      </c>
      <c r="O600" s="482">
        <f t="shared" si="169"/>
        <v>15.399999999999999</v>
      </c>
      <c r="P600" s="482">
        <f t="shared" si="170"/>
        <v>15.399999999999999</v>
      </c>
      <c r="Q600" s="484">
        <f t="shared" si="171"/>
        <v>11.354000000000001</v>
      </c>
      <c r="R600" s="484">
        <f t="shared" si="172"/>
        <v>7.7112090435807117</v>
      </c>
      <c r="S600" s="484">
        <f t="shared" si="173"/>
        <v>9.1</v>
      </c>
      <c r="T600" s="484">
        <f t="shared" si="174"/>
        <v>7.3552862258306444</v>
      </c>
    </row>
    <row r="601" spans="1:20">
      <c r="A601" s="445">
        <f t="shared" si="181"/>
        <v>11</v>
      </c>
      <c r="B601" s="445">
        <f t="shared" ref="B601:B650" si="185">$F$272</f>
        <v>2</v>
      </c>
      <c r="C601" s="445">
        <f t="shared" si="183"/>
        <v>6</v>
      </c>
      <c r="D601" s="445">
        <f t="shared" si="182"/>
        <v>310</v>
      </c>
      <c r="E601" s="480">
        <f t="shared" si="176"/>
        <v>1</v>
      </c>
      <c r="F601" s="453">
        <f t="shared" si="167"/>
        <v>1</v>
      </c>
      <c r="G601" s="445">
        <f t="shared" si="168"/>
        <v>0.7</v>
      </c>
      <c r="I601" s="476">
        <f t="shared" si="177"/>
        <v>7.9099999999999984</v>
      </c>
      <c r="J601" s="445">
        <f t="shared" si="178"/>
        <v>0.7</v>
      </c>
      <c r="L601" s="476">
        <f t="shared" si="179"/>
        <v>8.19</v>
      </c>
      <c r="M601" s="484">
        <f t="shared" si="180"/>
        <v>0.7</v>
      </c>
      <c r="O601" s="482">
        <f t="shared" si="169"/>
        <v>15.399999999999999</v>
      </c>
      <c r="P601" s="482">
        <f t="shared" si="170"/>
        <v>15.399999999999999</v>
      </c>
      <c r="Q601" s="484">
        <f t="shared" si="171"/>
        <v>11.354000000000001</v>
      </c>
      <c r="R601" s="484">
        <f t="shared" si="172"/>
        <v>7.7112090435807117</v>
      </c>
      <c r="S601" s="484">
        <f t="shared" si="173"/>
        <v>9.1</v>
      </c>
      <c r="T601" s="484">
        <f t="shared" si="174"/>
        <v>7.3552862258306444</v>
      </c>
    </row>
    <row r="602" spans="1:20">
      <c r="A602" s="445">
        <f t="shared" si="181"/>
        <v>11</v>
      </c>
      <c r="B602" s="445">
        <f t="shared" si="163"/>
        <v>3</v>
      </c>
      <c r="C602" s="445">
        <f t="shared" si="183"/>
        <v>7</v>
      </c>
      <c r="D602" s="445">
        <f t="shared" si="182"/>
        <v>311</v>
      </c>
      <c r="E602" s="480">
        <f t="shared" si="176"/>
        <v>1</v>
      </c>
      <c r="F602" s="453">
        <f t="shared" si="167"/>
        <v>1</v>
      </c>
      <c r="G602" s="445">
        <f t="shared" si="168"/>
        <v>0.7</v>
      </c>
      <c r="I602" s="476">
        <f t="shared" si="177"/>
        <v>7.9099999999999984</v>
      </c>
      <c r="J602" s="445">
        <f t="shared" si="178"/>
        <v>0.7</v>
      </c>
      <c r="L602" s="476">
        <f t="shared" si="179"/>
        <v>8.19</v>
      </c>
      <c r="M602" s="484">
        <f t="shared" si="180"/>
        <v>0.7</v>
      </c>
      <c r="O602" s="482">
        <f t="shared" si="169"/>
        <v>15.399999999999999</v>
      </c>
      <c r="P602" s="482">
        <f t="shared" si="170"/>
        <v>15.399999999999999</v>
      </c>
      <c r="Q602" s="484">
        <f t="shared" si="171"/>
        <v>11.354000000000001</v>
      </c>
      <c r="R602" s="484">
        <f t="shared" si="172"/>
        <v>7.7112090435807117</v>
      </c>
      <c r="S602" s="484">
        <f t="shared" si="173"/>
        <v>9.1</v>
      </c>
      <c r="T602" s="484">
        <f t="shared" si="174"/>
        <v>7.3552862258306444</v>
      </c>
    </row>
    <row r="603" spans="1:20">
      <c r="A603" s="445">
        <f t="shared" si="181"/>
        <v>11</v>
      </c>
      <c r="B603" s="445">
        <f t="shared" si="164"/>
        <v>4</v>
      </c>
      <c r="C603" s="445">
        <f t="shared" si="183"/>
        <v>8</v>
      </c>
      <c r="D603" s="445">
        <f t="shared" si="182"/>
        <v>312</v>
      </c>
      <c r="E603" s="480">
        <f t="shared" si="176"/>
        <v>1</v>
      </c>
      <c r="F603" s="453">
        <f t="shared" si="167"/>
        <v>1</v>
      </c>
      <c r="G603" s="445">
        <f t="shared" si="168"/>
        <v>0.7</v>
      </c>
      <c r="I603" s="476">
        <f t="shared" si="177"/>
        <v>7.9099999999999984</v>
      </c>
      <c r="J603" s="445">
        <f t="shared" si="178"/>
        <v>0.7</v>
      </c>
      <c r="L603" s="476">
        <f t="shared" si="179"/>
        <v>8.19</v>
      </c>
      <c r="M603" s="484">
        <f t="shared" si="180"/>
        <v>0.7</v>
      </c>
      <c r="O603" s="482">
        <f t="shared" si="169"/>
        <v>15.399999999999999</v>
      </c>
      <c r="P603" s="482">
        <f t="shared" si="170"/>
        <v>15.399999999999999</v>
      </c>
      <c r="Q603" s="484">
        <f t="shared" si="171"/>
        <v>11.354000000000001</v>
      </c>
      <c r="R603" s="484">
        <f t="shared" si="172"/>
        <v>7.7112090435807117</v>
      </c>
      <c r="S603" s="484">
        <f t="shared" si="173"/>
        <v>9.1</v>
      </c>
      <c r="T603" s="484">
        <f t="shared" si="174"/>
        <v>7.3552862258306444</v>
      </c>
    </row>
    <row r="604" spans="1:20">
      <c r="A604" s="445">
        <f t="shared" si="181"/>
        <v>11</v>
      </c>
      <c r="B604" s="445">
        <f t="shared" si="165"/>
        <v>5</v>
      </c>
      <c r="C604" s="445">
        <f t="shared" si="183"/>
        <v>9</v>
      </c>
      <c r="D604" s="445">
        <f t="shared" si="182"/>
        <v>313</v>
      </c>
      <c r="E604" s="480">
        <f t="shared" si="176"/>
        <v>1</v>
      </c>
      <c r="F604" s="453">
        <f t="shared" si="167"/>
        <v>1</v>
      </c>
      <c r="G604" s="445">
        <f t="shared" si="168"/>
        <v>0.7</v>
      </c>
      <c r="I604" s="476">
        <f t="shared" si="177"/>
        <v>7.9099999999999984</v>
      </c>
      <c r="J604" s="445">
        <f t="shared" si="178"/>
        <v>0.7</v>
      </c>
      <c r="L604" s="476">
        <f t="shared" si="179"/>
        <v>8.19</v>
      </c>
      <c r="M604" s="484">
        <f t="shared" si="180"/>
        <v>0.7</v>
      </c>
      <c r="O604" s="482">
        <f t="shared" si="169"/>
        <v>15.399999999999999</v>
      </c>
      <c r="P604" s="482">
        <f t="shared" si="170"/>
        <v>15.399999999999999</v>
      </c>
      <c r="Q604" s="484">
        <f t="shared" si="171"/>
        <v>11.354000000000001</v>
      </c>
      <c r="R604" s="484">
        <f t="shared" si="172"/>
        <v>7.7112090435807117</v>
      </c>
      <c r="S604" s="484">
        <f t="shared" si="173"/>
        <v>9.1</v>
      </c>
      <c r="T604" s="484">
        <f t="shared" si="174"/>
        <v>7.3552862258306444</v>
      </c>
    </row>
    <row r="605" spans="1:20">
      <c r="A605" s="445">
        <f t="shared" si="181"/>
        <v>11</v>
      </c>
      <c r="B605" s="445">
        <f t="shared" si="166"/>
        <v>6</v>
      </c>
      <c r="C605" s="445">
        <f t="shared" si="183"/>
        <v>10</v>
      </c>
      <c r="D605" s="445">
        <f t="shared" si="182"/>
        <v>314</v>
      </c>
      <c r="E605" s="480">
        <f t="shared" si="176"/>
        <v>1</v>
      </c>
      <c r="F605" s="453">
        <f t="shared" si="167"/>
        <v>1</v>
      </c>
      <c r="G605" s="445">
        <f t="shared" si="168"/>
        <v>0.7</v>
      </c>
      <c r="I605" s="476">
        <f t="shared" si="177"/>
        <v>7.9099999999999984</v>
      </c>
      <c r="J605" s="445">
        <f t="shared" si="178"/>
        <v>0.7</v>
      </c>
      <c r="L605" s="476">
        <f t="shared" si="179"/>
        <v>8.19</v>
      </c>
      <c r="M605" s="484">
        <f t="shared" si="180"/>
        <v>0.7</v>
      </c>
      <c r="O605" s="482">
        <f t="shared" si="169"/>
        <v>15.399999999999999</v>
      </c>
      <c r="P605" s="482">
        <f t="shared" si="170"/>
        <v>15.399999999999999</v>
      </c>
      <c r="Q605" s="484">
        <f t="shared" si="171"/>
        <v>11.354000000000001</v>
      </c>
      <c r="R605" s="484">
        <f t="shared" si="172"/>
        <v>7.7112090435807117</v>
      </c>
      <c r="S605" s="484">
        <f t="shared" si="173"/>
        <v>9.1</v>
      </c>
      <c r="T605" s="484">
        <f t="shared" si="174"/>
        <v>7.3552862258306444</v>
      </c>
    </row>
    <row r="606" spans="1:20">
      <c r="A606" s="445">
        <f t="shared" si="181"/>
        <v>11</v>
      </c>
      <c r="B606" s="445">
        <f t="shared" ref="B606:B655" si="186">$F$277</f>
        <v>7</v>
      </c>
      <c r="C606" s="445">
        <f t="shared" si="183"/>
        <v>11</v>
      </c>
      <c r="D606" s="445">
        <f t="shared" si="182"/>
        <v>315</v>
      </c>
      <c r="E606" s="480">
        <f t="shared" si="176"/>
        <v>1</v>
      </c>
      <c r="F606" s="453">
        <f t="shared" si="167"/>
        <v>1</v>
      </c>
      <c r="G606" s="445">
        <f t="shared" si="168"/>
        <v>0.7</v>
      </c>
      <c r="I606" s="476">
        <f t="shared" si="177"/>
        <v>7.9099999999999984</v>
      </c>
      <c r="J606" s="445">
        <f t="shared" si="178"/>
        <v>0.7</v>
      </c>
      <c r="L606" s="476">
        <f t="shared" si="179"/>
        <v>8.19</v>
      </c>
      <c r="M606" s="484">
        <f t="shared" si="180"/>
        <v>0.7</v>
      </c>
      <c r="O606" s="482">
        <f t="shared" si="169"/>
        <v>15.399999999999999</v>
      </c>
      <c r="P606" s="482">
        <f t="shared" si="170"/>
        <v>15.399999999999999</v>
      </c>
      <c r="Q606" s="484">
        <f t="shared" si="171"/>
        <v>11.354000000000001</v>
      </c>
      <c r="R606" s="484">
        <f t="shared" si="172"/>
        <v>7.7112090435807117</v>
      </c>
      <c r="S606" s="484">
        <f t="shared" si="173"/>
        <v>9.1</v>
      </c>
      <c r="T606" s="484">
        <f t="shared" si="174"/>
        <v>7.3552862258306444</v>
      </c>
    </row>
    <row r="607" spans="1:20">
      <c r="A607" s="445">
        <f t="shared" si="181"/>
        <v>11</v>
      </c>
      <c r="B607" s="445">
        <f t="shared" si="184"/>
        <v>1</v>
      </c>
      <c r="C607" s="445">
        <f t="shared" si="183"/>
        <v>12</v>
      </c>
      <c r="D607" s="445">
        <f t="shared" si="182"/>
        <v>316</v>
      </c>
      <c r="E607" s="480">
        <f t="shared" si="176"/>
        <v>1</v>
      </c>
      <c r="F607" s="453">
        <f t="shared" si="167"/>
        <v>1</v>
      </c>
      <c r="G607" s="445">
        <f t="shared" si="168"/>
        <v>0.7</v>
      </c>
      <c r="I607" s="476">
        <f t="shared" si="177"/>
        <v>7.9099999999999984</v>
      </c>
      <c r="J607" s="445">
        <f t="shared" si="178"/>
        <v>0.7</v>
      </c>
      <c r="L607" s="476">
        <f t="shared" si="179"/>
        <v>8.19</v>
      </c>
      <c r="M607" s="484">
        <f t="shared" si="180"/>
        <v>0.7</v>
      </c>
      <c r="O607" s="482">
        <f t="shared" si="169"/>
        <v>15.399999999999999</v>
      </c>
      <c r="P607" s="482">
        <f t="shared" si="170"/>
        <v>15.399999999999999</v>
      </c>
      <c r="Q607" s="484">
        <f t="shared" si="171"/>
        <v>11.354000000000001</v>
      </c>
      <c r="R607" s="484">
        <f t="shared" si="172"/>
        <v>7.7112090435807117</v>
      </c>
      <c r="S607" s="484">
        <f t="shared" si="173"/>
        <v>9.1</v>
      </c>
      <c r="T607" s="484">
        <f t="shared" si="174"/>
        <v>7.3552862258306444</v>
      </c>
    </row>
    <row r="608" spans="1:20">
      <c r="A608" s="445">
        <f t="shared" si="181"/>
        <v>11</v>
      </c>
      <c r="B608" s="445">
        <f t="shared" si="185"/>
        <v>2</v>
      </c>
      <c r="C608" s="445">
        <f t="shared" si="183"/>
        <v>13</v>
      </c>
      <c r="D608" s="445">
        <f t="shared" si="182"/>
        <v>317</v>
      </c>
      <c r="E608" s="480">
        <f t="shared" si="176"/>
        <v>1</v>
      </c>
      <c r="F608" s="453">
        <f t="shared" si="167"/>
        <v>1</v>
      </c>
      <c r="G608" s="445">
        <f t="shared" si="168"/>
        <v>0.7</v>
      </c>
      <c r="I608" s="476">
        <f t="shared" si="177"/>
        <v>7.9099999999999984</v>
      </c>
      <c r="J608" s="445">
        <f t="shared" si="178"/>
        <v>0.7</v>
      </c>
      <c r="L608" s="476">
        <f t="shared" si="179"/>
        <v>8.19</v>
      </c>
      <c r="M608" s="484">
        <f t="shared" si="180"/>
        <v>0.7</v>
      </c>
      <c r="O608" s="482">
        <f t="shared" si="169"/>
        <v>15.399999999999999</v>
      </c>
      <c r="P608" s="482">
        <f t="shared" si="170"/>
        <v>15.399999999999999</v>
      </c>
      <c r="Q608" s="484">
        <f t="shared" si="171"/>
        <v>11.354000000000001</v>
      </c>
      <c r="R608" s="484">
        <f t="shared" si="172"/>
        <v>7.7112090435807117</v>
      </c>
      <c r="S608" s="484">
        <f t="shared" si="173"/>
        <v>9.1</v>
      </c>
      <c r="T608" s="484">
        <f t="shared" si="174"/>
        <v>7.3552862258306444</v>
      </c>
    </row>
    <row r="609" spans="1:20">
      <c r="A609" s="445">
        <f t="shared" si="181"/>
        <v>11</v>
      </c>
      <c r="B609" s="445">
        <f t="shared" ref="B609:B651" si="187">$F$273</f>
        <v>3</v>
      </c>
      <c r="C609" s="445">
        <f t="shared" si="183"/>
        <v>14</v>
      </c>
      <c r="D609" s="445">
        <f t="shared" si="182"/>
        <v>318</v>
      </c>
      <c r="E609" s="480">
        <f t="shared" si="176"/>
        <v>1</v>
      </c>
      <c r="F609" s="453">
        <f t="shared" si="167"/>
        <v>1</v>
      </c>
      <c r="G609" s="445">
        <f t="shared" si="168"/>
        <v>0.7</v>
      </c>
      <c r="I609" s="476">
        <f t="shared" si="177"/>
        <v>7.9099999999999984</v>
      </c>
      <c r="J609" s="445">
        <f t="shared" si="178"/>
        <v>0.7</v>
      </c>
      <c r="L609" s="476">
        <f t="shared" si="179"/>
        <v>8.19</v>
      </c>
      <c r="M609" s="484">
        <f t="shared" si="180"/>
        <v>0.7</v>
      </c>
      <c r="O609" s="482">
        <f t="shared" si="169"/>
        <v>15.399999999999999</v>
      </c>
      <c r="P609" s="482">
        <f t="shared" si="170"/>
        <v>15.399999999999999</v>
      </c>
      <c r="Q609" s="484">
        <f t="shared" si="171"/>
        <v>11.354000000000001</v>
      </c>
      <c r="R609" s="484">
        <f t="shared" si="172"/>
        <v>7.7112090435807117</v>
      </c>
      <c r="S609" s="484">
        <f t="shared" si="173"/>
        <v>9.1</v>
      </c>
      <c r="T609" s="484">
        <f t="shared" si="174"/>
        <v>7.3552862258306444</v>
      </c>
    </row>
    <row r="610" spans="1:20">
      <c r="A610" s="445">
        <f t="shared" si="181"/>
        <v>11</v>
      </c>
      <c r="B610" s="445">
        <f t="shared" ref="B610:B652" si="188">$F$274</f>
        <v>4</v>
      </c>
      <c r="C610" s="445">
        <f t="shared" si="183"/>
        <v>15</v>
      </c>
      <c r="D610" s="445">
        <f t="shared" si="182"/>
        <v>319</v>
      </c>
      <c r="E610" s="480">
        <f t="shared" si="176"/>
        <v>1</v>
      </c>
      <c r="F610" s="453">
        <f t="shared" si="167"/>
        <v>1</v>
      </c>
      <c r="G610" s="445">
        <f t="shared" si="168"/>
        <v>0.7</v>
      </c>
      <c r="I610" s="476">
        <f t="shared" si="177"/>
        <v>7.9099999999999984</v>
      </c>
      <c r="J610" s="445">
        <f t="shared" si="178"/>
        <v>0.7</v>
      </c>
      <c r="L610" s="476">
        <f t="shared" si="179"/>
        <v>8.19</v>
      </c>
      <c r="M610" s="484">
        <f t="shared" si="180"/>
        <v>0.7</v>
      </c>
      <c r="O610" s="482">
        <f t="shared" si="169"/>
        <v>15.399999999999999</v>
      </c>
      <c r="P610" s="482">
        <f t="shared" si="170"/>
        <v>15.399999999999999</v>
      </c>
      <c r="Q610" s="484">
        <f t="shared" si="171"/>
        <v>11.354000000000001</v>
      </c>
      <c r="R610" s="484">
        <f t="shared" si="172"/>
        <v>7.7112090435807117</v>
      </c>
      <c r="S610" s="484">
        <f t="shared" si="173"/>
        <v>9.1</v>
      </c>
      <c r="T610" s="484">
        <f t="shared" si="174"/>
        <v>7.3552862258306444</v>
      </c>
    </row>
    <row r="611" spans="1:20">
      <c r="A611" s="445">
        <f t="shared" si="181"/>
        <v>11</v>
      </c>
      <c r="B611" s="445">
        <f t="shared" ref="B611:B653" si="189">$F$275</f>
        <v>5</v>
      </c>
      <c r="C611" s="445">
        <f t="shared" si="183"/>
        <v>16</v>
      </c>
      <c r="D611" s="445">
        <f t="shared" si="182"/>
        <v>320</v>
      </c>
      <c r="E611" s="480">
        <f t="shared" si="176"/>
        <v>1</v>
      </c>
      <c r="F611" s="453">
        <f t="shared" si="167"/>
        <v>1</v>
      </c>
      <c r="G611" s="445">
        <f t="shared" si="168"/>
        <v>0.7</v>
      </c>
      <c r="I611" s="476">
        <f t="shared" si="177"/>
        <v>7.9099999999999984</v>
      </c>
      <c r="J611" s="445">
        <f t="shared" si="178"/>
        <v>0.7</v>
      </c>
      <c r="L611" s="476">
        <f t="shared" si="179"/>
        <v>8.19</v>
      </c>
      <c r="M611" s="484">
        <f t="shared" si="180"/>
        <v>0.7</v>
      </c>
      <c r="O611" s="482">
        <f t="shared" si="169"/>
        <v>15.399999999999999</v>
      </c>
      <c r="P611" s="482">
        <f t="shared" si="170"/>
        <v>15.399999999999999</v>
      </c>
      <c r="Q611" s="484">
        <f t="shared" si="171"/>
        <v>11.354000000000001</v>
      </c>
      <c r="R611" s="484">
        <f t="shared" si="172"/>
        <v>7.7112090435807117</v>
      </c>
      <c r="S611" s="484">
        <f t="shared" si="173"/>
        <v>9.1</v>
      </c>
      <c r="T611" s="484">
        <f t="shared" si="174"/>
        <v>7.3552862258306444</v>
      </c>
    </row>
    <row r="612" spans="1:20">
      <c r="A612" s="445">
        <f t="shared" si="181"/>
        <v>11</v>
      </c>
      <c r="B612" s="445">
        <f t="shared" ref="B612:B654" si="190">$F$276</f>
        <v>6</v>
      </c>
      <c r="C612" s="445">
        <f t="shared" si="183"/>
        <v>17</v>
      </c>
      <c r="D612" s="445">
        <f t="shared" si="182"/>
        <v>321</v>
      </c>
      <c r="E612" s="480">
        <f t="shared" si="176"/>
        <v>1</v>
      </c>
      <c r="F612" s="453">
        <f t="shared" ref="F612:F656" si="191">INDEX($C$271:$C$282,A612)</f>
        <v>1</v>
      </c>
      <c r="G612" s="445">
        <f t="shared" ref="G612:G656" si="192">INDEX($D$271:$D$282,A612)</f>
        <v>0.7</v>
      </c>
      <c r="I612" s="476">
        <f t="shared" si="177"/>
        <v>7.9099999999999984</v>
      </c>
      <c r="J612" s="445">
        <f t="shared" si="178"/>
        <v>0.7</v>
      </c>
      <c r="L612" s="476">
        <f t="shared" si="179"/>
        <v>8.19</v>
      </c>
      <c r="M612" s="484">
        <f t="shared" si="180"/>
        <v>0.7</v>
      </c>
      <c r="O612" s="482">
        <f t="shared" ref="O612:O656" si="193">IF($F$287="bisherig", $E612*$F$66*F612, $E612*$F$66*G612)</f>
        <v>15.399999999999999</v>
      </c>
      <c r="P612" s="482">
        <f t="shared" ref="P612:P656" si="194">IF($F$287="bisherig", $E612*$F$66*F612, $E612*$F$66*G612)</f>
        <v>15.399999999999999</v>
      </c>
      <c r="Q612" s="484">
        <f t="shared" ref="Q612:Q656" si="195">IF($F$287="bisherig", $E612*$G$66*F612, $E612*$G$66*G612)</f>
        <v>11.354000000000001</v>
      </c>
      <c r="R612" s="484">
        <f t="shared" ref="R612:R656" si="196">IF($F$287="bisherig", $E612*$H$66*F612, $E612*$H$66*G612)</f>
        <v>7.7112090435807117</v>
      </c>
      <c r="S612" s="484">
        <f t="shared" ref="S612:S656" si="197">IF($F$287="bisherig", $E612*$I$66*F612, $E612*$I$66*G612)</f>
        <v>9.1</v>
      </c>
      <c r="T612" s="484">
        <f t="shared" ref="T612:T656" si="198">IF($F$287="bisherig", $E612*$J$66*F612, $E612*$J$66*G612)</f>
        <v>7.3552862258306444</v>
      </c>
    </row>
    <row r="613" spans="1:20">
      <c r="A613" s="445">
        <f t="shared" si="181"/>
        <v>11</v>
      </c>
      <c r="B613" s="445">
        <f t="shared" si="186"/>
        <v>7</v>
      </c>
      <c r="C613" s="445">
        <f t="shared" si="183"/>
        <v>18</v>
      </c>
      <c r="D613" s="445">
        <f t="shared" si="182"/>
        <v>322</v>
      </c>
      <c r="E613" s="480">
        <f t="shared" ref="E613:E656" si="199">INDEX($H$271:$H$277,B613)</f>
        <v>1</v>
      </c>
      <c r="F613" s="453">
        <f t="shared" si="191"/>
        <v>1</v>
      </c>
      <c r="G613" s="445">
        <f t="shared" si="192"/>
        <v>0.7</v>
      </c>
      <c r="I613" s="476">
        <f t="shared" ref="I613:I651" si="200">IF($F$287="bisherig", $E613*$B$66*F613, $E613*$B$66*G613)</f>
        <v>7.9099999999999984</v>
      </c>
      <c r="J613" s="445">
        <f t="shared" ref="J613:J656" si="201">IF($F$287="bisherig",$E613*MAX($B$67:$B$90)*F613,$E613*MAX($B$67:$B$90)*G613)</f>
        <v>0.7</v>
      </c>
      <c r="L613" s="476">
        <f t="shared" ref="L613:L656" si="202">IF($F$287="bisherig", IF(E613=1, $D$66*F613,$E$66*F613), IF(E613=1, $D$66*G613,$E$66*G613))</f>
        <v>8.19</v>
      </c>
      <c r="M613" s="484">
        <f t="shared" ref="M613:M656" si="203">IF($F$287="bisherig", IF(E613=1, MAX($D$67:$D$90)*F613,MAX($E$67:$E$90)*F613), IF(E613=1,MAX($D$67:$D$90)*G613,MAX($E$67:$E$90)*G613))</f>
        <v>0.7</v>
      </c>
      <c r="O613" s="482">
        <f t="shared" si="193"/>
        <v>15.399999999999999</v>
      </c>
      <c r="P613" s="482">
        <f t="shared" si="194"/>
        <v>15.399999999999999</v>
      </c>
      <c r="Q613" s="484">
        <f t="shared" si="195"/>
        <v>11.354000000000001</v>
      </c>
      <c r="R613" s="484">
        <f t="shared" si="196"/>
        <v>7.7112090435807117</v>
      </c>
      <c r="S613" s="484">
        <f t="shared" si="197"/>
        <v>9.1</v>
      </c>
      <c r="T613" s="484">
        <f t="shared" si="198"/>
        <v>7.3552862258306444</v>
      </c>
    </row>
    <row r="614" spans="1:20">
      <c r="A614" s="445">
        <f t="shared" ref="A614:A656" si="204">A613</f>
        <v>11</v>
      </c>
      <c r="B614" s="445">
        <f t="shared" si="184"/>
        <v>1</v>
      </c>
      <c r="C614" s="445">
        <f t="shared" si="183"/>
        <v>19</v>
      </c>
      <c r="D614" s="445">
        <f t="shared" si="182"/>
        <v>323</v>
      </c>
      <c r="E614" s="480">
        <f t="shared" si="199"/>
        <v>1</v>
      </c>
      <c r="F614" s="453">
        <f t="shared" si="191"/>
        <v>1</v>
      </c>
      <c r="G614" s="445">
        <f t="shared" si="192"/>
        <v>0.7</v>
      </c>
      <c r="I614" s="476">
        <f t="shared" si="200"/>
        <v>7.9099999999999984</v>
      </c>
      <c r="J614" s="445">
        <f t="shared" si="201"/>
        <v>0.7</v>
      </c>
      <c r="L614" s="476">
        <f t="shared" si="202"/>
        <v>8.19</v>
      </c>
      <c r="M614" s="484">
        <f t="shared" si="203"/>
        <v>0.7</v>
      </c>
      <c r="O614" s="482">
        <f t="shared" si="193"/>
        <v>15.399999999999999</v>
      </c>
      <c r="P614" s="482">
        <f t="shared" si="194"/>
        <v>15.399999999999999</v>
      </c>
      <c r="Q614" s="484">
        <f t="shared" si="195"/>
        <v>11.354000000000001</v>
      </c>
      <c r="R614" s="484">
        <f t="shared" si="196"/>
        <v>7.7112090435807117</v>
      </c>
      <c r="S614" s="484">
        <f t="shared" si="197"/>
        <v>9.1</v>
      </c>
      <c r="T614" s="484">
        <f t="shared" si="198"/>
        <v>7.3552862258306444</v>
      </c>
    </row>
    <row r="615" spans="1:20">
      <c r="A615" s="445">
        <f t="shared" si="204"/>
        <v>11</v>
      </c>
      <c r="B615" s="445">
        <f t="shared" si="185"/>
        <v>2</v>
      </c>
      <c r="C615" s="445">
        <f t="shared" si="183"/>
        <v>20</v>
      </c>
      <c r="D615" s="445">
        <f t="shared" si="182"/>
        <v>324</v>
      </c>
      <c r="E615" s="480">
        <f t="shared" si="199"/>
        <v>1</v>
      </c>
      <c r="F615" s="453">
        <f t="shared" si="191"/>
        <v>1</v>
      </c>
      <c r="G615" s="445">
        <f t="shared" si="192"/>
        <v>0.7</v>
      </c>
      <c r="I615" s="476">
        <f t="shared" si="200"/>
        <v>7.9099999999999984</v>
      </c>
      <c r="J615" s="445">
        <f t="shared" si="201"/>
        <v>0.7</v>
      </c>
      <c r="L615" s="476">
        <f t="shared" si="202"/>
        <v>8.19</v>
      </c>
      <c r="M615" s="484">
        <f t="shared" si="203"/>
        <v>0.7</v>
      </c>
      <c r="O615" s="482">
        <f t="shared" si="193"/>
        <v>15.399999999999999</v>
      </c>
      <c r="P615" s="482">
        <f t="shared" si="194"/>
        <v>15.399999999999999</v>
      </c>
      <c r="Q615" s="484">
        <f t="shared" si="195"/>
        <v>11.354000000000001</v>
      </c>
      <c r="R615" s="484">
        <f t="shared" si="196"/>
        <v>7.7112090435807117</v>
      </c>
      <c r="S615" s="484">
        <f t="shared" si="197"/>
        <v>9.1</v>
      </c>
      <c r="T615" s="484">
        <f t="shared" si="198"/>
        <v>7.3552862258306444</v>
      </c>
    </row>
    <row r="616" spans="1:20">
      <c r="A616" s="445">
        <f t="shared" si="204"/>
        <v>11</v>
      </c>
      <c r="B616" s="445">
        <f t="shared" si="187"/>
        <v>3</v>
      </c>
      <c r="C616" s="445">
        <f t="shared" si="183"/>
        <v>21</v>
      </c>
      <c r="D616" s="445">
        <f t="shared" si="182"/>
        <v>325</v>
      </c>
      <c r="E616" s="480">
        <f t="shared" si="199"/>
        <v>1</v>
      </c>
      <c r="F616" s="453">
        <f t="shared" si="191"/>
        <v>1</v>
      </c>
      <c r="G616" s="445">
        <f t="shared" si="192"/>
        <v>0.7</v>
      </c>
      <c r="I616" s="476">
        <f t="shared" si="200"/>
        <v>7.9099999999999984</v>
      </c>
      <c r="J616" s="445">
        <f t="shared" si="201"/>
        <v>0.7</v>
      </c>
      <c r="L616" s="476">
        <f t="shared" si="202"/>
        <v>8.19</v>
      </c>
      <c r="M616" s="484">
        <f t="shared" si="203"/>
        <v>0.7</v>
      </c>
      <c r="O616" s="482">
        <f t="shared" si="193"/>
        <v>15.399999999999999</v>
      </c>
      <c r="P616" s="482">
        <f t="shared" si="194"/>
        <v>15.399999999999999</v>
      </c>
      <c r="Q616" s="484">
        <f t="shared" si="195"/>
        <v>11.354000000000001</v>
      </c>
      <c r="R616" s="484">
        <f t="shared" si="196"/>
        <v>7.7112090435807117</v>
      </c>
      <c r="S616" s="484">
        <f t="shared" si="197"/>
        <v>9.1</v>
      </c>
      <c r="T616" s="484">
        <f t="shared" si="198"/>
        <v>7.3552862258306444</v>
      </c>
    </row>
    <row r="617" spans="1:20">
      <c r="A617" s="445">
        <f t="shared" si="204"/>
        <v>11</v>
      </c>
      <c r="B617" s="445">
        <f t="shared" si="188"/>
        <v>4</v>
      </c>
      <c r="C617" s="445">
        <f t="shared" si="183"/>
        <v>22</v>
      </c>
      <c r="D617" s="445">
        <f t="shared" si="182"/>
        <v>326</v>
      </c>
      <c r="E617" s="480">
        <f t="shared" si="199"/>
        <v>1</v>
      </c>
      <c r="F617" s="453">
        <f t="shared" si="191"/>
        <v>1</v>
      </c>
      <c r="G617" s="445">
        <f t="shared" si="192"/>
        <v>0.7</v>
      </c>
      <c r="I617" s="476">
        <f t="shared" si="200"/>
        <v>7.9099999999999984</v>
      </c>
      <c r="J617" s="445">
        <f t="shared" si="201"/>
        <v>0.7</v>
      </c>
      <c r="L617" s="476">
        <f t="shared" si="202"/>
        <v>8.19</v>
      </c>
      <c r="M617" s="484">
        <f t="shared" si="203"/>
        <v>0.7</v>
      </c>
      <c r="O617" s="482">
        <f t="shared" si="193"/>
        <v>15.399999999999999</v>
      </c>
      <c r="P617" s="482">
        <f t="shared" si="194"/>
        <v>15.399999999999999</v>
      </c>
      <c r="Q617" s="484">
        <f t="shared" si="195"/>
        <v>11.354000000000001</v>
      </c>
      <c r="R617" s="484">
        <f t="shared" si="196"/>
        <v>7.7112090435807117</v>
      </c>
      <c r="S617" s="484">
        <f t="shared" si="197"/>
        <v>9.1</v>
      </c>
      <c r="T617" s="484">
        <f t="shared" si="198"/>
        <v>7.3552862258306444</v>
      </c>
    </row>
    <row r="618" spans="1:20">
      <c r="A618" s="445">
        <f t="shared" si="204"/>
        <v>11</v>
      </c>
      <c r="B618" s="445">
        <f t="shared" si="189"/>
        <v>5</v>
      </c>
      <c r="C618" s="445">
        <f t="shared" si="183"/>
        <v>23</v>
      </c>
      <c r="D618" s="445">
        <f t="shared" si="182"/>
        <v>327</v>
      </c>
      <c r="E618" s="480">
        <f t="shared" si="199"/>
        <v>1</v>
      </c>
      <c r="F618" s="453">
        <f t="shared" si="191"/>
        <v>1</v>
      </c>
      <c r="G618" s="445">
        <f t="shared" si="192"/>
        <v>0.7</v>
      </c>
      <c r="I618" s="476">
        <f t="shared" si="200"/>
        <v>7.9099999999999984</v>
      </c>
      <c r="J618" s="445">
        <f t="shared" si="201"/>
        <v>0.7</v>
      </c>
      <c r="L618" s="476">
        <f t="shared" si="202"/>
        <v>8.19</v>
      </c>
      <c r="M618" s="484">
        <f t="shared" si="203"/>
        <v>0.7</v>
      </c>
      <c r="O618" s="482">
        <f t="shared" si="193"/>
        <v>15.399999999999999</v>
      </c>
      <c r="P618" s="482">
        <f t="shared" si="194"/>
        <v>15.399999999999999</v>
      </c>
      <c r="Q618" s="484">
        <f t="shared" si="195"/>
        <v>11.354000000000001</v>
      </c>
      <c r="R618" s="484">
        <f t="shared" si="196"/>
        <v>7.7112090435807117</v>
      </c>
      <c r="S618" s="484">
        <f t="shared" si="197"/>
        <v>9.1</v>
      </c>
      <c r="T618" s="484">
        <f t="shared" si="198"/>
        <v>7.3552862258306444</v>
      </c>
    </row>
    <row r="619" spans="1:20">
      <c r="A619" s="445">
        <f t="shared" si="204"/>
        <v>11</v>
      </c>
      <c r="B619" s="445">
        <f t="shared" si="190"/>
        <v>6</v>
      </c>
      <c r="C619" s="445">
        <f t="shared" si="183"/>
        <v>24</v>
      </c>
      <c r="D619" s="445">
        <f t="shared" si="182"/>
        <v>328</v>
      </c>
      <c r="E619" s="480">
        <f t="shared" si="199"/>
        <v>1</v>
      </c>
      <c r="F619" s="453">
        <f t="shared" si="191"/>
        <v>1</v>
      </c>
      <c r="G619" s="445">
        <f t="shared" si="192"/>
        <v>0.7</v>
      </c>
      <c r="I619" s="476">
        <f t="shared" si="200"/>
        <v>7.9099999999999984</v>
      </c>
      <c r="J619" s="445">
        <f t="shared" si="201"/>
        <v>0.7</v>
      </c>
      <c r="L619" s="476">
        <f t="shared" si="202"/>
        <v>8.19</v>
      </c>
      <c r="M619" s="484">
        <f t="shared" si="203"/>
        <v>0.7</v>
      </c>
      <c r="O619" s="482">
        <f t="shared" si="193"/>
        <v>15.399999999999999</v>
      </c>
      <c r="P619" s="482">
        <f t="shared" si="194"/>
        <v>15.399999999999999</v>
      </c>
      <c r="Q619" s="484">
        <f t="shared" si="195"/>
        <v>11.354000000000001</v>
      </c>
      <c r="R619" s="484">
        <f t="shared" si="196"/>
        <v>7.7112090435807117</v>
      </c>
      <c r="S619" s="484">
        <f t="shared" si="197"/>
        <v>9.1</v>
      </c>
      <c r="T619" s="484">
        <f t="shared" si="198"/>
        <v>7.3552862258306444</v>
      </c>
    </row>
    <row r="620" spans="1:20">
      <c r="A620" s="445">
        <f t="shared" si="204"/>
        <v>11</v>
      </c>
      <c r="B620" s="445">
        <f t="shared" si="186"/>
        <v>7</v>
      </c>
      <c r="C620" s="445">
        <f t="shared" si="183"/>
        <v>25</v>
      </c>
      <c r="D620" s="445">
        <f t="shared" si="182"/>
        <v>329</v>
      </c>
      <c r="E620" s="480">
        <f t="shared" si="199"/>
        <v>1</v>
      </c>
      <c r="F620" s="453">
        <f t="shared" si="191"/>
        <v>1</v>
      </c>
      <c r="G620" s="445">
        <f t="shared" si="192"/>
        <v>0.7</v>
      </c>
      <c r="I620" s="476">
        <f t="shared" si="200"/>
        <v>7.9099999999999984</v>
      </c>
      <c r="J620" s="445">
        <f t="shared" si="201"/>
        <v>0.7</v>
      </c>
      <c r="L620" s="476">
        <f t="shared" si="202"/>
        <v>8.19</v>
      </c>
      <c r="M620" s="484">
        <f t="shared" si="203"/>
        <v>0.7</v>
      </c>
      <c r="O620" s="482">
        <f t="shared" si="193"/>
        <v>15.399999999999999</v>
      </c>
      <c r="P620" s="482">
        <f t="shared" si="194"/>
        <v>15.399999999999999</v>
      </c>
      <c r="Q620" s="484">
        <f t="shared" si="195"/>
        <v>11.354000000000001</v>
      </c>
      <c r="R620" s="484">
        <f t="shared" si="196"/>
        <v>7.7112090435807117</v>
      </c>
      <c r="S620" s="484">
        <f t="shared" si="197"/>
        <v>9.1</v>
      </c>
      <c r="T620" s="484">
        <f t="shared" si="198"/>
        <v>7.3552862258306444</v>
      </c>
    </row>
    <row r="621" spans="1:20">
      <c r="A621" s="445">
        <f t="shared" si="204"/>
        <v>11</v>
      </c>
      <c r="B621" s="445">
        <f t="shared" si="184"/>
        <v>1</v>
      </c>
      <c r="C621" s="445">
        <f t="shared" si="183"/>
        <v>26</v>
      </c>
      <c r="D621" s="445">
        <f t="shared" si="182"/>
        <v>330</v>
      </c>
      <c r="E621" s="480">
        <f t="shared" si="199"/>
        <v>1</v>
      </c>
      <c r="F621" s="453">
        <f t="shared" si="191"/>
        <v>1</v>
      </c>
      <c r="G621" s="445">
        <f t="shared" si="192"/>
        <v>0.7</v>
      </c>
      <c r="I621" s="476">
        <f t="shared" si="200"/>
        <v>7.9099999999999984</v>
      </c>
      <c r="J621" s="445">
        <f t="shared" si="201"/>
        <v>0.7</v>
      </c>
      <c r="L621" s="476">
        <f t="shared" si="202"/>
        <v>8.19</v>
      </c>
      <c r="M621" s="484">
        <f t="shared" si="203"/>
        <v>0.7</v>
      </c>
      <c r="O621" s="482">
        <f t="shared" si="193"/>
        <v>15.399999999999999</v>
      </c>
      <c r="P621" s="482">
        <f t="shared" si="194"/>
        <v>15.399999999999999</v>
      </c>
      <c r="Q621" s="484">
        <f t="shared" si="195"/>
        <v>11.354000000000001</v>
      </c>
      <c r="R621" s="484">
        <f t="shared" si="196"/>
        <v>7.7112090435807117</v>
      </c>
      <c r="S621" s="484">
        <f t="shared" si="197"/>
        <v>9.1</v>
      </c>
      <c r="T621" s="484">
        <f t="shared" si="198"/>
        <v>7.3552862258306444</v>
      </c>
    </row>
    <row r="622" spans="1:20">
      <c r="A622" s="445">
        <f t="shared" si="204"/>
        <v>11</v>
      </c>
      <c r="B622" s="445">
        <f t="shared" si="185"/>
        <v>2</v>
      </c>
      <c r="C622" s="445">
        <f t="shared" si="183"/>
        <v>27</v>
      </c>
      <c r="D622" s="445">
        <f t="shared" si="182"/>
        <v>331</v>
      </c>
      <c r="E622" s="480">
        <f t="shared" si="199"/>
        <v>1</v>
      </c>
      <c r="F622" s="453">
        <f t="shared" si="191"/>
        <v>1</v>
      </c>
      <c r="G622" s="445">
        <f t="shared" si="192"/>
        <v>0.7</v>
      </c>
      <c r="I622" s="476">
        <f t="shared" si="200"/>
        <v>7.9099999999999984</v>
      </c>
      <c r="J622" s="445">
        <f t="shared" si="201"/>
        <v>0.7</v>
      </c>
      <c r="L622" s="476">
        <f t="shared" si="202"/>
        <v>8.19</v>
      </c>
      <c r="M622" s="484">
        <f t="shared" si="203"/>
        <v>0.7</v>
      </c>
      <c r="O622" s="482">
        <f t="shared" si="193"/>
        <v>15.399999999999999</v>
      </c>
      <c r="P622" s="482">
        <f t="shared" si="194"/>
        <v>15.399999999999999</v>
      </c>
      <c r="Q622" s="484">
        <f t="shared" si="195"/>
        <v>11.354000000000001</v>
      </c>
      <c r="R622" s="484">
        <f t="shared" si="196"/>
        <v>7.7112090435807117</v>
      </c>
      <c r="S622" s="484">
        <f t="shared" si="197"/>
        <v>9.1</v>
      </c>
      <c r="T622" s="484">
        <f t="shared" si="198"/>
        <v>7.3552862258306444</v>
      </c>
    </row>
    <row r="623" spans="1:20">
      <c r="A623" s="445">
        <f t="shared" si="204"/>
        <v>11</v>
      </c>
      <c r="B623" s="445">
        <f t="shared" si="187"/>
        <v>3</v>
      </c>
      <c r="C623" s="445">
        <f t="shared" si="183"/>
        <v>28</v>
      </c>
      <c r="D623" s="445">
        <f t="shared" si="182"/>
        <v>332</v>
      </c>
      <c r="E623" s="480">
        <f t="shared" si="199"/>
        <v>1</v>
      </c>
      <c r="F623" s="453">
        <f t="shared" si="191"/>
        <v>1</v>
      </c>
      <c r="G623" s="445">
        <f t="shared" si="192"/>
        <v>0.7</v>
      </c>
      <c r="I623" s="476">
        <f t="shared" si="200"/>
        <v>7.9099999999999984</v>
      </c>
      <c r="J623" s="445">
        <f t="shared" si="201"/>
        <v>0.7</v>
      </c>
      <c r="L623" s="476">
        <f t="shared" si="202"/>
        <v>8.19</v>
      </c>
      <c r="M623" s="484">
        <f t="shared" si="203"/>
        <v>0.7</v>
      </c>
      <c r="O623" s="482">
        <f t="shared" si="193"/>
        <v>15.399999999999999</v>
      </c>
      <c r="P623" s="482">
        <f t="shared" si="194"/>
        <v>15.399999999999999</v>
      </c>
      <c r="Q623" s="484">
        <f t="shared" si="195"/>
        <v>11.354000000000001</v>
      </c>
      <c r="R623" s="484">
        <f t="shared" si="196"/>
        <v>7.7112090435807117</v>
      </c>
      <c r="S623" s="484">
        <f t="shared" si="197"/>
        <v>9.1</v>
      </c>
      <c r="T623" s="484">
        <f t="shared" si="198"/>
        <v>7.3552862258306444</v>
      </c>
    </row>
    <row r="624" spans="1:20">
      <c r="A624" s="445">
        <f t="shared" si="204"/>
        <v>11</v>
      </c>
      <c r="B624" s="445">
        <f t="shared" si="188"/>
        <v>4</v>
      </c>
      <c r="C624" s="445">
        <f t="shared" si="183"/>
        <v>29</v>
      </c>
      <c r="D624" s="445">
        <f t="shared" si="182"/>
        <v>333</v>
      </c>
      <c r="E624" s="480">
        <f t="shared" si="199"/>
        <v>1</v>
      </c>
      <c r="F624" s="453">
        <f t="shared" si="191"/>
        <v>1</v>
      </c>
      <c r="G624" s="445">
        <f t="shared" si="192"/>
        <v>0.7</v>
      </c>
      <c r="I624" s="476">
        <f t="shared" si="200"/>
        <v>7.9099999999999984</v>
      </c>
      <c r="J624" s="445">
        <f t="shared" si="201"/>
        <v>0.7</v>
      </c>
      <c r="L624" s="476">
        <f t="shared" si="202"/>
        <v>8.19</v>
      </c>
      <c r="M624" s="484">
        <f t="shared" si="203"/>
        <v>0.7</v>
      </c>
      <c r="O624" s="482">
        <f t="shared" si="193"/>
        <v>15.399999999999999</v>
      </c>
      <c r="P624" s="482">
        <f t="shared" si="194"/>
        <v>15.399999999999999</v>
      </c>
      <c r="Q624" s="484">
        <f t="shared" si="195"/>
        <v>11.354000000000001</v>
      </c>
      <c r="R624" s="484">
        <f t="shared" si="196"/>
        <v>7.7112090435807117</v>
      </c>
      <c r="S624" s="484">
        <f t="shared" si="197"/>
        <v>9.1</v>
      </c>
      <c r="T624" s="484">
        <f t="shared" si="198"/>
        <v>7.3552862258306444</v>
      </c>
    </row>
    <row r="625" spans="1:20">
      <c r="A625" s="445">
        <f t="shared" si="204"/>
        <v>11</v>
      </c>
      <c r="B625" s="445">
        <f t="shared" si="189"/>
        <v>5</v>
      </c>
      <c r="C625" s="445">
        <f t="shared" si="183"/>
        <v>30</v>
      </c>
      <c r="D625" s="445">
        <f t="shared" si="182"/>
        <v>334</v>
      </c>
      <c r="E625" s="480">
        <f t="shared" si="199"/>
        <v>1</v>
      </c>
      <c r="F625" s="453">
        <f t="shared" si="191"/>
        <v>1</v>
      </c>
      <c r="G625" s="445">
        <f t="shared" si="192"/>
        <v>0.7</v>
      </c>
      <c r="I625" s="476">
        <f t="shared" si="200"/>
        <v>7.9099999999999984</v>
      </c>
      <c r="J625" s="445">
        <f t="shared" si="201"/>
        <v>0.7</v>
      </c>
      <c r="L625" s="476">
        <f t="shared" si="202"/>
        <v>8.19</v>
      </c>
      <c r="M625" s="484">
        <f t="shared" si="203"/>
        <v>0.7</v>
      </c>
      <c r="O625" s="482">
        <f t="shared" si="193"/>
        <v>15.399999999999999</v>
      </c>
      <c r="P625" s="482">
        <f t="shared" si="194"/>
        <v>15.399999999999999</v>
      </c>
      <c r="Q625" s="484">
        <f t="shared" si="195"/>
        <v>11.354000000000001</v>
      </c>
      <c r="R625" s="484">
        <f t="shared" si="196"/>
        <v>7.7112090435807117</v>
      </c>
      <c r="S625" s="484">
        <f t="shared" si="197"/>
        <v>9.1</v>
      </c>
      <c r="T625" s="484">
        <f t="shared" si="198"/>
        <v>7.3552862258306444</v>
      </c>
    </row>
    <row r="626" spans="1:20">
      <c r="A626" s="445">
        <v>12</v>
      </c>
      <c r="B626" s="445">
        <f t="shared" si="190"/>
        <v>6</v>
      </c>
      <c r="C626" s="445">
        <v>1</v>
      </c>
      <c r="D626" s="445">
        <f t="shared" si="182"/>
        <v>335</v>
      </c>
      <c r="E626" s="480">
        <f t="shared" si="199"/>
        <v>1</v>
      </c>
      <c r="F626" s="453">
        <f t="shared" si="191"/>
        <v>0.6</v>
      </c>
      <c r="G626" s="445">
        <f t="shared" si="192"/>
        <v>0.7</v>
      </c>
      <c r="I626" s="476">
        <f t="shared" si="200"/>
        <v>7.9099999999999984</v>
      </c>
      <c r="J626" s="445">
        <f t="shared" si="201"/>
        <v>0.7</v>
      </c>
      <c r="L626" s="476">
        <f t="shared" si="202"/>
        <v>8.19</v>
      </c>
      <c r="M626" s="484">
        <f t="shared" si="203"/>
        <v>0.7</v>
      </c>
      <c r="O626" s="482">
        <f t="shared" si="193"/>
        <v>15.399999999999999</v>
      </c>
      <c r="P626" s="482">
        <f t="shared" si="194"/>
        <v>15.399999999999999</v>
      </c>
      <c r="Q626" s="484">
        <f t="shared" si="195"/>
        <v>11.354000000000001</v>
      </c>
      <c r="R626" s="484">
        <f t="shared" si="196"/>
        <v>7.7112090435807117</v>
      </c>
      <c r="S626" s="484">
        <f t="shared" si="197"/>
        <v>9.1</v>
      </c>
      <c r="T626" s="484">
        <f t="shared" si="198"/>
        <v>7.3552862258306444</v>
      </c>
    </row>
    <row r="627" spans="1:20">
      <c r="A627" s="445">
        <f t="shared" si="204"/>
        <v>12</v>
      </c>
      <c r="B627" s="445">
        <f t="shared" si="186"/>
        <v>7</v>
      </c>
      <c r="C627" s="445">
        <f t="shared" si="183"/>
        <v>2</v>
      </c>
      <c r="D627" s="445">
        <f t="shared" si="182"/>
        <v>336</v>
      </c>
      <c r="E627" s="480">
        <f t="shared" si="199"/>
        <v>1</v>
      </c>
      <c r="F627" s="453">
        <f t="shared" si="191"/>
        <v>0.6</v>
      </c>
      <c r="G627" s="445">
        <f t="shared" si="192"/>
        <v>0.7</v>
      </c>
      <c r="I627" s="476">
        <f t="shared" si="200"/>
        <v>7.9099999999999984</v>
      </c>
      <c r="J627" s="445">
        <f t="shared" si="201"/>
        <v>0.7</v>
      </c>
      <c r="L627" s="476">
        <f t="shared" si="202"/>
        <v>8.19</v>
      </c>
      <c r="M627" s="484">
        <f t="shared" si="203"/>
        <v>0.7</v>
      </c>
      <c r="O627" s="482">
        <f t="shared" si="193"/>
        <v>15.399999999999999</v>
      </c>
      <c r="P627" s="482">
        <f t="shared" si="194"/>
        <v>15.399999999999999</v>
      </c>
      <c r="Q627" s="484">
        <f t="shared" si="195"/>
        <v>11.354000000000001</v>
      </c>
      <c r="R627" s="484">
        <f t="shared" si="196"/>
        <v>7.7112090435807117</v>
      </c>
      <c r="S627" s="484">
        <f t="shared" si="197"/>
        <v>9.1</v>
      </c>
      <c r="T627" s="484">
        <f t="shared" si="198"/>
        <v>7.3552862258306444</v>
      </c>
    </row>
    <row r="628" spans="1:20">
      <c r="A628" s="445">
        <f t="shared" si="204"/>
        <v>12</v>
      </c>
      <c r="B628" s="445">
        <f t="shared" si="184"/>
        <v>1</v>
      </c>
      <c r="C628" s="445">
        <f t="shared" si="183"/>
        <v>3</v>
      </c>
      <c r="D628" s="445">
        <f t="shared" si="182"/>
        <v>337</v>
      </c>
      <c r="E628" s="480">
        <f t="shared" si="199"/>
        <v>1</v>
      </c>
      <c r="F628" s="453">
        <f t="shared" si="191"/>
        <v>0.6</v>
      </c>
      <c r="G628" s="445">
        <f t="shared" si="192"/>
        <v>0.7</v>
      </c>
      <c r="I628" s="476">
        <f t="shared" si="200"/>
        <v>7.9099999999999984</v>
      </c>
      <c r="J628" s="445">
        <f t="shared" si="201"/>
        <v>0.7</v>
      </c>
      <c r="L628" s="476">
        <f t="shared" si="202"/>
        <v>8.19</v>
      </c>
      <c r="M628" s="484">
        <f t="shared" si="203"/>
        <v>0.7</v>
      </c>
      <c r="O628" s="482">
        <f t="shared" si="193"/>
        <v>15.399999999999999</v>
      </c>
      <c r="P628" s="482">
        <f t="shared" si="194"/>
        <v>15.399999999999999</v>
      </c>
      <c r="Q628" s="484">
        <f t="shared" si="195"/>
        <v>11.354000000000001</v>
      </c>
      <c r="R628" s="484">
        <f t="shared" si="196"/>
        <v>7.7112090435807117</v>
      </c>
      <c r="S628" s="484">
        <f t="shared" si="197"/>
        <v>9.1</v>
      </c>
      <c r="T628" s="484">
        <f t="shared" si="198"/>
        <v>7.3552862258306444</v>
      </c>
    </row>
    <row r="629" spans="1:20">
      <c r="A629" s="445">
        <f t="shared" si="204"/>
        <v>12</v>
      </c>
      <c r="B629" s="445">
        <f t="shared" si="185"/>
        <v>2</v>
      </c>
      <c r="C629" s="445">
        <f t="shared" si="183"/>
        <v>4</v>
      </c>
      <c r="D629" s="445">
        <f t="shared" si="183"/>
        <v>338</v>
      </c>
      <c r="E629" s="480">
        <f t="shared" si="199"/>
        <v>1</v>
      </c>
      <c r="F629" s="453">
        <f t="shared" si="191"/>
        <v>0.6</v>
      </c>
      <c r="G629" s="445">
        <f t="shared" si="192"/>
        <v>0.7</v>
      </c>
      <c r="I629" s="476">
        <f t="shared" si="200"/>
        <v>7.9099999999999984</v>
      </c>
      <c r="J629" s="445">
        <f t="shared" si="201"/>
        <v>0.7</v>
      </c>
      <c r="L629" s="476">
        <f t="shared" si="202"/>
        <v>8.19</v>
      </c>
      <c r="M629" s="484">
        <f t="shared" si="203"/>
        <v>0.7</v>
      </c>
      <c r="O629" s="482">
        <f t="shared" si="193"/>
        <v>15.399999999999999</v>
      </c>
      <c r="P629" s="482">
        <f t="shared" si="194"/>
        <v>15.399999999999999</v>
      </c>
      <c r="Q629" s="484">
        <f t="shared" si="195"/>
        <v>11.354000000000001</v>
      </c>
      <c r="R629" s="484">
        <f t="shared" si="196"/>
        <v>7.7112090435807117</v>
      </c>
      <c r="S629" s="484">
        <f t="shared" si="197"/>
        <v>9.1</v>
      </c>
      <c r="T629" s="484">
        <f t="shared" si="198"/>
        <v>7.3552862258306444</v>
      </c>
    </row>
    <row r="630" spans="1:20">
      <c r="A630" s="445">
        <f t="shared" si="204"/>
        <v>12</v>
      </c>
      <c r="B630" s="445">
        <f t="shared" si="187"/>
        <v>3</v>
      </c>
      <c r="C630" s="445">
        <f t="shared" ref="C630:D645" si="205">C629+1</f>
        <v>5</v>
      </c>
      <c r="D630" s="445">
        <f t="shared" si="205"/>
        <v>339</v>
      </c>
      <c r="E630" s="480">
        <f t="shared" si="199"/>
        <v>1</v>
      </c>
      <c r="F630" s="453">
        <f t="shared" si="191"/>
        <v>0.6</v>
      </c>
      <c r="G630" s="445">
        <f t="shared" si="192"/>
        <v>0.7</v>
      </c>
      <c r="I630" s="476">
        <f t="shared" si="200"/>
        <v>7.9099999999999984</v>
      </c>
      <c r="J630" s="445">
        <f t="shared" si="201"/>
        <v>0.7</v>
      </c>
      <c r="L630" s="476">
        <f t="shared" si="202"/>
        <v>8.19</v>
      </c>
      <c r="M630" s="484">
        <f t="shared" si="203"/>
        <v>0.7</v>
      </c>
      <c r="O630" s="482">
        <f t="shared" si="193"/>
        <v>15.399999999999999</v>
      </c>
      <c r="P630" s="482">
        <f t="shared" si="194"/>
        <v>15.399999999999999</v>
      </c>
      <c r="Q630" s="484">
        <f t="shared" si="195"/>
        <v>11.354000000000001</v>
      </c>
      <c r="R630" s="484">
        <f t="shared" si="196"/>
        <v>7.7112090435807117</v>
      </c>
      <c r="S630" s="484">
        <f t="shared" si="197"/>
        <v>9.1</v>
      </c>
      <c r="T630" s="484">
        <f t="shared" si="198"/>
        <v>7.3552862258306444</v>
      </c>
    </row>
    <row r="631" spans="1:20">
      <c r="A631" s="445">
        <f t="shared" si="204"/>
        <v>12</v>
      </c>
      <c r="B631" s="445">
        <f t="shared" si="188"/>
        <v>4</v>
      </c>
      <c r="C631" s="445">
        <f t="shared" si="205"/>
        <v>6</v>
      </c>
      <c r="D631" s="445">
        <f t="shared" si="205"/>
        <v>340</v>
      </c>
      <c r="E631" s="480">
        <f t="shared" si="199"/>
        <v>1</v>
      </c>
      <c r="F631" s="453">
        <f t="shared" si="191"/>
        <v>0.6</v>
      </c>
      <c r="G631" s="445">
        <f t="shared" si="192"/>
        <v>0.7</v>
      </c>
      <c r="I631" s="476">
        <f t="shared" si="200"/>
        <v>7.9099999999999984</v>
      </c>
      <c r="J631" s="445">
        <f t="shared" si="201"/>
        <v>0.7</v>
      </c>
      <c r="L631" s="476">
        <f t="shared" si="202"/>
        <v>8.19</v>
      </c>
      <c r="M631" s="484">
        <f t="shared" si="203"/>
        <v>0.7</v>
      </c>
      <c r="O631" s="482">
        <f t="shared" si="193"/>
        <v>15.399999999999999</v>
      </c>
      <c r="P631" s="482">
        <f t="shared" si="194"/>
        <v>15.399999999999999</v>
      </c>
      <c r="Q631" s="484">
        <f t="shared" si="195"/>
        <v>11.354000000000001</v>
      </c>
      <c r="R631" s="484">
        <f t="shared" si="196"/>
        <v>7.7112090435807117</v>
      </c>
      <c r="S631" s="484">
        <f t="shared" si="197"/>
        <v>9.1</v>
      </c>
      <c r="T631" s="484">
        <f t="shared" si="198"/>
        <v>7.3552862258306444</v>
      </c>
    </row>
    <row r="632" spans="1:20">
      <c r="A632" s="445">
        <f t="shared" si="204"/>
        <v>12</v>
      </c>
      <c r="B632" s="445">
        <f t="shared" si="189"/>
        <v>5</v>
      </c>
      <c r="C632" s="445">
        <f t="shared" si="205"/>
        <v>7</v>
      </c>
      <c r="D632" s="445">
        <f t="shared" si="205"/>
        <v>341</v>
      </c>
      <c r="E632" s="480">
        <f t="shared" si="199"/>
        <v>1</v>
      </c>
      <c r="F632" s="453">
        <f t="shared" si="191"/>
        <v>0.6</v>
      </c>
      <c r="G632" s="445">
        <f t="shared" si="192"/>
        <v>0.7</v>
      </c>
      <c r="I632" s="476">
        <f t="shared" si="200"/>
        <v>7.9099999999999984</v>
      </c>
      <c r="J632" s="445">
        <f t="shared" si="201"/>
        <v>0.7</v>
      </c>
      <c r="L632" s="476">
        <f t="shared" si="202"/>
        <v>8.19</v>
      </c>
      <c r="M632" s="484">
        <f t="shared" si="203"/>
        <v>0.7</v>
      </c>
      <c r="O632" s="482">
        <f t="shared" si="193"/>
        <v>15.399999999999999</v>
      </c>
      <c r="P632" s="482">
        <f t="shared" si="194"/>
        <v>15.399999999999999</v>
      </c>
      <c r="Q632" s="484">
        <f t="shared" si="195"/>
        <v>11.354000000000001</v>
      </c>
      <c r="R632" s="484">
        <f t="shared" si="196"/>
        <v>7.7112090435807117</v>
      </c>
      <c r="S632" s="484">
        <f t="shared" si="197"/>
        <v>9.1</v>
      </c>
      <c r="T632" s="484">
        <f t="shared" si="198"/>
        <v>7.3552862258306444</v>
      </c>
    </row>
    <row r="633" spans="1:20">
      <c r="A633" s="445">
        <f t="shared" si="204"/>
        <v>12</v>
      </c>
      <c r="B633" s="445">
        <f t="shared" si="190"/>
        <v>6</v>
      </c>
      <c r="C633" s="445">
        <f t="shared" si="205"/>
        <v>8</v>
      </c>
      <c r="D633" s="445">
        <f t="shared" si="205"/>
        <v>342</v>
      </c>
      <c r="E633" s="480">
        <f t="shared" si="199"/>
        <v>1</v>
      </c>
      <c r="F633" s="453">
        <f t="shared" si="191"/>
        <v>0.6</v>
      </c>
      <c r="G633" s="445">
        <f t="shared" si="192"/>
        <v>0.7</v>
      </c>
      <c r="I633" s="476">
        <f t="shared" si="200"/>
        <v>7.9099999999999984</v>
      </c>
      <c r="J633" s="445">
        <f t="shared" si="201"/>
        <v>0.7</v>
      </c>
      <c r="L633" s="476">
        <f t="shared" si="202"/>
        <v>8.19</v>
      </c>
      <c r="M633" s="484">
        <f t="shared" si="203"/>
        <v>0.7</v>
      </c>
      <c r="O633" s="482">
        <f t="shared" si="193"/>
        <v>15.399999999999999</v>
      </c>
      <c r="P633" s="482">
        <f t="shared" si="194"/>
        <v>15.399999999999999</v>
      </c>
      <c r="Q633" s="484">
        <f t="shared" si="195"/>
        <v>11.354000000000001</v>
      </c>
      <c r="R633" s="484">
        <f t="shared" si="196"/>
        <v>7.7112090435807117</v>
      </c>
      <c r="S633" s="484">
        <f t="shared" si="197"/>
        <v>9.1</v>
      </c>
      <c r="T633" s="484">
        <f t="shared" si="198"/>
        <v>7.3552862258306444</v>
      </c>
    </row>
    <row r="634" spans="1:20">
      <c r="A634" s="445">
        <f t="shared" si="204"/>
        <v>12</v>
      </c>
      <c r="B634" s="445">
        <f t="shared" si="186"/>
        <v>7</v>
      </c>
      <c r="C634" s="445">
        <f t="shared" si="205"/>
        <v>9</v>
      </c>
      <c r="D634" s="445">
        <f t="shared" si="205"/>
        <v>343</v>
      </c>
      <c r="E634" s="480">
        <f t="shared" si="199"/>
        <v>1</v>
      </c>
      <c r="F634" s="453">
        <f t="shared" si="191"/>
        <v>0.6</v>
      </c>
      <c r="G634" s="445">
        <f t="shared" si="192"/>
        <v>0.7</v>
      </c>
      <c r="I634" s="476">
        <f t="shared" si="200"/>
        <v>7.9099999999999984</v>
      </c>
      <c r="J634" s="445">
        <f t="shared" si="201"/>
        <v>0.7</v>
      </c>
      <c r="L634" s="476">
        <f t="shared" si="202"/>
        <v>8.19</v>
      </c>
      <c r="M634" s="484">
        <f t="shared" si="203"/>
        <v>0.7</v>
      </c>
      <c r="O634" s="482">
        <f t="shared" si="193"/>
        <v>15.399999999999999</v>
      </c>
      <c r="P634" s="482">
        <f t="shared" si="194"/>
        <v>15.399999999999999</v>
      </c>
      <c r="Q634" s="484">
        <f t="shared" si="195"/>
        <v>11.354000000000001</v>
      </c>
      <c r="R634" s="484">
        <f t="shared" si="196"/>
        <v>7.7112090435807117</v>
      </c>
      <c r="S634" s="484">
        <f t="shared" si="197"/>
        <v>9.1</v>
      </c>
      <c r="T634" s="484">
        <f t="shared" si="198"/>
        <v>7.3552862258306444</v>
      </c>
    </row>
    <row r="635" spans="1:20">
      <c r="A635" s="445">
        <f t="shared" si="204"/>
        <v>12</v>
      </c>
      <c r="B635" s="445">
        <f t="shared" si="184"/>
        <v>1</v>
      </c>
      <c r="C635" s="445">
        <f t="shared" si="205"/>
        <v>10</v>
      </c>
      <c r="D635" s="445">
        <f t="shared" si="205"/>
        <v>344</v>
      </c>
      <c r="E635" s="480">
        <f t="shared" si="199"/>
        <v>1</v>
      </c>
      <c r="F635" s="453">
        <f t="shared" si="191"/>
        <v>0.6</v>
      </c>
      <c r="G635" s="445">
        <f t="shared" si="192"/>
        <v>0.7</v>
      </c>
      <c r="I635" s="476">
        <f t="shared" si="200"/>
        <v>7.9099999999999984</v>
      </c>
      <c r="J635" s="445">
        <f t="shared" si="201"/>
        <v>0.7</v>
      </c>
      <c r="L635" s="476">
        <f t="shared" si="202"/>
        <v>8.19</v>
      </c>
      <c r="M635" s="484">
        <f t="shared" si="203"/>
        <v>0.7</v>
      </c>
      <c r="O635" s="482">
        <f t="shared" si="193"/>
        <v>15.399999999999999</v>
      </c>
      <c r="P635" s="482">
        <f t="shared" si="194"/>
        <v>15.399999999999999</v>
      </c>
      <c r="Q635" s="484">
        <f t="shared" si="195"/>
        <v>11.354000000000001</v>
      </c>
      <c r="R635" s="484">
        <f t="shared" si="196"/>
        <v>7.7112090435807117</v>
      </c>
      <c r="S635" s="484">
        <f t="shared" si="197"/>
        <v>9.1</v>
      </c>
      <c r="T635" s="484">
        <f t="shared" si="198"/>
        <v>7.3552862258306444</v>
      </c>
    </row>
    <row r="636" spans="1:20">
      <c r="A636" s="445">
        <f t="shared" si="204"/>
        <v>12</v>
      </c>
      <c r="B636" s="445">
        <f t="shared" si="185"/>
        <v>2</v>
      </c>
      <c r="C636" s="445">
        <f t="shared" si="205"/>
        <v>11</v>
      </c>
      <c r="D636" s="445">
        <f t="shared" si="205"/>
        <v>345</v>
      </c>
      <c r="E636" s="480">
        <f t="shared" si="199"/>
        <v>1</v>
      </c>
      <c r="F636" s="453">
        <f t="shared" si="191"/>
        <v>0.6</v>
      </c>
      <c r="G636" s="445">
        <f t="shared" si="192"/>
        <v>0.7</v>
      </c>
      <c r="I636" s="476">
        <f t="shared" si="200"/>
        <v>7.9099999999999984</v>
      </c>
      <c r="J636" s="445">
        <f t="shared" si="201"/>
        <v>0.7</v>
      </c>
      <c r="L636" s="476">
        <f t="shared" si="202"/>
        <v>8.19</v>
      </c>
      <c r="M636" s="484">
        <f t="shared" si="203"/>
        <v>0.7</v>
      </c>
      <c r="O636" s="482">
        <f t="shared" si="193"/>
        <v>15.399999999999999</v>
      </c>
      <c r="P636" s="482">
        <f t="shared" si="194"/>
        <v>15.399999999999999</v>
      </c>
      <c r="Q636" s="484">
        <f t="shared" si="195"/>
        <v>11.354000000000001</v>
      </c>
      <c r="R636" s="484">
        <f t="shared" si="196"/>
        <v>7.7112090435807117</v>
      </c>
      <c r="S636" s="484">
        <f t="shared" si="197"/>
        <v>9.1</v>
      </c>
      <c r="T636" s="484">
        <f t="shared" si="198"/>
        <v>7.3552862258306444</v>
      </c>
    </row>
    <row r="637" spans="1:20">
      <c r="A637" s="445">
        <f t="shared" si="204"/>
        <v>12</v>
      </c>
      <c r="B637" s="445">
        <f t="shared" si="187"/>
        <v>3</v>
      </c>
      <c r="C637" s="445">
        <f t="shared" si="205"/>
        <v>12</v>
      </c>
      <c r="D637" s="445">
        <f t="shared" si="205"/>
        <v>346</v>
      </c>
      <c r="E637" s="480">
        <f t="shared" si="199"/>
        <v>1</v>
      </c>
      <c r="F637" s="453">
        <f t="shared" si="191"/>
        <v>0.6</v>
      </c>
      <c r="G637" s="445">
        <f t="shared" si="192"/>
        <v>0.7</v>
      </c>
      <c r="I637" s="476">
        <f t="shared" si="200"/>
        <v>7.9099999999999984</v>
      </c>
      <c r="J637" s="445">
        <f t="shared" si="201"/>
        <v>0.7</v>
      </c>
      <c r="L637" s="476">
        <f t="shared" si="202"/>
        <v>8.19</v>
      </c>
      <c r="M637" s="484">
        <f t="shared" si="203"/>
        <v>0.7</v>
      </c>
      <c r="O637" s="482">
        <f t="shared" si="193"/>
        <v>15.399999999999999</v>
      </c>
      <c r="P637" s="482">
        <f t="shared" si="194"/>
        <v>15.399999999999999</v>
      </c>
      <c r="Q637" s="484">
        <f t="shared" si="195"/>
        <v>11.354000000000001</v>
      </c>
      <c r="R637" s="484">
        <f t="shared" si="196"/>
        <v>7.7112090435807117</v>
      </c>
      <c r="S637" s="484">
        <f t="shared" si="197"/>
        <v>9.1</v>
      </c>
      <c r="T637" s="484">
        <f t="shared" si="198"/>
        <v>7.3552862258306444</v>
      </c>
    </row>
    <row r="638" spans="1:20">
      <c r="A638" s="445">
        <f t="shared" si="204"/>
        <v>12</v>
      </c>
      <c r="B638" s="445">
        <f t="shared" si="188"/>
        <v>4</v>
      </c>
      <c r="C638" s="445">
        <f t="shared" si="205"/>
        <v>13</v>
      </c>
      <c r="D638" s="445">
        <f t="shared" si="205"/>
        <v>347</v>
      </c>
      <c r="E638" s="480">
        <f t="shared" si="199"/>
        <v>1</v>
      </c>
      <c r="F638" s="453">
        <f t="shared" si="191"/>
        <v>0.6</v>
      </c>
      <c r="G638" s="445">
        <f t="shared" si="192"/>
        <v>0.7</v>
      </c>
      <c r="I638" s="476">
        <f t="shared" si="200"/>
        <v>7.9099999999999984</v>
      </c>
      <c r="J638" s="445">
        <f t="shared" si="201"/>
        <v>0.7</v>
      </c>
      <c r="L638" s="476">
        <f t="shared" si="202"/>
        <v>8.19</v>
      </c>
      <c r="M638" s="484">
        <f t="shared" si="203"/>
        <v>0.7</v>
      </c>
      <c r="O638" s="482">
        <f t="shared" si="193"/>
        <v>15.399999999999999</v>
      </c>
      <c r="P638" s="482">
        <f t="shared" si="194"/>
        <v>15.399999999999999</v>
      </c>
      <c r="Q638" s="484">
        <f t="shared" si="195"/>
        <v>11.354000000000001</v>
      </c>
      <c r="R638" s="484">
        <f t="shared" si="196"/>
        <v>7.7112090435807117</v>
      </c>
      <c r="S638" s="484">
        <f t="shared" si="197"/>
        <v>9.1</v>
      </c>
      <c r="T638" s="484">
        <f t="shared" si="198"/>
        <v>7.3552862258306444</v>
      </c>
    </row>
    <row r="639" spans="1:20">
      <c r="A639" s="445">
        <f t="shared" si="204"/>
        <v>12</v>
      </c>
      <c r="B639" s="445">
        <f t="shared" si="189"/>
        <v>5</v>
      </c>
      <c r="C639" s="445">
        <f t="shared" si="205"/>
        <v>14</v>
      </c>
      <c r="D639" s="445">
        <f t="shared" si="205"/>
        <v>348</v>
      </c>
      <c r="E639" s="480">
        <f t="shared" si="199"/>
        <v>1</v>
      </c>
      <c r="F639" s="453">
        <f t="shared" si="191"/>
        <v>0.6</v>
      </c>
      <c r="G639" s="445">
        <f t="shared" si="192"/>
        <v>0.7</v>
      </c>
      <c r="I639" s="476">
        <f t="shared" si="200"/>
        <v>7.9099999999999984</v>
      </c>
      <c r="J639" s="445">
        <f t="shared" si="201"/>
        <v>0.7</v>
      </c>
      <c r="L639" s="476">
        <f t="shared" si="202"/>
        <v>8.19</v>
      </c>
      <c r="M639" s="484">
        <f t="shared" si="203"/>
        <v>0.7</v>
      </c>
      <c r="O639" s="482">
        <f t="shared" si="193"/>
        <v>15.399999999999999</v>
      </c>
      <c r="P639" s="482">
        <f t="shared" si="194"/>
        <v>15.399999999999999</v>
      </c>
      <c r="Q639" s="484">
        <f t="shared" si="195"/>
        <v>11.354000000000001</v>
      </c>
      <c r="R639" s="484">
        <f t="shared" si="196"/>
        <v>7.7112090435807117</v>
      </c>
      <c r="S639" s="484">
        <f t="shared" si="197"/>
        <v>9.1</v>
      </c>
      <c r="T639" s="484">
        <f t="shared" si="198"/>
        <v>7.3552862258306444</v>
      </c>
    </row>
    <row r="640" spans="1:20">
      <c r="A640" s="445">
        <f t="shared" si="204"/>
        <v>12</v>
      </c>
      <c r="B640" s="445">
        <f t="shared" si="190"/>
        <v>6</v>
      </c>
      <c r="C640" s="445">
        <f t="shared" si="205"/>
        <v>15</v>
      </c>
      <c r="D640" s="445">
        <f t="shared" si="205"/>
        <v>349</v>
      </c>
      <c r="E640" s="480">
        <f t="shared" si="199"/>
        <v>1</v>
      </c>
      <c r="F640" s="453">
        <f t="shared" si="191"/>
        <v>0.6</v>
      </c>
      <c r="G640" s="445">
        <f t="shared" si="192"/>
        <v>0.7</v>
      </c>
      <c r="I640" s="476">
        <f t="shared" si="200"/>
        <v>7.9099999999999984</v>
      </c>
      <c r="J640" s="445">
        <f t="shared" si="201"/>
        <v>0.7</v>
      </c>
      <c r="L640" s="476">
        <f t="shared" si="202"/>
        <v>8.19</v>
      </c>
      <c r="M640" s="484">
        <f t="shared" si="203"/>
        <v>0.7</v>
      </c>
      <c r="O640" s="482">
        <f t="shared" si="193"/>
        <v>15.399999999999999</v>
      </c>
      <c r="P640" s="482">
        <f t="shared" si="194"/>
        <v>15.399999999999999</v>
      </c>
      <c r="Q640" s="484">
        <f t="shared" si="195"/>
        <v>11.354000000000001</v>
      </c>
      <c r="R640" s="484">
        <f t="shared" si="196"/>
        <v>7.7112090435807117</v>
      </c>
      <c r="S640" s="484">
        <f t="shared" si="197"/>
        <v>9.1</v>
      </c>
      <c r="T640" s="484">
        <f t="shared" si="198"/>
        <v>7.3552862258306444</v>
      </c>
    </row>
    <row r="641" spans="1:20">
      <c r="A641" s="445">
        <f t="shared" si="204"/>
        <v>12</v>
      </c>
      <c r="B641" s="445">
        <f t="shared" si="186"/>
        <v>7</v>
      </c>
      <c r="C641" s="445">
        <f t="shared" si="205"/>
        <v>16</v>
      </c>
      <c r="D641" s="445">
        <f t="shared" si="205"/>
        <v>350</v>
      </c>
      <c r="E641" s="480">
        <f t="shared" si="199"/>
        <v>1</v>
      </c>
      <c r="F641" s="453">
        <f t="shared" si="191"/>
        <v>0.6</v>
      </c>
      <c r="G641" s="445">
        <f t="shared" si="192"/>
        <v>0.7</v>
      </c>
      <c r="I641" s="476">
        <f t="shared" si="200"/>
        <v>7.9099999999999984</v>
      </c>
      <c r="J641" s="445">
        <f t="shared" si="201"/>
        <v>0.7</v>
      </c>
      <c r="L641" s="476">
        <f t="shared" si="202"/>
        <v>8.19</v>
      </c>
      <c r="M641" s="484">
        <f t="shared" si="203"/>
        <v>0.7</v>
      </c>
      <c r="O641" s="482">
        <f t="shared" si="193"/>
        <v>15.399999999999999</v>
      </c>
      <c r="P641" s="482">
        <f t="shared" si="194"/>
        <v>15.399999999999999</v>
      </c>
      <c r="Q641" s="484">
        <f t="shared" si="195"/>
        <v>11.354000000000001</v>
      </c>
      <c r="R641" s="484">
        <f t="shared" si="196"/>
        <v>7.7112090435807117</v>
      </c>
      <c r="S641" s="484">
        <f t="shared" si="197"/>
        <v>9.1</v>
      </c>
      <c r="T641" s="484">
        <f t="shared" si="198"/>
        <v>7.3552862258306444</v>
      </c>
    </row>
    <row r="642" spans="1:20">
      <c r="A642" s="445">
        <f t="shared" si="204"/>
        <v>12</v>
      </c>
      <c r="B642" s="445">
        <f t="shared" si="184"/>
        <v>1</v>
      </c>
      <c r="C642" s="445">
        <f t="shared" si="205"/>
        <v>17</v>
      </c>
      <c r="D642" s="445">
        <f t="shared" si="205"/>
        <v>351</v>
      </c>
      <c r="E642" s="480">
        <f t="shared" si="199"/>
        <v>1</v>
      </c>
      <c r="F642" s="453">
        <f t="shared" si="191"/>
        <v>0.6</v>
      </c>
      <c r="G642" s="445">
        <f t="shared" si="192"/>
        <v>0.7</v>
      </c>
      <c r="I642" s="476">
        <f t="shared" si="200"/>
        <v>7.9099999999999984</v>
      </c>
      <c r="J642" s="445">
        <f t="shared" si="201"/>
        <v>0.7</v>
      </c>
      <c r="L642" s="476">
        <f t="shared" si="202"/>
        <v>8.19</v>
      </c>
      <c r="M642" s="484">
        <f t="shared" si="203"/>
        <v>0.7</v>
      </c>
      <c r="O642" s="482">
        <f t="shared" si="193"/>
        <v>15.399999999999999</v>
      </c>
      <c r="P642" s="482">
        <f t="shared" si="194"/>
        <v>15.399999999999999</v>
      </c>
      <c r="Q642" s="484">
        <f t="shared" si="195"/>
        <v>11.354000000000001</v>
      </c>
      <c r="R642" s="484">
        <f t="shared" si="196"/>
        <v>7.7112090435807117</v>
      </c>
      <c r="S642" s="484">
        <f t="shared" si="197"/>
        <v>9.1</v>
      </c>
      <c r="T642" s="484">
        <f t="shared" si="198"/>
        <v>7.3552862258306444</v>
      </c>
    </row>
    <row r="643" spans="1:20">
      <c r="A643" s="445">
        <f t="shared" si="204"/>
        <v>12</v>
      </c>
      <c r="B643" s="445">
        <f t="shared" si="185"/>
        <v>2</v>
      </c>
      <c r="C643" s="445">
        <f t="shared" si="205"/>
        <v>18</v>
      </c>
      <c r="D643" s="445">
        <f t="shared" si="205"/>
        <v>352</v>
      </c>
      <c r="E643" s="480">
        <f t="shared" si="199"/>
        <v>1</v>
      </c>
      <c r="F643" s="453">
        <f t="shared" si="191"/>
        <v>0.6</v>
      </c>
      <c r="G643" s="445">
        <f t="shared" si="192"/>
        <v>0.7</v>
      </c>
      <c r="I643" s="476">
        <f t="shared" si="200"/>
        <v>7.9099999999999984</v>
      </c>
      <c r="J643" s="445">
        <f t="shared" si="201"/>
        <v>0.7</v>
      </c>
      <c r="L643" s="476">
        <f t="shared" si="202"/>
        <v>8.19</v>
      </c>
      <c r="M643" s="484">
        <f t="shared" si="203"/>
        <v>0.7</v>
      </c>
      <c r="O643" s="482">
        <f t="shared" si="193"/>
        <v>15.399999999999999</v>
      </c>
      <c r="P643" s="482">
        <f t="shared" si="194"/>
        <v>15.399999999999999</v>
      </c>
      <c r="Q643" s="484">
        <f t="shared" si="195"/>
        <v>11.354000000000001</v>
      </c>
      <c r="R643" s="484">
        <f t="shared" si="196"/>
        <v>7.7112090435807117</v>
      </c>
      <c r="S643" s="484">
        <f t="shared" si="197"/>
        <v>9.1</v>
      </c>
      <c r="T643" s="484">
        <f t="shared" si="198"/>
        <v>7.3552862258306444</v>
      </c>
    </row>
    <row r="644" spans="1:20">
      <c r="A644" s="445">
        <f t="shared" si="204"/>
        <v>12</v>
      </c>
      <c r="B644" s="445">
        <f t="shared" si="187"/>
        <v>3</v>
      </c>
      <c r="C644" s="445">
        <f t="shared" si="205"/>
        <v>19</v>
      </c>
      <c r="D644" s="445">
        <f t="shared" si="205"/>
        <v>353</v>
      </c>
      <c r="E644" s="480">
        <f t="shared" si="199"/>
        <v>1</v>
      </c>
      <c r="F644" s="453">
        <f t="shared" si="191"/>
        <v>0.6</v>
      </c>
      <c r="G644" s="445">
        <f t="shared" si="192"/>
        <v>0.7</v>
      </c>
      <c r="I644" s="476">
        <f t="shared" si="200"/>
        <v>7.9099999999999984</v>
      </c>
      <c r="J644" s="445">
        <f t="shared" si="201"/>
        <v>0.7</v>
      </c>
      <c r="L644" s="476">
        <f t="shared" si="202"/>
        <v>8.19</v>
      </c>
      <c r="M644" s="484">
        <f t="shared" si="203"/>
        <v>0.7</v>
      </c>
      <c r="O644" s="482">
        <f t="shared" si="193"/>
        <v>15.399999999999999</v>
      </c>
      <c r="P644" s="482">
        <f t="shared" si="194"/>
        <v>15.399999999999999</v>
      </c>
      <c r="Q644" s="484">
        <f t="shared" si="195"/>
        <v>11.354000000000001</v>
      </c>
      <c r="R644" s="484">
        <f t="shared" si="196"/>
        <v>7.7112090435807117</v>
      </c>
      <c r="S644" s="484">
        <f t="shared" si="197"/>
        <v>9.1</v>
      </c>
      <c r="T644" s="484">
        <f t="shared" si="198"/>
        <v>7.3552862258306444</v>
      </c>
    </row>
    <row r="645" spans="1:20">
      <c r="A645" s="445">
        <f t="shared" si="204"/>
        <v>12</v>
      </c>
      <c r="B645" s="445">
        <f t="shared" si="188"/>
        <v>4</v>
      </c>
      <c r="C645" s="445">
        <f t="shared" si="205"/>
        <v>20</v>
      </c>
      <c r="D645" s="445">
        <f t="shared" si="205"/>
        <v>354</v>
      </c>
      <c r="E645" s="480">
        <f t="shared" si="199"/>
        <v>1</v>
      </c>
      <c r="F645" s="453">
        <f t="shared" si="191"/>
        <v>0.6</v>
      </c>
      <c r="G645" s="445">
        <f t="shared" si="192"/>
        <v>0.7</v>
      </c>
      <c r="I645" s="476">
        <f t="shared" si="200"/>
        <v>7.9099999999999984</v>
      </c>
      <c r="J645" s="445">
        <f t="shared" si="201"/>
        <v>0.7</v>
      </c>
      <c r="L645" s="476">
        <f t="shared" si="202"/>
        <v>8.19</v>
      </c>
      <c r="M645" s="484">
        <f t="shared" si="203"/>
        <v>0.7</v>
      </c>
      <c r="O645" s="482">
        <f t="shared" si="193"/>
        <v>15.399999999999999</v>
      </c>
      <c r="P645" s="482">
        <f t="shared" si="194"/>
        <v>15.399999999999999</v>
      </c>
      <c r="Q645" s="484">
        <f t="shared" si="195"/>
        <v>11.354000000000001</v>
      </c>
      <c r="R645" s="484">
        <f t="shared" si="196"/>
        <v>7.7112090435807117</v>
      </c>
      <c r="S645" s="484">
        <f t="shared" si="197"/>
        <v>9.1</v>
      </c>
      <c r="T645" s="484">
        <f t="shared" si="198"/>
        <v>7.3552862258306444</v>
      </c>
    </row>
    <row r="646" spans="1:20">
      <c r="A646" s="445">
        <f t="shared" si="204"/>
        <v>12</v>
      </c>
      <c r="B646" s="445">
        <f t="shared" si="189"/>
        <v>5</v>
      </c>
      <c r="C646" s="445">
        <f t="shared" ref="C646:D656" si="206">C645+1</f>
        <v>21</v>
      </c>
      <c r="D646" s="445">
        <f t="shared" si="206"/>
        <v>355</v>
      </c>
      <c r="E646" s="480">
        <f t="shared" si="199"/>
        <v>1</v>
      </c>
      <c r="F646" s="453">
        <f t="shared" si="191"/>
        <v>0.6</v>
      </c>
      <c r="G646" s="445">
        <f t="shared" si="192"/>
        <v>0.7</v>
      </c>
      <c r="I646" s="476">
        <f t="shared" si="200"/>
        <v>7.9099999999999984</v>
      </c>
      <c r="J646" s="445">
        <f t="shared" si="201"/>
        <v>0.7</v>
      </c>
      <c r="L646" s="476">
        <f t="shared" si="202"/>
        <v>8.19</v>
      </c>
      <c r="M646" s="484">
        <f t="shared" si="203"/>
        <v>0.7</v>
      </c>
      <c r="O646" s="482">
        <f t="shared" si="193"/>
        <v>15.399999999999999</v>
      </c>
      <c r="P646" s="482">
        <f t="shared" si="194"/>
        <v>15.399999999999999</v>
      </c>
      <c r="Q646" s="484">
        <f t="shared" si="195"/>
        <v>11.354000000000001</v>
      </c>
      <c r="R646" s="484">
        <f t="shared" si="196"/>
        <v>7.7112090435807117</v>
      </c>
      <c r="S646" s="484">
        <f t="shared" si="197"/>
        <v>9.1</v>
      </c>
      <c r="T646" s="484">
        <f t="shared" si="198"/>
        <v>7.3552862258306444</v>
      </c>
    </row>
    <row r="647" spans="1:20">
      <c r="A647" s="445">
        <f t="shared" si="204"/>
        <v>12</v>
      </c>
      <c r="B647" s="445">
        <f t="shared" si="190"/>
        <v>6</v>
      </c>
      <c r="C647" s="445">
        <f t="shared" si="206"/>
        <v>22</v>
      </c>
      <c r="D647" s="445">
        <f t="shared" si="206"/>
        <v>356</v>
      </c>
      <c r="E647" s="480">
        <f t="shared" si="199"/>
        <v>1</v>
      </c>
      <c r="F647" s="453">
        <f t="shared" si="191"/>
        <v>0.6</v>
      </c>
      <c r="G647" s="445">
        <f t="shared" si="192"/>
        <v>0.7</v>
      </c>
      <c r="I647" s="476">
        <f t="shared" si="200"/>
        <v>7.9099999999999984</v>
      </c>
      <c r="J647" s="445">
        <f t="shared" si="201"/>
        <v>0.7</v>
      </c>
      <c r="L647" s="476">
        <f t="shared" si="202"/>
        <v>8.19</v>
      </c>
      <c r="M647" s="484">
        <f t="shared" si="203"/>
        <v>0.7</v>
      </c>
      <c r="O647" s="482">
        <f t="shared" si="193"/>
        <v>15.399999999999999</v>
      </c>
      <c r="P647" s="482">
        <f t="shared" si="194"/>
        <v>15.399999999999999</v>
      </c>
      <c r="Q647" s="484">
        <f t="shared" si="195"/>
        <v>11.354000000000001</v>
      </c>
      <c r="R647" s="484">
        <f t="shared" si="196"/>
        <v>7.7112090435807117</v>
      </c>
      <c r="S647" s="484">
        <f t="shared" si="197"/>
        <v>9.1</v>
      </c>
      <c r="T647" s="484">
        <f t="shared" si="198"/>
        <v>7.3552862258306444</v>
      </c>
    </row>
    <row r="648" spans="1:20">
      <c r="A648" s="445">
        <f t="shared" si="204"/>
        <v>12</v>
      </c>
      <c r="B648" s="445">
        <f t="shared" si="186"/>
        <v>7</v>
      </c>
      <c r="C648" s="445">
        <f t="shared" si="206"/>
        <v>23</v>
      </c>
      <c r="D648" s="445">
        <f t="shared" si="206"/>
        <v>357</v>
      </c>
      <c r="E648" s="480">
        <f t="shared" si="199"/>
        <v>1</v>
      </c>
      <c r="F648" s="453">
        <f t="shared" si="191"/>
        <v>0.6</v>
      </c>
      <c r="G648" s="445">
        <f t="shared" si="192"/>
        <v>0.7</v>
      </c>
      <c r="I648" s="476">
        <f t="shared" si="200"/>
        <v>7.9099999999999984</v>
      </c>
      <c r="J648" s="445">
        <f t="shared" si="201"/>
        <v>0.7</v>
      </c>
      <c r="L648" s="476">
        <f t="shared" si="202"/>
        <v>8.19</v>
      </c>
      <c r="M648" s="484">
        <f t="shared" si="203"/>
        <v>0.7</v>
      </c>
      <c r="O648" s="482">
        <f t="shared" si="193"/>
        <v>15.399999999999999</v>
      </c>
      <c r="P648" s="482">
        <f t="shared" si="194"/>
        <v>15.399999999999999</v>
      </c>
      <c r="Q648" s="484">
        <f t="shared" si="195"/>
        <v>11.354000000000001</v>
      </c>
      <c r="R648" s="484">
        <f t="shared" si="196"/>
        <v>7.7112090435807117</v>
      </c>
      <c r="S648" s="484">
        <f t="shared" si="197"/>
        <v>9.1</v>
      </c>
      <c r="T648" s="484">
        <f t="shared" si="198"/>
        <v>7.3552862258306444</v>
      </c>
    </row>
    <row r="649" spans="1:20">
      <c r="A649" s="445">
        <f t="shared" si="204"/>
        <v>12</v>
      </c>
      <c r="B649" s="445">
        <f t="shared" si="184"/>
        <v>1</v>
      </c>
      <c r="C649" s="445">
        <f t="shared" si="206"/>
        <v>24</v>
      </c>
      <c r="D649" s="445">
        <f t="shared" si="206"/>
        <v>358</v>
      </c>
      <c r="E649" s="480">
        <f t="shared" si="199"/>
        <v>1</v>
      </c>
      <c r="F649" s="453">
        <f t="shared" si="191"/>
        <v>0.6</v>
      </c>
      <c r="G649" s="445">
        <f t="shared" si="192"/>
        <v>0.7</v>
      </c>
      <c r="I649" s="476">
        <f t="shared" si="200"/>
        <v>7.9099999999999984</v>
      </c>
      <c r="J649" s="445">
        <f t="shared" si="201"/>
        <v>0.7</v>
      </c>
      <c r="L649" s="476">
        <f t="shared" si="202"/>
        <v>8.19</v>
      </c>
      <c r="M649" s="484">
        <f t="shared" si="203"/>
        <v>0.7</v>
      </c>
      <c r="O649" s="482">
        <f t="shared" si="193"/>
        <v>15.399999999999999</v>
      </c>
      <c r="P649" s="482">
        <f t="shared" si="194"/>
        <v>15.399999999999999</v>
      </c>
      <c r="Q649" s="484">
        <f t="shared" si="195"/>
        <v>11.354000000000001</v>
      </c>
      <c r="R649" s="484">
        <f t="shared" si="196"/>
        <v>7.7112090435807117</v>
      </c>
      <c r="S649" s="484">
        <f t="shared" si="197"/>
        <v>9.1</v>
      </c>
      <c r="T649" s="484">
        <f t="shared" si="198"/>
        <v>7.3552862258306444</v>
      </c>
    </row>
    <row r="650" spans="1:20">
      <c r="A650" s="445">
        <f t="shared" si="204"/>
        <v>12</v>
      </c>
      <c r="B650" s="445">
        <f t="shared" si="185"/>
        <v>2</v>
      </c>
      <c r="C650" s="445">
        <f t="shared" si="206"/>
        <v>25</v>
      </c>
      <c r="D650" s="445">
        <f t="shared" si="206"/>
        <v>359</v>
      </c>
      <c r="E650" s="480">
        <f t="shared" si="199"/>
        <v>1</v>
      </c>
      <c r="F650" s="453">
        <f t="shared" si="191"/>
        <v>0.6</v>
      </c>
      <c r="G650" s="445">
        <f t="shared" si="192"/>
        <v>0.7</v>
      </c>
      <c r="I650" s="476">
        <f t="shared" si="200"/>
        <v>7.9099999999999984</v>
      </c>
      <c r="J650" s="445">
        <f t="shared" si="201"/>
        <v>0.7</v>
      </c>
      <c r="L650" s="476">
        <f t="shared" si="202"/>
        <v>8.19</v>
      </c>
      <c r="M650" s="484">
        <f t="shared" si="203"/>
        <v>0.7</v>
      </c>
      <c r="O650" s="482">
        <f t="shared" si="193"/>
        <v>15.399999999999999</v>
      </c>
      <c r="P650" s="482">
        <f t="shared" si="194"/>
        <v>15.399999999999999</v>
      </c>
      <c r="Q650" s="484">
        <f t="shared" si="195"/>
        <v>11.354000000000001</v>
      </c>
      <c r="R650" s="484">
        <f t="shared" si="196"/>
        <v>7.7112090435807117</v>
      </c>
      <c r="S650" s="484">
        <f t="shared" si="197"/>
        <v>9.1</v>
      </c>
      <c r="T650" s="484">
        <f t="shared" si="198"/>
        <v>7.3552862258306444</v>
      </c>
    </row>
    <row r="651" spans="1:20">
      <c r="A651" s="445">
        <f t="shared" si="204"/>
        <v>12</v>
      </c>
      <c r="B651" s="445">
        <f t="shared" si="187"/>
        <v>3</v>
      </c>
      <c r="C651" s="445">
        <f t="shared" si="206"/>
        <v>26</v>
      </c>
      <c r="D651" s="445">
        <f t="shared" si="206"/>
        <v>360</v>
      </c>
      <c r="E651" s="480">
        <f t="shared" si="199"/>
        <v>1</v>
      </c>
      <c r="F651" s="453">
        <f t="shared" si="191"/>
        <v>0.6</v>
      </c>
      <c r="G651" s="445">
        <f t="shared" si="192"/>
        <v>0.7</v>
      </c>
      <c r="I651" s="476">
        <f t="shared" si="200"/>
        <v>7.9099999999999984</v>
      </c>
      <c r="J651" s="445">
        <f t="shared" si="201"/>
        <v>0.7</v>
      </c>
      <c r="L651" s="476">
        <f t="shared" si="202"/>
        <v>8.19</v>
      </c>
      <c r="M651" s="484">
        <f t="shared" si="203"/>
        <v>0.7</v>
      </c>
      <c r="O651" s="482">
        <f t="shared" si="193"/>
        <v>15.399999999999999</v>
      </c>
      <c r="P651" s="482">
        <f t="shared" si="194"/>
        <v>15.399999999999999</v>
      </c>
      <c r="Q651" s="484">
        <f t="shared" si="195"/>
        <v>11.354000000000001</v>
      </c>
      <c r="R651" s="484">
        <f t="shared" si="196"/>
        <v>7.7112090435807117</v>
      </c>
      <c r="S651" s="484">
        <f t="shared" si="197"/>
        <v>9.1</v>
      </c>
      <c r="T651" s="484">
        <f t="shared" si="198"/>
        <v>7.3552862258306444</v>
      </c>
    </row>
    <row r="652" spans="1:20">
      <c r="A652" s="445">
        <f t="shared" si="204"/>
        <v>12</v>
      </c>
      <c r="B652" s="445">
        <f t="shared" si="188"/>
        <v>4</v>
      </c>
      <c r="C652" s="445">
        <f t="shared" si="206"/>
        <v>27</v>
      </c>
      <c r="D652" s="445">
        <f t="shared" si="206"/>
        <v>361</v>
      </c>
      <c r="E652" s="480">
        <f t="shared" si="199"/>
        <v>1</v>
      </c>
      <c r="F652" s="453">
        <f t="shared" si="191"/>
        <v>0.6</v>
      </c>
      <c r="G652" s="445">
        <f t="shared" si="192"/>
        <v>0.7</v>
      </c>
      <c r="I652" s="476">
        <f t="shared" ref="I652:I654" si="207">IF($F$287="bisherig", $E652*$B$66*F652, $E652*$B$66*G652)</f>
        <v>7.9099999999999984</v>
      </c>
      <c r="J652" s="445">
        <f t="shared" si="201"/>
        <v>0.7</v>
      </c>
      <c r="L652" s="476">
        <f t="shared" si="202"/>
        <v>8.19</v>
      </c>
      <c r="M652" s="484">
        <f t="shared" si="203"/>
        <v>0.7</v>
      </c>
      <c r="O652" s="482">
        <f t="shared" si="193"/>
        <v>15.399999999999999</v>
      </c>
      <c r="P652" s="482">
        <f t="shared" si="194"/>
        <v>15.399999999999999</v>
      </c>
      <c r="Q652" s="484">
        <f t="shared" si="195"/>
        <v>11.354000000000001</v>
      </c>
      <c r="R652" s="484">
        <f t="shared" si="196"/>
        <v>7.7112090435807117</v>
      </c>
      <c r="S652" s="484">
        <f t="shared" si="197"/>
        <v>9.1</v>
      </c>
      <c r="T652" s="484">
        <f t="shared" si="198"/>
        <v>7.3552862258306444</v>
      </c>
    </row>
    <row r="653" spans="1:20">
      <c r="A653" s="445">
        <f t="shared" si="204"/>
        <v>12</v>
      </c>
      <c r="B653" s="445">
        <f t="shared" si="189"/>
        <v>5</v>
      </c>
      <c r="C653" s="445">
        <f t="shared" si="206"/>
        <v>28</v>
      </c>
      <c r="D653" s="445">
        <f t="shared" si="206"/>
        <v>362</v>
      </c>
      <c r="E653" s="480">
        <f t="shared" si="199"/>
        <v>1</v>
      </c>
      <c r="F653" s="453">
        <f t="shared" si="191"/>
        <v>0.6</v>
      </c>
      <c r="G653" s="445">
        <f t="shared" si="192"/>
        <v>0.7</v>
      </c>
      <c r="I653" s="476">
        <f t="shared" si="207"/>
        <v>7.9099999999999984</v>
      </c>
      <c r="J653" s="445">
        <f t="shared" si="201"/>
        <v>0.7</v>
      </c>
      <c r="L653" s="476">
        <f t="shared" si="202"/>
        <v>8.19</v>
      </c>
      <c r="M653" s="484">
        <f t="shared" si="203"/>
        <v>0.7</v>
      </c>
      <c r="O653" s="482">
        <f t="shared" si="193"/>
        <v>15.399999999999999</v>
      </c>
      <c r="P653" s="482">
        <f t="shared" si="194"/>
        <v>15.399999999999999</v>
      </c>
      <c r="Q653" s="484">
        <f t="shared" si="195"/>
        <v>11.354000000000001</v>
      </c>
      <c r="R653" s="484">
        <f t="shared" si="196"/>
        <v>7.7112090435807117</v>
      </c>
      <c r="S653" s="484">
        <f t="shared" si="197"/>
        <v>9.1</v>
      </c>
      <c r="T653" s="484">
        <f t="shared" si="198"/>
        <v>7.3552862258306444</v>
      </c>
    </row>
    <row r="654" spans="1:20">
      <c r="A654" s="445">
        <f t="shared" si="204"/>
        <v>12</v>
      </c>
      <c r="B654" s="445">
        <f t="shared" si="190"/>
        <v>6</v>
      </c>
      <c r="C654" s="445">
        <f t="shared" si="206"/>
        <v>29</v>
      </c>
      <c r="D654" s="445">
        <f t="shared" si="206"/>
        <v>363</v>
      </c>
      <c r="E654" s="480">
        <f t="shared" si="199"/>
        <v>1</v>
      </c>
      <c r="F654" s="453">
        <f t="shared" si="191"/>
        <v>0.6</v>
      </c>
      <c r="G654" s="445">
        <f t="shared" si="192"/>
        <v>0.7</v>
      </c>
      <c r="I654" s="476">
        <f t="shared" si="207"/>
        <v>7.9099999999999984</v>
      </c>
      <c r="J654" s="445">
        <f t="shared" si="201"/>
        <v>0.7</v>
      </c>
      <c r="L654" s="476">
        <f t="shared" si="202"/>
        <v>8.19</v>
      </c>
      <c r="M654" s="484">
        <f t="shared" si="203"/>
        <v>0.7</v>
      </c>
      <c r="O654" s="482">
        <f t="shared" si="193"/>
        <v>15.399999999999999</v>
      </c>
      <c r="P654" s="482">
        <f t="shared" si="194"/>
        <v>15.399999999999999</v>
      </c>
      <c r="Q654" s="484">
        <f t="shared" si="195"/>
        <v>11.354000000000001</v>
      </c>
      <c r="R654" s="484">
        <f t="shared" si="196"/>
        <v>7.7112090435807117</v>
      </c>
      <c r="S654" s="484">
        <f t="shared" si="197"/>
        <v>9.1</v>
      </c>
      <c r="T654" s="484">
        <f t="shared" si="198"/>
        <v>7.3552862258306444</v>
      </c>
    </row>
    <row r="655" spans="1:20">
      <c r="A655" s="445">
        <f t="shared" si="204"/>
        <v>12</v>
      </c>
      <c r="B655" s="445">
        <f t="shared" si="186"/>
        <v>7</v>
      </c>
      <c r="C655" s="445">
        <f t="shared" si="206"/>
        <v>30</v>
      </c>
      <c r="D655" s="445">
        <f t="shared" si="206"/>
        <v>364</v>
      </c>
      <c r="E655" s="480">
        <f t="shared" si="199"/>
        <v>1</v>
      </c>
      <c r="F655" s="453">
        <f t="shared" si="191"/>
        <v>0.6</v>
      </c>
      <c r="G655" s="445">
        <f t="shared" si="192"/>
        <v>0.7</v>
      </c>
      <c r="I655" s="476">
        <f t="shared" ref="I655:I656" si="208">IF($F$287="bisherig", $E655*$B$66*F655, $E655*$B$66*G655)</f>
        <v>7.9099999999999984</v>
      </c>
      <c r="J655" s="445">
        <f t="shared" si="201"/>
        <v>0.7</v>
      </c>
      <c r="L655" s="476">
        <f t="shared" si="202"/>
        <v>8.19</v>
      </c>
      <c r="M655" s="484">
        <f t="shared" si="203"/>
        <v>0.7</v>
      </c>
      <c r="O655" s="482">
        <f t="shared" si="193"/>
        <v>15.399999999999999</v>
      </c>
      <c r="P655" s="482">
        <f t="shared" si="194"/>
        <v>15.399999999999999</v>
      </c>
      <c r="Q655" s="484">
        <f t="shared" si="195"/>
        <v>11.354000000000001</v>
      </c>
      <c r="R655" s="484">
        <f t="shared" si="196"/>
        <v>7.7112090435807117</v>
      </c>
      <c r="S655" s="484">
        <f t="shared" si="197"/>
        <v>9.1</v>
      </c>
      <c r="T655" s="484">
        <f t="shared" si="198"/>
        <v>7.3552862258306444</v>
      </c>
    </row>
    <row r="656" spans="1:20">
      <c r="A656" s="445">
        <f t="shared" si="204"/>
        <v>12</v>
      </c>
      <c r="B656" s="445">
        <f t="shared" si="184"/>
        <v>1</v>
      </c>
      <c r="C656" s="445">
        <f t="shared" si="206"/>
        <v>31</v>
      </c>
      <c r="D656" s="445">
        <f t="shared" si="206"/>
        <v>365</v>
      </c>
      <c r="E656" s="480">
        <f t="shared" si="199"/>
        <v>1</v>
      </c>
      <c r="F656" s="453">
        <f t="shared" si="191"/>
        <v>0.6</v>
      </c>
      <c r="G656" s="445">
        <f t="shared" si="192"/>
        <v>0.7</v>
      </c>
      <c r="I656" s="476">
        <f t="shared" si="208"/>
        <v>7.9099999999999984</v>
      </c>
      <c r="J656" s="445">
        <f t="shared" si="201"/>
        <v>0.7</v>
      </c>
      <c r="L656" s="476">
        <f t="shared" si="202"/>
        <v>8.19</v>
      </c>
      <c r="M656" s="484">
        <f t="shared" si="203"/>
        <v>0.7</v>
      </c>
      <c r="O656" s="482">
        <f t="shared" si="193"/>
        <v>15.399999999999999</v>
      </c>
      <c r="P656" s="482">
        <f t="shared" si="194"/>
        <v>15.399999999999999</v>
      </c>
      <c r="Q656" s="484">
        <f t="shared" si="195"/>
        <v>11.354000000000001</v>
      </c>
      <c r="R656" s="484">
        <f t="shared" si="196"/>
        <v>7.7112090435807117</v>
      </c>
      <c r="S656" s="484">
        <f t="shared" si="197"/>
        <v>9.1</v>
      </c>
      <c r="T656" s="484">
        <f t="shared" si="198"/>
        <v>7.3552862258306444</v>
      </c>
    </row>
  </sheetData>
  <mergeCells count="5">
    <mergeCell ref="H95:I95"/>
    <mergeCell ref="B63:C63"/>
    <mergeCell ref="D63:E63"/>
    <mergeCell ref="D95:E95"/>
    <mergeCell ref="F95:G95"/>
  </mergeCells>
  <dataValidations count="1">
    <dataValidation type="list" allowBlank="1" showInputMessage="1" showErrorMessage="1" sqref="F287" xr:uid="{00000000-0002-0000-0A00-000000000000}">
      <formula1>"bisherig, neu"</formula1>
    </dataValidation>
  </dataValidations>
  <pageMargins left="0.7" right="0.7" top="0.78740157499999996" bottom="0.78740157499999996"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6263" r:id="rId4" name="Drop Down 7">
              <controlPr defaultSize="0" print="0" autoLine="0" autoPict="0">
                <anchor moveWithCells="1">
                  <from>
                    <xdr:col>1</xdr:col>
                    <xdr:colOff>68580</xdr:colOff>
                    <xdr:row>0</xdr:row>
                    <xdr:rowOff>0</xdr:rowOff>
                  </from>
                  <to>
                    <xdr:col>4</xdr:col>
                    <xdr:colOff>716280</xdr:colOff>
                    <xdr:row>1</xdr:row>
                    <xdr:rowOff>0</xdr:rowOff>
                  </to>
                </anchor>
              </controlPr>
            </control>
          </mc:Choice>
        </mc:AlternateContent>
        <mc:AlternateContent xmlns:mc="http://schemas.openxmlformats.org/markup-compatibility/2006">
          <mc:Choice Requires="x14">
            <control shapeId="96265" r:id="rId5" name="Spinner 9">
              <controlPr defaultSize="0" autoPict="0">
                <anchor moveWithCells="1" sizeWithCells="1">
                  <from>
                    <xdr:col>0</xdr:col>
                    <xdr:colOff>716280</xdr:colOff>
                    <xdr:row>0</xdr:row>
                    <xdr:rowOff>22860</xdr:rowOff>
                  </from>
                  <to>
                    <xdr:col>0</xdr:col>
                    <xdr:colOff>716280</xdr:colOff>
                    <xdr:row>1</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0"/>
  <dimension ref="A1:AB194"/>
  <sheetViews>
    <sheetView zoomScale="70" zoomScaleNormal="70" zoomScaleSheetLayoutView="75" workbookViewId="0">
      <pane xSplit="3" ySplit="9" topLeftCell="D10" activePane="bottomRight" state="frozenSplit"/>
      <selection pane="topRight" activeCell="D1" sqref="D1"/>
      <selection pane="bottomLeft" activeCell="A5" sqref="A5"/>
      <selection pane="bottomRight" activeCell="A2" sqref="A2"/>
    </sheetView>
  </sheetViews>
  <sheetFormatPr baseColWidth="10" defaultRowHeight="13.2"/>
  <cols>
    <col min="1" max="1" width="5.5546875" customWidth="1"/>
    <col min="2" max="2" width="4" style="39" customWidth="1"/>
    <col min="3" max="3" width="29.5546875" customWidth="1"/>
    <col min="4" max="5" width="2" hidden="1" customWidth="1"/>
    <col min="6" max="8" width="7.33203125" style="8" customWidth="1"/>
    <col min="9" max="10" width="5.88671875" customWidth="1"/>
    <col min="11" max="11" width="14.5546875" style="38" customWidth="1"/>
    <col min="12" max="13" width="5.88671875" customWidth="1"/>
    <col min="14" max="14" width="14.5546875" style="38" customWidth="1"/>
    <col min="15" max="16" width="5.88671875" style="38" customWidth="1"/>
    <col min="17" max="17" width="14.5546875" style="38" customWidth="1"/>
    <col min="18" max="19" width="5.88671875" style="38" customWidth="1"/>
    <col min="20" max="20" width="14.5546875" style="38" customWidth="1"/>
    <col min="21" max="22" width="9" customWidth="1"/>
    <col min="23" max="23" width="14.5546875" style="38" customWidth="1"/>
    <col min="24" max="24" width="10" customWidth="1"/>
    <col min="25" max="25" width="11.44140625" style="38"/>
    <col min="26" max="26" width="11.44140625" customWidth="1"/>
    <col min="27" max="27" width="8.6640625" style="40" customWidth="1"/>
    <col min="28" max="28" width="20" style="40" bestFit="1" customWidth="1"/>
  </cols>
  <sheetData>
    <row r="1" spans="1:28" ht="15.6">
      <c r="A1" s="356" t="s">
        <v>861</v>
      </c>
      <c r="N1" s="413" t="s">
        <v>692</v>
      </c>
      <c r="O1" s="413"/>
      <c r="P1" s="413"/>
    </row>
    <row r="2" spans="1:28" ht="15.6">
      <c r="A2" s="356"/>
      <c r="N2" s="413" t="s">
        <v>348</v>
      </c>
      <c r="O2" s="413"/>
      <c r="P2" s="413"/>
    </row>
    <row r="3" spans="1:28" ht="15.6">
      <c r="A3" s="356" t="s">
        <v>278</v>
      </c>
      <c r="K3" s="38" t="s">
        <v>287</v>
      </c>
    </row>
    <row r="4" spans="1:28" ht="9.9" customHeight="1"/>
    <row r="5" spans="1:28" s="38" customFormat="1" ht="26.4">
      <c r="A5" s="63" t="s">
        <v>198</v>
      </c>
      <c r="B5" s="57"/>
      <c r="C5" s="58"/>
      <c r="D5" s="58"/>
      <c r="E5" s="58"/>
      <c r="F5" s="64" t="s">
        <v>143</v>
      </c>
      <c r="G5" s="52"/>
      <c r="H5" s="52"/>
      <c r="I5" s="43"/>
      <c r="J5" s="44"/>
      <c r="K5" s="407" t="s">
        <v>279</v>
      </c>
      <c r="L5" s="404"/>
      <c r="M5" s="405"/>
      <c r="N5" s="403" t="s">
        <v>280</v>
      </c>
      <c r="O5" s="404"/>
      <c r="P5" s="405"/>
      <c r="Q5" s="403" t="s">
        <v>281</v>
      </c>
      <c r="R5" s="404"/>
      <c r="S5" s="405"/>
      <c r="T5" s="403" t="s">
        <v>282</v>
      </c>
      <c r="U5" s="404"/>
      <c r="V5" s="406"/>
      <c r="W5" s="403" t="s">
        <v>275</v>
      </c>
      <c r="X5" s="43"/>
      <c r="Y5" s="44"/>
      <c r="Z5" s="45"/>
      <c r="AA5" s="439"/>
      <c r="AB5" s="440"/>
    </row>
    <row r="6" spans="1:28" s="369" customFormat="1">
      <c r="A6" s="364"/>
      <c r="B6" s="365"/>
      <c r="C6" s="366"/>
      <c r="D6" s="366" t="s">
        <v>26</v>
      </c>
      <c r="E6" s="366" t="s">
        <v>26</v>
      </c>
      <c r="F6" s="367" t="s">
        <v>151</v>
      </c>
      <c r="G6" s="368"/>
      <c r="H6" s="368"/>
      <c r="I6" s="371"/>
      <c r="J6" s="433"/>
      <c r="K6" s="372"/>
      <c r="L6" s="371"/>
      <c r="N6" s="370"/>
      <c r="O6" s="371"/>
      <c r="Q6" s="370"/>
      <c r="R6" s="371"/>
      <c r="T6" s="370"/>
      <c r="U6" s="371"/>
      <c r="W6" s="433"/>
      <c r="X6" s="371"/>
      <c r="Y6" s="433"/>
      <c r="Z6" s="370"/>
      <c r="AA6" s="441"/>
      <c r="AB6" s="442"/>
    </row>
    <row r="7" spans="1:28" s="274" customFormat="1" ht="138" customHeight="1">
      <c r="A7" s="373" t="s">
        <v>196</v>
      </c>
      <c r="B7" s="374" t="s">
        <v>135</v>
      </c>
      <c r="C7" s="59" t="s">
        <v>199</v>
      </c>
      <c r="D7" s="59"/>
      <c r="E7" s="59"/>
      <c r="F7" s="69" t="s">
        <v>219</v>
      </c>
      <c r="G7" s="175" t="s">
        <v>98</v>
      </c>
      <c r="H7" s="175" t="s">
        <v>99</v>
      </c>
      <c r="I7" s="68" t="s">
        <v>276</v>
      </c>
      <c r="J7" s="495" t="s">
        <v>346</v>
      </c>
      <c r="K7" s="408" t="s">
        <v>274</v>
      </c>
      <c r="L7" s="68" t="s">
        <v>276</v>
      </c>
      <c r="M7" s="495" t="s">
        <v>346</v>
      </c>
      <c r="N7" s="401" t="s">
        <v>274</v>
      </c>
      <c r="O7" s="68" t="s">
        <v>276</v>
      </c>
      <c r="P7" s="495" t="s">
        <v>346</v>
      </c>
      <c r="Q7" s="401" t="s">
        <v>274</v>
      </c>
      <c r="R7" s="68" t="s">
        <v>276</v>
      </c>
      <c r="S7" s="495" t="s">
        <v>346</v>
      </c>
      <c r="T7" s="401" t="s">
        <v>274</v>
      </c>
      <c r="U7" s="68" t="s">
        <v>276</v>
      </c>
      <c r="V7" s="59" t="s">
        <v>277</v>
      </c>
      <c r="W7" s="434" t="s">
        <v>274</v>
      </c>
      <c r="X7" s="924" t="s">
        <v>638</v>
      </c>
      <c r="Y7" s="838" t="s">
        <v>341</v>
      </c>
      <c r="Z7" s="436" t="s">
        <v>300</v>
      </c>
      <c r="AA7" s="443" t="s">
        <v>297</v>
      </c>
      <c r="AB7" s="436" t="s">
        <v>298</v>
      </c>
    </row>
    <row r="8" spans="1:28" s="361" customFormat="1" ht="18" customHeight="1">
      <c r="A8" s="375"/>
      <c r="B8" s="376"/>
      <c r="C8" s="360"/>
      <c r="F8" s="363"/>
      <c r="G8" s="362"/>
      <c r="H8" s="362"/>
      <c r="I8" s="359"/>
      <c r="K8" s="409"/>
      <c r="L8" s="359"/>
      <c r="N8" s="402"/>
      <c r="O8" s="359"/>
      <c r="Q8" s="402"/>
      <c r="R8" s="359"/>
      <c r="T8" s="402"/>
      <c r="U8" s="359"/>
      <c r="W8" s="435"/>
      <c r="X8" s="925"/>
      <c r="Y8" s="923" t="s">
        <v>653</v>
      </c>
      <c r="Z8" s="360"/>
      <c r="AA8" s="359"/>
      <c r="AB8" s="360"/>
    </row>
    <row r="9" spans="1:28" s="59" customFormat="1" ht="23.25" customHeight="1">
      <c r="A9" s="377" t="s">
        <v>134</v>
      </c>
      <c r="B9" s="378" t="s">
        <v>134</v>
      </c>
      <c r="C9" s="71"/>
      <c r="F9" s="69" t="s">
        <v>35</v>
      </c>
      <c r="G9" s="175" t="s">
        <v>35</v>
      </c>
      <c r="H9" s="175" t="s">
        <v>35</v>
      </c>
      <c r="I9" s="68" t="s">
        <v>273</v>
      </c>
      <c r="J9" s="59" t="s">
        <v>273</v>
      </c>
      <c r="K9" s="408"/>
      <c r="L9" s="68" t="s">
        <v>273</v>
      </c>
      <c r="M9" s="59" t="s">
        <v>273</v>
      </c>
      <c r="N9" s="401"/>
      <c r="O9" s="68" t="s">
        <v>273</v>
      </c>
      <c r="P9" s="59" t="s">
        <v>273</v>
      </c>
      <c r="Q9" s="401"/>
      <c r="R9" s="68" t="s">
        <v>273</v>
      </c>
      <c r="S9" s="59" t="s">
        <v>273</v>
      </c>
      <c r="T9" s="401"/>
      <c r="U9" s="68" t="s">
        <v>273</v>
      </c>
      <c r="V9" s="59" t="s">
        <v>273</v>
      </c>
      <c r="W9" s="434"/>
      <c r="X9" s="926" t="s">
        <v>273</v>
      </c>
      <c r="Y9" s="520"/>
      <c r="Z9" s="71"/>
      <c r="AA9" s="70"/>
      <c r="AB9" s="71"/>
    </row>
    <row r="10" spans="1:28" s="47" customFormat="1" ht="14.25" customHeight="1">
      <c r="A10" s="421">
        <f>Eingabedaten!A10</f>
        <v>1.1000000000000001</v>
      </c>
      <c r="B10" s="379">
        <f>Eingabedaten!B10</f>
        <v>0</v>
      </c>
      <c r="C10" s="74" t="str">
        <f>Eingabedaten!C10</f>
        <v>Wohnen MFH</v>
      </c>
      <c r="D10" s="73"/>
      <c r="E10" s="72"/>
      <c r="F10" s="263">
        <f>Eingabedaten!D10</f>
        <v>4</v>
      </c>
      <c r="G10" s="240">
        <f>Eingabedaten!E10</f>
        <v>5</v>
      </c>
      <c r="H10" s="240">
        <f>Eingabedaten!F10</f>
        <v>2.5</v>
      </c>
      <c r="I10" s="75">
        <f>F10*H10</f>
        <v>10</v>
      </c>
      <c r="J10" s="1112">
        <f>I10/0.85</f>
        <v>11.764705882352942</v>
      </c>
      <c r="K10" s="412">
        <f>J10/(F10*G10/0.9)</f>
        <v>0.52941176470588236</v>
      </c>
      <c r="L10" s="75">
        <f>F10*H10+G10*H10</f>
        <v>22.5</v>
      </c>
      <c r="M10" s="62">
        <f>L10/0.85</f>
        <v>26.47058823529412</v>
      </c>
      <c r="N10" s="501">
        <f>M10/(F10*G10/0.9)</f>
        <v>1.1911764705882355</v>
      </c>
      <c r="O10" s="75">
        <f>I10+L10</f>
        <v>32.5</v>
      </c>
      <c r="P10" s="62">
        <f>O10/0.85</f>
        <v>38.235294117647058</v>
      </c>
      <c r="Q10" s="398">
        <f>P10/(F10*G10/0.9)</f>
        <v>1.7205882352941178</v>
      </c>
      <c r="R10" s="75">
        <f>2*L10</f>
        <v>45</v>
      </c>
      <c r="S10" s="62">
        <f>R10/0.85</f>
        <v>52.941176470588239</v>
      </c>
      <c r="T10" s="398">
        <f>S10/(F10*G10/0.9)</f>
        <v>2.382352941176471</v>
      </c>
      <c r="U10" s="75">
        <f>F10*H10+G10*H10+F10*G10</f>
        <v>42.5</v>
      </c>
      <c r="V10" s="62">
        <f>((F10*H10+G10*H10)/0.85)+(F10*G10/0.8)</f>
        <v>51.470588235294116</v>
      </c>
      <c r="W10" s="398">
        <f>V10/(F10*G10/0.9)</f>
        <v>2.3161764705882355</v>
      </c>
      <c r="X10" s="1067">
        <f>M10</f>
        <v>26.47058823529412</v>
      </c>
      <c r="Y10" s="1113">
        <f>N10</f>
        <v>1.1911764705882355</v>
      </c>
      <c r="Z10" s="1114"/>
      <c r="AA10" s="1115" t="s">
        <v>299</v>
      </c>
      <c r="AB10" s="1116" t="s">
        <v>288</v>
      </c>
    </row>
    <row r="11" spans="1:28" s="47" customFormat="1" ht="14.25" customHeight="1">
      <c r="A11" s="1117">
        <f>Eingabedaten!A11</f>
        <v>1.2</v>
      </c>
      <c r="B11" s="1118">
        <f>Eingabedaten!B11</f>
        <v>0</v>
      </c>
      <c r="C11" s="61" t="str">
        <f>Eingabedaten!C11</f>
        <v>Wohnen EFH</v>
      </c>
      <c r="D11" s="56"/>
      <c r="E11" s="60"/>
      <c r="F11" s="1011">
        <f>Eingabedaten!D11</f>
        <v>4</v>
      </c>
      <c r="G11" s="289">
        <f>Eingabedaten!E11</f>
        <v>5</v>
      </c>
      <c r="H11" s="289">
        <f>Eingabedaten!F11</f>
        <v>2.5</v>
      </c>
      <c r="I11" s="50">
        <f>F11*H11</f>
        <v>10</v>
      </c>
      <c r="J11" s="1119">
        <f>I11/0.85</f>
        <v>11.764705882352942</v>
      </c>
      <c r="K11" s="411">
        <f>J11/(F11*G11/0.9)</f>
        <v>0.52941176470588236</v>
      </c>
      <c r="L11" s="50">
        <f>F11*H11+G11*H11</f>
        <v>22.5</v>
      </c>
      <c r="M11" s="54">
        <f>L11/0.85</f>
        <v>26.47058823529412</v>
      </c>
      <c r="N11" s="1121">
        <f>M11/(F11*G11/0.9)</f>
        <v>1.1911764705882355</v>
      </c>
      <c r="O11" s="50">
        <f>I11+L11</f>
        <v>32.5</v>
      </c>
      <c r="P11" s="54">
        <f>O11/0.85</f>
        <v>38.235294117647058</v>
      </c>
      <c r="Q11" s="500">
        <f>P11/(F11*G11/0.9)</f>
        <v>1.7205882352941178</v>
      </c>
      <c r="R11" s="50">
        <f>2*L11</f>
        <v>45</v>
      </c>
      <c r="S11" s="54">
        <f>R11/0.85</f>
        <v>52.941176470588239</v>
      </c>
      <c r="T11" s="399">
        <f>S11/(F11*G11/0.9)</f>
        <v>2.382352941176471</v>
      </c>
      <c r="U11" s="50">
        <f>F11*H11+G11*H11+F11*G11</f>
        <v>42.5</v>
      </c>
      <c r="V11" s="54">
        <f>((F11*H11+G11*H11)/0.85)+(F11*G11/0.8)</f>
        <v>51.470588235294116</v>
      </c>
      <c r="W11" s="399">
        <f>V11/(F11*G11/0.9)</f>
        <v>2.3161764705882355</v>
      </c>
      <c r="X11" s="1066">
        <f>P11</f>
        <v>38.235294117647058</v>
      </c>
      <c r="Y11" s="1069">
        <f>Q11</f>
        <v>1.7205882352941178</v>
      </c>
      <c r="Z11" s="438"/>
      <c r="AA11" s="1120" t="s">
        <v>299</v>
      </c>
      <c r="AB11" s="427" t="s">
        <v>527</v>
      </c>
    </row>
    <row r="12" spans="1:28" s="37" customFormat="1">
      <c r="A12" s="388">
        <f>Eingabedaten!A12</f>
        <v>2.1</v>
      </c>
      <c r="B12" s="380" t="str">
        <f>Eingabedaten!B12</f>
        <v>12</v>
      </c>
      <c r="C12" s="76" t="str">
        <f>Eingabedaten!C12</f>
        <v xml:space="preserve">Hotelzimmer </v>
      </c>
      <c r="D12" s="75"/>
      <c r="E12" s="76"/>
      <c r="F12" s="240">
        <f>Eingabedaten!D12</f>
        <v>4</v>
      </c>
      <c r="G12" s="240">
        <f>Eingabedaten!E12</f>
        <v>5</v>
      </c>
      <c r="H12" s="240">
        <f>Eingabedaten!F12</f>
        <v>2.5</v>
      </c>
      <c r="I12" s="46">
        <f>F12*H12</f>
        <v>10</v>
      </c>
      <c r="J12" s="53">
        <f>I12/0.85</f>
        <v>11.764705882352942</v>
      </c>
      <c r="K12" s="410">
        <f t="shared" ref="K12:K21" si="0">J12/(F12*G12/0.9)</f>
        <v>0.52941176470588236</v>
      </c>
      <c r="L12" s="46">
        <f t="shared" ref="L12:L21" si="1">F12*H12+G12*H12</f>
        <v>22.5</v>
      </c>
      <c r="M12" s="53">
        <f t="shared" ref="M12:M54" si="2">L12/0.85</f>
        <v>26.47058823529412</v>
      </c>
      <c r="N12" s="499">
        <f t="shared" ref="N12:N21" si="3">M12/(F12*G12/0.9)</f>
        <v>1.1911764705882355</v>
      </c>
      <c r="O12" s="46">
        <f t="shared" ref="O12:O54" si="4">I12+L12</f>
        <v>32.5</v>
      </c>
      <c r="P12" s="53">
        <f t="shared" ref="P12:P54" si="5">O12/0.85</f>
        <v>38.235294117647058</v>
      </c>
      <c r="Q12" s="400">
        <f t="shared" ref="Q12:Q54" si="6">P12/(F12*G12/0.9)</f>
        <v>1.7205882352941178</v>
      </c>
      <c r="R12" s="46">
        <f t="shared" ref="R12:R54" si="7">2*L12</f>
        <v>45</v>
      </c>
      <c r="S12" s="53">
        <f t="shared" ref="S12:S54" si="8">R12/0.85</f>
        <v>52.941176470588239</v>
      </c>
      <c r="T12" s="400">
        <f t="shared" ref="T12:T54" si="9">S12/(F12*G12/0.9)</f>
        <v>2.382352941176471</v>
      </c>
      <c r="U12" s="46">
        <f t="shared" ref="U12:U21" si="10">F12*H12+G12*H12+F12*G12</f>
        <v>42.5</v>
      </c>
      <c r="V12" s="53">
        <f t="shared" ref="V12:V21" si="11">((F12*H12+G12*H12)/0.85)+(F12*G12/0.8)</f>
        <v>51.470588235294116</v>
      </c>
      <c r="W12" s="400">
        <f t="shared" ref="W12:W21" si="12">V12/(F12*G12/0.9)</f>
        <v>2.3161764705882355</v>
      </c>
      <c r="X12" s="1065">
        <f>M12</f>
        <v>26.47058823529412</v>
      </c>
      <c r="Y12" s="1068">
        <f t="shared" ref="Y12:Y17" si="13">N12</f>
        <v>1.1911764705882355</v>
      </c>
      <c r="Z12" s="437"/>
      <c r="AA12" s="1060">
        <v>1.3</v>
      </c>
      <c r="AB12" s="422" t="s">
        <v>288</v>
      </c>
    </row>
    <row r="13" spans="1:28" s="37" customFormat="1">
      <c r="A13" s="389">
        <f>Eingabedaten!A13</f>
        <v>2.2000000000000002</v>
      </c>
      <c r="B13" s="381">
        <f>Eingabedaten!B13</f>
        <v>0</v>
      </c>
      <c r="C13" s="51" t="str">
        <f>Eingabedaten!C13</f>
        <v>Empfang, Lobby</v>
      </c>
      <c r="D13" s="50"/>
      <c r="E13" s="51"/>
      <c r="F13" s="289">
        <f>Eingabedaten!D13</f>
        <v>12</v>
      </c>
      <c r="G13" s="289">
        <f>Eingabedaten!E13</f>
        <v>12</v>
      </c>
      <c r="H13" s="289">
        <f>Eingabedaten!F13</f>
        <v>4</v>
      </c>
      <c r="I13" s="50">
        <f t="shared" ref="I13:I21" si="14">F13*H13</f>
        <v>48</v>
      </c>
      <c r="J13" s="54">
        <f t="shared" ref="J13:J54" si="15">I13/0.85</f>
        <v>56.470588235294116</v>
      </c>
      <c r="K13" s="411">
        <f t="shared" si="0"/>
        <v>0.3529411764705882</v>
      </c>
      <c r="L13" s="50">
        <f t="shared" si="1"/>
        <v>96</v>
      </c>
      <c r="M13" s="54">
        <f t="shared" si="2"/>
        <v>112.94117647058823</v>
      </c>
      <c r="N13" s="500">
        <f t="shared" si="3"/>
        <v>0.70588235294117641</v>
      </c>
      <c r="O13" s="50">
        <f t="shared" si="4"/>
        <v>144</v>
      </c>
      <c r="P13" s="54">
        <f t="shared" si="5"/>
        <v>169.41176470588235</v>
      </c>
      <c r="Q13" s="399">
        <f t="shared" si="6"/>
        <v>1.0588235294117647</v>
      </c>
      <c r="R13" s="50">
        <f t="shared" si="7"/>
        <v>192</v>
      </c>
      <c r="S13" s="54">
        <f t="shared" si="8"/>
        <v>225.88235294117646</v>
      </c>
      <c r="T13" s="399">
        <f t="shared" si="9"/>
        <v>1.4117647058823528</v>
      </c>
      <c r="U13" s="50">
        <f t="shared" si="10"/>
        <v>240</v>
      </c>
      <c r="V13" s="54">
        <f t="shared" si="11"/>
        <v>292.94117647058823</v>
      </c>
      <c r="W13" s="399">
        <f t="shared" si="12"/>
        <v>1.8308823529411764</v>
      </c>
      <c r="X13" s="1066">
        <f>M13</f>
        <v>112.94117647058823</v>
      </c>
      <c r="Y13" s="1069">
        <f t="shared" si="13"/>
        <v>0.70588235294117641</v>
      </c>
      <c r="Z13" s="438"/>
      <c r="AA13" s="1061">
        <v>1.3</v>
      </c>
      <c r="AB13" s="427" t="s">
        <v>288</v>
      </c>
    </row>
    <row r="14" spans="1:28">
      <c r="A14" s="390">
        <f>Eingabedaten!A14</f>
        <v>3.1</v>
      </c>
      <c r="B14" s="382" t="str">
        <f>Eingabedaten!B14</f>
        <v>1</v>
      </c>
      <c r="C14" s="288" t="str">
        <f>Eingabedaten!C14</f>
        <v>Einzel-, Gruppenbüro</v>
      </c>
      <c r="D14" s="423"/>
      <c r="E14" s="288"/>
      <c r="F14" s="292">
        <f>Eingabedaten!D14</f>
        <v>6</v>
      </c>
      <c r="G14" s="292">
        <f>Eingabedaten!E14</f>
        <v>6</v>
      </c>
      <c r="H14" s="292">
        <f>Eingabedaten!F14</f>
        <v>3</v>
      </c>
      <c r="I14" s="46">
        <f t="shared" si="14"/>
        <v>18</v>
      </c>
      <c r="J14" s="53">
        <f t="shared" si="15"/>
        <v>21.176470588235293</v>
      </c>
      <c r="K14" s="410">
        <f t="shared" si="0"/>
        <v>0.52941176470588236</v>
      </c>
      <c r="L14" s="46">
        <f t="shared" si="1"/>
        <v>36</v>
      </c>
      <c r="M14" s="53">
        <f t="shared" si="2"/>
        <v>42.352941176470587</v>
      </c>
      <c r="N14" s="499">
        <f t="shared" si="3"/>
        <v>1.0588235294117647</v>
      </c>
      <c r="O14" s="46">
        <f t="shared" si="4"/>
        <v>54</v>
      </c>
      <c r="P14" s="53">
        <f t="shared" si="5"/>
        <v>63.529411764705884</v>
      </c>
      <c r="Q14" s="400">
        <f t="shared" si="6"/>
        <v>1.5882352941176472</v>
      </c>
      <c r="R14" s="46">
        <f t="shared" si="7"/>
        <v>72</v>
      </c>
      <c r="S14" s="53">
        <f t="shared" si="8"/>
        <v>84.705882352941174</v>
      </c>
      <c r="T14" s="400">
        <f t="shared" si="9"/>
        <v>2.1176470588235294</v>
      </c>
      <c r="U14" s="46">
        <f t="shared" si="10"/>
        <v>72</v>
      </c>
      <c r="V14" s="53">
        <f t="shared" si="11"/>
        <v>87.35294117647058</v>
      </c>
      <c r="W14" s="400">
        <f t="shared" si="12"/>
        <v>2.1838235294117645</v>
      </c>
      <c r="X14" s="1065">
        <f>M14</f>
        <v>42.352941176470587</v>
      </c>
      <c r="Y14" s="1070">
        <f>N14</f>
        <v>1.0588235294117647</v>
      </c>
      <c r="Z14" s="296"/>
      <c r="AA14" s="1062">
        <v>1</v>
      </c>
      <c r="AB14" s="424" t="s">
        <v>289</v>
      </c>
    </row>
    <row r="15" spans="1:28">
      <c r="A15" s="391">
        <f>Eingabedaten!A15</f>
        <v>3.2</v>
      </c>
      <c r="B15" s="383" t="str">
        <f>Eingabedaten!B15</f>
        <v>2</v>
      </c>
      <c r="C15" s="65" t="str">
        <f>Eingabedaten!C15</f>
        <v>Grossraumbüro</v>
      </c>
      <c r="D15" s="425"/>
      <c r="E15" s="4"/>
      <c r="F15" s="280">
        <f>Eingabedaten!D15</f>
        <v>12</v>
      </c>
      <c r="G15" s="82">
        <f>Eingabedaten!E15</f>
        <v>12</v>
      </c>
      <c r="H15" s="82">
        <f>Eingabedaten!F15</f>
        <v>3</v>
      </c>
      <c r="I15" s="46">
        <f t="shared" si="14"/>
        <v>36</v>
      </c>
      <c r="J15" s="53">
        <f t="shared" si="15"/>
        <v>42.352941176470587</v>
      </c>
      <c r="K15" s="410">
        <f t="shared" si="0"/>
        <v>0.26470588235294118</v>
      </c>
      <c r="L15" s="46">
        <f t="shared" si="1"/>
        <v>72</v>
      </c>
      <c r="M15" s="53">
        <f t="shared" si="2"/>
        <v>84.705882352941174</v>
      </c>
      <c r="N15" s="400">
        <f t="shared" si="3"/>
        <v>0.52941176470588236</v>
      </c>
      <c r="O15" s="46">
        <f t="shared" si="4"/>
        <v>108</v>
      </c>
      <c r="P15" s="53">
        <f t="shared" si="5"/>
        <v>127.05882352941177</v>
      </c>
      <c r="Q15" s="499">
        <f t="shared" si="6"/>
        <v>0.79411764705882359</v>
      </c>
      <c r="R15" s="46">
        <f t="shared" si="7"/>
        <v>144</v>
      </c>
      <c r="S15" s="53">
        <f t="shared" si="8"/>
        <v>169.41176470588235</v>
      </c>
      <c r="T15" s="400">
        <f t="shared" si="9"/>
        <v>1.0588235294117647</v>
      </c>
      <c r="U15" s="46">
        <f t="shared" si="10"/>
        <v>216</v>
      </c>
      <c r="V15" s="53">
        <f t="shared" si="11"/>
        <v>264.70588235294116</v>
      </c>
      <c r="W15" s="400">
        <f t="shared" si="12"/>
        <v>1.6544117647058822</v>
      </c>
      <c r="X15" s="1065">
        <f>P15</f>
        <v>127.05882352941177</v>
      </c>
      <c r="Y15" s="1068">
        <f>Q15</f>
        <v>0.79411764705882359</v>
      </c>
      <c r="Z15" s="296"/>
      <c r="AA15" s="1062">
        <v>1</v>
      </c>
      <c r="AB15" s="424" t="s">
        <v>289</v>
      </c>
    </row>
    <row r="16" spans="1:28">
      <c r="A16" s="391">
        <f>Eingabedaten!A16</f>
        <v>3.3</v>
      </c>
      <c r="B16" s="383">
        <f>Eingabedaten!B16</f>
        <v>3</v>
      </c>
      <c r="C16" s="65" t="str">
        <f>Eingabedaten!C16</f>
        <v>Sitzungszimmer</v>
      </c>
      <c r="D16" s="425"/>
      <c r="E16" s="4"/>
      <c r="F16" s="280">
        <f>Eingabedaten!D16</f>
        <v>6</v>
      </c>
      <c r="G16" s="82">
        <f>Eingabedaten!E16</f>
        <v>6</v>
      </c>
      <c r="H16" s="82">
        <f>Eingabedaten!F16</f>
        <v>3</v>
      </c>
      <c r="I16" s="46">
        <f t="shared" si="14"/>
        <v>18</v>
      </c>
      <c r="J16" s="53">
        <f t="shared" si="15"/>
        <v>21.176470588235293</v>
      </c>
      <c r="K16" s="410">
        <f t="shared" si="0"/>
        <v>0.52941176470588236</v>
      </c>
      <c r="L16" s="46">
        <f t="shared" si="1"/>
        <v>36</v>
      </c>
      <c r="M16" s="53">
        <f t="shared" si="2"/>
        <v>42.352941176470587</v>
      </c>
      <c r="N16" s="499">
        <f t="shared" si="3"/>
        <v>1.0588235294117647</v>
      </c>
      <c r="O16" s="46">
        <f t="shared" si="4"/>
        <v>54</v>
      </c>
      <c r="P16" s="53">
        <f t="shared" si="5"/>
        <v>63.529411764705884</v>
      </c>
      <c r="Q16" s="400">
        <f t="shared" si="6"/>
        <v>1.5882352941176472</v>
      </c>
      <c r="R16" s="46">
        <f t="shared" si="7"/>
        <v>72</v>
      </c>
      <c r="S16" s="53">
        <f t="shared" si="8"/>
        <v>84.705882352941174</v>
      </c>
      <c r="T16" s="400">
        <f t="shared" si="9"/>
        <v>2.1176470588235294</v>
      </c>
      <c r="U16" s="46">
        <f t="shared" si="10"/>
        <v>72</v>
      </c>
      <c r="V16" s="53">
        <f t="shared" si="11"/>
        <v>87.35294117647058</v>
      </c>
      <c r="W16" s="400">
        <f t="shared" si="12"/>
        <v>2.1838235294117645</v>
      </c>
      <c r="X16" s="1065">
        <f>M16</f>
        <v>42.352941176470587</v>
      </c>
      <c r="Y16" s="1068">
        <f t="shared" si="13"/>
        <v>1.0588235294117647</v>
      </c>
      <c r="Z16" s="296"/>
      <c r="AA16" s="1062">
        <v>1</v>
      </c>
      <c r="AB16" s="424" t="s">
        <v>289</v>
      </c>
    </row>
    <row r="17" spans="1:28">
      <c r="A17" s="392">
        <f>Eingabedaten!A17</f>
        <v>3.4</v>
      </c>
      <c r="B17" s="384">
        <f>Eingabedaten!B17</f>
        <v>4</v>
      </c>
      <c r="C17" s="357" t="str">
        <f>Eingabedaten!C17</f>
        <v>Schalterhalle, Empfang</v>
      </c>
      <c r="D17" s="426"/>
      <c r="E17" s="283"/>
      <c r="F17" s="281">
        <f>Eingabedaten!D17</f>
        <v>12</v>
      </c>
      <c r="G17" s="282">
        <f>Eingabedaten!E17</f>
        <v>12</v>
      </c>
      <c r="H17" s="282">
        <f>Eingabedaten!F17</f>
        <v>4</v>
      </c>
      <c r="I17" s="50">
        <f t="shared" si="14"/>
        <v>48</v>
      </c>
      <c r="J17" s="54">
        <f t="shared" si="15"/>
        <v>56.470588235294116</v>
      </c>
      <c r="K17" s="411">
        <f t="shared" si="0"/>
        <v>0.3529411764705882</v>
      </c>
      <c r="L17" s="50">
        <f t="shared" si="1"/>
        <v>96</v>
      </c>
      <c r="M17" s="54">
        <f t="shared" si="2"/>
        <v>112.94117647058823</v>
      </c>
      <c r="N17" s="500">
        <f t="shared" si="3"/>
        <v>0.70588235294117641</v>
      </c>
      <c r="O17" s="50">
        <f t="shared" si="4"/>
        <v>144</v>
      </c>
      <c r="P17" s="54">
        <f t="shared" si="5"/>
        <v>169.41176470588235</v>
      </c>
      <c r="Q17" s="399">
        <f t="shared" si="6"/>
        <v>1.0588235294117647</v>
      </c>
      <c r="R17" s="50">
        <f t="shared" si="7"/>
        <v>192</v>
      </c>
      <c r="S17" s="54">
        <f t="shared" si="8"/>
        <v>225.88235294117646</v>
      </c>
      <c r="T17" s="399">
        <f t="shared" si="9"/>
        <v>1.4117647058823528</v>
      </c>
      <c r="U17" s="50">
        <f t="shared" si="10"/>
        <v>240</v>
      </c>
      <c r="V17" s="54">
        <f t="shared" si="11"/>
        <v>292.94117647058823</v>
      </c>
      <c r="W17" s="399">
        <f t="shared" si="12"/>
        <v>1.8308823529411764</v>
      </c>
      <c r="X17" s="1066">
        <f>M17</f>
        <v>112.94117647058823</v>
      </c>
      <c r="Y17" s="1069">
        <f t="shared" si="13"/>
        <v>0.70588235294117641</v>
      </c>
      <c r="Z17" s="295"/>
      <c r="AA17" s="1063">
        <v>1</v>
      </c>
      <c r="AB17" s="428" t="s">
        <v>289</v>
      </c>
    </row>
    <row r="18" spans="1:28">
      <c r="A18" s="390">
        <f>Eingabedaten!A18</f>
        <v>4.0999999999999996</v>
      </c>
      <c r="B18" s="382">
        <f>Eingabedaten!B18</f>
        <v>8</v>
      </c>
      <c r="C18" s="288" t="str">
        <f>Eingabedaten!C18</f>
        <v>Schulzimmer</v>
      </c>
      <c r="D18" s="423"/>
      <c r="E18" s="285"/>
      <c r="F18" s="291">
        <f>Eingabedaten!D18</f>
        <v>10</v>
      </c>
      <c r="G18" s="292">
        <f>Eingabedaten!E18</f>
        <v>7</v>
      </c>
      <c r="H18" s="292">
        <f>Eingabedaten!F18</f>
        <v>3</v>
      </c>
      <c r="I18" s="46">
        <f t="shared" si="14"/>
        <v>30</v>
      </c>
      <c r="J18" s="53">
        <f t="shared" si="15"/>
        <v>35.294117647058826</v>
      </c>
      <c r="K18" s="410">
        <f t="shared" si="0"/>
        <v>0.45378151260504207</v>
      </c>
      <c r="L18" s="46">
        <f t="shared" si="1"/>
        <v>51</v>
      </c>
      <c r="M18" s="53">
        <f t="shared" si="2"/>
        <v>60</v>
      </c>
      <c r="N18" s="400">
        <f t="shared" si="3"/>
        <v>0.77142857142857146</v>
      </c>
      <c r="O18" s="46">
        <f t="shared" si="4"/>
        <v>81</v>
      </c>
      <c r="P18" s="53">
        <f t="shared" si="5"/>
        <v>95.294117647058826</v>
      </c>
      <c r="Q18" s="499">
        <f t="shared" si="6"/>
        <v>1.2252100840336135</v>
      </c>
      <c r="R18" s="46">
        <f t="shared" si="7"/>
        <v>102</v>
      </c>
      <c r="S18" s="53">
        <f t="shared" si="8"/>
        <v>120</v>
      </c>
      <c r="T18" s="400">
        <f t="shared" si="9"/>
        <v>1.5428571428571429</v>
      </c>
      <c r="U18" s="46">
        <f t="shared" si="10"/>
        <v>121</v>
      </c>
      <c r="V18" s="53">
        <f t="shared" si="11"/>
        <v>147.5</v>
      </c>
      <c r="W18" s="400">
        <f t="shared" si="12"/>
        <v>1.8964285714285716</v>
      </c>
      <c r="X18" s="1065">
        <f>P18</f>
        <v>95.294117647058826</v>
      </c>
      <c r="Y18" s="1070">
        <f>Q18</f>
        <v>1.2252100840336135</v>
      </c>
      <c r="Z18" s="49"/>
      <c r="AA18" s="1062">
        <v>1.2</v>
      </c>
      <c r="AB18" s="424" t="s">
        <v>290</v>
      </c>
    </row>
    <row r="19" spans="1:28">
      <c r="A19" s="391">
        <f>Eingabedaten!A19</f>
        <v>4.2</v>
      </c>
      <c r="B19" s="383">
        <f>Eingabedaten!B19</f>
        <v>0</v>
      </c>
      <c r="C19" s="66" t="str">
        <f>Eingabedaten!C19</f>
        <v>Lehrerzimmer</v>
      </c>
      <c r="D19" s="67"/>
      <c r="E19" s="2"/>
      <c r="F19" s="280">
        <f>Eingabedaten!D19</f>
        <v>6</v>
      </c>
      <c r="G19" s="82">
        <f>Eingabedaten!E19</f>
        <v>6</v>
      </c>
      <c r="H19" s="82">
        <f>Eingabedaten!F19</f>
        <v>3</v>
      </c>
      <c r="I19" s="46">
        <f t="shared" si="14"/>
        <v>18</v>
      </c>
      <c r="J19" s="53">
        <f t="shared" si="15"/>
        <v>21.176470588235293</v>
      </c>
      <c r="K19" s="410">
        <f t="shared" si="0"/>
        <v>0.52941176470588236</v>
      </c>
      <c r="L19" s="46">
        <f t="shared" si="1"/>
        <v>36</v>
      </c>
      <c r="M19" s="53">
        <f t="shared" si="2"/>
        <v>42.352941176470587</v>
      </c>
      <c r="N19" s="400">
        <f t="shared" si="3"/>
        <v>1.0588235294117647</v>
      </c>
      <c r="O19" s="46">
        <f t="shared" si="4"/>
        <v>54</v>
      </c>
      <c r="P19" s="53">
        <f t="shared" si="5"/>
        <v>63.529411764705884</v>
      </c>
      <c r="Q19" s="499">
        <f t="shared" si="6"/>
        <v>1.5882352941176472</v>
      </c>
      <c r="R19" s="46">
        <f t="shared" si="7"/>
        <v>72</v>
      </c>
      <c r="S19" s="53">
        <f t="shared" si="8"/>
        <v>84.705882352941174</v>
      </c>
      <c r="T19" s="400">
        <f t="shared" si="9"/>
        <v>2.1176470588235294</v>
      </c>
      <c r="U19" s="46">
        <f t="shared" si="10"/>
        <v>72</v>
      </c>
      <c r="V19" s="53">
        <f t="shared" si="11"/>
        <v>87.35294117647058</v>
      </c>
      <c r="W19" s="400">
        <f t="shared" si="12"/>
        <v>2.1838235294117645</v>
      </c>
      <c r="X19" s="1065">
        <f t="shared" ref="X19:X22" si="16">P19</f>
        <v>63.529411764705884</v>
      </c>
      <c r="Y19" s="1070">
        <f>Q19</f>
        <v>1.5882352941176472</v>
      </c>
      <c r="Z19" s="49"/>
      <c r="AA19" s="1062">
        <v>1.2</v>
      </c>
      <c r="AB19" s="424" t="s">
        <v>290</v>
      </c>
    </row>
    <row r="20" spans="1:28">
      <c r="A20" s="391">
        <f>Eingabedaten!A20</f>
        <v>4.3</v>
      </c>
      <c r="B20" s="383">
        <f>Eingabedaten!B20</f>
        <v>0</v>
      </c>
      <c r="C20" s="66" t="str">
        <f>Eingabedaten!C20</f>
        <v>Bibliothek</v>
      </c>
      <c r="D20" s="67"/>
      <c r="E20" s="2"/>
      <c r="F20" s="280">
        <f>Eingabedaten!D20</f>
        <v>12</v>
      </c>
      <c r="G20" s="82">
        <f>Eingabedaten!E20</f>
        <v>12</v>
      </c>
      <c r="H20" s="82">
        <f>Eingabedaten!F20</f>
        <v>3</v>
      </c>
      <c r="I20" s="46">
        <f t="shared" si="14"/>
        <v>36</v>
      </c>
      <c r="J20" s="53">
        <f t="shared" si="15"/>
        <v>42.352941176470587</v>
      </c>
      <c r="K20" s="410">
        <f t="shared" si="0"/>
        <v>0.26470588235294118</v>
      </c>
      <c r="L20" s="46">
        <f t="shared" si="1"/>
        <v>72</v>
      </c>
      <c r="M20" s="53">
        <f t="shared" si="2"/>
        <v>84.705882352941174</v>
      </c>
      <c r="N20" s="400">
        <f t="shared" si="3"/>
        <v>0.52941176470588236</v>
      </c>
      <c r="O20" s="46">
        <f t="shared" si="4"/>
        <v>108</v>
      </c>
      <c r="P20" s="53">
        <f t="shared" si="5"/>
        <v>127.05882352941177</v>
      </c>
      <c r="Q20" s="499">
        <f t="shared" si="6"/>
        <v>0.79411764705882359</v>
      </c>
      <c r="R20" s="46">
        <f t="shared" si="7"/>
        <v>144</v>
      </c>
      <c r="S20" s="53">
        <f t="shared" si="8"/>
        <v>169.41176470588235</v>
      </c>
      <c r="T20" s="400">
        <f t="shared" si="9"/>
        <v>1.0588235294117647</v>
      </c>
      <c r="U20" s="46">
        <f t="shared" si="10"/>
        <v>216</v>
      </c>
      <c r="V20" s="53">
        <f t="shared" si="11"/>
        <v>264.70588235294116</v>
      </c>
      <c r="W20" s="400">
        <f t="shared" si="12"/>
        <v>1.6544117647058822</v>
      </c>
      <c r="X20" s="1065">
        <f t="shared" si="16"/>
        <v>127.05882352941177</v>
      </c>
      <c r="Y20" s="1070">
        <f t="shared" ref="Y20:Y22" si="17">Q20</f>
        <v>0.79411764705882359</v>
      </c>
      <c r="Z20" s="49"/>
      <c r="AA20" s="1062">
        <v>1.2</v>
      </c>
      <c r="AB20" s="424" t="s">
        <v>290</v>
      </c>
    </row>
    <row r="21" spans="1:28">
      <c r="A21" s="391">
        <f>Eingabedaten!A21</f>
        <v>4.4000000000000004</v>
      </c>
      <c r="B21" s="383">
        <f>Eingabedaten!B21</f>
        <v>10</v>
      </c>
      <c r="C21" s="65" t="str">
        <f>Eingabedaten!C21</f>
        <v>Hörsaal</v>
      </c>
      <c r="D21" s="425"/>
      <c r="E21" s="4"/>
      <c r="F21" s="280">
        <f>Eingabedaten!D21</f>
        <v>12</v>
      </c>
      <c r="G21" s="82">
        <f>Eingabedaten!E21</f>
        <v>12</v>
      </c>
      <c r="H21" s="82">
        <f>Eingabedaten!F21</f>
        <v>3</v>
      </c>
      <c r="I21" s="46">
        <f t="shared" si="14"/>
        <v>36</v>
      </c>
      <c r="J21" s="53">
        <f t="shared" si="15"/>
        <v>42.352941176470587</v>
      </c>
      <c r="K21" s="410">
        <f t="shared" si="0"/>
        <v>0.26470588235294118</v>
      </c>
      <c r="L21" s="46">
        <f t="shared" si="1"/>
        <v>72</v>
      </c>
      <c r="M21" s="53">
        <f t="shared" si="2"/>
        <v>84.705882352941174</v>
      </c>
      <c r="N21" s="400">
        <f t="shared" si="3"/>
        <v>0.52941176470588236</v>
      </c>
      <c r="O21" s="46">
        <f t="shared" si="4"/>
        <v>108</v>
      </c>
      <c r="P21" s="53">
        <f t="shared" si="5"/>
        <v>127.05882352941177</v>
      </c>
      <c r="Q21" s="499">
        <f t="shared" si="6"/>
        <v>0.79411764705882359</v>
      </c>
      <c r="R21" s="46">
        <f t="shared" si="7"/>
        <v>144</v>
      </c>
      <c r="S21" s="53">
        <f t="shared" si="8"/>
        <v>169.41176470588235</v>
      </c>
      <c r="T21" s="400">
        <f t="shared" si="9"/>
        <v>1.0588235294117647</v>
      </c>
      <c r="U21" s="46">
        <f t="shared" si="10"/>
        <v>216</v>
      </c>
      <c r="V21" s="53">
        <f t="shared" si="11"/>
        <v>264.70588235294116</v>
      </c>
      <c r="W21" s="400">
        <f t="shared" si="12"/>
        <v>1.6544117647058822</v>
      </c>
      <c r="X21" s="1065">
        <f t="shared" si="16"/>
        <v>127.05882352941177</v>
      </c>
      <c r="Y21" s="1070">
        <f t="shared" si="17"/>
        <v>0.79411764705882359</v>
      </c>
      <c r="Z21" s="49"/>
      <c r="AA21" s="1062">
        <v>1.2</v>
      </c>
      <c r="AB21" s="424" t="s">
        <v>290</v>
      </c>
    </row>
    <row r="22" spans="1:28">
      <c r="A22" s="392">
        <f>Eingabedaten!A22</f>
        <v>4.5</v>
      </c>
      <c r="B22" s="384">
        <f>Eingabedaten!B22</f>
        <v>0</v>
      </c>
      <c r="C22" s="357" t="str">
        <f>Eingabedaten!C22</f>
        <v>Schulfachraum (Spezialraum)</v>
      </c>
      <c r="D22" s="426"/>
      <c r="E22" s="283"/>
      <c r="F22" s="281">
        <f>Eingabedaten!D22</f>
        <v>10</v>
      </c>
      <c r="G22" s="282">
        <f>Eingabedaten!E22</f>
        <v>7</v>
      </c>
      <c r="H22" s="282">
        <f>Eingabedaten!F22</f>
        <v>3</v>
      </c>
      <c r="I22" s="50">
        <f t="shared" ref="I22:I25" si="18">F22*H22</f>
        <v>30</v>
      </c>
      <c r="J22" s="54">
        <f t="shared" si="15"/>
        <v>35.294117647058826</v>
      </c>
      <c r="K22" s="411">
        <f t="shared" ref="K22:K25" si="19">J22/(F22*G22/0.9)</f>
        <v>0.45378151260504207</v>
      </c>
      <c r="L22" s="50">
        <f t="shared" ref="L22:L25" si="20">F22*H22+G22*H22</f>
        <v>51</v>
      </c>
      <c r="M22" s="54">
        <f t="shared" si="2"/>
        <v>60</v>
      </c>
      <c r="N22" s="399">
        <f t="shared" ref="N22:N25" si="21">M22/(F22*G22/0.9)</f>
        <v>0.77142857142857146</v>
      </c>
      <c r="O22" s="50">
        <f t="shared" si="4"/>
        <v>81</v>
      </c>
      <c r="P22" s="54">
        <f t="shared" si="5"/>
        <v>95.294117647058826</v>
      </c>
      <c r="Q22" s="500">
        <f t="shared" si="6"/>
        <v>1.2252100840336135</v>
      </c>
      <c r="R22" s="50">
        <f t="shared" si="7"/>
        <v>102</v>
      </c>
      <c r="S22" s="54">
        <f t="shared" si="8"/>
        <v>120</v>
      </c>
      <c r="T22" s="399">
        <f t="shared" si="9"/>
        <v>1.5428571428571429</v>
      </c>
      <c r="U22" s="50">
        <f t="shared" ref="U22:U25" si="22">F22*H22+G22*H22+F22*G22</f>
        <v>121</v>
      </c>
      <c r="V22" s="54">
        <f t="shared" ref="V22:V25" si="23">((F22*H22+G22*H22)/0.85)+(F22*G22/0.8)</f>
        <v>147.5</v>
      </c>
      <c r="W22" s="399">
        <f t="shared" ref="W22:W25" si="24">V22/(F22*G22/0.9)</f>
        <v>1.8964285714285716</v>
      </c>
      <c r="X22" s="1066">
        <f t="shared" si="16"/>
        <v>95.294117647058826</v>
      </c>
      <c r="Y22" s="1070">
        <f t="shared" si="17"/>
        <v>1.2252100840336135</v>
      </c>
      <c r="Z22" s="49"/>
      <c r="AA22" s="1062">
        <v>1.2</v>
      </c>
      <c r="AB22" s="424" t="s">
        <v>290</v>
      </c>
    </row>
    <row r="23" spans="1:28">
      <c r="A23" s="390">
        <f>Eingabedaten!A23</f>
        <v>5.0999999999999996</v>
      </c>
      <c r="B23" s="385" t="str">
        <f>Eingabedaten!B23</f>
        <v>6</v>
      </c>
      <c r="C23" s="288" t="str">
        <f>Eingabedaten!C23</f>
        <v>Lebensmittelverkauf</v>
      </c>
      <c r="D23" s="423"/>
      <c r="E23" s="285"/>
      <c r="F23" s="291">
        <f>Eingabedaten!D23</f>
        <v>20</v>
      </c>
      <c r="G23" s="292">
        <f>Eingabedaten!E23</f>
        <v>20</v>
      </c>
      <c r="H23" s="292">
        <f>Eingabedaten!F23</f>
        <v>4</v>
      </c>
      <c r="I23" s="46">
        <f t="shared" si="18"/>
        <v>80</v>
      </c>
      <c r="J23" s="53">
        <f t="shared" si="15"/>
        <v>94.117647058823536</v>
      </c>
      <c r="K23" s="410">
        <f t="shared" si="19"/>
        <v>0.21176470588235294</v>
      </c>
      <c r="L23" s="46">
        <f t="shared" si="20"/>
        <v>160</v>
      </c>
      <c r="M23" s="53">
        <f t="shared" si="2"/>
        <v>188.23529411764707</v>
      </c>
      <c r="N23" s="400">
        <f t="shared" si="21"/>
        <v>0.42352941176470588</v>
      </c>
      <c r="O23" s="46">
        <f t="shared" si="4"/>
        <v>240</v>
      </c>
      <c r="P23" s="53">
        <f t="shared" si="5"/>
        <v>282.35294117647061</v>
      </c>
      <c r="Q23" s="400">
        <f t="shared" si="6"/>
        <v>0.6352941176470589</v>
      </c>
      <c r="R23" s="46">
        <f t="shared" si="7"/>
        <v>320</v>
      </c>
      <c r="S23" s="53">
        <f t="shared" si="8"/>
        <v>376.47058823529414</v>
      </c>
      <c r="T23" s="499">
        <f t="shared" si="9"/>
        <v>0.84705882352941175</v>
      </c>
      <c r="U23" s="46">
        <f t="shared" si="22"/>
        <v>560</v>
      </c>
      <c r="V23" s="53">
        <f t="shared" si="23"/>
        <v>688.23529411764707</v>
      </c>
      <c r="W23" s="400">
        <f t="shared" si="24"/>
        <v>1.5485294117647059</v>
      </c>
      <c r="X23" s="1065">
        <f>S23</f>
        <v>376.47058823529414</v>
      </c>
      <c r="Y23" s="1071">
        <f>T23</f>
        <v>0.84705882352941175</v>
      </c>
      <c r="Z23" s="430"/>
      <c r="AA23" s="1064">
        <v>1</v>
      </c>
      <c r="AB23" s="429" t="s">
        <v>76</v>
      </c>
    </row>
    <row r="24" spans="1:28">
      <c r="A24" s="393">
        <f>Eingabedaten!A24</f>
        <v>5.2</v>
      </c>
      <c r="B24" s="386" t="str">
        <f>Eingabedaten!B24</f>
        <v>7</v>
      </c>
      <c r="C24" s="66" t="str">
        <f>Eingabedaten!C24</f>
        <v>Fachgeschäft</v>
      </c>
      <c r="D24" s="67"/>
      <c r="E24" s="2"/>
      <c r="F24" s="280">
        <f>Eingabedaten!D24</f>
        <v>20</v>
      </c>
      <c r="G24" s="82">
        <f>Eingabedaten!E24</f>
        <v>20</v>
      </c>
      <c r="H24" s="82">
        <f>Eingabedaten!F24</f>
        <v>4</v>
      </c>
      <c r="I24" s="46">
        <f t="shared" si="18"/>
        <v>80</v>
      </c>
      <c r="J24" s="53">
        <f t="shared" si="15"/>
        <v>94.117647058823536</v>
      </c>
      <c r="K24" s="410">
        <f t="shared" si="19"/>
        <v>0.21176470588235294</v>
      </c>
      <c r="L24" s="46">
        <f t="shared" si="20"/>
        <v>160</v>
      </c>
      <c r="M24" s="53">
        <f t="shared" si="2"/>
        <v>188.23529411764707</v>
      </c>
      <c r="N24" s="400">
        <f t="shared" si="21"/>
        <v>0.42352941176470588</v>
      </c>
      <c r="O24" s="46">
        <f t="shared" si="4"/>
        <v>240</v>
      </c>
      <c r="P24" s="53">
        <f t="shared" si="5"/>
        <v>282.35294117647061</v>
      </c>
      <c r="Q24" s="400">
        <f t="shared" si="6"/>
        <v>0.6352941176470589</v>
      </c>
      <c r="R24" s="46">
        <f t="shared" si="7"/>
        <v>320</v>
      </c>
      <c r="S24" s="53">
        <f t="shared" si="8"/>
        <v>376.47058823529414</v>
      </c>
      <c r="T24" s="499">
        <f t="shared" si="9"/>
        <v>0.84705882352941175</v>
      </c>
      <c r="U24" s="46">
        <f t="shared" si="22"/>
        <v>560</v>
      </c>
      <c r="V24" s="53">
        <f t="shared" si="23"/>
        <v>688.23529411764707</v>
      </c>
      <c r="W24" s="400">
        <f t="shared" si="24"/>
        <v>1.5485294117647059</v>
      </c>
      <c r="X24" s="1065">
        <f t="shared" ref="X24:X27" si="25">S24</f>
        <v>376.47058823529414</v>
      </c>
      <c r="Y24" s="1070">
        <f t="shared" ref="Y24:Y25" si="26">T24</f>
        <v>0.84705882352941175</v>
      </c>
      <c r="Z24" s="49"/>
      <c r="AA24" s="1062">
        <v>1</v>
      </c>
      <c r="AB24" s="424" t="s">
        <v>76</v>
      </c>
    </row>
    <row r="25" spans="1:28">
      <c r="A25" s="393">
        <f>Eingabedaten!A25</f>
        <v>5.3</v>
      </c>
      <c r="B25" s="386" t="str">
        <f>Eingabedaten!B25</f>
        <v>5</v>
      </c>
      <c r="C25" s="66" t="str">
        <f>Eingabedaten!C25</f>
        <v>Verkauf Möbel, Bau, Garten</v>
      </c>
      <c r="D25" s="67"/>
      <c r="E25" s="2"/>
      <c r="F25" s="280">
        <f>Eingabedaten!D25</f>
        <v>20</v>
      </c>
      <c r="G25" s="82">
        <f>Eingabedaten!E25</f>
        <v>20</v>
      </c>
      <c r="H25" s="82">
        <f>Eingabedaten!F25</f>
        <v>4</v>
      </c>
      <c r="I25" s="46">
        <f t="shared" si="18"/>
        <v>80</v>
      </c>
      <c r="J25" s="53">
        <f t="shared" si="15"/>
        <v>94.117647058823536</v>
      </c>
      <c r="K25" s="410">
        <f t="shared" si="19"/>
        <v>0.21176470588235294</v>
      </c>
      <c r="L25" s="46">
        <f t="shared" si="20"/>
        <v>160</v>
      </c>
      <c r="M25" s="53">
        <f t="shared" si="2"/>
        <v>188.23529411764707</v>
      </c>
      <c r="N25" s="400">
        <f t="shared" si="21"/>
        <v>0.42352941176470588</v>
      </c>
      <c r="O25" s="46">
        <f t="shared" si="4"/>
        <v>240</v>
      </c>
      <c r="P25" s="53">
        <f t="shared" si="5"/>
        <v>282.35294117647061</v>
      </c>
      <c r="Q25" s="400">
        <f t="shared" si="6"/>
        <v>0.6352941176470589</v>
      </c>
      <c r="R25" s="46">
        <f t="shared" si="7"/>
        <v>320</v>
      </c>
      <c r="S25" s="53">
        <f t="shared" si="8"/>
        <v>376.47058823529414</v>
      </c>
      <c r="T25" s="499">
        <f t="shared" si="9"/>
        <v>0.84705882352941175</v>
      </c>
      <c r="U25" s="46">
        <f t="shared" si="22"/>
        <v>560</v>
      </c>
      <c r="V25" s="53">
        <f t="shared" si="23"/>
        <v>688.23529411764707</v>
      </c>
      <c r="W25" s="400">
        <f t="shared" si="24"/>
        <v>1.5485294117647059</v>
      </c>
      <c r="X25" s="1065">
        <f t="shared" si="25"/>
        <v>376.47058823529414</v>
      </c>
      <c r="Y25" s="1072">
        <f t="shared" si="26"/>
        <v>0.84705882352941175</v>
      </c>
      <c r="Z25" s="174"/>
      <c r="AA25" s="1063">
        <v>1</v>
      </c>
      <c r="AB25" s="428" t="s">
        <v>76</v>
      </c>
    </row>
    <row r="26" spans="1:28">
      <c r="A26" s="395">
        <f>Eingabedaten!A26</f>
        <v>6.1</v>
      </c>
      <c r="B26" s="385">
        <f>Eingabedaten!B26</f>
        <v>14</v>
      </c>
      <c r="C26" s="358" t="str">
        <f>Eingabedaten!C26</f>
        <v>Restaurant</v>
      </c>
      <c r="D26" s="294"/>
      <c r="E26" s="293"/>
      <c r="F26" s="291">
        <f>Eingabedaten!D26</f>
        <v>12</v>
      </c>
      <c r="G26" s="292">
        <f>Eingabedaten!E26</f>
        <v>12</v>
      </c>
      <c r="H26" s="292">
        <f>Eingabedaten!F26</f>
        <v>3</v>
      </c>
      <c r="I26" s="75">
        <f t="shared" ref="I26:I54" si="27">F26*H26</f>
        <v>36</v>
      </c>
      <c r="J26" s="62">
        <f t="shared" si="15"/>
        <v>42.352941176470587</v>
      </c>
      <c r="K26" s="412">
        <f t="shared" ref="K26:K54" si="28">J26/(F26*G26/0.9)</f>
        <v>0.26470588235294118</v>
      </c>
      <c r="L26" s="75">
        <f t="shared" ref="L26:L54" si="29">F26*H26+G26*H26</f>
        <v>72</v>
      </c>
      <c r="M26" s="62">
        <f t="shared" si="2"/>
        <v>84.705882352941174</v>
      </c>
      <c r="N26" s="398">
        <f t="shared" ref="N26:N54" si="30">M26/(F26*G26/0.9)</f>
        <v>0.52941176470588236</v>
      </c>
      <c r="O26" s="75">
        <f t="shared" si="4"/>
        <v>108</v>
      </c>
      <c r="P26" s="62">
        <f t="shared" si="5"/>
        <v>127.05882352941177</v>
      </c>
      <c r="Q26" s="398">
        <f t="shared" si="6"/>
        <v>0.79411764705882359</v>
      </c>
      <c r="R26" s="75">
        <f t="shared" si="7"/>
        <v>144</v>
      </c>
      <c r="S26" s="62">
        <f t="shared" si="8"/>
        <v>169.41176470588235</v>
      </c>
      <c r="T26" s="501">
        <f t="shared" si="9"/>
        <v>1.0588235294117647</v>
      </c>
      <c r="U26" s="75">
        <f t="shared" ref="U26:U54" si="31">F26*H26+G26*H26+F26*G26</f>
        <v>216</v>
      </c>
      <c r="V26" s="62">
        <f t="shared" ref="V26:V54" si="32">((F26*H26+G26*H26)/0.85)+(F26*G26/0.8)</f>
        <v>264.70588235294116</v>
      </c>
      <c r="W26" s="398">
        <f t="shared" ref="W26:W54" si="33">V26/(F26*G26/0.9)</f>
        <v>1.6544117647058822</v>
      </c>
      <c r="X26" s="1067">
        <f t="shared" si="25"/>
        <v>169.41176470588235</v>
      </c>
      <c r="Y26" s="1070">
        <f>T26</f>
        <v>1.0588235294117647</v>
      </c>
      <c r="Z26" s="49"/>
      <c r="AA26" s="1062">
        <v>1.5</v>
      </c>
      <c r="AB26" s="424" t="s">
        <v>291</v>
      </c>
    </row>
    <row r="27" spans="1:28">
      <c r="A27" s="393">
        <f>Eingabedaten!A27</f>
        <v>6.2</v>
      </c>
      <c r="B27" s="386">
        <f>Eingabedaten!B27</f>
        <v>13</v>
      </c>
      <c r="C27" s="66" t="str">
        <f>Eingabedaten!C27</f>
        <v>Selbstbedienungsrestaurant</v>
      </c>
      <c r="D27" s="67"/>
      <c r="E27" s="2"/>
      <c r="F27" s="280">
        <f>Eingabedaten!D27</f>
        <v>20</v>
      </c>
      <c r="G27" s="82">
        <f>Eingabedaten!E27</f>
        <v>20</v>
      </c>
      <c r="H27" s="82">
        <f>Eingabedaten!F27</f>
        <v>3</v>
      </c>
      <c r="I27" s="46">
        <f t="shared" si="27"/>
        <v>60</v>
      </c>
      <c r="J27" s="53">
        <f t="shared" si="15"/>
        <v>70.588235294117652</v>
      </c>
      <c r="K27" s="410">
        <f t="shared" si="28"/>
        <v>0.15882352941176472</v>
      </c>
      <c r="L27" s="46">
        <f t="shared" si="29"/>
        <v>120</v>
      </c>
      <c r="M27" s="53">
        <f t="shared" si="2"/>
        <v>141.1764705882353</v>
      </c>
      <c r="N27" s="400">
        <f t="shared" si="30"/>
        <v>0.31764705882352945</v>
      </c>
      <c r="O27" s="46">
        <f t="shared" si="4"/>
        <v>180</v>
      </c>
      <c r="P27" s="53">
        <f t="shared" si="5"/>
        <v>211.76470588235296</v>
      </c>
      <c r="Q27" s="400">
        <f t="shared" si="6"/>
        <v>0.47647058823529415</v>
      </c>
      <c r="R27" s="46">
        <f t="shared" si="7"/>
        <v>240</v>
      </c>
      <c r="S27" s="53">
        <f t="shared" si="8"/>
        <v>282.35294117647061</v>
      </c>
      <c r="T27" s="499">
        <f t="shared" si="9"/>
        <v>0.6352941176470589</v>
      </c>
      <c r="U27" s="46">
        <f t="shared" si="31"/>
        <v>520</v>
      </c>
      <c r="V27" s="53">
        <f t="shared" si="32"/>
        <v>641.17647058823536</v>
      </c>
      <c r="W27" s="400">
        <f t="shared" si="33"/>
        <v>1.4426470588235296</v>
      </c>
      <c r="X27" s="1065">
        <f t="shared" si="25"/>
        <v>282.35294117647061</v>
      </c>
      <c r="Y27" s="1070">
        <f>T27</f>
        <v>0.6352941176470589</v>
      </c>
      <c r="Z27" s="49"/>
      <c r="AA27" s="1062">
        <v>1.5</v>
      </c>
      <c r="AB27" s="424" t="s">
        <v>291</v>
      </c>
    </row>
    <row r="28" spans="1:28">
      <c r="A28" s="393">
        <f>Eingabedaten!A28</f>
        <v>6.3</v>
      </c>
      <c r="B28" s="386">
        <f>Eingabedaten!B28</f>
        <v>16</v>
      </c>
      <c r="C28" s="66" t="str">
        <f>Eingabedaten!C28</f>
        <v>Küche zu Restaurant</v>
      </c>
      <c r="D28" s="67"/>
      <c r="E28" s="2"/>
      <c r="F28" s="280">
        <f>Eingabedaten!D28</f>
        <v>6</v>
      </c>
      <c r="G28" s="82">
        <f>Eingabedaten!E28</f>
        <v>6</v>
      </c>
      <c r="H28" s="82">
        <f>Eingabedaten!F28</f>
        <v>3</v>
      </c>
      <c r="I28" s="46">
        <f t="shared" si="27"/>
        <v>18</v>
      </c>
      <c r="J28" s="53">
        <f t="shared" si="15"/>
        <v>21.176470588235293</v>
      </c>
      <c r="K28" s="410">
        <f t="shared" si="28"/>
        <v>0.52941176470588236</v>
      </c>
      <c r="L28" s="46">
        <f t="shared" si="29"/>
        <v>36</v>
      </c>
      <c r="M28" s="53">
        <f t="shared" si="2"/>
        <v>42.352941176470587</v>
      </c>
      <c r="N28" s="400">
        <f t="shared" si="30"/>
        <v>1.0588235294117647</v>
      </c>
      <c r="O28" s="46">
        <f t="shared" si="4"/>
        <v>54</v>
      </c>
      <c r="P28" s="53">
        <f t="shared" si="5"/>
        <v>63.529411764705884</v>
      </c>
      <c r="Q28" s="499">
        <f t="shared" si="6"/>
        <v>1.5882352941176472</v>
      </c>
      <c r="R28" s="46">
        <f t="shared" si="7"/>
        <v>72</v>
      </c>
      <c r="S28" s="53">
        <f t="shared" si="8"/>
        <v>84.705882352941174</v>
      </c>
      <c r="T28" s="400">
        <f t="shared" si="9"/>
        <v>2.1176470588235294</v>
      </c>
      <c r="U28" s="46">
        <f t="shared" si="31"/>
        <v>72</v>
      </c>
      <c r="V28" s="53">
        <f t="shared" si="32"/>
        <v>87.35294117647058</v>
      </c>
      <c r="W28" s="400">
        <f t="shared" si="33"/>
        <v>2.1838235294117645</v>
      </c>
      <c r="X28" s="1065">
        <f t="shared" ref="X28:X32" si="34">P28</f>
        <v>63.529411764705884</v>
      </c>
      <c r="Y28" s="1070">
        <f>Q28</f>
        <v>1.5882352941176472</v>
      </c>
      <c r="Z28" s="49"/>
      <c r="AA28" s="1062">
        <v>1.5</v>
      </c>
      <c r="AB28" s="424" t="s">
        <v>291</v>
      </c>
    </row>
    <row r="29" spans="1:28">
      <c r="A29" s="394">
        <f>Eingabedaten!A29</f>
        <v>6.4</v>
      </c>
      <c r="B29" s="387">
        <f>Eingabedaten!B29</f>
        <v>15</v>
      </c>
      <c r="C29" s="355" t="str">
        <f>Eingabedaten!C29</f>
        <v>Küche zu Selbstbedienungsrest.</v>
      </c>
      <c r="D29" s="284"/>
      <c r="E29" s="83"/>
      <c r="F29" s="281">
        <f>Eingabedaten!D29</f>
        <v>12</v>
      </c>
      <c r="G29" s="282">
        <f>Eingabedaten!E29</f>
        <v>12</v>
      </c>
      <c r="H29" s="282">
        <f>Eingabedaten!F29</f>
        <v>3</v>
      </c>
      <c r="I29" s="50">
        <f t="shared" si="27"/>
        <v>36</v>
      </c>
      <c r="J29" s="54">
        <f t="shared" si="15"/>
        <v>42.352941176470587</v>
      </c>
      <c r="K29" s="411">
        <f t="shared" si="28"/>
        <v>0.26470588235294118</v>
      </c>
      <c r="L29" s="50">
        <f t="shared" si="29"/>
        <v>72</v>
      </c>
      <c r="M29" s="54">
        <f t="shared" si="2"/>
        <v>84.705882352941174</v>
      </c>
      <c r="N29" s="399">
        <f t="shared" si="30"/>
        <v>0.52941176470588236</v>
      </c>
      <c r="O29" s="50">
        <f t="shared" si="4"/>
        <v>108</v>
      </c>
      <c r="P29" s="54">
        <f t="shared" si="5"/>
        <v>127.05882352941177</v>
      </c>
      <c r="Q29" s="500">
        <f t="shared" si="6"/>
        <v>0.79411764705882359</v>
      </c>
      <c r="R29" s="50">
        <f t="shared" si="7"/>
        <v>144</v>
      </c>
      <c r="S29" s="54">
        <f t="shared" si="8"/>
        <v>169.41176470588235</v>
      </c>
      <c r="T29" s="399">
        <f t="shared" si="9"/>
        <v>1.0588235294117647</v>
      </c>
      <c r="U29" s="50">
        <f t="shared" si="31"/>
        <v>216</v>
      </c>
      <c r="V29" s="54">
        <f t="shared" si="32"/>
        <v>264.70588235294116</v>
      </c>
      <c r="W29" s="399">
        <f t="shared" si="33"/>
        <v>1.6544117647058822</v>
      </c>
      <c r="X29" s="1066">
        <f t="shared" si="34"/>
        <v>127.05882352941177</v>
      </c>
      <c r="Y29" s="1070">
        <f>Q29</f>
        <v>0.79411764705882359</v>
      </c>
      <c r="Z29" s="49"/>
      <c r="AA29" s="1062">
        <v>1.5</v>
      </c>
      <c r="AB29" s="424" t="s">
        <v>291</v>
      </c>
    </row>
    <row r="30" spans="1:28">
      <c r="A30" s="395">
        <f>Eingabedaten!A30</f>
        <v>7.1</v>
      </c>
      <c r="B30" s="385">
        <f>Eingabedaten!B30</f>
        <v>0</v>
      </c>
      <c r="C30" s="358" t="str">
        <f>Eingabedaten!C30</f>
        <v>Vorstellungsraum</v>
      </c>
      <c r="D30" s="294"/>
      <c r="E30" s="293"/>
      <c r="F30" s="291">
        <f>Eingabedaten!D30</f>
        <v>20</v>
      </c>
      <c r="G30" s="292">
        <f>Eingabedaten!E30</f>
        <v>20</v>
      </c>
      <c r="H30" s="292">
        <f>Eingabedaten!F30</f>
        <v>7</v>
      </c>
      <c r="I30" s="46">
        <f t="shared" si="27"/>
        <v>140</v>
      </c>
      <c r="J30" s="53">
        <f t="shared" si="15"/>
        <v>164.70588235294119</v>
      </c>
      <c r="K30" s="410">
        <f t="shared" si="28"/>
        <v>0.37058823529411766</v>
      </c>
      <c r="L30" s="46">
        <f t="shared" si="29"/>
        <v>280</v>
      </c>
      <c r="M30" s="53">
        <f t="shared" si="2"/>
        <v>329.41176470588238</v>
      </c>
      <c r="N30" s="400">
        <f t="shared" si="30"/>
        <v>0.74117647058823533</v>
      </c>
      <c r="O30" s="46">
        <f t="shared" si="4"/>
        <v>420</v>
      </c>
      <c r="P30" s="53">
        <f t="shared" si="5"/>
        <v>494.11764705882354</v>
      </c>
      <c r="Q30" s="499">
        <f t="shared" si="6"/>
        <v>1.111764705882353</v>
      </c>
      <c r="R30" s="46">
        <f t="shared" si="7"/>
        <v>560</v>
      </c>
      <c r="S30" s="53">
        <f t="shared" si="8"/>
        <v>658.82352941176475</v>
      </c>
      <c r="T30" s="400">
        <f t="shared" si="9"/>
        <v>1.4823529411764707</v>
      </c>
      <c r="U30" s="46">
        <f t="shared" si="31"/>
        <v>680</v>
      </c>
      <c r="V30" s="53">
        <f t="shared" si="32"/>
        <v>829.41176470588243</v>
      </c>
      <c r="W30" s="400">
        <f t="shared" si="33"/>
        <v>1.8661764705882353</v>
      </c>
      <c r="X30" s="1065">
        <f t="shared" si="34"/>
        <v>494.11764705882354</v>
      </c>
      <c r="Y30" s="1071">
        <f>Q30</f>
        <v>1.111764705882353</v>
      </c>
      <c r="Z30" s="430"/>
      <c r="AA30" s="1064">
        <v>1.2</v>
      </c>
      <c r="AB30" s="429" t="s">
        <v>292</v>
      </c>
    </row>
    <row r="31" spans="1:28">
      <c r="A31" s="393">
        <f>Eingabedaten!A31</f>
        <v>7.2</v>
      </c>
      <c r="B31" s="386">
        <f>Eingabedaten!B31</f>
        <v>0</v>
      </c>
      <c r="C31" s="66" t="str">
        <f>Eingabedaten!C31</f>
        <v>Mehrzweckhalle</v>
      </c>
      <c r="D31" s="67"/>
      <c r="E31" s="2"/>
      <c r="F31" s="280">
        <f>Eingabedaten!D31</f>
        <v>20</v>
      </c>
      <c r="G31" s="82">
        <f>Eingabedaten!E31</f>
        <v>20</v>
      </c>
      <c r="H31" s="82">
        <f>Eingabedaten!F31</f>
        <v>7</v>
      </c>
      <c r="I31" s="46">
        <f t="shared" si="27"/>
        <v>140</v>
      </c>
      <c r="J31" s="53">
        <f t="shared" si="15"/>
        <v>164.70588235294119</v>
      </c>
      <c r="K31" s="410">
        <f t="shared" si="28"/>
        <v>0.37058823529411766</v>
      </c>
      <c r="L31" s="46">
        <f t="shared" si="29"/>
        <v>280</v>
      </c>
      <c r="M31" s="53">
        <f t="shared" si="2"/>
        <v>329.41176470588238</v>
      </c>
      <c r="N31" s="400">
        <f t="shared" si="30"/>
        <v>0.74117647058823533</v>
      </c>
      <c r="O31" s="46">
        <f t="shared" si="4"/>
        <v>420</v>
      </c>
      <c r="P31" s="53">
        <f t="shared" si="5"/>
        <v>494.11764705882354</v>
      </c>
      <c r="Q31" s="499">
        <f t="shared" si="6"/>
        <v>1.111764705882353</v>
      </c>
      <c r="R31" s="46">
        <f t="shared" si="7"/>
        <v>560</v>
      </c>
      <c r="S31" s="53">
        <f t="shared" si="8"/>
        <v>658.82352941176475</v>
      </c>
      <c r="T31" s="400">
        <f t="shared" si="9"/>
        <v>1.4823529411764707</v>
      </c>
      <c r="U31" s="46">
        <f t="shared" si="31"/>
        <v>680</v>
      </c>
      <c r="V31" s="53">
        <f t="shared" si="32"/>
        <v>829.41176470588243</v>
      </c>
      <c r="W31" s="400">
        <f t="shared" si="33"/>
        <v>1.8661764705882353</v>
      </c>
      <c r="X31" s="1065">
        <f t="shared" si="34"/>
        <v>494.11764705882354</v>
      </c>
      <c r="Y31" s="1070">
        <f t="shared" ref="Y31:Y32" si="35">Q31</f>
        <v>1.111764705882353</v>
      </c>
      <c r="Z31" s="49"/>
      <c r="AA31" s="1062">
        <v>1.2</v>
      </c>
      <c r="AB31" s="424" t="s">
        <v>292</v>
      </c>
    </row>
    <row r="32" spans="1:28">
      <c r="A32" s="392">
        <f>Eingabedaten!A32</f>
        <v>7.3</v>
      </c>
      <c r="B32" s="387">
        <f>Eingabedaten!B32</f>
        <v>0</v>
      </c>
      <c r="C32" s="357" t="str">
        <f>Eingabedaten!C32</f>
        <v>Ausstellungshalle</v>
      </c>
      <c r="D32" s="426"/>
      <c r="E32" s="283"/>
      <c r="F32" s="281">
        <f>Eingabedaten!D32</f>
        <v>20</v>
      </c>
      <c r="G32" s="282">
        <f>Eingabedaten!E32</f>
        <v>20</v>
      </c>
      <c r="H32" s="282">
        <f>Eingabedaten!F32</f>
        <v>7</v>
      </c>
      <c r="I32" s="46">
        <f t="shared" si="27"/>
        <v>140</v>
      </c>
      <c r="J32" s="53">
        <f t="shared" si="15"/>
        <v>164.70588235294119</v>
      </c>
      <c r="K32" s="410">
        <f t="shared" si="28"/>
        <v>0.37058823529411766</v>
      </c>
      <c r="L32" s="46">
        <f t="shared" si="29"/>
        <v>280</v>
      </c>
      <c r="M32" s="53">
        <f t="shared" si="2"/>
        <v>329.41176470588238</v>
      </c>
      <c r="N32" s="400">
        <f t="shared" si="30"/>
        <v>0.74117647058823533</v>
      </c>
      <c r="O32" s="46">
        <f t="shared" si="4"/>
        <v>420</v>
      </c>
      <c r="P32" s="53">
        <f t="shared" si="5"/>
        <v>494.11764705882354</v>
      </c>
      <c r="Q32" s="499">
        <f t="shared" si="6"/>
        <v>1.111764705882353</v>
      </c>
      <c r="R32" s="46">
        <f t="shared" si="7"/>
        <v>560</v>
      </c>
      <c r="S32" s="53">
        <f t="shared" si="8"/>
        <v>658.82352941176475</v>
      </c>
      <c r="T32" s="400">
        <f t="shared" si="9"/>
        <v>1.4823529411764707</v>
      </c>
      <c r="U32" s="46">
        <f t="shared" si="31"/>
        <v>680</v>
      </c>
      <c r="V32" s="53">
        <f t="shared" si="32"/>
        <v>829.41176470588243</v>
      </c>
      <c r="W32" s="400">
        <f t="shared" si="33"/>
        <v>1.8661764705882353</v>
      </c>
      <c r="X32" s="1065">
        <f t="shared" si="34"/>
        <v>494.11764705882354</v>
      </c>
      <c r="Y32" s="1072">
        <f t="shared" si="35"/>
        <v>1.111764705882353</v>
      </c>
      <c r="Z32" s="174"/>
      <c r="AA32" s="1063">
        <v>1.2</v>
      </c>
      <c r="AB32" s="428" t="s">
        <v>292</v>
      </c>
    </row>
    <row r="33" spans="1:28">
      <c r="A33" s="395">
        <f>Eingabedaten!A33</f>
        <v>8.1</v>
      </c>
      <c r="B33" s="385">
        <f>Eingabedaten!B33</f>
        <v>11</v>
      </c>
      <c r="C33" s="358" t="str">
        <f>Eingabedaten!C33</f>
        <v xml:space="preserve">Bettenzimmer </v>
      </c>
      <c r="D33" s="294"/>
      <c r="E33" s="293"/>
      <c r="F33" s="291">
        <f>Eingabedaten!D33</f>
        <v>6</v>
      </c>
      <c r="G33" s="292">
        <f>Eingabedaten!E33</f>
        <v>6</v>
      </c>
      <c r="H33" s="292">
        <f>Eingabedaten!F33</f>
        <v>2.5</v>
      </c>
      <c r="I33" s="75">
        <f t="shared" si="27"/>
        <v>15</v>
      </c>
      <c r="J33" s="62">
        <f t="shared" si="15"/>
        <v>17.647058823529413</v>
      </c>
      <c r="K33" s="412">
        <f t="shared" si="28"/>
        <v>0.44117647058823534</v>
      </c>
      <c r="L33" s="75">
        <f t="shared" si="29"/>
        <v>30</v>
      </c>
      <c r="M33" s="62">
        <f t="shared" si="2"/>
        <v>35.294117647058826</v>
      </c>
      <c r="N33" s="501">
        <f t="shared" si="30"/>
        <v>0.88235294117647067</v>
      </c>
      <c r="O33" s="75">
        <f t="shared" si="4"/>
        <v>45</v>
      </c>
      <c r="P33" s="62">
        <f t="shared" si="5"/>
        <v>52.941176470588239</v>
      </c>
      <c r="Q33" s="398">
        <f t="shared" si="6"/>
        <v>1.3235294117647061</v>
      </c>
      <c r="R33" s="75">
        <f t="shared" si="7"/>
        <v>60</v>
      </c>
      <c r="S33" s="62">
        <f t="shared" si="8"/>
        <v>70.588235294117652</v>
      </c>
      <c r="T33" s="398">
        <f t="shared" si="9"/>
        <v>1.7647058823529413</v>
      </c>
      <c r="U33" s="75">
        <f t="shared" si="31"/>
        <v>66</v>
      </c>
      <c r="V33" s="62">
        <f t="shared" si="32"/>
        <v>80.294117647058826</v>
      </c>
      <c r="W33" s="398">
        <f t="shared" si="33"/>
        <v>2.0073529411764706</v>
      </c>
      <c r="X33" s="1067">
        <f>M33</f>
        <v>35.294117647058826</v>
      </c>
      <c r="Y33" s="1070">
        <f>N33</f>
        <v>0.88235294117647067</v>
      </c>
      <c r="Z33" s="49"/>
      <c r="AA33" s="1062">
        <v>0.8</v>
      </c>
      <c r="AB33" s="424" t="s">
        <v>293</v>
      </c>
    </row>
    <row r="34" spans="1:28">
      <c r="A34" s="393">
        <f>Eingabedaten!A34</f>
        <v>8.1999999999999993</v>
      </c>
      <c r="B34" s="386">
        <f>Eingabedaten!B34</f>
        <v>0</v>
      </c>
      <c r="C34" s="66" t="str">
        <f>Eingabedaten!C34</f>
        <v xml:space="preserve">Stationszimmer </v>
      </c>
      <c r="D34" s="67"/>
      <c r="E34" s="2"/>
      <c r="F34" s="280">
        <f>Eingabedaten!D34</f>
        <v>6</v>
      </c>
      <c r="G34" s="82">
        <f>Eingabedaten!E34</f>
        <v>6</v>
      </c>
      <c r="H34" s="82">
        <f>Eingabedaten!F34</f>
        <v>3</v>
      </c>
      <c r="I34" s="46">
        <f t="shared" si="27"/>
        <v>18</v>
      </c>
      <c r="J34" s="53">
        <f t="shared" si="15"/>
        <v>21.176470588235293</v>
      </c>
      <c r="K34" s="502">
        <f t="shared" si="28"/>
        <v>0.52941176470588236</v>
      </c>
      <c r="L34" s="46">
        <f t="shared" si="29"/>
        <v>36</v>
      </c>
      <c r="M34" s="53">
        <f t="shared" si="2"/>
        <v>42.352941176470587</v>
      </c>
      <c r="N34" s="400">
        <f t="shared" si="30"/>
        <v>1.0588235294117647</v>
      </c>
      <c r="O34" s="46">
        <f t="shared" si="4"/>
        <v>54</v>
      </c>
      <c r="P34" s="53">
        <f t="shared" si="5"/>
        <v>63.529411764705884</v>
      </c>
      <c r="Q34" s="400">
        <f t="shared" si="6"/>
        <v>1.5882352941176472</v>
      </c>
      <c r="R34" s="46">
        <f t="shared" si="7"/>
        <v>72</v>
      </c>
      <c r="S34" s="53">
        <f t="shared" si="8"/>
        <v>84.705882352941174</v>
      </c>
      <c r="T34" s="400">
        <f t="shared" si="9"/>
        <v>2.1176470588235294</v>
      </c>
      <c r="U34" s="46">
        <f t="shared" si="31"/>
        <v>72</v>
      </c>
      <c r="V34" s="53">
        <f t="shared" si="32"/>
        <v>87.35294117647058</v>
      </c>
      <c r="W34" s="400">
        <f t="shared" si="33"/>
        <v>2.1838235294117645</v>
      </c>
      <c r="X34" s="1065">
        <f>J34</f>
        <v>21.176470588235293</v>
      </c>
      <c r="Y34" s="1070">
        <f>K34</f>
        <v>0.52941176470588236</v>
      </c>
      <c r="Z34" s="49"/>
      <c r="AA34" s="1062">
        <v>0.8</v>
      </c>
      <c r="AB34" s="424" t="s">
        <v>293</v>
      </c>
    </row>
    <row r="35" spans="1:28">
      <c r="A35" s="394">
        <f>Eingabedaten!A35</f>
        <v>8.3000000000000007</v>
      </c>
      <c r="B35" s="387">
        <f>Eingabedaten!B35</f>
        <v>0</v>
      </c>
      <c r="C35" s="355" t="str">
        <f>Eingabedaten!C35</f>
        <v>Behandlungsraum</v>
      </c>
      <c r="D35" s="284"/>
      <c r="E35" s="83"/>
      <c r="F35" s="281">
        <f>Eingabedaten!D35</f>
        <v>6</v>
      </c>
      <c r="G35" s="282">
        <f>Eingabedaten!E35</f>
        <v>6</v>
      </c>
      <c r="H35" s="282">
        <f>Eingabedaten!F35</f>
        <v>3</v>
      </c>
      <c r="I35" s="50">
        <f t="shared" si="27"/>
        <v>18</v>
      </c>
      <c r="J35" s="54">
        <f t="shared" si="15"/>
        <v>21.176470588235293</v>
      </c>
      <c r="K35" s="411">
        <f t="shared" si="28"/>
        <v>0.52941176470588236</v>
      </c>
      <c r="L35" s="50">
        <f t="shared" si="29"/>
        <v>36</v>
      </c>
      <c r="M35" s="54">
        <f t="shared" si="2"/>
        <v>42.352941176470587</v>
      </c>
      <c r="N35" s="500">
        <f t="shared" si="30"/>
        <v>1.0588235294117647</v>
      </c>
      <c r="O35" s="50">
        <f t="shared" si="4"/>
        <v>54</v>
      </c>
      <c r="P35" s="54">
        <f t="shared" si="5"/>
        <v>63.529411764705884</v>
      </c>
      <c r="Q35" s="399">
        <f t="shared" si="6"/>
        <v>1.5882352941176472</v>
      </c>
      <c r="R35" s="50">
        <f t="shared" si="7"/>
        <v>72</v>
      </c>
      <c r="S35" s="54">
        <f t="shared" si="8"/>
        <v>84.705882352941174</v>
      </c>
      <c r="T35" s="399">
        <f t="shared" si="9"/>
        <v>2.1176470588235294</v>
      </c>
      <c r="U35" s="50">
        <f t="shared" si="31"/>
        <v>72</v>
      </c>
      <c r="V35" s="54">
        <f t="shared" si="32"/>
        <v>87.35294117647058</v>
      </c>
      <c r="W35" s="399">
        <f t="shared" si="33"/>
        <v>2.1838235294117645</v>
      </c>
      <c r="X35" s="1066">
        <f>M35</f>
        <v>42.352941176470587</v>
      </c>
      <c r="Y35" s="1070">
        <f>N35</f>
        <v>1.0588235294117647</v>
      </c>
      <c r="Z35" s="49"/>
      <c r="AA35" s="1062">
        <v>0.8</v>
      </c>
      <c r="AB35" s="424" t="s">
        <v>293</v>
      </c>
    </row>
    <row r="36" spans="1:28">
      <c r="A36" s="395">
        <f>Eingabedaten!A36</f>
        <v>9.1</v>
      </c>
      <c r="B36" s="385">
        <f>Eingabedaten!B36</f>
        <v>0</v>
      </c>
      <c r="C36" s="358" t="str">
        <f>Eingabedaten!C36</f>
        <v>Produktion (grobe Arbeit)</v>
      </c>
      <c r="D36" s="294"/>
      <c r="E36" s="293"/>
      <c r="F36" s="291">
        <f>Eingabedaten!D36</f>
        <v>20</v>
      </c>
      <c r="G36" s="292">
        <f>Eingabedaten!E36</f>
        <v>20</v>
      </c>
      <c r="H36" s="292">
        <f>Eingabedaten!F36</f>
        <v>7</v>
      </c>
      <c r="I36" s="75">
        <f t="shared" si="27"/>
        <v>140</v>
      </c>
      <c r="J36" s="62">
        <f t="shared" si="15"/>
        <v>164.70588235294119</v>
      </c>
      <c r="K36" s="412">
        <f t="shared" si="28"/>
        <v>0.37058823529411766</v>
      </c>
      <c r="L36" s="75">
        <f t="shared" si="29"/>
        <v>280</v>
      </c>
      <c r="M36" s="62">
        <f t="shared" si="2"/>
        <v>329.41176470588238</v>
      </c>
      <c r="N36" s="398">
        <f t="shared" si="30"/>
        <v>0.74117647058823533</v>
      </c>
      <c r="O36" s="75">
        <f t="shared" si="4"/>
        <v>420</v>
      </c>
      <c r="P36" s="62">
        <f t="shared" si="5"/>
        <v>494.11764705882354</v>
      </c>
      <c r="Q36" s="501">
        <f t="shared" si="6"/>
        <v>1.111764705882353</v>
      </c>
      <c r="R36" s="75">
        <f t="shared" si="7"/>
        <v>560</v>
      </c>
      <c r="S36" s="62">
        <f t="shared" si="8"/>
        <v>658.82352941176475</v>
      </c>
      <c r="T36" s="398">
        <f t="shared" si="9"/>
        <v>1.4823529411764707</v>
      </c>
      <c r="U36" s="75">
        <f t="shared" si="31"/>
        <v>680</v>
      </c>
      <c r="V36" s="62">
        <f t="shared" si="32"/>
        <v>829.41176470588243</v>
      </c>
      <c r="W36" s="398">
        <f t="shared" si="33"/>
        <v>1.8661764705882353</v>
      </c>
      <c r="X36" s="1067">
        <f t="shared" ref="X36:X41" si="36">P36</f>
        <v>494.11764705882354</v>
      </c>
      <c r="Y36" s="1071">
        <f t="shared" ref="Y36:Y42" si="37">Q36</f>
        <v>1.111764705882353</v>
      </c>
      <c r="Z36" s="430"/>
      <c r="AA36" s="1064">
        <v>1</v>
      </c>
      <c r="AB36" s="429" t="s">
        <v>164</v>
      </c>
    </row>
    <row r="37" spans="1:28">
      <c r="A37" s="393">
        <f>Eingabedaten!A37</f>
        <v>9.1999999999999993</v>
      </c>
      <c r="B37" s="386">
        <f>Eingabedaten!B37</f>
        <v>0</v>
      </c>
      <c r="C37" s="66" t="str">
        <f>Eingabedaten!C37</f>
        <v>Produktion (feine Arbeit)</v>
      </c>
      <c r="D37" s="67"/>
      <c r="E37" s="2"/>
      <c r="F37" s="280">
        <f>Eingabedaten!D37</f>
        <v>20</v>
      </c>
      <c r="G37" s="82">
        <f>Eingabedaten!E37</f>
        <v>20</v>
      </c>
      <c r="H37" s="82">
        <f>Eingabedaten!F37</f>
        <v>7</v>
      </c>
      <c r="I37" s="46">
        <f t="shared" si="27"/>
        <v>140</v>
      </c>
      <c r="J37" s="53">
        <f t="shared" si="15"/>
        <v>164.70588235294119</v>
      </c>
      <c r="K37" s="410">
        <f t="shared" si="28"/>
        <v>0.37058823529411766</v>
      </c>
      <c r="L37" s="46">
        <f t="shared" si="29"/>
        <v>280</v>
      </c>
      <c r="M37" s="53">
        <f t="shared" si="2"/>
        <v>329.41176470588238</v>
      </c>
      <c r="N37" s="400">
        <f t="shared" si="30"/>
        <v>0.74117647058823533</v>
      </c>
      <c r="O37" s="46">
        <f t="shared" si="4"/>
        <v>420</v>
      </c>
      <c r="P37" s="53">
        <f t="shared" si="5"/>
        <v>494.11764705882354</v>
      </c>
      <c r="Q37" s="499">
        <f t="shared" si="6"/>
        <v>1.111764705882353</v>
      </c>
      <c r="R37" s="46">
        <f t="shared" si="7"/>
        <v>560</v>
      </c>
      <c r="S37" s="53">
        <f t="shared" si="8"/>
        <v>658.82352941176475</v>
      </c>
      <c r="T37" s="400">
        <f t="shared" si="9"/>
        <v>1.4823529411764707</v>
      </c>
      <c r="U37" s="46">
        <f t="shared" si="31"/>
        <v>680</v>
      </c>
      <c r="V37" s="53">
        <f t="shared" si="32"/>
        <v>829.41176470588243</v>
      </c>
      <c r="W37" s="400">
        <f t="shared" si="33"/>
        <v>1.8661764705882353</v>
      </c>
      <c r="X37" s="1065">
        <f t="shared" si="36"/>
        <v>494.11764705882354</v>
      </c>
      <c r="Y37" s="1070">
        <f t="shared" si="37"/>
        <v>1.111764705882353</v>
      </c>
      <c r="Z37" s="49"/>
      <c r="AA37" s="1062">
        <v>1</v>
      </c>
      <c r="AB37" s="424" t="s">
        <v>164</v>
      </c>
    </row>
    <row r="38" spans="1:28">
      <c r="A38" s="575" t="s">
        <v>633</v>
      </c>
      <c r="B38" s="387"/>
      <c r="C38" s="849" t="s">
        <v>634</v>
      </c>
      <c r="D38" s="284"/>
      <c r="E38" s="83"/>
      <c r="F38" s="281">
        <f>Eingabedaten!D38</f>
        <v>10</v>
      </c>
      <c r="G38" s="282">
        <f>Eingabedaten!E38</f>
        <v>7</v>
      </c>
      <c r="H38" s="282">
        <f>Eingabedaten!F38</f>
        <v>4</v>
      </c>
      <c r="I38" s="50">
        <f t="shared" ref="I38" si="38">F38*H38</f>
        <v>40</v>
      </c>
      <c r="J38" s="54">
        <f t="shared" ref="J38" si="39">I38/0.85</f>
        <v>47.058823529411768</v>
      </c>
      <c r="K38" s="411">
        <f t="shared" ref="K38" si="40">J38/(F38*G38/0.9)</f>
        <v>0.60504201680672276</v>
      </c>
      <c r="L38" s="50">
        <f t="shared" ref="L38" si="41">F38*H38+G38*H38</f>
        <v>68</v>
      </c>
      <c r="M38" s="54">
        <f t="shared" ref="M38" si="42">L38/0.85</f>
        <v>80</v>
      </c>
      <c r="N38" s="399">
        <f t="shared" ref="N38" si="43">M38/(F38*G38/0.9)</f>
        <v>1.0285714285714287</v>
      </c>
      <c r="O38" s="50">
        <f t="shared" ref="O38" si="44">I38+L38</f>
        <v>108</v>
      </c>
      <c r="P38" s="54">
        <f t="shared" ref="P38" si="45">O38/0.85</f>
        <v>127.05882352941177</v>
      </c>
      <c r="Q38" s="500">
        <f t="shared" si="6"/>
        <v>1.6336134453781515</v>
      </c>
      <c r="R38" s="50">
        <f t="shared" ref="R38" si="46">2*L38</f>
        <v>136</v>
      </c>
      <c r="S38" s="54">
        <f t="shared" ref="S38" si="47">R38/0.85</f>
        <v>160</v>
      </c>
      <c r="T38" s="399"/>
      <c r="U38" s="50"/>
      <c r="V38" s="54"/>
      <c r="W38" s="399"/>
      <c r="X38" s="1066">
        <f t="shared" si="36"/>
        <v>127.05882352941177</v>
      </c>
      <c r="Y38" s="1072">
        <v>1.2</v>
      </c>
      <c r="Z38" s="174"/>
      <c r="AA38" s="1063">
        <v>1</v>
      </c>
      <c r="AB38" s="428"/>
    </row>
    <row r="39" spans="1:28">
      <c r="A39" s="394">
        <f>Eingabedaten!A39</f>
        <v>10.1</v>
      </c>
      <c r="B39" s="387">
        <f>Eingabedaten!B39</f>
        <v>0</v>
      </c>
      <c r="C39" s="355" t="str">
        <f>Eingabedaten!C39</f>
        <v>Lagerhalle</v>
      </c>
      <c r="D39" s="284"/>
      <c r="E39" s="83"/>
      <c r="F39" s="281">
        <f>Eingabedaten!D39</f>
        <v>20</v>
      </c>
      <c r="G39" s="282">
        <f>Eingabedaten!E39</f>
        <v>20</v>
      </c>
      <c r="H39" s="282">
        <f>Eingabedaten!F39</f>
        <v>7</v>
      </c>
      <c r="I39" s="50">
        <f t="shared" si="27"/>
        <v>140</v>
      </c>
      <c r="J39" s="54">
        <f t="shared" si="15"/>
        <v>164.70588235294119</v>
      </c>
      <c r="K39" s="411">
        <f t="shared" si="28"/>
        <v>0.37058823529411766</v>
      </c>
      <c r="L39" s="50">
        <f t="shared" si="29"/>
        <v>280</v>
      </c>
      <c r="M39" s="54">
        <f t="shared" si="2"/>
        <v>329.41176470588238</v>
      </c>
      <c r="N39" s="399">
        <f t="shared" si="30"/>
        <v>0.74117647058823533</v>
      </c>
      <c r="O39" s="50">
        <f t="shared" si="4"/>
        <v>420</v>
      </c>
      <c r="P39" s="54">
        <f t="shared" si="5"/>
        <v>494.11764705882354</v>
      </c>
      <c r="Q39" s="500">
        <f t="shared" si="6"/>
        <v>1.111764705882353</v>
      </c>
      <c r="R39" s="50">
        <f t="shared" si="7"/>
        <v>560</v>
      </c>
      <c r="S39" s="54">
        <f t="shared" si="8"/>
        <v>658.82352941176475</v>
      </c>
      <c r="T39" s="399">
        <f t="shared" si="9"/>
        <v>1.4823529411764707</v>
      </c>
      <c r="U39" s="50">
        <f t="shared" si="31"/>
        <v>680</v>
      </c>
      <c r="V39" s="54">
        <f t="shared" si="32"/>
        <v>829.41176470588243</v>
      </c>
      <c r="W39" s="399">
        <f t="shared" si="33"/>
        <v>1.8661764705882353</v>
      </c>
      <c r="X39" s="1066">
        <f t="shared" si="36"/>
        <v>494.11764705882354</v>
      </c>
      <c r="Y39" s="1070">
        <f t="shared" si="37"/>
        <v>1.111764705882353</v>
      </c>
      <c r="Z39" s="49"/>
      <c r="AA39" s="1062">
        <v>0.8</v>
      </c>
      <c r="AB39" s="424" t="s">
        <v>294</v>
      </c>
    </row>
    <row r="40" spans="1:28">
      <c r="A40" s="395">
        <f>Eingabedaten!A40</f>
        <v>11.1</v>
      </c>
      <c r="B40" s="385">
        <f>Eingabedaten!B40</f>
        <v>0</v>
      </c>
      <c r="C40" s="358" t="str">
        <f>Eingabedaten!C40</f>
        <v>Turnhalle</v>
      </c>
      <c r="D40" s="294"/>
      <c r="E40" s="293"/>
      <c r="F40" s="291">
        <f>Eingabedaten!D40</f>
        <v>30</v>
      </c>
      <c r="G40" s="292">
        <f>Eingabedaten!E40</f>
        <v>20</v>
      </c>
      <c r="H40" s="292">
        <f>Eingabedaten!F40</f>
        <v>7</v>
      </c>
      <c r="I40" s="46">
        <f t="shared" si="27"/>
        <v>210</v>
      </c>
      <c r="J40" s="53">
        <f t="shared" si="15"/>
        <v>247.05882352941177</v>
      </c>
      <c r="K40" s="410">
        <f t="shared" si="28"/>
        <v>0.37058823529411766</v>
      </c>
      <c r="L40" s="46">
        <f t="shared" si="29"/>
        <v>350</v>
      </c>
      <c r="M40" s="53">
        <f t="shared" si="2"/>
        <v>411.76470588235293</v>
      </c>
      <c r="N40" s="400">
        <f t="shared" si="30"/>
        <v>0.61764705882352944</v>
      </c>
      <c r="O40" s="46">
        <f t="shared" si="4"/>
        <v>560</v>
      </c>
      <c r="P40" s="53">
        <f t="shared" si="5"/>
        <v>658.82352941176475</v>
      </c>
      <c r="Q40" s="499">
        <f t="shared" si="6"/>
        <v>0.98823529411764721</v>
      </c>
      <c r="R40" s="46">
        <f t="shared" si="7"/>
        <v>700</v>
      </c>
      <c r="S40" s="53">
        <f t="shared" si="8"/>
        <v>823.52941176470586</v>
      </c>
      <c r="T40" s="400">
        <f t="shared" si="9"/>
        <v>1.2352941176470589</v>
      </c>
      <c r="U40" s="46">
        <f t="shared" si="31"/>
        <v>950</v>
      </c>
      <c r="V40" s="53">
        <f t="shared" si="32"/>
        <v>1161.7647058823529</v>
      </c>
      <c r="W40" s="400">
        <f t="shared" si="33"/>
        <v>1.7426470588235294</v>
      </c>
      <c r="X40" s="1065">
        <f t="shared" si="36"/>
        <v>658.82352941176475</v>
      </c>
      <c r="Y40" s="1071">
        <f t="shared" si="37"/>
        <v>0.98823529411764721</v>
      </c>
      <c r="Z40" s="430"/>
      <c r="AA40" s="1064">
        <v>0.8</v>
      </c>
      <c r="AB40" s="429" t="s">
        <v>295</v>
      </c>
    </row>
    <row r="41" spans="1:28">
      <c r="A41" s="393">
        <f>Eingabedaten!A41</f>
        <v>11.2</v>
      </c>
      <c r="B41" s="386">
        <f>Eingabedaten!B41</f>
        <v>0</v>
      </c>
      <c r="C41" s="66" t="str">
        <f>Eingabedaten!C41</f>
        <v>Fitnessraum</v>
      </c>
      <c r="D41" s="67"/>
      <c r="E41" s="2"/>
      <c r="F41" s="280">
        <f>Eingabedaten!D41</f>
        <v>12</v>
      </c>
      <c r="G41" s="82">
        <f>Eingabedaten!E41</f>
        <v>12</v>
      </c>
      <c r="H41" s="82">
        <f>Eingabedaten!F41</f>
        <v>3</v>
      </c>
      <c r="I41" s="46">
        <f t="shared" si="27"/>
        <v>36</v>
      </c>
      <c r="J41" s="53">
        <f t="shared" si="15"/>
        <v>42.352941176470587</v>
      </c>
      <c r="K41" s="410">
        <f t="shared" si="28"/>
        <v>0.26470588235294118</v>
      </c>
      <c r="L41" s="46">
        <f t="shared" si="29"/>
        <v>72</v>
      </c>
      <c r="M41" s="53">
        <f t="shared" si="2"/>
        <v>84.705882352941174</v>
      </c>
      <c r="N41" s="400">
        <f t="shared" si="30"/>
        <v>0.52941176470588236</v>
      </c>
      <c r="O41" s="46">
        <f t="shared" si="4"/>
        <v>108</v>
      </c>
      <c r="P41" s="53">
        <f t="shared" si="5"/>
        <v>127.05882352941177</v>
      </c>
      <c r="Q41" s="499">
        <f t="shared" si="6"/>
        <v>0.79411764705882359</v>
      </c>
      <c r="R41" s="46">
        <f t="shared" si="7"/>
        <v>144</v>
      </c>
      <c r="S41" s="53">
        <f t="shared" si="8"/>
        <v>169.41176470588235</v>
      </c>
      <c r="T41" s="400">
        <f t="shared" si="9"/>
        <v>1.0588235294117647</v>
      </c>
      <c r="U41" s="46">
        <f t="shared" si="31"/>
        <v>216</v>
      </c>
      <c r="V41" s="53">
        <f t="shared" si="32"/>
        <v>264.70588235294116</v>
      </c>
      <c r="W41" s="400">
        <f t="shared" si="33"/>
        <v>1.6544117647058822</v>
      </c>
      <c r="X41" s="1065">
        <f t="shared" si="36"/>
        <v>127.05882352941177</v>
      </c>
      <c r="Y41" s="1070">
        <f t="shared" si="37"/>
        <v>0.79411764705882359</v>
      </c>
      <c r="Z41" s="49"/>
      <c r="AA41" s="1062">
        <v>1</v>
      </c>
      <c r="AB41" s="424" t="s">
        <v>289</v>
      </c>
    </row>
    <row r="42" spans="1:28">
      <c r="A42" s="394">
        <f>Eingabedaten!A42</f>
        <v>11.3</v>
      </c>
      <c r="B42" s="387">
        <f>Eingabedaten!B42</f>
        <v>0</v>
      </c>
      <c r="C42" s="355" t="str">
        <f>Eingabedaten!C42</f>
        <v>Schwimmhalle</v>
      </c>
      <c r="D42" s="284"/>
      <c r="E42" s="83"/>
      <c r="F42" s="281">
        <f>Eingabedaten!D42</f>
        <v>20</v>
      </c>
      <c r="G42" s="282">
        <f>Eingabedaten!E42</f>
        <v>20</v>
      </c>
      <c r="H42" s="282">
        <f>Eingabedaten!F42</f>
        <v>7</v>
      </c>
      <c r="I42" s="46">
        <f t="shared" si="27"/>
        <v>140</v>
      </c>
      <c r="J42" s="53">
        <f t="shared" si="15"/>
        <v>164.70588235294119</v>
      </c>
      <c r="K42" s="410">
        <f t="shared" si="28"/>
        <v>0.37058823529411766</v>
      </c>
      <c r="L42" s="46">
        <f t="shared" si="29"/>
        <v>280</v>
      </c>
      <c r="M42" s="53">
        <f t="shared" si="2"/>
        <v>329.41176470588238</v>
      </c>
      <c r="N42" s="400">
        <f t="shared" si="30"/>
        <v>0.74117647058823533</v>
      </c>
      <c r="O42" s="46">
        <f t="shared" si="4"/>
        <v>420</v>
      </c>
      <c r="P42" s="53">
        <f t="shared" si="5"/>
        <v>494.11764705882354</v>
      </c>
      <c r="Q42" s="499">
        <f t="shared" si="6"/>
        <v>1.111764705882353</v>
      </c>
      <c r="R42" s="46">
        <f t="shared" si="7"/>
        <v>560</v>
      </c>
      <c r="S42" s="53">
        <f t="shared" si="8"/>
        <v>658.82352941176475</v>
      </c>
      <c r="T42" s="400">
        <f t="shared" si="9"/>
        <v>1.4823529411764707</v>
      </c>
      <c r="U42" s="46">
        <f t="shared" si="31"/>
        <v>680</v>
      </c>
      <c r="V42" s="53">
        <f t="shared" si="32"/>
        <v>829.41176470588243</v>
      </c>
      <c r="W42" s="400">
        <f t="shared" si="33"/>
        <v>1.8661764705882353</v>
      </c>
      <c r="X42" s="1065">
        <f>P42</f>
        <v>494.11764705882354</v>
      </c>
      <c r="Y42" s="1072">
        <f t="shared" si="37"/>
        <v>1.111764705882353</v>
      </c>
      <c r="Z42" s="174"/>
      <c r="AA42" s="1063">
        <v>1</v>
      </c>
      <c r="AB42" s="428" t="s">
        <v>296</v>
      </c>
    </row>
    <row r="43" spans="1:28">
      <c r="A43" s="393">
        <f>Eingabedaten!A43</f>
        <v>12.1</v>
      </c>
      <c r="B43" s="386">
        <f>Eingabedaten!B43</f>
        <v>19</v>
      </c>
      <c r="C43" s="66" t="str">
        <f>Eingabedaten!C43</f>
        <v>Verkehrsfläche</v>
      </c>
      <c r="D43" s="67"/>
      <c r="E43" s="2"/>
      <c r="F43" s="280">
        <f>Eingabedaten!D43</f>
        <v>2</v>
      </c>
      <c r="G43" s="82">
        <f>Eingabedaten!E43</f>
        <v>10</v>
      </c>
      <c r="H43" s="82">
        <f>Eingabedaten!F43</f>
        <v>2.5</v>
      </c>
      <c r="I43" s="75">
        <f t="shared" si="27"/>
        <v>5</v>
      </c>
      <c r="J43" s="62">
        <f>I43/0.85</f>
        <v>5.882352941176471</v>
      </c>
      <c r="K43" s="503">
        <f>J43/(F43*G43/0.9)</f>
        <v>0.26470588235294118</v>
      </c>
      <c r="L43" s="75">
        <f t="shared" si="29"/>
        <v>30</v>
      </c>
      <c r="M43" s="62">
        <f t="shared" si="2"/>
        <v>35.294117647058826</v>
      </c>
      <c r="N43" s="398">
        <f t="shared" si="30"/>
        <v>1.5882352941176472</v>
      </c>
      <c r="O43" s="75">
        <f t="shared" si="4"/>
        <v>35</v>
      </c>
      <c r="P43" s="62">
        <f t="shared" si="5"/>
        <v>41.176470588235297</v>
      </c>
      <c r="Q43" s="398">
        <f t="shared" si="6"/>
        <v>1.8529411764705885</v>
      </c>
      <c r="R43" s="75">
        <f t="shared" si="7"/>
        <v>60</v>
      </c>
      <c r="S43" s="62">
        <f t="shared" si="8"/>
        <v>70.588235294117652</v>
      </c>
      <c r="T43" s="398">
        <f t="shared" si="9"/>
        <v>3.1764705882352944</v>
      </c>
      <c r="U43" s="75">
        <f t="shared" si="31"/>
        <v>50</v>
      </c>
      <c r="V43" s="62">
        <f t="shared" si="32"/>
        <v>60.294117647058826</v>
      </c>
      <c r="W43" s="398">
        <f t="shared" si="33"/>
        <v>2.7132352941176472</v>
      </c>
      <c r="X43" s="1067">
        <f>J43</f>
        <v>5.882352941176471</v>
      </c>
      <c r="Y43" s="1070">
        <f>K43</f>
        <v>0.26470588235294118</v>
      </c>
      <c r="Z43" s="49"/>
      <c r="AA43" s="1062">
        <v>1</v>
      </c>
      <c r="AB43" s="424" t="s">
        <v>289</v>
      </c>
    </row>
    <row r="44" spans="1:28">
      <c r="A44" s="393">
        <f>Eingabedaten!A44</f>
        <v>12.2</v>
      </c>
      <c r="B44" s="386">
        <v>19</v>
      </c>
      <c r="C44" s="66" t="str">
        <f>Eingabedaten!C44</f>
        <v>Verkehrsfläche 24 h</v>
      </c>
      <c r="D44" s="67"/>
      <c r="E44" s="2"/>
      <c r="F44" s="280">
        <f>Eingabedaten!D44</f>
        <v>2</v>
      </c>
      <c r="G44" s="82">
        <f>Eingabedaten!E44</f>
        <v>10</v>
      </c>
      <c r="H44" s="82">
        <f>Eingabedaten!F44</f>
        <v>2.5</v>
      </c>
      <c r="I44" s="46">
        <f t="shared" ref="I44" si="48">F44*H44</f>
        <v>5</v>
      </c>
      <c r="J44" s="53">
        <f t="shared" ref="J44" si="49">I44/0.85</f>
        <v>5.882352941176471</v>
      </c>
      <c r="K44" s="502">
        <f t="shared" ref="K44" si="50">J44/(F44*G44/0.9)</f>
        <v>0.26470588235294118</v>
      </c>
      <c r="L44" s="46">
        <f t="shared" ref="L44" si="51">F44*H44+G44*H44</f>
        <v>30</v>
      </c>
      <c r="M44" s="53">
        <f t="shared" ref="M44" si="52">L44/0.85</f>
        <v>35.294117647058826</v>
      </c>
      <c r="N44" s="400">
        <f t="shared" ref="N44" si="53">M44/(F44*G44/0.9)</f>
        <v>1.5882352941176472</v>
      </c>
      <c r="O44" s="46">
        <f t="shared" ref="O44" si="54">I44+L44</f>
        <v>35</v>
      </c>
      <c r="P44" s="53">
        <f t="shared" ref="P44" si="55">O44/0.85</f>
        <v>41.176470588235297</v>
      </c>
      <c r="Q44" s="400">
        <f t="shared" ref="Q44" si="56">P44/(F44*G44/0.9)</f>
        <v>1.8529411764705885</v>
      </c>
      <c r="R44" s="46">
        <f t="shared" ref="R44" si="57">2*L44</f>
        <v>60</v>
      </c>
      <c r="S44" s="53">
        <f t="shared" ref="S44" si="58">R44/0.85</f>
        <v>70.588235294117652</v>
      </c>
      <c r="T44" s="400">
        <f t="shared" ref="T44" si="59">S44/(F44*G44/0.9)</f>
        <v>3.1764705882352944</v>
      </c>
      <c r="U44" s="46">
        <f t="shared" ref="U44" si="60">F44*H44+G44*H44+F44*G44</f>
        <v>50</v>
      </c>
      <c r="V44" s="53">
        <f t="shared" ref="V44" si="61">((F44*H44+G44*H44)/0.85)+(F44*G44/0.8)</f>
        <v>60.294117647058826</v>
      </c>
      <c r="W44" s="400">
        <f t="shared" ref="W44" si="62">V44/(F44*G44/0.9)</f>
        <v>2.7132352941176472</v>
      </c>
      <c r="X44" s="1065">
        <f t="shared" ref="X44:X54" si="63">J44</f>
        <v>5.882352941176471</v>
      </c>
      <c r="Y44" s="1070">
        <f>K44</f>
        <v>0.26470588235294118</v>
      </c>
      <c r="Z44" s="49"/>
      <c r="AA44" s="1062">
        <v>1</v>
      </c>
      <c r="AB44" s="424" t="s">
        <v>289</v>
      </c>
    </row>
    <row r="45" spans="1:28">
      <c r="A45" s="393">
        <f>Eingabedaten!A45</f>
        <v>12.3</v>
      </c>
      <c r="B45" s="386">
        <v>19</v>
      </c>
      <c r="C45" s="66" t="str">
        <f>Eingabedaten!C45</f>
        <v>Treppenhaus</v>
      </c>
      <c r="D45" s="67"/>
      <c r="E45" s="2"/>
      <c r="F45" s="280">
        <f>Eingabedaten!D45</f>
        <v>2</v>
      </c>
      <c r="G45" s="82">
        <f>Eingabedaten!E45</f>
        <v>10</v>
      </c>
      <c r="H45" s="82">
        <f>Eingabedaten!F45</f>
        <v>2.5</v>
      </c>
      <c r="I45" s="46">
        <f t="shared" ref="I45" si="64">F45*H45</f>
        <v>5</v>
      </c>
      <c r="J45" s="53">
        <f t="shared" ref="J45" si="65">I45/0.85</f>
        <v>5.882352941176471</v>
      </c>
      <c r="K45" s="502">
        <f t="shared" ref="K45" si="66">J45/(F45*G45/0.9)</f>
        <v>0.26470588235294118</v>
      </c>
      <c r="L45" s="46">
        <f t="shared" ref="L45" si="67">F45*H45+G45*H45</f>
        <v>30</v>
      </c>
      <c r="M45" s="53">
        <f t="shared" ref="M45" si="68">L45/0.85</f>
        <v>35.294117647058826</v>
      </c>
      <c r="N45" s="400">
        <f t="shared" ref="N45" si="69">M45/(F45*G45/0.9)</f>
        <v>1.5882352941176472</v>
      </c>
      <c r="O45" s="46">
        <f t="shared" ref="O45" si="70">I45+L45</f>
        <v>35</v>
      </c>
      <c r="P45" s="53">
        <f t="shared" ref="P45" si="71">O45/0.85</f>
        <v>41.176470588235297</v>
      </c>
      <c r="Q45" s="400">
        <f t="shared" ref="Q45" si="72">P45/(F45*G45/0.9)</f>
        <v>1.8529411764705885</v>
      </c>
      <c r="R45" s="46">
        <f t="shared" ref="R45" si="73">2*L45</f>
        <v>60</v>
      </c>
      <c r="S45" s="53">
        <f t="shared" ref="S45" si="74">R45/0.85</f>
        <v>70.588235294117652</v>
      </c>
      <c r="T45" s="400">
        <f t="shared" ref="T45" si="75">S45/(F45*G45/0.9)</f>
        <v>3.1764705882352944</v>
      </c>
      <c r="U45" s="46">
        <f t="shared" ref="U45" si="76">F45*H45+G45*H45+F45*G45</f>
        <v>50</v>
      </c>
      <c r="V45" s="53">
        <f t="shared" ref="V45" si="77">((F45*H45+G45*H45)/0.85)+(F45*G45/0.8)</f>
        <v>60.294117647058826</v>
      </c>
      <c r="W45" s="400">
        <f t="shared" ref="W45" si="78">V45/(F45*G45/0.9)</f>
        <v>2.7132352941176472</v>
      </c>
      <c r="X45" s="1065">
        <f t="shared" ref="X45" si="79">J45</f>
        <v>5.882352941176471</v>
      </c>
      <c r="Y45" s="1070">
        <f>K45</f>
        <v>0.26470588235294118</v>
      </c>
      <c r="Z45" s="49"/>
      <c r="AA45" s="1062">
        <v>1</v>
      </c>
      <c r="AB45" s="424" t="s">
        <v>289</v>
      </c>
    </row>
    <row r="46" spans="1:28">
      <c r="A46" s="393">
        <f>Eingabedaten!A46</f>
        <v>12.4</v>
      </c>
      <c r="B46" s="386">
        <f>Eingabedaten!B46</f>
        <v>20</v>
      </c>
      <c r="C46" s="66" t="str">
        <f>Eingabedaten!C46</f>
        <v>Nebenraum</v>
      </c>
      <c r="D46" s="67"/>
      <c r="E46" s="2"/>
      <c r="F46" s="280">
        <f>Eingabedaten!D46</f>
        <v>4</v>
      </c>
      <c r="G46" s="82">
        <f>Eingabedaten!E46</f>
        <v>5</v>
      </c>
      <c r="H46" s="82">
        <f>Eingabedaten!F46</f>
        <v>2.5</v>
      </c>
      <c r="I46" s="46">
        <f t="shared" si="27"/>
        <v>10</v>
      </c>
      <c r="J46" s="53">
        <f t="shared" si="15"/>
        <v>11.764705882352942</v>
      </c>
      <c r="K46" s="502">
        <f t="shared" si="28"/>
        <v>0.52941176470588236</v>
      </c>
      <c r="L46" s="46">
        <f t="shared" si="29"/>
        <v>22.5</v>
      </c>
      <c r="M46" s="53">
        <f t="shared" si="2"/>
        <v>26.47058823529412</v>
      </c>
      <c r="N46" s="400">
        <f t="shared" si="30"/>
        <v>1.1911764705882355</v>
      </c>
      <c r="O46" s="46">
        <f t="shared" si="4"/>
        <v>32.5</v>
      </c>
      <c r="P46" s="53">
        <f t="shared" si="5"/>
        <v>38.235294117647058</v>
      </c>
      <c r="Q46" s="400">
        <f t="shared" si="6"/>
        <v>1.7205882352941178</v>
      </c>
      <c r="R46" s="46">
        <f t="shared" si="7"/>
        <v>45</v>
      </c>
      <c r="S46" s="53">
        <f t="shared" si="8"/>
        <v>52.941176470588239</v>
      </c>
      <c r="T46" s="400">
        <f t="shared" si="9"/>
        <v>2.382352941176471</v>
      </c>
      <c r="U46" s="46">
        <f t="shared" si="31"/>
        <v>42.5</v>
      </c>
      <c r="V46" s="53">
        <f t="shared" si="32"/>
        <v>51.470588235294116</v>
      </c>
      <c r="W46" s="400">
        <f t="shared" si="33"/>
        <v>2.3161764705882355</v>
      </c>
      <c r="X46" s="1065">
        <f t="shared" si="63"/>
        <v>11.764705882352942</v>
      </c>
      <c r="Y46" s="1070">
        <f t="shared" ref="Y46:Y47" si="80">K46</f>
        <v>0.52941176470588236</v>
      </c>
      <c r="Z46" s="49"/>
      <c r="AA46" s="1062">
        <v>1</v>
      </c>
      <c r="AB46" s="424" t="s">
        <v>289</v>
      </c>
    </row>
    <row r="47" spans="1:28" s="37" customFormat="1">
      <c r="A47" s="868">
        <f>Eingabedaten!A47</f>
        <v>12.5</v>
      </c>
      <c r="B47" s="414">
        <f>Eingabedaten!B47</f>
        <v>0</v>
      </c>
      <c r="C47" s="48" t="str">
        <f>Eingabedaten!C47</f>
        <v>Küche, Teeküche</v>
      </c>
      <c r="D47" s="46"/>
      <c r="E47" s="48"/>
      <c r="F47" s="241">
        <f>Eingabedaten!D47</f>
        <v>4</v>
      </c>
      <c r="G47" s="241">
        <f>Eingabedaten!E47</f>
        <v>5</v>
      </c>
      <c r="H47" s="241">
        <f>Eingabedaten!F47</f>
        <v>2.5</v>
      </c>
      <c r="I47" s="46">
        <f>F47*H47</f>
        <v>10</v>
      </c>
      <c r="J47" s="53">
        <f>I47/0.85</f>
        <v>11.764705882352942</v>
      </c>
      <c r="K47" s="502">
        <f>J47/(F47*G47/0.9)</f>
        <v>0.52941176470588236</v>
      </c>
      <c r="L47" s="46">
        <f>F47*H47+G47*H47</f>
        <v>22.5</v>
      </c>
      <c r="M47" s="53">
        <f>L47/0.85</f>
        <v>26.47058823529412</v>
      </c>
      <c r="N47" s="400">
        <f>M47/(F47*G47/0.9)</f>
        <v>1.1911764705882355</v>
      </c>
      <c r="O47" s="46">
        <f>I47+L47</f>
        <v>32.5</v>
      </c>
      <c r="P47" s="53">
        <f>O47/0.85</f>
        <v>38.235294117647058</v>
      </c>
      <c r="Q47" s="400">
        <f>P47/(F47*G47/0.9)</f>
        <v>1.7205882352941178</v>
      </c>
      <c r="R47" s="46">
        <f>2*L47</f>
        <v>45</v>
      </c>
      <c r="S47" s="53">
        <f>R47/0.85</f>
        <v>52.941176470588239</v>
      </c>
      <c r="T47" s="400">
        <f>S47/(F47*G47/0.9)</f>
        <v>2.382352941176471</v>
      </c>
      <c r="U47" s="46">
        <f>F47*H47+G47*H47+F47*G47</f>
        <v>42.5</v>
      </c>
      <c r="V47" s="53">
        <f>((F47*H47+G47*H47)/0.85)+(F47*G47/0.8)</f>
        <v>51.470588235294116</v>
      </c>
      <c r="W47" s="400">
        <f>V47/(F47*G47/0.9)</f>
        <v>2.3161764705882355</v>
      </c>
      <c r="X47" s="1065">
        <f t="shared" si="63"/>
        <v>11.764705882352942</v>
      </c>
      <c r="Y47" s="1070">
        <f t="shared" si="80"/>
        <v>0.52941176470588236</v>
      </c>
      <c r="Z47" s="48"/>
      <c r="AA47" s="1060">
        <v>1</v>
      </c>
      <c r="AB47" s="422" t="s">
        <v>289</v>
      </c>
    </row>
    <row r="48" spans="1:28">
      <c r="A48" s="393">
        <f>Eingabedaten!A48</f>
        <v>12.6</v>
      </c>
      <c r="B48" s="386">
        <f>Eingabedaten!B48</f>
        <v>0</v>
      </c>
      <c r="C48" s="66" t="str">
        <f>Eingabedaten!C48</f>
        <v xml:space="preserve">WC, Bad, Dusche </v>
      </c>
      <c r="D48" s="2"/>
      <c r="E48" s="2"/>
      <c r="F48" s="280">
        <f>Eingabedaten!D48</f>
        <v>4</v>
      </c>
      <c r="G48" s="82">
        <f>Eingabedaten!E48</f>
        <v>5</v>
      </c>
      <c r="H48" s="82">
        <f>Eingabedaten!F48</f>
        <v>2.5</v>
      </c>
      <c r="I48" s="46">
        <f t="shared" si="27"/>
        <v>10</v>
      </c>
      <c r="J48" s="53">
        <f t="shared" si="15"/>
        <v>11.764705882352942</v>
      </c>
      <c r="K48" s="502">
        <f t="shared" si="28"/>
        <v>0.52941176470588236</v>
      </c>
      <c r="L48" s="46">
        <f t="shared" si="29"/>
        <v>22.5</v>
      </c>
      <c r="M48" s="53">
        <f t="shared" si="2"/>
        <v>26.47058823529412</v>
      </c>
      <c r="N48" s="400">
        <f t="shared" si="30"/>
        <v>1.1911764705882355</v>
      </c>
      <c r="O48" s="46">
        <f t="shared" si="4"/>
        <v>32.5</v>
      </c>
      <c r="P48" s="53">
        <f t="shared" si="5"/>
        <v>38.235294117647058</v>
      </c>
      <c r="Q48" s="400">
        <f t="shared" si="6"/>
        <v>1.7205882352941178</v>
      </c>
      <c r="R48" s="46">
        <f t="shared" si="7"/>
        <v>45</v>
      </c>
      <c r="S48" s="53">
        <f t="shared" si="8"/>
        <v>52.941176470588239</v>
      </c>
      <c r="T48" s="400">
        <f t="shared" si="9"/>
        <v>2.382352941176471</v>
      </c>
      <c r="U48" s="46">
        <f t="shared" si="31"/>
        <v>42.5</v>
      </c>
      <c r="V48" s="53">
        <f t="shared" si="32"/>
        <v>51.470588235294116</v>
      </c>
      <c r="W48" s="410">
        <f t="shared" si="33"/>
        <v>2.3161764705882355</v>
      </c>
      <c r="X48" s="1065">
        <f t="shared" si="63"/>
        <v>11.764705882352942</v>
      </c>
      <c r="Y48" s="1070">
        <f>K48</f>
        <v>0.52941176470588236</v>
      </c>
      <c r="Z48" s="49"/>
      <c r="AA48" s="1062"/>
      <c r="AB48" s="431"/>
    </row>
    <row r="49" spans="1:28">
      <c r="A49" s="393">
        <f>Eingabedaten!A49</f>
        <v>12.7</v>
      </c>
      <c r="B49" s="386">
        <f>Eingabedaten!B49</f>
        <v>18</v>
      </c>
      <c r="C49" s="66" t="str">
        <f>Eingabedaten!C49</f>
        <v>WC</v>
      </c>
      <c r="D49" s="2"/>
      <c r="E49" s="2"/>
      <c r="F49" s="280">
        <f>Eingabedaten!D49</f>
        <v>2</v>
      </c>
      <c r="G49" s="82">
        <f>Eingabedaten!E49</f>
        <v>2</v>
      </c>
      <c r="H49" s="82">
        <f>Eingabedaten!F49</f>
        <v>2.5</v>
      </c>
      <c r="I49" s="46">
        <f t="shared" si="27"/>
        <v>5</v>
      </c>
      <c r="J49" s="53">
        <f t="shared" si="15"/>
        <v>5.882352941176471</v>
      </c>
      <c r="K49" s="502">
        <f t="shared" si="28"/>
        <v>1.3235294117647058</v>
      </c>
      <c r="L49" s="46">
        <f t="shared" si="29"/>
        <v>10</v>
      </c>
      <c r="M49" s="53">
        <f t="shared" si="2"/>
        <v>11.764705882352942</v>
      </c>
      <c r="N49" s="400">
        <f t="shared" si="30"/>
        <v>2.6470588235294117</v>
      </c>
      <c r="O49" s="46">
        <f t="shared" si="4"/>
        <v>15</v>
      </c>
      <c r="P49" s="53">
        <f t="shared" si="5"/>
        <v>17.647058823529413</v>
      </c>
      <c r="Q49" s="400">
        <f t="shared" si="6"/>
        <v>3.9705882352941178</v>
      </c>
      <c r="R49" s="46">
        <f t="shared" si="7"/>
        <v>20</v>
      </c>
      <c r="S49" s="53">
        <f t="shared" si="8"/>
        <v>23.529411764705884</v>
      </c>
      <c r="T49" s="400">
        <f t="shared" si="9"/>
        <v>5.2941176470588234</v>
      </c>
      <c r="U49" s="46">
        <f t="shared" si="31"/>
        <v>14</v>
      </c>
      <c r="V49" s="53">
        <f t="shared" si="32"/>
        <v>16.764705882352942</v>
      </c>
      <c r="W49" s="410">
        <f t="shared" si="33"/>
        <v>3.7720588235294117</v>
      </c>
      <c r="X49" s="1065">
        <f t="shared" si="63"/>
        <v>5.882352941176471</v>
      </c>
      <c r="Y49" s="1070">
        <f t="shared" ref="Y49:Y54" si="81">K49</f>
        <v>1.3235294117647058</v>
      </c>
      <c r="Z49" s="49"/>
      <c r="AA49" s="1062"/>
      <c r="AB49" s="431"/>
    </row>
    <row r="50" spans="1:28">
      <c r="A50" s="391">
        <f>Eingabedaten!A50</f>
        <v>12.8</v>
      </c>
      <c r="B50" s="386">
        <f>Eingabedaten!B50</f>
        <v>0</v>
      </c>
      <c r="C50" s="66" t="str">
        <f>Eingabedaten!C50</f>
        <v>Garderobe, Dusche</v>
      </c>
      <c r="D50" s="2"/>
      <c r="E50" s="2"/>
      <c r="F50" s="280">
        <f>Eingabedaten!D50</f>
        <v>6</v>
      </c>
      <c r="G50" s="82">
        <f>Eingabedaten!E50</f>
        <v>6</v>
      </c>
      <c r="H50" s="82">
        <f>Eingabedaten!F50</f>
        <v>3</v>
      </c>
      <c r="I50" s="46">
        <f t="shared" si="27"/>
        <v>18</v>
      </c>
      <c r="J50" s="53">
        <f t="shared" si="15"/>
        <v>21.176470588235293</v>
      </c>
      <c r="K50" s="502">
        <f t="shared" si="28"/>
        <v>0.52941176470588236</v>
      </c>
      <c r="L50" s="46">
        <f t="shared" si="29"/>
        <v>36</v>
      </c>
      <c r="M50" s="53">
        <f t="shared" si="2"/>
        <v>42.352941176470587</v>
      </c>
      <c r="N50" s="400">
        <f t="shared" si="30"/>
        <v>1.0588235294117647</v>
      </c>
      <c r="O50" s="46">
        <f t="shared" si="4"/>
        <v>54</v>
      </c>
      <c r="P50" s="53">
        <f t="shared" si="5"/>
        <v>63.529411764705884</v>
      </c>
      <c r="Q50" s="400">
        <f t="shared" si="6"/>
        <v>1.5882352941176472</v>
      </c>
      <c r="R50" s="46">
        <f t="shared" si="7"/>
        <v>72</v>
      </c>
      <c r="S50" s="53">
        <f t="shared" si="8"/>
        <v>84.705882352941174</v>
      </c>
      <c r="T50" s="400">
        <f t="shared" si="9"/>
        <v>2.1176470588235294</v>
      </c>
      <c r="U50" s="46">
        <f t="shared" si="31"/>
        <v>72</v>
      </c>
      <c r="V50" s="53">
        <f t="shared" si="32"/>
        <v>87.35294117647058</v>
      </c>
      <c r="W50" s="410">
        <f t="shared" si="33"/>
        <v>2.1838235294117645</v>
      </c>
      <c r="X50" s="1065">
        <f t="shared" si="63"/>
        <v>21.176470588235293</v>
      </c>
      <c r="Y50" s="1070">
        <f t="shared" si="81"/>
        <v>0.52941176470588236</v>
      </c>
      <c r="Z50" s="49"/>
      <c r="AA50" s="1062"/>
      <c r="AB50" s="431"/>
    </row>
    <row r="51" spans="1:28">
      <c r="A51" s="393">
        <f>Eingabedaten!A51</f>
        <v>12.9</v>
      </c>
      <c r="B51" s="386">
        <f>Eingabedaten!B51</f>
        <v>22</v>
      </c>
      <c r="C51" s="66" t="str">
        <f>Eingabedaten!C51</f>
        <v>Parkhaus</v>
      </c>
      <c r="D51" s="2"/>
      <c r="E51" s="2"/>
      <c r="F51" s="280">
        <f>Eingabedaten!D51</f>
        <v>20</v>
      </c>
      <c r="G51" s="82">
        <f>Eingabedaten!E51</f>
        <v>20</v>
      </c>
      <c r="H51" s="82">
        <f>Eingabedaten!F51</f>
        <v>3</v>
      </c>
      <c r="I51" s="46">
        <f t="shared" si="27"/>
        <v>60</v>
      </c>
      <c r="J51" s="53">
        <f t="shared" si="15"/>
        <v>70.588235294117652</v>
      </c>
      <c r="K51" s="410">
        <f t="shared" si="28"/>
        <v>0.15882352941176472</v>
      </c>
      <c r="L51" s="46">
        <f t="shared" si="29"/>
        <v>120</v>
      </c>
      <c r="M51" s="53">
        <f t="shared" si="2"/>
        <v>141.1764705882353</v>
      </c>
      <c r="N51" s="400">
        <f t="shared" si="30"/>
        <v>0.31764705882352945</v>
      </c>
      <c r="O51" s="46">
        <f t="shared" si="4"/>
        <v>180</v>
      </c>
      <c r="P51" s="53">
        <f t="shared" si="5"/>
        <v>211.76470588235296</v>
      </c>
      <c r="Q51" s="400">
        <f t="shared" si="6"/>
        <v>0.47647058823529415</v>
      </c>
      <c r="R51" s="46">
        <f t="shared" si="7"/>
        <v>240</v>
      </c>
      <c r="S51" s="53">
        <f t="shared" si="8"/>
        <v>282.35294117647061</v>
      </c>
      <c r="T51" s="400">
        <f t="shared" si="9"/>
        <v>0.6352941176470589</v>
      </c>
      <c r="U51" s="46">
        <f t="shared" si="31"/>
        <v>520</v>
      </c>
      <c r="V51" s="53">
        <f t="shared" si="32"/>
        <v>641.17647058823536</v>
      </c>
      <c r="W51" s="410">
        <f t="shared" si="33"/>
        <v>1.4426470588235296</v>
      </c>
      <c r="X51" s="1065">
        <v>0</v>
      </c>
      <c r="Y51" s="1070">
        <f t="shared" si="81"/>
        <v>0.15882352941176472</v>
      </c>
      <c r="Z51" s="49"/>
      <c r="AA51" s="1062"/>
      <c r="AB51" s="431"/>
    </row>
    <row r="52" spans="1:28">
      <c r="A52" s="393" t="str">
        <f>Eingabedaten!A52</f>
        <v>12.10</v>
      </c>
      <c r="B52" s="386">
        <f>Eingabedaten!B52</f>
        <v>0</v>
      </c>
      <c r="C52" s="66" t="str">
        <f>Eingabedaten!C52</f>
        <v>Wasch- und Trockenraum</v>
      </c>
      <c r="D52" s="2"/>
      <c r="E52" s="2"/>
      <c r="F52" s="280">
        <f>Eingabedaten!D52</f>
        <v>6</v>
      </c>
      <c r="G52" s="82">
        <f>Eingabedaten!E52</f>
        <v>6</v>
      </c>
      <c r="H52" s="82">
        <f>Eingabedaten!F52</f>
        <v>3</v>
      </c>
      <c r="I52" s="46">
        <f t="shared" si="27"/>
        <v>18</v>
      </c>
      <c r="J52" s="53">
        <f t="shared" si="15"/>
        <v>21.176470588235293</v>
      </c>
      <c r="K52" s="502">
        <f t="shared" si="28"/>
        <v>0.52941176470588236</v>
      </c>
      <c r="L52" s="46">
        <f t="shared" si="29"/>
        <v>36</v>
      </c>
      <c r="M52" s="53">
        <f t="shared" si="2"/>
        <v>42.352941176470587</v>
      </c>
      <c r="N52" s="400">
        <f t="shared" si="30"/>
        <v>1.0588235294117647</v>
      </c>
      <c r="O52" s="46">
        <f t="shared" si="4"/>
        <v>54</v>
      </c>
      <c r="P52" s="53">
        <f t="shared" si="5"/>
        <v>63.529411764705884</v>
      </c>
      <c r="Q52" s="400">
        <f t="shared" si="6"/>
        <v>1.5882352941176472</v>
      </c>
      <c r="R52" s="46">
        <f t="shared" si="7"/>
        <v>72</v>
      </c>
      <c r="S52" s="53">
        <f t="shared" si="8"/>
        <v>84.705882352941174</v>
      </c>
      <c r="T52" s="400">
        <f t="shared" si="9"/>
        <v>2.1176470588235294</v>
      </c>
      <c r="U52" s="46">
        <f t="shared" si="31"/>
        <v>72</v>
      </c>
      <c r="V52" s="53">
        <f t="shared" si="32"/>
        <v>87.35294117647058</v>
      </c>
      <c r="W52" s="410">
        <f t="shared" si="33"/>
        <v>2.1838235294117645</v>
      </c>
      <c r="X52" s="1065">
        <f t="shared" si="63"/>
        <v>21.176470588235293</v>
      </c>
      <c r="Y52" s="1070">
        <f t="shared" si="81"/>
        <v>0.52941176470588236</v>
      </c>
      <c r="Z52" s="49"/>
      <c r="AA52" s="1062"/>
      <c r="AB52" s="431"/>
    </row>
    <row r="53" spans="1:28">
      <c r="A53" s="393">
        <f>Eingabedaten!A53</f>
        <v>12.11</v>
      </c>
      <c r="B53" s="386">
        <f>Eingabedaten!B53</f>
        <v>0</v>
      </c>
      <c r="C53" s="66" t="str">
        <f>Eingabedaten!C53</f>
        <v>Kühlraum</v>
      </c>
      <c r="D53" s="2"/>
      <c r="E53" s="2"/>
      <c r="F53" s="280">
        <f>Eingabedaten!D53</f>
        <v>6</v>
      </c>
      <c r="G53" s="82">
        <f>Eingabedaten!E53</f>
        <v>6</v>
      </c>
      <c r="H53" s="82">
        <f>Eingabedaten!F53</f>
        <v>3</v>
      </c>
      <c r="I53" s="46">
        <f t="shared" si="27"/>
        <v>18</v>
      </c>
      <c r="J53" s="53">
        <f t="shared" si="15"/>
        <v>21.176470588235293</v>
      </c>
      <c r="K53" s="502">
        <f t="shared" si="28"/>
        <v>0.52941176470588236</v>
      </c>
      <c r="L53" s="46">
        <f t="shared" si="29"/>
        <v>36</v>
      </c>
      <c r="M53" s="53">
        <f t="shared" si="2"/>
        <v>42.352941176470587</v>
      </c>
      <c r="N53" s="400">
        <f t="shared" si="30"/>
        <v>1.0588235294117647</v>
      </c>
      <c r="O53" s="46">
        <f t="shared" si="4"/>
        <v>54</v>
      </c>
      <c r="P53" s="53">
        <f t="shared" si="5"/>
        <v>63.529411764705884</v>
      </c>
      <c r="Q53" s="400">
        <f t="shared" si="6"/>
        <v>1.5882352941176472</v>
      </c>
      <c r="R53" s="46">
        <f t="shared" si="7"/>
        <v>72</v>
      </c>
      <c r="S53" s="53">
        <f t="shared" si="8"/>
        <v>84.705882352941174</v>
      </c>
      <c r="T53" s="400">
        <f t="shared" si="9"/>
        <v>2.1176470588235294</v>
      </c>
      <c r="U53" s="46">
        <f t="shared" si="31"/>
        <v>72</v>
      </c>
      <c r="V53" s="53">
        <f t="shared" si="32"/>
        <v>87.35294117647058</v>
      </c>
      <c r="W53" s="410">
        <f t="shared" si="33"/>
        <v>2.1838235294117645</v>
      </c>
      <c r="X53" s="1065">
        <f t="shared" si="63"/>
        <v>21.176470588235293</v>
      </c>
      <c r="Y53" s="1070">
        <f t="shared" si="81"/>
        <v>0.52941176470588236</v>
      </c>
      <c r="Z53" s="49"/>
      <c r="AA53" s="1062"/>
      <c r="AB53" s="431"/>
    </row>
    <row r="54" spans="1:28">
      <c r="A54" s="394">
        <f>Eingabedaten!A54</f>
        <v>12.12</v>
      </c>
      <c r="B54" s="387" t="str">
        <f>Eingabedaten!B54</f>
        <v>23</v>
      </c>
      <c r="C54" s="355" t="str">
        <f>Eingabedaten!C54</f>
        <v>Serverraum</v>
      </c>
      <c r="D54" s="83"/>
      <c r="E54" s="83"/>
      <c r="F54" s="290">
        <f>Eingabedaten!D54</f>
        <v>4</v>
      </c>
      <c r="G54" s="54">
        <f>Eingabedaten!E54</f>
        <v>5</v>
      </c>
      <c r="H54" s="282">
        <f>Eingabedaten!F54</f>
        <v>3</v>
      </c>
      <c r="I54" s="50">
        <f t="shared" si="27"/>
        <v>12</v>
      </c>
      <c r="J54" s="54">
        <f t="shared" si="15"/>
        <v>14.117647058823529</v>
      </c>
      <c r="K54" s="927">
        <f t="shared" si="28"/>
        <v>0.63529411764705879</v>
      </c>
      <c r="L54" s="50">
        <f t="shared" si="29"/>
        <v>27</v>
      </c>
      <c r="M54" s="54">
        <f t="shared" si="2"/>
        <v>31.764705882352942</v>
      </c>
      <c r="N54" s="399">
        <f t="shared" si="30"/>
        <v>1.4294117647058824</v>
      </c>
      <c r="O54" s="50">
        <f t="shared" si="4"/>
        <v>39</v>
      </c>
      <c r="P54" s="54">
        <f t="shared" si="5"/>
        <v>45.882352941176471</v>
      </c>
      <c r="Q54" s="399">
        <f t="shared" si="6"/>
        <v>2.0647058823529414</v>
      </c>
      <c r="R54" s="50">
        <f t="shared" si="7"/>
        <v>54</v>
      </c>
      <c r="S54" s="54">
        <f t="shared" si="8"/>
        <v>63.529411764705884</v>
      </c>
      <c r="T54" s="399">
        <f t="shared" si="9"/>
        <v>2.8588235294117648</v>
      </c>
      <c r="U54" s="50">
        <f t="shared" si="31"/>
        <v>47</v>
      </c>
      <c r="V54" s="54">
        <f t="shared" si="32"/>
        <v>56.764705882352942</v>
      </c>
      <c r="W54" s="411">
        <f t="shared" si="33"/>
        <v>2.5544117647058826</v>
      </c>
      <c r="X54" s="1066">
        <f t="shared" si="63"/>
        <v>14.117647058823529</v>
      </c>
      <c r="Y54" s="1072">
        <f t="shared" si="81"/>
        <v>0.63529411764705879</v>
      </c>
      <c r="Z54" s="174"/>
      <c r="AA54" s="1063"/>
      <c r="AB54" s="432"/>
    </row>
    <row r="55" spans="1:28">
      <c r="H55" s="77"/>
      <c r="X55" s="8"/>
      <c r="Y55" s="396"/>
    </row>
    <row r="57" spans="1:28">
      <c r="A57" s="81"/>
      <c r="F57" s="78"/>
    </row>
    <row r="58" spans="1:28">
      <c r="F58" s="79"/>
    </row>
    <row r="59" spans="1:28" s="8" customFormat="1">
      <c r="B59" s="252"/>
      <c r="F59" s="79"/>
      <c r="K59" s="396"/>
      <c r="N59" s="396"/>
      <c r="O59" s="396"/>
      <c r="P59" s="396"/>
      <c r="Q59" s="396"/>
      <c r="R59" s="396"/>
      <c r="S59" s="396"/>
      <c r="T59" s="396"/>
      <c r="W59" s="396"/>
      <c r="Y59" s="396"/>
      <c r="AA59" s="253"/>
      <c r="AB59" s="253"/>
    </row>
    <row r="60" spans="1:28">
      <c r="C60" s="55"/>
      <c r="D60" s="55"/>
      <c r="E60" s="55"/>
      <c r="F60" s="79"/>
    </row>
    <row r="61" spans="1:28">
      <c r="F61" s="79"/>
    </row>
    <row r="62" spans="1:28" s="10" customFormat="1">
      <c r="A62" s="243"/>
      <c r="B62" s="244"/>
      <c r="C62" s="245"/>
      <c r="D62" s="245"/>
      <c r="E62" s="245"/>
      <c r="F62" s="124"/>
      <c r="G62" s="124"/>
      <c r="H62" s="124"/>
      <c r="K62" s="124"/>
      <c r="N62" s="124"/>
      <c r="O62" s="124"/>
      <c r="P62" s="124"/>
      <c r="Q62" s="124"/>
      <c r="R62" s="124"/>
      <c r="S62" s="124"/>
      <c r="T62" s="124"/>
      <c r="W62" s="124"/>
      <c r="Y62" s="124"/>
      <c r="AA62" s="135"/>
      <c r="AB62" s="135"/>
    </row>
    <row r="63" spans="1:28" s="121" customFormat="1">
      <c r="A63" s="243"/>
      <c r="B63" s="244"/>
      <c r="C63" s="245"/>
      <c r="D63" s="245"/>
      <c r="E63" s="245"/>
      <c r="F63" s="124"/>
      <c r="G63" s="124"/>
      <c r="H63" s="124"/>
      <c r="K63" s="397"/>
      <c r="N63" s="397"/>
      <c r="O63" s="397"/>
      <c r="P63" s="397"/>
      <c r="Q63" s="397"/>
      <c r="R63" s="397"/>
      <c r="S63" s="397"/>
      <c r="T63" s="397"/>
      <c r="W63" s="397"/>
      <c r="Y63" s="397"/>
      <c r="AA63" s="415"/>
      <c r="AB63" s="415"/>
    </row>
    <row r="64" spans="1:28" s="121" customFormat="1">
      <c r="A64" s="55"/>
      <c r="B64" s="247"/>
      <c r="C64" s="55"/>
      <c r="D64" s="55"/>
      <c r="E64" s="55"/>
      <c r="F64" s="4"/>
      <c r="G64" s="4"/>
      <c r="H64" s="4"/>
      <c r="K64" s="397"/>
      <c r="N64" s="397"/>
      <c r="O64" s="397"/>
      <c r="P64" s="397"/>
      <c r="Q64" s="397"/>
      <c r="R64" s="397"/>
      <c r="S64" s="397"/>
      <c r="T64" s="397"/>
      <c r="W64" s="397"/>
      <c r="Y64" s="397"/>
      <c r="AA64" s="415"/>
      <c r="AB64" s="415"/>
    </row>
    <row r="65" spans="1:28" s="121" customFormat="1">
      <c r="A65" s="175"/>
      <c r="B65" s="248"/>
      <c r="C65" s="175"/>
      <c r="D65" s="175"/>
      <c r="E65" s="175"/>
      <c r="F65" s="175"/>
      <c r="G65" s="175"/>
      <c r="H65" s="175"/>
      <c r="K65" s="397"/>
      <c r="N65" s="397"/>
      <c r="O65" s="397"/>
      <c r="P65" s="397"/>
      <c r="Q65" s="397"/>
      <c r="R65" s="397"/>
      <c r="S65" s="397"/>
      <c r="T65" s="397"/>
      <c r="W65" s="397"/>
      <c r="Y65" s="397"/>
      <c r="AA65" s="415"/>
      <c r="AB65" s="415"/>
    </row>
    <row r="66" spans="1:28" s="121" customFormat="1">
      <c r="A66" s="175"/>
      <c r="B66" s="248"/>
      <c r="C66" s="175"/>
      <c r="D66" s="175"/>
      <c r="E66" s="175"/>
      <c r="F66" s="175"/>
      <c r="G66" s="175"/>
      <c r="H66" s="175"/>
      <c r="K66" s="397"/>
      <c r="N66" s="397"/>
      <c r="O66" s="397"/>
      <c r="P66" s="397"/>
      <c r="Q66" s="397"/>
      <c r="R66" s="397"/>
      <c r="S66" s="397"/>
      <c r="T66" s="397"/>
      <c r="W66" s="397"/>
      <c r="Y66" s="397"/>
      <c r="AA66" s="415"/>
      <c r="AB66" s="415"/>
    </row>
    <row r="67" spans="1:28" s="121" customFormat="1">
      <c r="A67" s="175"/>
      <c r="B67" s="175"/>
      <c r="C67" s="175"/>
      <c r="D67" s="175"/>
      <c r="E67" s="175"/>
      <c r="F67" s="175"/>
      <c r="G67" s="175"/>
      <c r="H67" s="175"/>
      <c r="K67" s="397"/>
      <c r="N67" s="397"/>
      <c r="O67" s="397"/>
      <c r="P67" s="397"/>
      <c r="Q67" s="397"/>
      <c r="R67" s="397"/>
      <c r="S67" s="397"/>
      <c r="T67" s="397"/>
      <c r="W67" s="397"/>
      <c r="Y67" s="397"/>
      <c r="AA67" s="415"/>
      <c r="AB67" s="415"/>
    </row>
    <row r="68" spans="1:28" s="121" customFormat="1">
      <c r="A68" s="254"/>
      <c r="B68" s="247"/>
      <c r="C68" s="55"/>
      <c r="D68" s="55"/>
      <c r="E68" s="55"/>
      <c r="F68" s="55"/>
      <c r="G68" s="55"/>
      <c r="H68" s="241"/>
      <c r="K68" s="397"/>
      <c r="N68" s="397"/>
      <c r="O68" s="397"/>
      <c r="P68" s="397"/>
      <c r="Q68" s="397"/>
      <c r="R68" s="397"/>
      <c r="S68" s="397"/>
      <c r="T68" s="397"/>
      <c r="W68" s="397"/>
      <c r="Y68" s="397"/>
      <c r="AA68" s="415"/>
      <c r="AB68" s="415"/>
    </row>
    <row r="69" spans="1:28" s="121" customFormat="1">
      <c r="A69" s="254"/>
      <c r="B69" s="247"/>
      <c r="C69" s="55"/>
      <c r="D69" s="55"/>
      <c r="E69" s="55"/>
      <c r="F69" s="55"/>
      <c r="G69" s="55"/>
      <c r="H69" s="241"/>
      <c r="K69" s="397"/>
      <c r="N69" s="397"/>
      <c r="O69" s="397"/>
      <c r="P69" s="397"/>
      <c r="Q69" s="397"/>
      <c r="R69" s="397"/>
      <c r="S69" s="397"/>
      <c r="T69" s="397"/>
      <c r="W69" s="397"/>
      <c r="Y69" s="397"/>
      <c r="AA69" s="415"/>
      <c r="AB69" s="415"/>
    </row>
    <row r="70" spans="1:28" s="121" customFormat="1">
      <c r="A70" s="254"/>
      <c r="B70" s="251"/>
      <c r="C70" s="55"/>
      <c r="D70" s="55"/>
      <c r="E70" s="55"/>
      <c r="F70" s="55"/>
      <c r="G70" s="55"/>
      <c r="H70" s="241"/>
      <c r="K70" s="397"/>
      <c r="N70" s="397"/>
      <c r="O70" s="397"/>
      <c r="P70" s="397"/>
      <c r="Q70" s="397"/>
      <c r="R70" s="397"/>
      <c r="S70" s="397"/>
      <c r="T70" s="397"/>
      <c r="W70" s="397"/>
      <c r="Y70" s="397"/>
      <c r="AA70" s="415"/>
      <c r="AB70" s="415"/>
    </row>
    <row r="71" spans="1:28" s="121" customFormat="1">
      <c r="A71" s="254"/>
      <c r="B71" s="251"/>
      <c r="C71" s="55"/>
      <c r="D71" s="55"/>
      <c r="E71" s="55"/>
      <c r="F71" s="55"/>
      <c r="G71" s="55"/>
      <c r="H71" s="241"/>
      <c r="K71" s="397"/>
      <c r="N71" s="397"/>
      <c r="O71" s="397"/>
      <c r="P71" s="397"/>
      <c r="Q71" s="397"/>
      <c r="R71" s="397"/>
      <c r="S71" s="397"/>
      <c r="T71" s="397"/>
      <c r="W71" s="397"/>
      <c r="Y71" s="397"/>
      <c r="AA71" s="415"/>
      <c r="AB71" s="415"/>
    </row>
    <row r="72" spans="1:28" s="121" customFormat="1">
      <c r="A72" s="256"/>
      <c r="B72" s="257"/>
      <c r="C72" s="4"/>
      <c r="D72" s="4"/>
      <c r="E72" s="4"/>
      <c r="F72" s="4"/>
      <c r="G72" s="4"/>
      <c r="H72" s="82"/>
      <c r="K72" s="397"/>
      <c r="N72" s="397"/>
      <c r="O72" s="397"/>
      <c r="P72" s="397"/>
      <c r="Q72" s="397"/>
      <c r="R72" s="397"/>
      <c r="S72" s="397"/>
      <c r="T72" s="397"/>
      <c r="W72" s="397"/>
      <c r="Y72" s="397"/>
      <c r="AA72" s="415"/>
      <c r="AB72" s="415"/>
    </row>
    <row r="73" spans="1:28" s="121" customFormat="1">
      <c r="A73" s="256"/>
      <c r="B73" s="257"/>
      <c r="C73" s="4"/>
      <c r="D73" s="4"/>
      <c r="E73" s="4"/>
      <c r="F73" s="4"/>
      <c r="G73" s="4"/>
      <c r="H73" s="82"/>
      <c r="K73" s="397"/>
      <c r="N73" s="397"/>
      <c r="O73" s="397"/>
      <c r="P73" s="397"/>
      <c r="Q73" s="397"/>
      <c r="R73" s="397"/>
      <c r="S73" s="397"/>
      <c r="T73" s="397"/>
      <c r="W73" s="397"/>
      <c r="Y73" s="397"/>
      <c r="AA73" s="415"/>
      <c r="AB73" s="415"/>
    </row>
    <row r="74" spans="1:28" s="4" customFormat="1">
      <c r="A74" s="256"/>
      <c r="B74" s="257"/>
      <c r="H74" s="258"/>
      <c r="K74" s="124"/>
      <c r="N74" s="124"/>
      <c r="O74" s="124"/>
      <c r="P74" s="124"/>
      <c r="Q74" s="124"/>
      <c r="R74" s="124"/>
      <c r="S74" s="124"/>
      <c r="T74" s="124"/>
      <c r="W74" s="124"/>
      <c r="Y74" s="124"/>
      <c r="AA74" s="415"/>
      <c r="AB74" s="415"/>
    </row>
    <row r="75" spans="1:28" s="4" customFormat="1">
      <c r="A75" s="256"/>
      <c r="B75" s="257"/>
      <c r="H75" s="258"/>
      <c r="K75" s="124"/>
      <c r="N75" s="124"/>
      <c r="O75" s="124"/>
      <c r="P75" s="124"/>
      <c r="Q75" s="124"/>
      <c r="R75" s="124"/>
      <c r="S75" s="124"/>
      <c r="T75" s="124"/>
      <c r="W75" s="124"/>
      <c r="Y75" s="124"/>
      <c r="AA75" s="415"/>
      <c r="AB75" s="415"/>
    </row>
    <row r="76" spans="1:28" s="4" customFormat="1">
      <c r="A76" s="256"/>
      <c r="B76" s="257"/>
      <c r="H76" s="258"/>
      <c r="K76" s="124"/>
      <c r="N76" s="124"/>
      <c r="O76" s="124"/>
      <c r="P76" s="124"/>
      <c r="Q76" s="124"/>
      <c r="R76" s="124"/>
      <c r="S76" s="124"/>
      <c r="T76" s="124"/>
      <c r="W76" s="124"/>
      <c r="Y76" s="124"/>
      <c r="AA76" s="415"/>
      <c r="AB76" s="415"/>
    </row>
    <row r="77" spans="1:28" s="4" customFormat="1">
      <c r="A77" s="256"/>
      <c r="B77" s="257"/>
      <c r="H77" s="258"/>
      <c r="K77" s="124"/>
      <c r="N77" s="124"/>
      <c r="O77" s="124"/>
      <c r="P77" s="124"/>
      <c r="Q77" s="124"/>
      <c r="R77" s="124"/>
      <c r="S77" s="124"/>
      <c r="T77" s="124"/>
      <c r="W77" s="124"/>
      <c r="Y77" s="124"/>
      <c r="AA77" s="415"/>
      <c r="AB77" s="415"/>
    </row>
    <row r="78" spans="1:28" s="4" customFormat="1">
      <c r="A78" s="256"/>
      <c r="B78" s="257"/>
      <c r="H78" s="258"/>
      <c r="K78" s="124"/>
      <c r="N78" s="124"/>
      <c r="O78" s="124"/>
      <c r="P78" s="124"/>
      <c r="Q78" s="124"/>
      <c r="R78" s="124"/>
      <c r="S78" s="124"/>
      <c r="T78" s="124"/>
      <c r="W78" s="124"/>
      <c r="Y78" s="124"/>
      <c r="AA78" s="415"/>
      <c r="AB78" s="415"/>
    </row>
    <row r="79" spans="1:28" s="4" customFormat="1">
      <c r="A79" s="256"/>
      <c r="B79" s="257"/>
      <c r="H79" s="258"/>
      <c r="K79" s="124"/>
      <c r="N79" s="124"/>
      <c r="O79" s="124"/>
      <c r="P79" s="124"/>
      <c r="Q79" s="124"/>
      <c r="R79" s="124"/>
      <c r="S79" s="124"/>
      <c r="T79" s="124"/>
      <c r="W79" s="124"/>
      <c r="Y79" s="124"/>
      <c r="AA79" s="415"/>
      <c r="AB79" s="415"/>
    </row>
    <row r="80" spans="1:28" s="4" customFormat="1">
      <c r="A80" s="256"/>
      <c r="B80" s="257"/>
      <c r="H80" s="258"/>
      <c r="K80" s="124"/>
      <c r="N80" s="124"/>
      <c r="O80" s="124"/>
      <c r="P80" s="124"/>
      <c r="Q80" s="124"/>
      <c r="R80" s="124"/>
      <c r="S80" s="124"/>
      <c r="T80" s="124"/>
      <c r="W80" s="124"/>
      <c r="Y80" s="124"/>
      <c r="AA80" s="415"/>
      <c r="AB80" s="415"/>
    </row>
    <row r="81" spans="1:28" s="4" customFormat="1">
      <c r="A81" s="256"/>
      <c r="B81" s="250"/>
      <c r="H81" s="258"/>
      <c r="K81" s="124"/>
      <c r="N81" s="124"/>
      <c r="O81" s="124"/>
      <c r="P81" s="124"/>
      <c r="Q81" s="124"/>
      <c r="R81" s="124"/>
      <c r="S81" s="124"/>
      <c r="T81" s="124"/>
      <c r="W81" s="124"/>
      <c r="Y81" s="124"/>
      <c r="AA81" s="415"/>
      <c r="AB81" s="415"/>
    </row>
    <row r="82" spans="1:28" s="4" customFormat="1">
      <c r="A82" s="259"/>
      <c r="B82" s="250"/>
      <c r="H82" s="258"/>
      <c r="K82" s="124"/>
      <c r="N82" s="124"/>
      <c r="O82" s="124"/>
      <c r="P82" s="124"/>
      <c r="Q82" s="124"/>
      <c r="R82" s="124"/>
      <c r="S82" s="124"/>
      <c r="T82" s="124"/>
      <c r="W82" s="124"/>
      <c r="Y82" s="124"/>
      <c r="AA82" s="415"/>
      <c r="AB82" s="415"/>
    </row>
    <row r="83" spans="1:28" s="4" customFormat="1">
      <c r="A83" s="259"/>
      <c r="B83" s="250"/>
      <c r="H83" s="258"/>
      <c r="K83" s="124"/>
      <c r="N83" s="124"/>
      <c r="O83" s="124"/>
      <c r="P83" s="124"/>
      <c r="Q83" s="124"/>
      <c r="R83" s="124"/>
      <c r="S83" s="124"/>
      <c r="T83" s="124"/>
      <c r="W83" s="124"/>
      <c r="Y83" s="124"/>
      <c r="AA83" s="415"/>
      <c r="AB83" s="415"/>
    </row>
    <row r="84" spans="1:28" s="4" customFormat="1">
      <c r="A84" s="259"/>
      <c r="B84" s="250"/>
      <c r="H84" s="258"/>
      <c r="K84" s="124"/>
      <c r="N84" s="124"/>
      <c r="O84" s="124"/>
      <c r="P84" s="124"/>
      <c r="Q84" s="124"/>
      <c r="R84" s="124"/>
      <c r="S84" s="124"/>
      <c r="T84" s="124"/>
      <c r="W84" s="124"/>
      <c r="Y84" s="124"/>
      <c r="AA84" s="415"/>
      <c r="AB84" s="415"/>
    </row>
    <row r="85" spans="1:28" s="4" customFormat="1">
      <c r="A85" s="259"/>
      <c r="B85" s="250"/>
      <c r="H85" s="258"/>
      <c r="K85" s="124"/>
      <c r="N85" s="124"/>
      <c r="O85" s="124"/>
      <c r="P85" s="124"/>
      <c r="Q85" s="124"/>
      <c r="R85" s="124"/>
      <c r="S85" s="124"/>
      <c r="T85" s="124"/>
      <c r="W85" s="124"/>
      <c r="Y85" s="124"/>
      <c r="AA85" s="415"/>
      <c r="AB85" s="415"/>
    </row>
    <row r="86" spans="1:28" s="4" customFormat="1">
      <c r="A86" s="259"/>
      <c r="B86" s="250"/>
      <c r="H86" s="258"/>
      <c r="K86" s="124"/>
      <c r="N86" s="124"/>
      <c r="O86" s="124"/>
      <c r="P86" s="124"/>
      <c r="Q86" s="124"/>
      <c r="R86" s="124"/>
      <c r="S86" s="124"/>
      <c r="T86" s="124"/>
      <c r="W86" s="124"/>
      <c r="Y86" s="124"/>
      <c r="AA86" s="415"/>
      <c r="AB86" s="415"/>
    </row>
    <row r="87" spans="1:28" s="4" customFormat="1">
      <c r="A87" s="259"/>
      <c r="B87" s="250"/>
      <c r="H87" s="258"/>
      <c r="K87" s="124"/>
      <c r="N87" s="124"/>
      <c r="O87" s="124"/>
      <c r="P87" s="124"/>
      <c r="Q87" s="124"/>
      <c r="R87" s="124"/>
      <c r="S87" s="124"/>
      <c r="T87" s="124"/>
      <c r="W87" s="124"/>
      <c r="Y87" s="124"/>
      <c r="AA87" s="415"/>
      <c r="AB87" s="415"/>
    </row>
    <row r="88" spans="1:28" s="4" customFormat="1">
      <c r="A88" s="259"/>
      <c r="B88" s="250"/>
      <c r="H88" s="258"/>
      <c r="K88" s="124"/>
      <c r="N88" s="124"/>
      <c r="O88" s="124"/>
      <c r="P88" s="124"/>
      <c r="Q88" s="124"/>
      <c r="R88" s="124"/>
      <c r="S88" s="124"/>
      <c r="T88" s="124"/>
      <c r="W88" s="124"/>
      <c r="Y88" s="124"/>
      <c r="AA88" s="415"/>
      <c r="AB88" s="415"/>
    </row>
    <row r="89" spans="1:28" s="4" customFormat="1">
      <c r="A89" s="259"/>
      <c r="B89" s="250"/>
      <c r="H89" s="258"/>
      <c r="K89" s="124"/>
      <c r="N89" s="124"/>
      <c r="O89" s="124"/>
      <c r="P89" s="124"/>
      <c r="Q89" s="124"/>
      <c r="R89" s="124"/>
      <c r="S89" s="124"/>
      <c r="T89" s="124"/>
      <c r="W89" s="124"/>
      <c r="Y89" s="124"/>
      <c r="AA89" s="415"/>
      <c r="AB89" s="415"/>
    </row>
    <row r="90" spans="1:28" s="4" customFormat="1">
      <c r="A90" s="259"/>
      <c r="B90" s="250"/>
      <c r="H90" s="258"/>
      <c r="K90" s="124"/>
      <c r="N90" s="124"/>
      <c r="O90" s="124"/>
      <c r="P90" s="124"/>
      <c r="Q90" s="124"/>
      <c r="R90" s="124"/>
      <c r="S90" s="124"/>
      <c r="T90" s="124"/>
      <c r="W90" s="124"/>
      <c r="Y90" s="124"/>
      <c r="AA90" s="415"/>
      <c r="AB90" s="415"/>
    </row>
    <row r="91" spans="1:28" s="4" customFormat="1">
      <c r="A91" s="259"/>
      <c r="B91" s="250"/>
      <c r="H91" s="258"/>
      <c r="K91" s="124"/>
      <c r="N91" s="124"/>
      <c r="O91" s="124"/>
      <c r="P91" s="124"/>
      <c r="Q91" s="124"/>
      <c r="R91" s="124"/>
      <c r="S91" s="124"/>
      <c r="T91" s="124"/>
      <c r="W91" s="124"/>
      <c r="Y91" s="124"/>
      <c r="AA91" s="415"/>
      <c r="AB91" s="415"/>
    </row>
    <row r="92" spans="1:28" s="4" customFormat="1">
      <c r="A92" s="259"/>
      <c r="B92" s="250"/>
      <c r="H92" s="258"/>
      <c r="K92" s="124"/>
      <c r="N92" s="124"/>
      <c r="O92" s="124"/>
      <c r="P92" s="124"/>
      <c r="Q92" s="124"/>
      <c r="R92" s="124"/>
      <c r="S92" s="124"/>
      <c r="T92" s="124"/>
      <c r="W92" s="124"/>
      <c r="Y92" s="124"/>
      <c r="AA92" s="415"/>
      <c r="AB92" s="415"/>
    </row>
    <row r="93" spans="1:28" s="4" customFormat="1">
      <c r="A93" s="256"/>
      <c r="B93" s="250"/>
      <c r="H93" s="258"/>
      <c r="K93" s="124"/>
      <c r="N93" s="124"/>
      <c r="O93" s="124"/>
      <c r="P93" s="124"/>
      <c r="Q93" s="124"/>
      <c r="R93" s="124"/>
      <c r="S93" s="124"/>
      <c r="T93" s="124"/>
      <c r="W93" s="124"/>
      <c r="Y93" s="124"/>
      <c r="AA93" s="415"/>
      <c r="AB93" s="415"/>
    </row>
    <row r="94" spans="1:28" s="4" customFormat="1">
      <c r="A94" s="259"/>
      <c r="B94" s="250"/>
      <c r="H94" s="258"/>
      <c r="K94" s="124"/>
      <c r="N94" s="124"/>
      <c r="O94" s="124"/>
      <c r="P94" s="124"/>
      <c r="Q94" s="124"/>
      <c r="R94" s="124"/>
      <c r="S94" s="124"/>
      <c r="T94" s="124"/>
      <c r="W94" s="124"/>
      <c r="Y94" s="124"/>
      <c r="AA94" s="415"/>
      <c r="AB94" s="415"/>
    </row>
    <row r="95" spans="1:28" s="4" customFormat="1">
      <c r="A95" s="259"/>
      <c r="B95" s="250"/>
      <c r="H95" s="258"/>
      <c r="K95" s="124"/>
      <c r="N95" s="124"/>
      <c r="O95" s="124"/>
      <c r="P95" s="124"/>
      <c r="Q95" s="124"/>
      <c r="R95" s="124"/>
      <c r="S95" s="124"/>
      <c r="T95" s="124"/>
      <c r="W95" s="124"/>
      <c r="Y95" s="124"/>
      <c r="AA95" s="415"/>
      <c r="AB95" s="415"/>
    </row>
    <row r="96" spans="1:28" s="4" customFormat="1">
      <c r="A96" s="259"/>
      <c r="B96" s="250"/>
      <c r="H96" s="258"/>
      <c r="K96" s="124"/>
      <c r="N96" s="124"/>
      <c r="O96" s="124"/>
      <c r="P96" s="124"/>
      <c r="Q96" s="124"/>
      <c r="R96" s="124"/>
      <c r="S96" s="124"/>
      <c r="T96" s="124"/>
      <c r="W96" s="124"/>
      <c r="Y96" s="124"/>
      <c r="AA96" s="415"/>
      <c r="AB96" s="415"/>
    </row>
    <row r="97" spans="1:28" s="4" customFormat="1">
      <c r="A97" s="259"/>
      <c r="B97" s="250"/>
      <c r="H97" s="258"/>
      <c r="K97" s="124"/>
      <c r="N97" s="124"/>
      <c r="O97" s="124"/>
      <c r="P97" s="124"/>
      <c r="Q97" s="124"/>
      <c r="R97" s="124"/>
      <c r="S97" s="124"/>
      <c r="T97" s="124"/>
      <c r="W97" s="124"/>
      <c r="Y97" s="124"/>
      <c r="AA97" s="415"/>
      <c r="AB97" s="415"/>
    </row>
    <row r="98" spans="1:28" s="4" customFormat="1">
      <c r="A98" s="259"/>
      <c r="B98" s="250"/>
      <c r="H98" s="258"/>
      <c r="K98" s="124"/>
      <c r="N98" s="124"/>
      <c r="O98" s="124"/>
      <c r="P98" s="124"/>
      <c r="Q98" s="124"/>
      <c r="R98" s="124"/>
      <c r="S98" s="124"/>
      <c r="T98" s="124"/>
      <c r="W98" s="124"/>
      <c r="Y98" s="124"/>
      <c r="AA98" s="415"/>
      <c r="AB98" s="415"/>
    </row>
    <row r="99" spans="1:28" s="4" customFormat="1">
      <c r="A99" s="259"/>
      <c r="B99" s="250"/>
      <c r="H99" s="258"/>
      <c r="K99" s="124"/>
      <c r="N99" s="124"/>
      <c r="O99" s="124"/>
      <c r="P99" s="124"/>
      <c r="Q99" s="124"/>
      <c r="R99" s="124"/>
      <c r="S99" s="124"/>
      <c r="T99" s="124"/>
      <c r="W99" s="124"/>
      <c r="Y99" s="124"/>
      <c r="AA99" s="415"/>
      <c r="AB99" s="415"/>
    </row>
    <row r="100" spans="1:28" s="4" customFormat="1">
      <c r="A100" s="259"/>
      <c r="B100" s="250"/>
      <c r="H100" s="258"/>
      <c r="K100" s="124"/>
      <c r="N100" s="124"/>
      <c r="O100" s="124"/>
      <c r="P100" s="124"/>
      <c r="Q100" s="124"/>
      <c r="R100" s="124"/>
      <c r="S100" s="124"/>
      <c r="T100" s="124"/>
      <c r="W100" s="124"/>
      <c r="Y100" s="124"/>
      <c r="AA100" s="415"/>
      <c r="AB100" s="415"/>
    </row>
    <row r="101" spans="1:28" s="4" customFormat="1">
      <c r="A101" s="259"/>
      <c r="B101" s="250"/>
      <c r="H101" s="258"/>
      <c r="K101" s="124"/>
      <c r="N101" s="124"/>
      <c r="O101" s="124"/>
      <c r="P101" s="124"/>
      <c r="Q101" s="124"/>
      <c r="R101" s="124"/>
      <c r="S101" s="124"/>
      <c r="T101" s="124"/>
      <c r="W101" s="124"/>
      <c r="Y101" s="124"/>
      <c r="AA101" s="415"/>
      <c r="AB101" s="415"/>
    </row>
    <row r="102" spans="1:28" s="4" customFormat="1">
      <c r="A102" s="259"/>
      <c r="B102" s="250"/>
      <c r="H102" s="258"/>
      <c r="K102" s="124"/>
      <c r="N102" s="124"/>
      <c r="O102" s="124"/>
      <c r="P102" s="124"/>
      <c r="Q102" s="124"/>
      <c r="R102" s="124"/>
      <c r="S102" s="124"/>
      <c r="T102" s="124"/>
      <c r="W102" s="124"/>
      <c r="Y102" s="124"/>
      <c r="AA102" s="415"/>
      <c r="AB102" s="415"/>
    </row>
    <row r="103" spans="1:28" s="4" customFormat="1">
      <c r="A103" s="259"/>
      <c r="B103" s="250"/>
      <c r="H103" s="258"/>
      <c r="K103" s="124"/>
      <c r="N103" s="124"/>
      <c r="O103" s="124"/>
      <c r="P103" s="124"/>
      <c r="Q103" s="124"/>
      <c r="R103" s="124"/>
      <c r="S103" s="124"/>
      <c r="T103" s="124"/>
      <c r="W103" s="124"/>
      <c r="Y103" s="124"/>
      <c r="AA103" s="415"/>
      <c r="AB103" s="415"/>
    </row>
    <row r="104" spans="1:28" s="4" customFormat="1">
      <c r="A104" s="259"/>
      <c r="B104" s="250"/>
      <c r="H104" s="258"/>
      <c r="K104" s="124"/>
      <c r="N104" s="124"/>
      <c r="O104" s="124"/>
      <c r="P104" s="124"/>
      <c r="Q104" s="124"/>
      <c r="R104" s="124"/>
      <c r="S104" s="124"/>
      <c r="T104" s="124"/>
      <c r="W104" s="124"/>
      <c r="Y104" s="124"/>
      <c r="AA104" s="415"/>
      <c r="AB104" s="415"/>
    </row>
    <row r="105" spans="1:28" s="4" customFormat="1">
      <c r="A105" s="259"/>
      <c r="B105" s="250"/>
      <c r="H105" s="258"/>
      <c r="K105" s="124"/>
      <c r="N105" s="124"/>
      <c r="O105" s="124"/>
      <c r="P105" s="124"/>
      <c r="Q105" s="124"/>
      <c r="R105" s="124"/>
      <c r="S105" s="124"/>
      <c r="T105" s="124"/>
      <c r="W105" s="124"/>
      <c r="Y105" s="124"/>
      <c r="AA105" s="415"/>
      <c r="AB105" s="415"/>
    </row>
    <row r="106" spans="1:28" s="4" customFormat="1">
      <c r="A106" s="259"/>
      <c r="B106" s="250"/>
      <c r="H106" s="258"/>
      <c r="K106" s="124"/>
      <c r="N106" s="124"/>
      <c r="O106" s="124"/>
      <c r="P106" s="124"/>
      <c r="Q106" s="124"/>
      <c r="R106" s="124"/>
      <c r="S106" s="124"/>
      <c r="T106" s="124"/>
      <c r="W106" s="124"/>
      <c r="Y106" s="124"/>
      <c r="AA106" s="415"/>
      <c r="AB106" s="415"/>
    </row>
    <row r="107" spans="1:28" s="4" customFormat="1">
      <c r="A107" s="256"/>
      <c r="B107" s="250"/>
      <c r="H107" s="258"/>
      <c r="K107" s="124"/>
      <c r="N107" s="124"/>
      <c r="O107" s="124"/>
      <c r="P107" s="124"/>
      <c r="Q107" s="124"/>
      <c r="R107" s="124"/>
      <c r="S107" s="124"/>
      <c r="T107" s="124"/>
      <c r="W107" s="124"/>
      <c r="Y107" s="124"/>
      <c r="AA107" s="415"/>
      <c r="AB107" s="415"/>
    </row>
    <row r="108" spans="1:28" s="4" customFormat="1">
      <c r="A108" s="259"/>
      <c r="B108" s="250"/>
      <c r="H108" s="258"/>
      <c r="K108" s="124"/>
      <c r="N108" s="124"/>
      <c r="O108" s="124"/>
      <c r="P108" s="124"/>
      <c r="Q108" s="124"/>
      <c r="R108" s="124"/>
      <c r="S108" s="124"/>
      <c r="T108" s="124"/>
      <c r="W108" s="124"/>
      <c r="Y108" s="124"/>
      <c r="AA108" s="415"/>
      <c r="AB108" s="415"/>
    </row>
    <row r="109" spans="1:28" s="4" customFormat="1">
      <c r="A109" s="259"/>
      <c r="B109" s="250"/>
      <c r="H109" s="258"/>
      <c r="K109" s="124"/>
      <c r="N109" s="124"/>
      <c r="O109" s="124"/>
      <c r="P109" s="124"/>
      <c r="Q109" s="124"/>
      <c r="R109" s="124"/>
      <c r="S109" s="124"/>
      <c r="T109" s="124"/>
      <c r="W109" s="124"/>
      <c r="Y109" s="124"/>
      <c r="AA109" s="415"/>
      <c r="AB109" s="415"/>
    </row>
    <row r="110" spans="1:28" s="4" customFormat="1">
      <c r="A110" s="259"/>
      <c r="B110" s="250"/>
      <c r="H110" s="258"/>
      <c r="K110" s="124"/>
      <c r="N110" s="124"/>
      <c r="O110" s="124"/>
      <c r="P110" s="124"/>
      <c r="Q110" s="124"/>
      <c r="R110" s="124"/>
      <c r="S110" s="124"/>
      <c r="T110" s="124"/>
      <c r="W110" s="124"/>
      <c r="Y110" s="124"/>
      <c r="AA110" s="415"/>
      <c r="AB110" s="415"/>
    </row>
    <row r="111" spans="1:28" s="4" customFormat="1">
      <c r="B111" s="250"/>
      <c r="H111" s="82"/>
      <c r="I111" s="55"/>
      <c r="J111" s="55"/>
      <c r="K111" s="245"/>
      <c r="L111" s="55"/>
      <c r="M111" s="55"/>
      <c r="N111" s="245"/>
      <c r="O111" s="245"/>
      <c r="P111" s="245"/>
      <c r="Q111" s="245"/>
      <c r="R111" s="245"/>
      <c r="S111" s="245"/>
      <c r="T111" s="245"/>
      <c r="U111" s="55"/>
      <c r="V111" s="55"/>
      <c r="W111" s="245"/>
      <c r="X111" s="55"/>
      <c r="Y111" s="245"/>
      <c r="Z111" s="55"/>
      <c r="AA111" s="249"/>
      <c r="AB111" s="415"/>
    </row>
    <row r="112" spans="1:28" s="4" customFormat="1">
      <c r="B112" s="250"/>
      <c r="I112" s="55"/>
      <c r="J112" s="55"/>
      <c r="K112" s="245"/>
      <c r="L112" s="55"/>
      <c r="M112" s="55"/>
      <c r="N112" s="245"/>
      <c r="O112" s="245"/>
      <c r="P112" s="245"/>
      <c r="Q112" s="245"/>
      <c r="R112" s="245"/>
      <c r="S112" s="245"/>
      <c r="T112" s="245"/>
      <c r="U112" s="55"/>
      <c r="V112" s="55"/>
      <c r="W112" s="245"/>
      <c r="X112" s="55"/>
      <c r="Y112" s="245"/>
      <c r="Z112" s="55"/>
      <c r="AA112" s="249"/>
      <c r="AB112" s="415"/>
    </row>
    <row r="113" spans="1:28" s="4" customFormat="1">
      <c r="A113" s="124"/>
      <c r="B113" s="250"/>
      <c r="F113" s="124"/>
      <c r="I113" s="55"/>
      <c r="J113" s="55"/>
      <c r="K113" s="245"/>
      <c r="L113" s="55"/>
      <c r="M113" s="55"/>
      <c r="N113" s="245"/>
      <c r="O113" s="245"/>
      <c r="P113" s="245"/>
      <c r="Q113" s="245"/>
      <c r="R113" s="245"/>
      <c r="S113" s="245"/>
      <c r="T113" s="245"/>
      <c r="U113" s="55"/>
      <c r="V113" s="55"/>
      <c r="W113" s="245"/>
      <c r="X113" s="55"/>
      <c r="Y113" s="245"/>
      <c r="Z113" s="55"/>
      <c r="AA113" s="249"/>
      <c r="AB113" s="415"/>
    </row>
    <row r="114" spans="1:28" s="4" customFormat="1">
      <c r="B114" s="250"/>
      <c r="I114" s="55"/>
      <c r="J114" s="55"/>
      <c r="K114" s="245"/>
      <c r="L114" s="55"/>
      <c r="M114" s="55"/>
      <c r="N114" s="245"/>
      <c r="O114" s="245"/>
      <c r="P114" s="245"/>
      <c r="Q114" s="245"/>
      <c r="R114" s="245"/>
      <c r="S114" s="245"/>
      <c r="T114" s="245"/>
      <c r="U114" s="55"/>
      <c r="V114" s="55"/>
      <c r="W114" s="245"/>
      <c r="X114" s="55"/>
      <c r="Y114" s="245"/>
      <c r="Z114" s="55"/>
      <c r="AA114" s="249"/>
      <c r="AB114" s="415"/>
    </row>
    <row r="115" spans="1:28" s="4" customFormat="1">
      <c r="B115" s="250"/>
      <c r="I115" s="55"/>
      <c r="J115" s="55"/>
      <c r="K115" s="245"/>
      <c r="L115" s="55"/>
      <c r="M115" s="55"/>
      <c r="N115" s="245"/>
      <c r="O115" s="245"/>
      <c r="P115" s="245"/>
      <c r="Q115" s="245"/>
      <c r="R115" s="245"/>
      <c r="S115" s="245"/>
      <c r="T115" s="245"/>
      <c r="U115" s="55"/>
      <c r="V115" s="55"/>
      <c r="W115" s="245"/>
      <c r="X115" s="55"/>
      <c r="Y115" s="245"/>
      <c r="Z115" s="55"/>
      <c r="AA115" s="249"/>
      <c r="AB115" s="415"/>
    </row>
    <row r="116" spans="1:28" s="4" customFormat="1">
      <c r="B116" s="250"/>
      <c r="I116" s="55"/>
      <c r="J116" s="55"/>
      <c r="K116" s="245"/>
      <c r="L116" s="55"/>
      <c r="M116" s="55"/>
      <c r="N116" s="245"/>
      <c r="O116" s="245"/>
      <c r="P116" s="245"/>
      <c r="Q116" s="245"/>
      <c r="R116" s="245"/>
      <c r="S116" s="245"/>
      <c r="T116" s="245"/>
      <c r="U116" s="55"/>
      <c r="V116" s="55"/>
      <c r="W116" s="245"/>
      <c r="X116" s="55"/>
      <c r="Y116" s="245"/>
      <c r="Z116" s="55"/>
      <c r="AA116" s="249"/>
      <c r="AB116" s="415"/>
    </row>
    <row r="117" spans="1:28" s="4" customFormat="1">
      <c r="A117" s="55"/>
      <c r="B117" s="55"/>
      <c r="C117" s="55"/>
      <c r="D117" s="55"/>
      <c r="E117" s="55"/>
      <c r="F117" s="55"/>
      <c r="G117" s="55"/>
      <c r="H117" s="55"/>
      <c r="I117" s="55"/>
      <c r="J117" s="55"/>
      <c r="K117" s="245"/>
      <c r="L117" s="55"/>
      <c r="M117" s="55"/>
      <c r="N117" s="245"/>
      <c r="O117" s="245"/>
      <c r="P117" s="245"/>
      <c r="Q117" s="245"/>
      <c r="R117" s="245"/>
      <c r="S117" s="245"/>
      <c r="T117" s="245"/>
      <c r="U117" s="55"/>
      <c r="V117" s="55"/>
      <c r="W117" s="245"/>
      <c r="X117" s="55"/>
      <c r="Y117" s="245"/>
      <c r="Z117" s="55"/>
      <c r="AA117" s="249"/>
      <c r="AB117" s="415"/>
    </row>
    <row r="118" spans="1:28" s="4" customFormat="1">
      <c r="A118" s="55"/>
      <c r="B118" s="55"/>
      <c r="C118" s="55"/>
      <c r="D118" s="55"/>
      <c r="E118" s="55"/>
      <c r="F118" s="55"/>
      <c r="G118" s="55"/>
      <c r="H118" s="55"/>
      <c r="I118" s="55"/>
      <c r="J118" s="55"/>
      <c r="K118" s="245"/>
      <c r="L118" s="55"/>
      <c r="M118" s="55"/>
      <c r="N118" s="245"/>
      <c r="O118" s="245"/>
      <c r="P118" s="245"/>
      <c r="Q118" s="245"/>
      <c r="R118" s="245"/>
      <c r="S118" s="245"/>
      <c r="T118" s="245"/>
      <c r="U118" s="55"/>
      <c r="V118" s="55"/>
      <c r="W118" s="245"/>
      <c r="X118" s="55"/>
      <c r="Y118" s="245"/>
      <c r="Z118" s="55"/>
      <c r="AA118" s="249"/>
      <c r="AB118" s="415"/>
    </row>
    <row r="119" spans="1:28" s="4" customFormat="1">
      <c r="A119" s="243"/>
      <c r="B119" s="243"/>
      <c r="C119" s="243"/>
      <c r="D119" s="243"/>
      <c r="E119" s="243"/>
      <c r="F119" s="243"/>
      <c r="G119" s="243"/>
      <c r="H119" s="243"/>
      <c r="I119" s="243"/>
      <c r="J119" s="243"/>
      <c r="K119" s="243"/>
      <c r="L119" s="243"/>
      <c r="M119" s="243"/>
      <c r="N119" s="243"/>
      <c r="O119" s="243"/>
      <c r="P119" s="243"/>
      <c r="Q119" s="243"/>
      <c r="R119" s="243"/>
      <c r="S119" s="243"/>
      <c r="T119" s="243"/>
      <c r="U119" s="243"/>
      <c r="V119" s="243"/>
      <c r="W119" s="243"/>
      <c r="X119" s="243"/>
      <c r="Y119" s="243"/>
      <c r="Z119" s="243"/>
      <c r="AA119" s="246"/>
      <c r="AB119" s="415"/>
    </row>
    <row r="120" spans="1:28" s="4" customFormat="1">
      <c r="A120" s="243"/>
      <c r="B120" s="243"/>
      <c r="C120" s="243"/>
      <c r="D120" s="243"/>
      <c r="E120" s="243"/>
      <c r="F120" s="243"/>
      <c r="G120" s="243"/>
      <c r="H120" s="243"/>
      <c r="I120" s="243"/>
      <c r="J120" s="243"/>
      <c r="K120" s="243"/>
      <c r="L120" s="243"/>
      <c r="M120" s="243"/>
      <c r="N120" s="243"/>
      <c r="O120" s="243"/>
      <c r="P120" s="243"/>
      <c r="Q120" s="243"/>
      <c r="R120" s="243"/>
      <c r="S120" s="243"/>
      <c r="T120" s="243"/>
      <c r="U120" s="243"/>
      <c r="V120" s="243"/>
      <c r="W120" s="243"/>
      <c r="X120" s="243"/>
      <c r="Y120" s="243"/>
      <c r="Z120" s="243"/>
      <c r="AA120" s="246"/>
      <c r="AB120" s="415"/>
    </row>
    <row r="121" spans="1:28" s="4" customFormat="1">
      <c r="A121" s="243"/>
      <c r="B121" s="243"/>
      <c r="C121" s="243"/>
      <c r="D121" s="243"/>
      <c r="E121" s="243"/>
      <c r="F121" s="243"/>
      <c r="G121" s="243"/>
      <c r="H121" s="243"/>
      <c r="I121" s="243"/>
      <c r="J121" s="243"/>
      <c r="K121" s="243"/>
      <c r="L121" s="243"/>
      <c r="M121" s="243"/>
      <c r="N121" s="243"/>
      <c r="O121" s="243"/>
      <c r="P121" s="243"/>
      <c r="Q121" s="243"/>
      <c r="R121" s="243"/>
      <c r="S121" s="243"/>
      <c r="T121" s="243"/>
      <c r="U121" s="243"/>
      <c r="V121" s="243"/>
      <c r="W121" s="243"/>
      <c r="X121" s="243"/>
      <c r="Y121" s="243"/>
      <c r="Z121" s="243"/>
      <c r="AA121" s="246"/>
      <c r="AB121" s="415"/>
    </row>
    <row r="122" spans="1:28" s="4" customFormat="1">
      <c r="A122" s="243"/>
      <c r="B122" s="243"/>
      <c r="C122" s="243"/>
      <c r="D122" s="243"/>
      <c r="E122" s="243"/>
      <c r="F122" s="243"/>
      <c r="G122" s="243"/>
      <c r="H122" s="243"/>
      <c r="I122" s="243"/>
      <c r="J122" s="243"/>
      <c r="K122" s="243"/>
      <c r="L122" s="243"/>
      <c r="M122" s="243"/>
      <c r="N122" s="243"/>
      <c r="O122" s="243"/>
      <c r="P122" s="243"/>
      <c r="Q122" s="243"/>
      <c r="R122" s="243"/>
      <c r="S122" s="243"/>
      <c r="T122" s="243"/>
      <c r="U122" s="243"/>
      <c r="V122" s="243"/>
      <c r="W122" s="243"/>
      <c r="X122" s="243"/>
      <c r="Y122" s="243"/>
      <c r="Z122" s="243"/>
      <c r="AA122" s="246"/>
      <c r="AB122" s="415"/>
    </row>
    <row r="123" spans="1:28" s="4" customFormat="1">
      <c r="A123" s="243"/>
      <c r="B123" s="243"/>
      <c r="C123" s="243"/>
      <c r="D123" s="243"/>
      <c r="E123" s="243"/>
      <c r="F123" s="243"/>
      <c r="G123" s="243"/>
      <c r="H123" s="243"/>
      <c r="I123" s="243"/>
      <c r="J123" s="243"/>
      <c r="K123" s="243"/>
      <c r="L123" s="243"/>
      <c r="M123" s="243"/>
      <c r="N123" s="243"/>
      <c r="O123" s="243"/>
      <c r="P123" s="243"/>
      <c r="Q123" s="243"/>
      <c r="R123" s="243"/>
      <c r="S123" s="243"/>
      <c r="T123" s="243"/>
      <c r="U123" s="243"/>
      <c r="V123" s="243"/>
      <c r="W123" s="243"/>
      <c r="X123" s="243"/>
      <c r="Y123" s="243"/>
      <c r="Z123" s="243"/>
      <c r="AA123" s="246"/>
      <c r="AB123" s="415"/>
    </row>
    <row r="124" spans="1:28" s="4" customFormat="1">
      <c r="A124" s="243"/>
      <c r="B124" s="243"/>
      <c r="C124" s="243"/>
      <c r="D124" s="243"/>
      <c r="E124" s="243"/>
      <c r="F124" s="243"/>
      <c r="G124" s="243"/>
      <c r="H124" s="243"/>
      <c r="I124" s="243"/>
      <c r="J124" s="243"/>
      <c r="K124" s="243"/>
      <c r="L124" s="243"/>
      <c r="M124" s="243"/>
      <c r="N124" s="243"/>
      <c r="O124" s="243"/>
      <c r="P124" s="243"/>
      <c r="Q124" s="243"/>
      <c r="R124" s="243"/>
      <c r="S124" s="243"/>
      <c r="T124" s="243"/>
      <c r="U124" s="243"/>
      <c r="V124" s="243"/>
      <c r="W124" s="243"/>
      <c r="X124" s="243"/>
      <c r="Y124" s="243"/>
      <c r="Z124" s="243"/>
      <c r="AA124" s="246"/>
      <c r="AB124" s="415"/>
    </row>
    <row r="125" spans="1:28" s="4" customFormat="1">
      <c r="A125" s="243"/>
      <c r="B125" s="243"/>
      <c r="C125" s="243"/>
      <c r="D125" s="243"/>
      <c r="E125" s="243"/>
      <c r="F125" s="243"/>
      <c r="G125" s="243"/>
      <c r="H125" s="243"/>
      <c r="I125" s="243"/>
      <c r="J125" s="243"/>
      <c r="K125" s="243"/>
      <c r="L125" s="243"/>
      <c r="M125" s="243"/>
      <c r="N125" s="243"/>
      <c r="O125" s="243"/>
      <c r="P125" s="243"/>
      <c r="Q125" s="243"/>
      <c r="R125" s="243"/>
      <c r="S125" s="243"/>
      <c r="T125" s="243"/>
      <c r="U125" s="243"/>
      <c r="V125" s="243"/>
      <c r="W125" s="243"/>
      <c r="X125" s="243"/>
      <c r="Y125" s="243"/>
      <c r="Z125" s="243"/>
      <c r="AA125" s="246"/>
      <c r="AB125" s="415"/>
    </row>
    <row r="126" spans="1:28" s="4" customFormat="1">
      <c r="A126" s="243"/>
      <c r="B126" s="243"/>
      <c r="C126" s="243"/>
      <c r="D126" s="243"/>
      <c r="E126" s="243"/>
      <c r="F126" s="243"/>
      <c r="G126" s="243"/>
      <c r="H126" s="243"/>
      <c r="I126" s="243"/>
      <c r="J126" s="243"/>
      <c r="K126" s="243"/>
      <c r="L126" s="243"/>
      <c r="M126" s="243"/>
      <c r="N126" s="243"/>
      <c r="O126" s="243"/>
      <c r="P126" s="243"/>
      <c r="Q126" s="243"/>
      <c r="R126" s="243"/>
      <c r="S126" s="243"/>
      <c r="T126" s="243"/>
      <c r="U126" s="243"/>
      <c r="V126" s="243"/>
      <c r="W126" s="243"/>
      <c r="X126" s="243"/>
      <c r="Y126" s="243"/>
      <c r="Z126" s="243"/>
      <c r="AA126" s="246"/>
      <c r="AB126" s="415"/>
    </row>
    <row r="127" spans="1:28" s="4" customFormat="1">
      <c r="A127" s="243"/>
      <c r="B127" s="243"/>
      <c r="C127" s="243"/>
      <c r="D127" s="243"/>
      <c r="E127" s="243"/>
      <c r="F127" s="243"/>
      <c r="G127" s="243"/>
      <c r="H127" s="243"/>
      <c r="I127" s="243"/>
      <c r="J127" s="243"/>
      <c r="K127" s="243"/>
      <c r="L127" s="243"/>
      <c r="M127" s="243"/>
      <c r="N127" s="243"/>
      <c r="O127" s="243"/>
      <c r="P127" s="243"/>
      <c r="Q127" s="243"/>
      <c r="R127" s="243"/>
      <c r="S127" s="243"/>
      <c r="T127" s="243"/>
      <c r="U127" s="243"/>
      <c r="V127" s="243"/>
      <c r="W127" s="243"/>
      <c r="X127" s="243"/>
      <c r="Y127" s="243"/>
      <c r="Z127" s="243"/>
      <c r="AA127" s="246"/>
      <c r="AB127" s="415"/>
    </row>
    <row r="128" spans="1:28" s="4" customFormat="1">
      <c r="A128" s="243"/>
      <c r="B128" s="243"/>
      <c r="C128" s="243"/>
      <c r="D128" s="243"/>
      <c r="E128" s="243"/>
      <c r="F128" s="243"/>
      <c r="G128" s="243"/>
      <c r="H128" s="243"/>
      <c r="I128" s="243"/>
      <c r="J128" s="243"/>
      <c r="K128" s="243"/>
      <c r="L128" s="243"/>
      <c r="M128" s="243"/>
      <c r="N128" s="243"/>
      <c r="O128" s="243"/>
      <c r="P128" s="243"/>
      <c r="Q128" s="243"/>
      <c r="R128" s="243"/>
      <c r="S128" s="243"/>
      <c r="T128" s="243"/>
      <c r="U128" s="243"/>
      <c r="V128" s="243"/>
      <c r="W128" s="243"/>
      <c r="X128" s="243"/>
      <c r="Y128" s="243"/>
      <c r="Z128" s="243"/>
      <c r="AA128" s="246"/>
      <c r="AB128" s="415"/>
    </row>
    <row r="129" spans="1:28" s="4" customFormat="1">
      <c r="A129" s="243"/>
      <c r="B129" s="243"/>
      <c r="C129" s="243"/>
      <c r="D129" s="243"/>
      <c r="E129" s="243"/>
      <c r="F129" s="243"/>
      <c r="G129" s="243"/>
      <c r="H129" s="243"/>
      <c r="I129" s="243"/>
      <c r="J129" s="243"/>
      <c r="K129" s="243"/>
      <c r="L129" s="243"/>
      <c r="M129" s="243"/>
      <c r="N129" s="243"/>
      <c r="O129" s="243"/>
      <c r="P129" s="243"/>
      <c r="Q129" s="243"/>
      <c r="R129" s="243"/>
      <c r="S129" s="243"/>
      <c r="T129" s="243"/>
      <c r="U129" s="243"/>
      <c r="V129" s="243"/>
      <c r="W129" s="243"/>
      <c r="X129" s="243"/>
      <c r="Y129" s="243"/>
      <c r="Z129" s="243"/>
      <c r="AA129" s="246"/>
      <c r="AB129" s="415"/>
    </row>
    <row r="130" spans="1:28" s="4" customFormat="1">
      <c r="A130" s="243"/>
      <c r="B130" s="243"/>
      <c r="C130" s="243"/>
      <c r="D130" s="243"/>
      <c r="E130" s="243"/>
      <c r="F130" s="243"/>
      <c r="G130" s="243"/>
      <c r="H130" s="243"/>
      <c r="I130" s="243"/>
      <c r="J130" s="243"/>
      <c r="K130" s="243"/>
      <c r="L130" s="243"/>
      <c r="M130" s="243"/>
      <c r="N130" s="243"/>
      <c r="O130" s="243"/>
      <c r="P130" s="243"/>
      <c r="Q130" s="243"/>
      <c r="R130" s="243"/>
      <c r="S130" s="243"/>
      <c r="T130" s="243"/>
      <c r="U130" s="243"/>
      <c r="V130" s="243"/>
      <c r="W130" s="243"/>
      <c r="X130" s="243"/>
      <c r="Y130" s="243"/>
      <c r="Z130" s="243"/>
      <c r="AA130" s="246"/>
      <c r="AB130" s="415"/>
    </row>
    <row r="131" spans="1:28" s="4" customFormat="1">
      <c r="A131" s="243"/>
      <c r="B131" s="243"/>
      <c r="C131" s="243"/>
      <c r="D131" s="243"/>
      <c r="E131" s="243"/>
      <c r="F131" s="243"/>
      <c r="G131" s="243"/>
      <c r="H131" s="243"/>
      <c r="I131" s="243"/>
      <c r="J131" s="243"/>
      <c r="K131" s="243"/>
      <c r="L131" s="243"/>
      <c r="M131" s="243"/>
      <c r="N131" s="243"/>
      <c r="O131" s="243"/>
      <c r="P131" s="243"/>
      <c r="Q131" s="243"/>
      <c r="R131" s="243"/>
      <c r="S131" s="243"/>
      <c r="T131" s="243"/>
      <c r="U131" s="243"/>
      <c r="V131" s="243"/>
      <c r="W131" s="243"/>
      <c r="X131" s="243"/>
      <c r="Y131" s="243"/>
      <c r="Z131" s="243"/>
      <c r="AA131" s="246"/>
      <c r="AB131" s="415"/>
    </row>
    <row r="132" spans="1:28" s="4" customFormat="1">
      <c r="A132" s="243"/>
      <c r="B132" s="243"/>
      <c r="C132" s="243"/>
      <c r="D132" s="243"/>
      <c r="E132" s="243"/>
      <c r="F132" s="243"/>
      <c r="G132" s="243"/>
      <c r="H132" s="243"/>
      <c r="I132" s="243"/>
      <c r="J132" s="243"/>
      <c r="K132" s="243"/>
      <c r="L132" s="243"/>
      <c r="M132" s="243"/>
      <c r="N132" s="243"/>
      <c r="O132" s="243"/>
      <c r="P132" s="243"/>
      <c r="Q132" s="243"/>
      <c r="R132" s="243"/>
      <c r="S132" s="243"/>
      <c r="T132" s="243"/>
      <c r="U132" s="243"/>
      <c r="V132" s="243"/>
      <c r="W132" s="243"/>
      <c r="X132" s="243"/>
      <c r="Y132" s="243"/>
      <c r="Z132" s="243"/>
      <c r="AA132" s="246"/>
      <c r="AB132" s="415"/>
    </row>
    <row r="133" spans="1:28" s="4" customFormat="1">
      <c r="A133" s="243"/>
      <c r="B133" s="243"/>
      <c r="C133" s="243"/>
      <c r="D133" s="243"/>
      <c r="E133" s="243"/>
      <c r="F133" s="243"/>
      <c r="G133" s="243"/>
      <c r="H133" s="243"/>
      <c r="I133" s="243"/>
      <c r="J133" s="243"/>
      <c r="K133" s="243"/>
      <c r="L133" s="243"/>
      <c r="M133" s="243"/>
      <c r="N133" s="243"/>
      <c r="O133" s="243"/>
      <c r="P133" s="243"/>
      <c r="Q133" s="243"/>
      <c r="R133" s="243"/>
      <c r="S133" s="243"/>
      <c r="T133" s="243"/>
      <c r="U133" s="243"/>
      <c r="V133" s="243"/>
      <c r="W133" s="243"/>
      <c r="X133" s="243"/>
      <c r="Y133" s="243"/>
      <c r="Z133" s="243"/>
      <c r="AA133" s="246"/>
      <c r="AB133" s="415"/>
    </row>
    <row r="134" spans="1:28" s="4" customFormat="1">
      <c r="A134" s="243"/>
      <c r="B134" s="243"/>
      <c r="C134" s="243"/>
      <c r="D134" s="243"/>
      <c r="E134" s="243"/>
      <c r="F134" s="243"/>
      <c r="G134" s="243"/>
      <c r="H134" s="243"/>
      <c r="I134" s="243"/>
      <c r="J134" s="243"/>
      <c r="K134" s="243"/>
      <c r="L134" s="243"/>
      <c r="M134" s="243"/>
      <c r="N134" s="243"/>
      <c r="O134" s="243"/>
      <c r="P134" s="243"/>
      <c r="Q134" s="243"/>
      <c r="R134" s="243"/>
      <c r="S134" s="243"/>
      <c r="T134" s="243"/>
      <c r="U134" s="243"/>
      <c r="V134" s="243"/>
      <c r="W134" s="243"/>
      <c r="X134" s="243"/>
      <c r="Y134" s="243"/>
      <c r="Z134" s="243"/>
      <c r="AA134" s="246"/>
      <c r="AB134" s="415"/>
    </row>
    <row r="135" spans="1:28" s="4" customFormat="1">
      <c r="A135" s="243"/>
      <c r="B135" s="243"/>
      <c r="C135" s="243"/>
      <c r="D135" s="243"/>
      <c r="E135" s="243"/>
      <c r="F135" s="243"/>
      <c r="G135" s="243"/>
      <c r="H135" s="243"/>
      <c r="I135" s="243"/>
      <c r="J135" s="243"/>
      <c r="K135" s="243"/>
      <c r="L135" s="243"/>
      <c r="M135" s="243"/>
      <c r="N135" s="243"/>
      <c r="O135" s="243"/>
      <c r="P135" s="243"/>
      <c r="Q135" s="243"/>
      <c r="R135" s="243"/>
      <c r="S135" s="243"/>
      <c r="T135" s="243"/>
      <c r="U135" s="243"/>
      <c r="V135" s="243"/>
      <c r="W135" s="243"/>
      <c r="X135" s="243"/>
      <c r="Y135" s="243"/>
      <c r="Z135" s="243"/>
      <c r="AA135" s="246"/>
      <c r="AB135" s="415"/>
    </row>
    <row r="136" spans="1:28" s="4" customFormat="1">
      <c r="A136" s="243"/>
      <c r="B136" s="243"/>
      <c r="C136" s="243"/>
      <c r="D136" s="243"/>
      <c r="E136" s="243"/>
      <c r="F136" s="243"/>
      <c r="G136" s="243"/>
      <c r="H136" s="243"/>
      <c r="I136" s="243"/>
      <c r="J136" s="243"/>
      <c r="K136" s="243"/>
      <c r="L136" s="243"/>
      <c r="M136" s="243"/>
      <c r="N136" s="243"/>
      <c r="O136" s="243"/>
      <c r="P136" s="243"/>
      <c r="Q136" s="243"/>
      <c r="R136" s="243"/>
      <c r="S136" s="243"/>
      <c r="T136" s="243"/>
      <c r="U136" s="243"/>
      <c r="V136" s="243"/>
      <c r="W136" s="243"/>
      <c r="X136" s="243"/>
      <c r="Y136" s="243"/>
      <c r="Z136" s="243"/>
      <c r="AA136" s="246"/>
      <c r="AB136" s="415"/>
    </row>
    <row r="137" spans="1:28" s="4" customFormat="1">
      <c r="A137" s="243"/>
      <c r="B137" s="243"/>
      <c r="C137" s="243"/>
      <c r="D137" s="243"/>
      <c r="E137" s="243"/>
      <c r="F137" s="243"/>
      <c r="G137" s="243"/>
      <c r="H137" s="243"/>
      <c r="I137" s="243"/>
      <c r="J137" s="243"/>
      <c r="K137" s="243"/>
      <c r="L137" s="243"/>
      <c r="M137" s="243"/>
      <c r="N137" s="243"/>
      <c r="O137" s="243"/>
      <c r="P137" s="243"/>
      <c r="Q137" s="243"/>
      <c r="R137" s="243"/>
      <c r="S137" s="243"/>
      <c r="T137" s="243"/>
      <c r="U137" s="243"/>
      <c r="V137" s="243"/>
      <c r="W137" s="243"/>
      <c r="X137" s="243"/>
      <c r="Y137" s="243"/>
      <c r="Z137" s="243"/>
      <c r="AA137" s="246"/>
      <c r="AB137" s="415"/>
    </row>
    <row r="138" spans="1:28" s="4" customFormat="1">
      <c r="A138" s="243"/>
      <c r="B138" s="243"/>
      <c r="C138" s="243"/>
      <c r="D138" s="243"/>
      <c r="E138" s="243"/>
      <c r="F138" s="243"/>
      <c r="G138" s="243"/>
      <c r="H138" s="243"/>
      <c r="I138" s="243"/>
      <c r="J138" s="243"/>
      <c r="K138" s="243"/>
      <c r="L138" s="243"/>
      <c r="M138" s="243"/>
      <c r="N138" s="243"/>
      <c r="O138" s="243"/>
      <c r="P138" s="243"/>
      <c r="Q138" s="243"/>
      <c r="R138" s="243"/>
      <c r="S138" s="243"/>
      <c r="T138" s="243"/>
      <c r="U138" s="243"/>
      <c r="V138" s="243"/>
      <c r="W138" s="243"/>
      <c r="X138" s="243"/>
      <c r="Y138" s="243"/>
      <c r="Z138" s="243"/>
      <c r="AA138" s="246"/>
      <c r="AB138" s="415"/>
    </row>
    <row r="139" spans="1:28" s="4" customFormat="1">
      <c r="A139" s="243"/>
      <c r="B139" s="243"/>
      <c r="C139" s="243"/>
      <c r="D139" s="243"/>
      <c r="E139" s="243"/>
      <c r="F139" s="243"/>
      <c r="G139" s="243"/>
      <c r="H139" s="243"/>
      <c r="I139" s="243"/>
      <c r="J139" s="243"/>
      <c r="K139" s="243"/>
      <c r="L139" s="243"/>
      <c r="M139" s="243"/>
      <c r="N139" s="243"/>
      <c r="O139" s="243"/>
      <c r="P139" s="243"/>
      <c r="Q139" s="243"/>
      <c r="R139" s="243"/>
      <c r="S139" s="243"/>
      <c r="T139" s="243"/>
      <c r="U139" s="243"/>
      <c r="V139" s="243"/>
      <c r="W139" s="243"/>
      <c r="X139" s="243"/>
      <c r="Y139" s="243"/>
      <c r="Z139" s="243"/>
      <c r="AA139" s="246"/>
      <c r="AB139" s="415"/>
    </row>
    <row r="140" spans="1:28" s="4" customFormat="1">
      <c r="A140" s="243"/>
      <c r="B140" s="243"/>
      <c r="C140" s="243"/>
      <c r="D140" s="243"/>
      <c r="E140" s="243"/>
      <c r="F140" s="243"/>
      <c r="G140" s="243"/>
      <c r="H140" s="243"/>
      <c r="I140" s="243"/>
      <c r="J140" s="243"/>
      <c r="K140" s="243"/>
      <c r="L140" s="243"/>
      <c r="M140" s="243"/>
      <c r="N140" s="243"/>
      <c r="O140" s="243"/>
      <c r="P140" s="243"/>
      <c r="Q140" s="243"/>
      <c r="R140" s="243"/>
      <c r="S140" s="243"/>
      <c r="T140" s="243"/>
      <c r="U140" s="243"/>
      <c r="V140" s="243"/>
      <c r="W140" s="243"/>
      <c r="X140" s="243"/>
      <c r="Y140" s="243"/>
      <c r="Z140" s="243"/>
      <c r="AA140" s="246"/>
      <c r="AB140" s="415"/>
    </row>
    <row r="141" spans="1:28" s="4" customFormat="1">
      <c r="A141" s="243"/>
      <c r="B141" s="243"/>
      <c r="C141" s="243"/>
      <c r="D141" s="243"/>
      <c r="E141" s="243"/>
      <c r="F141" s="243"/>
      <c r="G141" s="243"/>
      <c r="H141" s="243"/>
      <c r="I141" s="243"/>
      <c r="J141" s="243"/>
      <c r="K141" s="243"/>
      <c r="L141" s="243"/>
      <c r="M141" s="243"/>
      <c r="N141" s="243"/>
      <c r="O141" s="243"/>
      <c r="P141" s="243"/>
      <c r="Q141" s="243"/>
      <c r="R141" s="243"/>
      <c r="S141" s="243"/>
      <c r="T141" s="243"/>
      <c r="U141" s="243"/>
      <c r="V141" s="243"/>
      <c r="W141" s="243"/>
      <c r="X141" s="243"/>
      <c r="Y141" s="243"/>
      <c r="Z141" s="243"/>
      <c r="AA141" s="246"/>
      <c r="AB141" s="415"/>
    </row>
    <row r="142" spans="1:28" s="4" customFormat="1">
      <c r="A142" s="243"/>
      <c r="B142" s="243"/>
      <c r="C142" s="243"/>
      <c r="D142" s="243"/>
      <c r="E142" s="243"/>
      <c r="F142" s="243"/>
      <c r="G142" s="243"/>
      <c r="H142" s="243"/>
      <c r="I142" s="243"/>
      <c r="J142" s="243"/>
      <c r="K142" s="243"/>
      <c r="L142" s="243"/>
      <c r="M142" s="243"/>
      <c r="N142" s="243"/>
      <c r="O142" s="243"/>
      <c r="P142" s="243"/>
      <c r="Q142" s="243"/>
      <c r="R142" s="243"/>
      <c r="S142" s="243"/>
      <c r="T142" s="243"/>
      <c r="U142" s="243"/>
      <c r="V142" s="243"/>
      <c r="W142" s="243"/>
      <c r="X142" s="243"/>
      <c r="Y142" s="243"/>
      <c r="Z142" s="243"/>
      <c r="AA142" s="246"/>
      <c r="AB142" s="415"/>
    </row>
    <row r="143" spans="1:28" s="4" customFormat="1">
      <c r="A143" s="243"/>
      <c r="B143" s="243"/>
      <c r="C143" s="243"/>
      <c r="D143" s="243"/>
      <c r="E143" s="243"/>
      <c r="F143" s="243"/>
      <c r="G143" s="243"/>
      <c r="H143" s="243"/>
      <c r="I143" s="243"/>
      <c r="J143" s="243"/>
      <c r="K143" s="243"/>
      <c r="L143" s="243"/>
      <c r="M143" s="243"/>
      <c r="N143" s="243"/>
      <c r="O143" s="243"/>
      <c r="P143" s="243"/>
      <c r="Q143" s="243"/>
      <c r="R143" s="243"/>
      <c r="S143" s="243"/>
      <c r="T143" s="243"/>
      <c r="U143" s="243"/>
      <c r="V143" s="243"/>
      <c r="W143" s="243"/>
      <c r="X143" s="243"/>
      <c r="Y143" s="243"/>
      <c r="Z143" s="243"/>
      <c r="AA143" s="246"/>
      <c r="AB143" s="415"/>
    </row>
    <row r="144" spans="1:28" s="4" customFormat="1">
      <c r="A144" s="243"/>
      <c r="B144" s="243"/>
      <c r="C144" s="243"/>
      <c r="D144" s="243"/>
      <c r="E144" s="243"/>
      <c r="F144" s="243"/>
      <c r="G144" s="243"/>
      <c r="H144" s="243"/>
      <c r="I144" s="243"/>
      <c r="J144" s="243"/>
      <c r="K144" s="243"/>
      <c r="L144" s="243"/>
      <c r="M144" s="243"/>
      <c r="N144" s="243"/>
      <c r="O144" s="243"/>
      <c r="P144" s="243"/>
      <c r="Q144" s="243"/>
      <c r="R144" s="243"/>
      <c r="S144" s="243"/>
      <c r="T144" s="243"/>
      <c r="U144" s="243"/>
      <c r="V144" s="243"/>
      <c r="W144" s="243"/>
      <c r="X144" s="243"/>
      <c r="Y144" s="243"/>
      <c r="Z144" s="243"/>
      <c r="AA144" s="246"/>
      <c r="AB144" s="415"/>
    </row>
    <row r="145" spans="1:28" s="4" customFormat="1">
      <c r="A145" s="243"/>
      <c r="B145" s="243"/>
      <c r="C145" s="243"/>
      <c r="D145" s="243"/>
      <c r="E145" s="243"/>
      <c r="F145" s="243"/>
      <c r="G145" s="243"/>
      <c r="H145" s="243"/>
      <c r="I145" s="243"/>
      <c r="J145" s="243"/>
      <c r="K145" s="243"/>
      <c r="L145" s="243"/>
      <c r="M145" s="243"/>
      <c r="N145" s="243"/>
      <c r="O145" s="243"/>
      <c r="P145" s="243"/>
      <c r="Q145" s="243"/>
      <c r="R145" s="243"/>
      <c r="S145" s="243"/>
      <c r="T145" s="243"/>
      <c r="U145" s="243"/>
      <c r="V145" s="243"/>
      <c r="W145" s="243"/>
      <c r="X145" s="243"/>
      <c r="Y145" s="243"/>
      <c r="Z145" s="243"/>
      <c r="AA145" s="246"/>
      <c r="AB145" s="415"/>
    </row>
    <row r="146" spans="1:28" s="4" customFormat="1">
      <c r="A146" s="243"/>
      <c r="B146" s="243"/>
      <c r="C146" s="243"/>
      <c r="D146" s="243"/>
      <c r="E146" s="243"/>
      <c r="F146" s="243"/>
      <c r="G146" s="243"/>
      <c r="H146" s="243"/>
      <c r="I146" s="243"/>
      <c r="J146" s="243"/>
      <c r="K146" s="243"/>
      <c r="L146" s="243"/>
      <c r="M146" s="243"/>
      <c r="N146" s="243"/>
      <c r="O146" s="243"/>
      <c r="P146" s="243"/>
      <c r="Q146" s="243"/>
      <c r="R146" s="243"/>
      <c r="S146" s="243"/>
      <c r="T146" s="243"/>
      <c r="U146" s="243"/>
      <c r="V146" s="243"/>
      <c r="W146" s="243"/>
      <c r="X146" s="243"/>
      <c r="Y146" s="243"/>
      <c r="Z146" s="243"/>
      <c r="AA146" s="246"/>
      <c r="AB146" s="415"/>
    </row>
    <row r="147" spans="1:28" s="4" customFormat="1">
      <c r="A147" s="243"/>
      <c r="B147" s="243"/>
      <c r="C147" s="243"/>
      <c r="D147" s="243"/>
      <c r="E147" s="243"/>
      <c r="F147" s="243"/>
      <c r="G147" s="243"/>
      <c r="H147" s="243"/>
      <c r="I147" s="243"/>
      <c r="J147" s="243"/>
      <c r="K147" s="243"/>
      <c r="L147" s="243"/>
      <c r="M147" s="243"/>
      <c r="N147" s="243"/>
      <c r="O147" s="243"/>
      <c r="P147" s="243"/>
      <c r="Q147" s="243"/>
      <c r="R147" s="243"/>
      <c r="S147" s="243"/>
      <c r="T147" s="243"/>
      <c r="U147" s="243"/>
      <c r="V147" s="243"/>
      <c r="W147" s="243"/>
      <c r="X147" s="243"/>
      <c r="Y147" s="243"/>
      <c r="Z147" s="243"/>
      <c r="AA147" s="246"/>
      <c r="AB147" s="415"/>
    </row>
    <row r="148" spans="1:28" s="4" customFormat="1">
      <c r="A148" s="243"/>
      <c r="B148" s="243"/>
      <c r="C148" s="243"/>
      <c r="D148" s="243"/>
      <c r="E148" s="243"/>
      <c r="F148" s="243"/>
      <c r="G148" s="243"/>
      <c r="H148" s="243"/>
      <c r="I148" s="243"/>
      <c r="J148" s="243"/>
      <c r="K148" s="243"/>
      <c r="L148" s="243"/>
      <c r="M148" s="243"/>
      <c r="N148" s="243"/>
      <c r="O148" s="243"/>
      <c r="P148" s="243"/>
      <c r="Q148" s="243"/>
      <c r="R148" s="243"/>
      <c r="S148" s="243"/>
      <c r="T148" s="243"/>
      <c r="U148" s="243"/>
      <c r="V148" s="243"/>
      <c r="W148" s="243"/>
      <c r="X148" s="243"/>
      <c r="Y148" s="243"/>
      <c r="Z148" s="243"/>
      <c r="AA148" s="246"/>
      <c r="AB148" s="415"/>
    </row>
    <row r="149" spans="1:28" s="4" customFormat="1">
      <c r="A149" s="243"/>
      <c r="B149" s="243"/>
      <c r="C149" s="243"/>
      <c r="D149" s="243"/>
      <c r="E149" s="243"/>
      <c r="F149" s="243"/>
      <c r="G149" s="243"/>
      <c r="H149" s="243"/>
      <c r="I149" s="243"/>
      <c r="J149" s="243"/>
      <c r="K149" s="243"/>
      <c r="L149" s="243"/>
      <c r="M149" s="243"/>
      <c r="N149" s="243"/>
      <c r="O149" s="243"/>
      <c r="P149" s="243"/>
      <c r="Q149" s="243"/>
      <c r="R149" s="243"/>
      <c r="S149" s="243"/>
      <c r="T149" s="243"/>
      <c r="U149" s="243"/>
      <c r="V149" s="243"/>
      <c r="W149" s="243"/>
      <c r="X149" s="243"/>
      <c r="Y149" s="243"/>
      <c r="Z149" s="243"/>
      <c r="AA149" s="246"/>
      <c r="AB149" s="415"/>
    </row>
    <row r="150" spans="1:28" s="4" customFormat="1">
      <c r="A150" s="243"/>
      <c r="B150" s="243"/>
      <c r="C150" s="243"/>
      <c r="D150" s="243"/>
      <c r="E150" s="243"/>
      <c r="F150" s="243"/>
      <c r="G150" s="243"/>
      <c r="H150" s="243"/>
      <c r="I150" s="243"/>
      <c r="J150" s="243"/>
      <c r="K150" s="243"/>
      <c r="L150" s="243"/>
      <c r="M150" s="243"/>
      <c r="N150" s="243"/>
      <c r="O150" s="243"/>
      <c r="P150" s="243"/>
      <c r="Q150" s="243"/>
      <c r="R150" s="243"/>
      <c r="S150" s="243"/>
      <c r="T150" s="243"/>
      <c r="U150" s="243"/>
      <c r="V150" s="243"/>
      <c r="W150" s="243"/>
      <c r="X150" s="243"/>
      <c r="Y150" s="243"/>
      <c r="Z150" s="243"/>
      <c r="AA150" s="246"/>
      <c r="AB150" s="415"/>
    </row>
    <row r="151" spans="1:28" s="4" customFormat="1">
      <c r="A151" s="243"/>
      <c r="B151" s="243"/>
      <c r="C151" s="243"/>
      <c r="D151" s="243"/>
      <c r="E151" s="243"/>
      <c r="F151" s="243"/>
      <c r="G151" s="243"/>
      <c r="H151" s="243"/>
      <c r="I151" s="243"/>
      <c r="J151" s="243"/>
      <c r="K151" s="243"/>
      <c r="L151" s="243"/>
      <c r="M151" s="243"/>
      <c r="N151" s="243"/>
      <c r="O151" s="243"/>
      <c r="P151" s="243"/>
      <c r="Q151" s="243"/>
      <c r="R151" s="243"/>
      <c r="S151" s="243"/>
      <c r="T151" s="243"/>
      <c r="U151" s="243"/>
      <c r="V151" s="243"/>
      <c r="W151" s="243"/>
      <c r="X151" s="243"/>
      <c r="Y151" s="243"/>
      <c r="Z151" s="243"/>
      <c r="AA151" s="246"/>
      <c r="AB151" s="415"/>
    </row>
    <row r="152" spans="1:28" s="4" customFormat="1">
      <c r="A152" s="243"/>
      <c r="B152" s="243"/>
      <c r="C152" s="243"/>
      <c r="D152" s="243"/>
      <c r="E152" s="243"/>
      <c r="F152" s="243"/>
      <c r="G152" s="243"/>
      <c r="H152" s="243"/>
      <c r="I152" s="243"/>
      <c r="J152" s="243"/>
      <c r="K152" s="243"/>
      <c r="L152" s="243"/>
      <c r="M152" s="243"/>
      <c r="N152" s="243"/>
      <c r="O152" s="243"/>
      <c r="P152" s="243"/>
      <c r="Q152" s="243"/>
      <c r="R152" s="243"/>
      <c r="S152" s="243"/>
      <c r="T152" s="243"/>
      <c r="U152" s="243"/>
      <c r="V152" s="243"/>
      <c r="W152" s="243"/>
      <c r="X152" s="243"/>
      <c r="Y152" s="243"/>
      <c r="Z152" s="243"/>
      <c r="AA152" s="246"/>
      <c r="AB152" s="415"/>
    </row>
    <row r="153" spans="1:28" s="4" customFormat="1">
      <c r="A153" s="243"/>
      <c r="B153" s="243"/>
      <c r="C153" s="243"/>
      <c r="D153" s="243"/>
      <c r="E153" s="243"/>
      <c r="F153" s="243"/>
      <c r="G153" s="243"/>
      <c r="H153" s="243"/>
      <c r="I153" s="243"/>
      <c r="J153" s="243"/>
      <c r="K153" s="243"/>
      <c r="L153" s="243"/>
      <c r="M153" s="243"/>
      <c r="N153" s="243"/>
      <c r="O153" s="243"/>
      <c r="P153" s="243"/>
      <c r="Q153" s="243"/>
      <c r="R153" s="243"/>
      <c r="S153" s="243"/>
      <c r="T153" s="243"/>
      <c r="U153" s="243"/>
      <c r="V153" s="243"/>
      <c r="W153" s="243"/>
      <c r="X153" s="243"/>
      <c r="Y153" s="243"/>
      <c r="Z153" s="243"/>
      <c r="AA153" s="246"/>
      <c r="AB153" s="415"/>
    </row>
    <row r="154" spans="1:28" s="4" customFormat="1">
      <c r="A154" s="243"/>
      <c r="B154" s="243"/>
      <c r="C154" s="243"/>
      <c r="D154" s="243"/>
      <c r="E154" s="243"/>
      <c r="F154" s="243"/>
      <c r="G154" s="243"/>
      <c r="H154" s="243"/>
      <c r="I154" s="243"/>
      <c r="J154" s="243"/>
      <c r="K154" s="243"/>
      <c r="L154" s="243"/>
      <c r="M154" s="243"/>
      <c r="N154" s="243"/>
      <c r="O154" s="243"/>
      <c r="P154" s="243"/>
      <c r="Q154" s="243"/>
      <c r="R154" s="243"/>
      <c r="S154" s="243"/>
      <c r="T154" s="243"/>
      <c r="U154" s="243"/>
      <c r="V154" s="243"/>
      <c r="W154" s="243"/>
      <c r="X154" s="243"/>
      <c r="Y154" s="243"/>
      <c r="Z154" s="243"/>
      <c r="AA154" s="246"/>
      <c r="AB154" s="415"/>
    </row>
    <row r="155" spans="1:28" s="4" customFormat="1">
      <c r="A155" s="243"/>
      <c r="B155" s="243"/>
      <c r="C155" s="243"/>
      <c r="D155" s="243"/>
      <c r="E155" s="243"/>
      <c r="F155" s="243"/>
      <c r="G155" s="243"/>
      <c r="H155" s="243"/>
      <c r="I155" s="243"/>
      <c r="J155" s="243"/>
      <c r="K155" s="243"/>
      <c r="L155" s="243"/>
      <c r="M155" s="243"/>
      <c r="N155" s="243"/>
      <c r="O155" s="243"/>
      <c r="P155" s="243"/>
      <c r="Q155" s="243"/>
      <c r="R155" s="243"/>
      <c r="S155" s="243"/>
      <c r="T155" s="243"/>
      <c r="U155" s="243"/>
      <c r="V155" s="243"/>
      <c r="W155" s="243"/>
      <c r="X155" s="243"/>
      <c r="Y155" s="243"/>
      <c r="Z155" s="243"/>
      <c r="AA155" s="246"/>
      <c r="AB155" s="415"/>
    </row>
    <row r="156" spans="1:28" s="4" customFormat="1">
      <c r="A156" s="243"/>
      <c r="B156" s="243"/>
      <c r="C156" s="243"/>
      <c r="D156" s="243"/>
      <c r="E156" s="243"/>
      <c r="F156" s="243"/>
      <c r="G156" s="243"/>
      <c r="H156" s="243"/>
      <c r="I156" s="243"/>
      <c r="J156" s="243"/>
      <c r="K156" s="243"/>
      <c r="L156" s="243"/>
      <c r="M156" s="243"/>
      <c r="N156" s="243"/>
      <c r="O156" s="243"/>
      <c r="P156" s="243"/>
      <c r="Q156" s="243"/>
      <c r="R156" s="243"/>
      <c r="S156" s="243"/>
      <c r="T156" s="243"/>
      <c r="U156" s="243"/>
      <c r="V156" s="243"/>
      <c r="W156" s="243"/>
      <c r="X156" s="243"/>
      <c r="Y156" s="243"/>
      <c r="Z156" s="243"/>
      <c r="AA156" s="246"/>
      <c r="AB156" s="415"/>
    </row>
    <row r="157" spans="1:28" s="4" customFormat="1">
      <c r="A157" s="243"/>
      <c r="B157" s="243"/>
      <c r="C157" s="243"/>
      <c r="D157" s="243"/>
      <c r="E157" s="243"/>
      <c r="F157" s="243"/>
      <c r="G157" s="243"/>
      <c r="H157" s="243"/>
      <c r="I157" s="243"/>
      <c r="J157" s="243"/>
      <c r="K157" s="243"/>
      <c r="L157" s="243"/>
      <c r="M157" s="243"/>
      <c r="N157" s="243"/>
      <c r="O157" s="243"/>
      <c r="P157" s="243"/>
      <c r="Q157" s="243"/>
      <c r="R157" s="243"/>
      <c r="S157" s="243"/>
      <c r="T157" s="243"/>
      <c r="U157" s="243"/>
      <c r="V157" s="243"/>
      <c r="W157" s="243"/>
      <c r="X157" s="243"/>
      <c r="Y157" s="243"/>
      <c r="Z157" s="243"/>
      <c r="AA157" s="246"/>
      <c r="AB157" s="415"/>
    </row>
    <row r="158" spans="1:28" s="4" customFormat="1">
      <c r="A158" s="243"/>
      <c r="B158" s="243"/>
      <c r="C158" s="243"/>
      <c r="D158" s="243"/>
      <c r="E158" s="243"/>
      <c r="F158" s="243"/>
      <c r="G158" s="243"/>
      <c r="H158" s="243"/>
      <c r="I158" s="243"/>
      <c r="J158" s="243"/>
      <c r="K158" s="243"/>
      <c r="L158" s="243"/>
      <c r="M158" s="243"/>
      <c r="N158" s="243"/>
      <c r="O158" s="243"/>
      <c r="P158" s="243"/>
      <c r="Q158" s="243"/>
      <c r="R158" s="243"/>
      <c r="S158" s="243"/>
      <c r="T158" s="243"/>
      <c r="U158" s="243"/>
      <c r="V158" s="243"/>
      <c r="W158" s="243"/>
      <c r="X158" s="243"/>
      <c r="Y158" s="243"/>
      <c r="Z158" s="243"/>
      <c r="AA158" s="246"/>
      <c r="AB158" s="415"/>
    </row>
    <row r="159" spans="1:28" s="4" customFormat="1">
      <c r="A159" s="243"/>
      <c r="B159" s="243"/>
      <c r="C159" s="243"/>
      <c r="D159" s="243"/>
      <c r="E159" s="243"/>
      <c r="F159" s="243"/>
      <c r="G159" s="243"/>
      <c r="H159" s="243"/>
      <c r="I159" s="243"/>
      <c r="J159" s="243"/>
      <c r="K159" s="243"/>
      <c r="L159" s="243"/>
      <c r="M159" s="243"/>
      <c r="N159" s="243"/>
      <c r="O159" s="243"/>
      <c r="P159" s="243"/>
      <c r="Q159" s="243"/>
      <c r="R159" s="243"/>
      <c r="S159" s="243"/>
      <c r="T159" s="243"/>
      <c r="U159" s="243"/>
      <c r="V159" s="243"/>
      <c r="W159" s="243"/>
      <c r="X159" s="243"/>
      <c r="Y159" s="243"/>
      <c r="Z159" s="243"/>
      <c r="AA159" s="246"/>
      <c r="AB159" s="415"/>
    </row>
    <row r="160" spans="1:28" s="4" customFormat="1">
      <c r="A160" s="243"/>
      <c r="B160" s="243"/>
      <c r="C160" s="243"/>
      <c r="D160" s="243"/>
      <c r="E160" s="243"/>
      <c r="F160" s="243"/>
      <c r="G160" s="243"/>
      <c r="H160" s="243"/>
      <c r="I160" s="243"/>
      <c r="J160" s="243"/>
      <c r="K160" s="243"/>
      <c r="L160" s="243"/>
      <c r="M160" s="243"/>
      <c r="N160" s="243"/>
      <c r="O160" s="243"/>
      <c r="P160" s="243"/>
      <c r="Q160" s="243"/>
      <c r="R160" s="243"/>
      <c r="S160" s="243"/>
      <c r="T160" s="243"/>
      <c r="U160" s="243"/>
      <c r="V160" s="243"/>
      <c r="W160" s="243"/>
      <c r="X160" s="243"/>
      <c r="Y160" s="243"/>
      <c r="Z160" s="243"/>
      <c r="AA160" s="246"/>
      <c r="AB160" s="415"/>
    </row>
    <row r="161" spans="1:28" s="4" customFormat="1">
      <c r="A161" s="243"/>
      <c r="B161" s="243"/>
      <c r="C161" s="243"/>
      <c r="D161" s="243"/>
      <c r="E161" s="243"/>
      <c r="F161" s="243"/>
      <c r="G161" s="243"/>
      <c r="H161" s="243"/>
      <c r="I161" s="243"/>
      <c r="J161" s="243"/>
      <c r="K161" s="243"/>
      <c r="L161" s="243"/>
      <c r="M161" s="243"/>
      <c r="N161" s="243"/>
      <c r="O161" s="243"/>
      <c r="P161" s="243"/>
      <c r="Q161" s="243"/>
      <c r="R161" s="243"/>
      <c r="S161" s="243"/>
      <c r="T161" s="243"/>
      <c r="U161" s="243"/>
      <c r="V161" s="243"/>
      <c r="W161" s="243"/>
      <c r="X161" s="243"/>
      <c r="Y161" s="243"/>
      <c r="Z161" s="243"/>
      <c r="AA161" s="246"/>
      <c r="AB161" s="415"/>
    </row>
    <row r="162" spans="1:28" s="4" customFormat="1">
      <c r="A162" s="243"/>
      <c r="B162" s="243"/>
      <c r="C162" s="243"/>
      <c r="D162" s="243"/>
      <c r="E162" s="243"/>
      <c r="F162" s="243"/>
      <c r="G162" s="243"/>
      <c r="H162" s="243"/>
      <c r="I162" s="243"/>
      <c r="J162" s="243"/>
      <c r="K162" s="243"/>
      <c r="L162" s="243"/>
      <c r="M162" s="243"/>
      <c r="N162" s="243"/>
      <c r="O162" s="243"/>
      <c r="P162" s="243"/>
      <c r="Q162" s="243"/>
      <c r="R162" s="243"/>
      <c r="S162" s="243"/>
      <c r="T162" s="243"/>
      <c r="U162" s="243"/>
      <c r="V162" s="243"/>
      <c r="W162" s="243"/>
      <c r="X162" s="243"/>
      <c r="Y162" s="243"/>
      <c r="Z162" s="243"/>
      <c r="AA162" s="246"/>
      <c r="AB162" s="415"/>
    </row>
    <row r="163" spans="1:28" s="4" customFormat="1">
      <c r="A163" s="243"/>
      <c r="B163" s="243"/>
      <c r="C163" s="243"/>
      <c r="D163" s="243"/>
      <c r="E163" s="243"/>
      <c r="F163" s="243"/>
      <c r="G163" s="243"/>
      <c r="H163" s="243"/>
      <c r="I163" s="243"/>
      <c r="J163" s="243"/>
      <c r="K163" s="243"/>
      <c r="L163" s="243"/>
      <c r="M163" s="243"/>
      <c r="N163" s="243"/>
      <c r="O163" s="243"/>
      <c r="P163" s="243"/>
      <c r="Q163" s="243"/>
      <c r="R163" s="243"/>
      <c r="S163" s="243"/>
      <c r="T163" s="243"/>
      <c r="U163" s="243"/>
      <c r="V163" s="243"/>
      <c r="W163" s="243"/>
      <c r="X163" s="243"/>
      <c r="Y163" s="243"/>
      <c r="Z163" s="243"/>
      <c r="AA163" s="246"/>
      <c r="AB163" s="415"/>
    </row>
    <row r="164" spans="1:28" s="4" customFormat="1">
      <c r="A164" s="243"/>
      <c r="B164" s="243"/>
      <c r="C164" s="243"/>
      <c r="D164" s="243"/>
      <c r="E164" s="243"/>
      <c r="F164" s="243"/>
      <c r="G164" s="243"/>
      <c r="H164" s="243"/>
      <c r="I164" s="243"/>
      <c r="J164" s="243"/>
      <c r="K164" s="243"/>
      <c r="L164" s="243"/>
      <c r="M164" s="243"/>
      <c r="N164" s="243"/>
      <c r="O164" s="243"/>
      <c r="P164" s="243"/>
      <c r="Q164" s="243"/>
      <c r="R164" s="243"/>
      <c r="S164" s="243"/>
      <c r="T164" s="243"/>
      <c r="U164" s="243"/>
      <c r="V164" s="243"/>
      <c r="W164" s="243"/>
      <c r="X164" s="243"/>
      <c r="Y164" s="243"/>
      <c r="Z164" s="243"/>
      <c r="AA164" s="246"/>
      <c r="AB164" s="415"/>
    </row>
    <row r="165" spans="1:28" s="4" customFormat="1">
      <c r="A165" s="243"/>
      <c r="B165" s="243"/>
      <c r="C165" s="243"/>
      <c r="D165" s="243"/>
      <c r="E165" s="243"/>
      <c r="F165" s="243"/>
      <c r="G165" s="243"/>
      <c r="H165" s="243"/>
      <c r="I165" s="243"/>
      <c r="J165" s="243"/>
      <c r="K165" s="243"/>
      <c r="L165" s="243"/>
      <c r="M165" s="243"/>
      <c r="N165" s="243"/>
      <c r="O165" s="243"/>
      <c r="P165" s="243"/>
      <c r="Q165" s="243"/>
      <c r="R165" s="243"/>
      <c r="S165" s="243"/>
      <c r="T165" s="243"/>
      <c r="U165" s="243"/>
      <c r="V165" s="243"/>
      <c r="W165" s="243"/>
      <c r="X165" s="243"/>
      <c r="Y165" s="243"/>
      <c r="Z165" s="243"/>
      <c r="AA165" s="246"/>
      <c r="AB165" s="415"/>
    </row>
    <row r="166" spans="1:28" s="4" customFormat="1">
      <c r="A166" s="243"/>
      <c r="B166" s="243"/>
      <c r="C166" s="243"/>
      <c r="D166" s="243"/>
      <c r="E166" s="243"/>
      <c r="F166" s="243"/>
      <c r="G166" s="243"/>
      <c r="H166" s="243"/>
      <c r="I166" s="243"/>
      <c r="J166" s="243"/>
      <c r="K166" s="243"/>
      <c r="L166" s="243"/>
      <c r="M166" s="243"/>
      <c r="N166" s="243"/>
      <c r="O166" s="243"/>
      <c r="P166" s="243"/>
      <c r="Q166" s="243"/>
      <c r="R166" s="243"/>
      <c r="S166" s="243"/>
      <c r="T166" s="243"/>
      <c r="U166" s="243"/>
      <c r="V166" s="243"/>
      <c r="W166" s="243"/>
      <c r="X166" s="243"/>
      <c r="Y166" s="243"/>
      <c r="Z166" s="243"/>
      <c r="AA166" s="246"/>
      <c r="AB166" s="415"/>
    </row>
    <row r="167" spans="1:28" s="4" customFormat="1">
      <c r="A167" s="243"/>
      <c r="B167" s="243"/>
      <c r="C167" s="243"/>
      <c r="D167" s="243"/>
      <c r="E167" s="243"/>
      <c r="F167" s="243"/>
      <c r="G167" s="243"/>
      <c r="H167" s="243"/>
      <c r="I167" s="243"/>
      <c r="J167" s="243"/>
      <c r="K167" s="243"/>
      <c r="L167" s="243"/>
      <c r="M167" s="243"/>
      <c r="N167" s="243"/>
      <c r="O167" s="243"/>
      <c r="P167" s="243"/>
      <c r="Q167" s="243"/>
      <c r="R167" s="243"/>
      <c r="S167" s="243"/>
      <c r="T167" s="243"/>
      <c r="U167" s="243"/>
      <c r="V167" s="243"/>
      <c r="W167" s="243"/>
      <c r="X167" s="243"/>
      <c r="Y167" s="243"/>
      <c r="Z167" s="243"/>
      <c r="AA167" s="246"/>
      <c r="AB167" s="415"/>
    </row>
    <row r="168" spans="1:28" s="4" customFormat="1">
      <c r="A168" s="243"/>
      <c r="B168" s="243"/>
      <c r="C168" s="243"/>
      <c r="D168" s="243"/>
      <c r="E168" s="243"/>
      <c r="F168" s="243"/>
      <c r="G168" s="243"/>
      <c r="H168" s="243"/>
      <c r="I168" s="243"/>
      <c r="J168" s="243"/>
      <c r="K168" s="243"/>
      <c r="L168" s="243"/>
      <c r="M168" s="243"/>
      <c r="N168" s="243"/>
      <c r="O168" s="243"/>
      <c r="P168" s="243"/>
      <c r="Q168" s="243"/>
      <c r="R168" s="243"/>
      <c r="S168" s="243"/>
      <c r="T168" s="243"/>
      <c r="U168" s="243"/>
      <c r="V168" s="243"/>
      <c r="W168" s="243"/>
      <c r="X168" s="243"/>
      <c r="Y168" s="243"/>
      <c r="Z168" s="243"/>
      <c r="AA168" s="246"/>
      <c r="AB168" s="415"/>
    </row>
    <row r="169" spans="1:28" s="4" customFormat="1">
      <c r="A169" s="243"/>
      <c r="B169" s="243"/>
      <c r="C169" s="243"/>
      <c r="D169" s="243"/>
      <c r="E169" s="243"/>
      <c r="F169" s="243"/>
      <c r="G169" s="243"/>
      <c r="H169" s="243"/>
      <c r="I169" s="243"/>
      <c r="J169" s="243"/>
      <c r="K169" s="243"/>
      <c r="L169" s="243"/>
      <c r="M169" s="243"/>
      <c r="N169" s="243"/>
      <c r="O169" s="243"/>
      <c r="P169" s="243"/>
      <c r="Q169" s="243"/>
      <c r="R169" s="243"/>
      <c r="S169" s="243"/>
      <c r="T169" s="243"/>
      <c r="U169" s="243"/>
      <c r="V169" s="243"/>
      <c r="W169" s="243"/>
      <c r="X169" s="243"/>
      <c r="Y169" s="243"/>
      <c r="Z169" s="243"/>
      <c r="AA169" s="246"/>
      <c r="AB169" s="415"/>
    </row>
    <row r="170" spans="1:28" s="4" customFormat="1">
      <c r="A170" s="243"/>
      <c r="B170" s="243"/>
      <c r="C170" s="243"/>
      <c r="D170" s="243"/>
      <c r="E170" s="243"/>
      <c r="F170" s="243"/>
      <c r="G170" s="243"/>
      <c r="H170" s="243"/>
      <c r="I170" s="243"/>
      <c r="J170" s="243"/>
      <c r="K170" s="243"/>
      <c r="L170" s="243"/>
      <c r="M170" s="243"/>
      <c r="N170" s="243"/>
      <c r="O170" s="243"/>
      <c r="P170" s="243"/>
      <c r="Q170" s="243"/>
      <c r="R170" s="243"/>
      <c r="S170" s="243"/>
      <c r="T170" s="243"/>
      <c r="U170" s="243"/>
      <c r="V170" s="243"/>
      <c r="W170" s="243"/>
      <c r="X170" s="243"/>
      <c r="Y170" s="243"/>
      <c r="Z170" s="243"/>
      <c r="AA170" s="246"/>
      <c r="AB170" s="415"/>
    </row>
    <row r="171" spans="1:28" s="4" customFormat="1">
      <c r="A171" s="243"/>
      <c r="B171" s="243"/>
      <c r="C171" s="243"/>
      <c r="D171" s="243"/>
      <c r="E171" s="243"/>
      <c r="F171" s="243"/>
      <c r="G171" s="243"/>
      <c r="H171" s="243"/>
      <c r="I171" s="243"/>
      <c r="J171" s="243"/>
      <c r="K171" s="243"/>
      <c r="L171" s="243"/>
      <c r="M171" s="243"/>
      <c r="N171" s="243"/>
      <c r="O171" s="243"/>
      <c r="P171" s="243"/>
      <c r="Q171" s="243"/>
      <c r="R171" s="243"/>
      <c r="S171" s="243"/>
      <c r="T171" s="243"/>
      <c r="U171" s="243"/>
      <c r="V171" s="243"/>
      <c r="W171" s="243"/>
      <c r="X171" s="243"/>
      <c r="Y171" s="243"/>
      <c r="Z171" s="243"/>
      <c r="AA171" s="246"/>
      <c r="AB171" s="415"/>
    </row>
    <row r="172" spans="1:28" s="4" customFormat="1">
      <c r="A172" s="243"/>
      <c r="B172" s="243"/>
      <c r="C172" s="243"/>
      <c r="D172" s="243"/>
      <c r="E172" s="243"/>
      <c r="F172" s="243"/>
      <c r="G172" s="243"/>
      <c r="H172" s="243"/>
      <c r="I172" s="243"/>
      <c r="J172" s="243"/>
      <c r="K172" s="243"/>
      <c r="L172" s="243"/>
      <c r="M172" s="243"/>
      <c r="N172" s="243"/>
      <c r="O172" s="243"/>
      <c r="P172" s="243"/>
      <c r="Q172" s="243"/>
      <c r="R172" s="243"/>
      <c r="S172" s="243"/>
      <c r="T172" s="243"/>
      <c r="U172" s="243"/>
      <c r="V172" s="243"/>
      <c r="W172" s="243"/>
      <c r="X172" s="243"/>
      <c r="Y172" s="243"/>
      <c r="Z172" s="243"/>
      <c r="AA172" s="246"/>
      <c r="AB172" s="415"/>
    </row>
    <row r="173" spans="1:28" s="4" customFormat="1">
      <c r="A173" s="243"/>
      <c r="B173" s="243"/>
      <c r="C173" s="243"/>
      <c r="D173" s="243"/>
      <c r="E173" s="243"/>
      <c r="F173" s="243"/>
      <c r="G173" s="243"/>
      <c r="H173" s="243"/>
      <c r="I173" s="243"/>
      <c r="J173" s="243"/>
      <c r="K173" s="243"/>
      <c r="L173" s="243"/>
      <c r="M173" s="243"/>
      <c r="N173" s="243"/>
      <c r="O173" s="243"/>
      <c r="P173" s="243"/>
      <c r="Q173" s="243"/>
      <c r="R173" s="243"/>
      <c r="S173" s="243"/>
      <c r="T173" s="243"/>
      <c r="U173" s="243"/>
      <c r="V173" s="243"/>
      <c r="W173" s="243"/>
      <c r="X173" s="243"/>
      <c r="Y173" s="243"/>
      <c r="Z173" s="243"/>
      <c r="AA173" s="246"/>
      <c r="AB173" s="415"/>
    </row>
    <row r="174" spans="1:28" s="4" customFormat="1">
      <c r="B174" s="250"/>
      <c r="K174" s="124"/>
      <c r="N174" s="124"/>
      <c r="O174" s="124"/>
      <c r="P174" s="124"/>
      <c r="Q174" s="124"/>
      <c r="R174" s="124"/>
      <c r="S174" s="124"/>
      <c r="T174" s="124"/>
      <c r="W174" s="124"/>
      <c r="Y174" s="124"/>
      <c r="AA174" s="415"/>
      <c r="AB174" s="415"/>
    </row>
    <row r="175" spans="1:28" s="4" customFormat="1">
      <c r="B175" s="250"/>
      <c r="K175" s="124"/>
      <c r="N175" s="124"/>
      <c r="O175" s="124"/>
      <c r="P175" s="124"/>
      <c r="Q175" s="124"/>
      <c r="R175" s="124"/>
      <c r="S175" s="124"/>
      <c r="T175" s="124"/>
      <c r="W175" s="124"/>
      <c r="Y175" s="124"/>
      <c r="AA175" s="415"/>
      <c r="AB175" s="415"/>
    </row>
    <row r="176" spans="1:28" s="4" customFormat="1">
      <c r="B176" s="250"/>
      <c r="K176" s="124"/>
      <c r="N176" s="124"/>
      <c r="O176" s="124"/>
      <c r="P176" s="124"/>
      <c r="Q176" s="124"/>
      <c r="R176" s="124"/>
      <c r="S176" s="124"/>
      <c r="T176" s="124"/>
      <c r="W176" s="124"/>
      <c r="Y176" s="124"/>
      <c r="AA176" s="415"/>
      <c r="AB176" s="415"/>
    </row>
    <row r="177" spans="2:28" s="4" customFormat="1">
      <c r="B177" s="250"/>
      <c r="K177" s="124"/>
      <c r="N177" s="124"/>
      <c r="O177" s="124"/>
      <c r="P177" s="124"/>
      <c r="Q177" s="124"/>
      <c r="R177" s="124"/>
      <c r="S177" s="124"/>
      <c r="T177" s="124"/>
      <c r="W177" s="124"/>
      <c r="Y177" s="124"/>
      <c r="AA177" s="415"/>
      <c r="AB177" s="415"/>
    </row>
    <row r="178" spans="2:28" s="4" customFormat="1">
      <c r="B178" s="250"/>
      <c r="K178" s="124"/>
      <c r="N178" s="124"/>
      <c r="O178" s="124"/>
      <c r="P178" s="124"/>
      <c r="Q178" s="124"/>
      <c r="R178" s="124"/>
      <c r="S178" s="124"/>
      <c r="T178" s="124"/>
      <c r="W178" s="124"/>
      <c r="Y178" s="124"/>
      <c r="AA178" s="415"/>
      <c r="AB178" s="415"/>
    </row>
    <row r="179" spans="2:28" s="4" customFormat="1">
      <c r="B179" s="250"/>
      <c r="K179" s="124"/>
      <c r="N179" s="124"/>
      <c r="O179" s="124"/>
      <c r="P179" s="124"/>
      <c r="Q179" s="124"/>
      <c r="R179" s="124"/>
      <c r="S179" s="124"/>
      <c r="T179" s="124"/>
      <c r="W179" s="124"/>
      <c r="Y179" s="124"/>
      <c r="AA179" s="415"/>
      <c r="AB179" s="415"/>
    </row>
    <row r="180" spans="2:28" s="4" customFormat="1">
      <c r="B180" s="250"/>
      <c r="K180" s="124"/>
      <c r="N180" s="124"/>
      <c r="O180" s="124"/>
      <c r="P180" s="124"/>
      <c r="Q180" s="124"/>
      <c r="R180" s="124"/>
      <c r="S180" s="124"/>
      <c r="T180" s="124"/>
      <c r="W180" s="124"/>
      <c r="Y180" s="124"/>
      <c r="AA180" s="415"/>
      <c r="AB180" s="415"/>
    </row>
    <row r="181" spans="2:28" s="4" customFormat="1">
      <c r="B181" s="250"/>
      <c r="K181" s="124"/>
      <c r="N181" s="124"/>
      <c r="O181" s="124"/>
      <c r="P181" s="124"/>
      <c r="Q181" s="124"/>
      <c r="R181" s="124"/>
      <c r="S181" s="124"/>
      <c r="T181" s="124"/>
      <c r="W181" s="124"/>
      <c r="Y181" s="124"/>
      <c r="AA181" s="415"/>
      <c r="AB181" s="415"/>
    </row>
    <row r="182" spans="2:28" s="4" customFormat="1">
      <c r="B182" s="250"/>
      <c r="K182" s="124"/>
      <c r="N182" s="124"/>
      <c r="O182" s="124"/>
      <c r="P182" s="124"/>
      <c r="Q182" s="124"/>
      <c r="R182" s="124"/>
      <c r="S182" s="124"/>
      <c r="T182" s="124"/>
      <c r="W182" s="124"/>
      <c r="Y182" s="124"/>
      <c r="AA182" s="415"/>
      <c r="AB182" s="415"/>
    </row>
    <row r="183" spans="2:28" s="4" customFormat="1">
      <c r="B183" s="250"/>
      <c r="K183" s="124"/>
      <c r="N183" s="124"/>
      <c r="O183" s="124"/>
      <c r="P183" s="124"/>
      <c r="Q183" s="124"/>
      <c r="R183" s="124"/>
      <c r="S183" s="124"/>
      <c r="T183" s="124"/>
      <c r="W183" s="124"/>
      <c r="Y183" s="124"/>
      <c r="AA183" s="415"/>
      <c r="AB183" s="415"/>
    </row>
    <row r="184" spans="2:28" s="4" customFormat="1">
      <c r="B184" s="250"/>
      <c r="K184" s="124"/>
      <c r="N184" s="124"/>
      <c r="O184" s="124"/>
      <c r="P184" s="124"/>
      <c r="Q184" s="124"/>
      <c r="R184" s="124"/>
      <c r="S184" s="124"/>
      <c r="T184" s="124"/>
      <c r="W184" s="124"/>
      <c r="Y184" s="124"/>
      <c r="AA184" s="415"/>
      <c r="AB184" s="415"/>
    </row>
    <row r="185" spans="2:28" s="4" customFormat="1">
      <c r="B185" s="250"/>
      <c r="K185" s="124"/>
      <c r="N185" s="124"/>
      <c r="O185" s="124"/>
      <c r="P185" s="124"/>
      <c r="Q185" s="124"/>
      <c r="R185" s="124"/>
      <c r="S185" s="124"/>
      <c r="T185" s="124"/>
      <c r="W185" s="124"/>
      <c r="Y185" s="124"/>
      <c r="AA185" s="415"/>
      <c r="AB185" s="415"/>
    </row>
    <row r="186" spans="2:28" s="4" customFormat="1">
      <c r="B186" s="250"/>
      <c r="K186" s="124"/>
      <c r="N186" s="124"/>
      <c r="O186" s="124"/>
      <c r="P186" s="124"/>
      <c r="Q186" s="124"/>
      <c r="R186" s="124"/>
      <c r="S186" s="124"/>
      <c r="T186" s="124"/>
      <c r="W186" s="124"/>
      <c r="Y186" s="124"/>
      <c r="AA186" s="415"/>
      <c r="AB186" s="415"/>
    </row>
    <row r="187" spans="2:28" s="4" customFormat="1">
      <c r="B187" s="250"/>
      <c r="K187" s="124"/>
      <c r="N187" s="124"/>
      <c r="O187" s="124"/>
      <c r="P187" s="124"/>
      <c r="Q187" s="124"/>
      <c r="R187" s="124"/>
      <c r="S187" s="124"/>
      <c r="T187" s="124"/>
      <c r="W187" s="124"/>
      <c r="Y187" s="124"/>
      <c r="AA187" s="415"/>
      <c r="AB187" s="415"/>
    </row>
    <row r="188" spans="2:28" s="4" customFormat="1">
      <c r="B188" s="250"/>
      <c r="K188" s="124"/>
      <c r="N188" s="124"/>
      <c r="O188" s="124"/>
      <c r="P188" s="124"/>
      <c r="Q188" s="124"/>
      <c r="R188" s="124"/>
      <c r="S188" s="124"/>
      <c r="T188" s="124"/>
      <c r="W188" s="124"/>
      <c r="Y188" s="124"/>
      <c r="AA188" s="415"/>
      <c r="AB188" s="415"/>
    </row>
    <row r="189" spans="2:28" s="4" customFormat="1">
      <c r="B189" s="250"/>
      <c r="K189" s="124"/>
      <c r="N189" s="124"/>
      <c r="O189" s="124"/>
      <c r="P189" s="124"/>
      <c r="Q189" s="124"/>
      <c r="R189" s="124"/>
      <c r="S189" s="124"/>
      <c r="T189" s="124"/>
      <c r="W189" s="124"/>
      <c r="Y189" s="124"/>
      <c r="AA189" s="415"/>
      <c r="AB189" s="415"/>
    </row>
    <row r="190" spans="2:28" s="4" customFormat="1">
      <c r="B190" s="250"/>
      <c r="K190" s="124"/>
      <c r="N190" s="124"/>
      <c r="O190" s="124"/>
      <c r="P190" s="124"/>
      <c r="Q190" s="124"/>
      <c r="R190" s="124"/>
      <c r="S190" s="124"/>
      <c r="T190" s="124"/>
      <c r="W190" s="124"/>
      <c r="Y190" s="124"/>
      <c r="AA190" s="415"/>
      <c r="AB190" s="415"/>
    </row>
    <row r="191" spans="2:28" s="4" customFormat="1">
      <c r="B191" s="250"/>
      <c r="K191" s="124"/>
      <c r="N191" s="124"/>
      <c r="O191" s="124"/>
      <c r="P191" s="124"/>
      <c r="Q191" s="124"/>
      <c r="R191" s="124"/>
      <c r="S191" s="124"/>
      <c r="T191" s="124"/>
      <c r="W191" s="124"/>
      <c r="Y191" s="124"/>
      <c r="AA191" s="415"/>
      <c r="AB191" s="415"/>
    </row>
    <row r="192" spans="2:28" s="4" customFormat="1">
      <c r="B192" s="250"/>
      <c r="K192" s="124"/>
      <c r="N192" s="124"/>
      <c r="O192" s="124"/>
      <c r="P192" s="124"/>
      <c r="Q192" s="124"/>
      <c r="R192" s="124"/>
      <c r="S192" s="124"/>
      <c r="T192" s="124"/>
      <c r="W192" s="124"/>
      <c r="Y192" s="124"/>
      <c r="AA192" s="415"/>
      <c r="AB192" s="415"/>
    </row>
    <row r="193" spans="2:28" s="4" customFormat="1">
      <c r="B193" s="250"/>
      <c r="K193" s="124"/>
      <c r="N193" s="124"/>
      <c r="O193" s="124"/>
      <c r="P193" s="124"/>
      <c r="Q193" s="124"/>
      <c r="R193" s="124"/>
      <c r="S193" s="124"/>
      <c r="T193" s="124"/>
      <c r="W193" s="124"/>
      <c r="Y193" s="124"/>
      <c r="AA193" s="415"/>
      <c r="AB193" s="415"/>
    </row>
    <row r="194" spans="2:28" s="4" customFormat="1">
      <c r="B194" s="250"/>
      <c r="K194" s="124"/>
      <c r="N194" s="124"/>
      <c r="O194" s="124"/>
      <c r="P194" s="124"/>
      <c r="Q194" s="124"/>
      <c r="R194" s="124"/>
      <c r="S194" s="124"/>
      <c r="T194" s="124"/>
      <c r="W194" s="124"/>
      <c r="Y194" s="124"/>
      <c r="AA194" s="415"/>
      <c r="AB194" s="415"/>
    </row>
  </sheetData>
  <pageMargins left="0.70866141732283472" right="0.70866141732283472" top="0.74803149606299213" bottom="0.74803149606299213" header="0.31496062992125984" footer="0.31496062992125984"/>
  <pageSetup paperSize="9" scale="70" fitToHeight="0" orientation="portrait" horizontalDpi="2400" verticalDpi="24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4">
    <tabColor theme="4"/>
    <pageSetUpPr fitToPage="1"/>
  </sheetPr>
  <dimension ref="A1:AK257"/>
  <sheetViews>
    <sheetView zoomScale="70" zoomScaleNormal="70" zoomScaleSheetLayoutView="55" zoomScalePageLayoutView="70" workbookViewId="0">
      <selection activeCell="E188" sqref="E188:O188"/>
    </sheetView>
  </sheetViews>
  <sheetFormatPr baseColWidth="10" defaultColWidth="11.5546875" defaultRowHeight="13.2"/>
  <cols>
    <col min="1" max="1" width="3" style="585" customWidth="1"/>
    <col min="2" max="2" width="43.6640625" style="585" customWidth="1"/>
    <col min="3" max="3" width="14.109375" style="585" customWidth="1"/>
    <col min="4" max="4" width="9.88671875" style="585" bestFit="1" customWidth="1"/>
    <col min="5" max="5" width="9.6640625" style="585" bestFit="1" customWidth="1"/>
    <col min="6" max="6" width="7.5546875" style="585" customWidth="1"/>
    <col min="7" max="7" width="11.109375" style="585" customWidth="1"/>
    <col min="8" max="8" width="10.6640625" style="585" customWidth="1"/>
    <col min="9" max="9" width="12.109375" style="585" customWidth="1"/>
    <col min="10" max="10" width="11.88671875" style="585" customWidth="1"/>
    <col min="11" max="14" width="9.6640625" style="585" customWidth="1"/>
    <col min="15" max="15" width="14" style="585" customWidth="1"/>
    <col min="16" max="17" width="9.6640625" style="585" customWidth="1"/>
    <col min="18" max="18" width="4.5546875" style="585" customWidth="1"/>
    <col min="19" max="19" width="4.33203125" style="585" customWidth="1"/>
    <col min="20" max="20" width="17.33203125" style="585" customWidth="1"/>
    <col min="21" max="37" width="9.109375" style="585" customWidth="1"/>
    <col min="38" max="256" width="11.5546875" style="585"/>
    <col min="257" max="257" width="3" style="585" customWidth="1"/>
    <col min="258" max="258" width="50.6640625" style="585" customWidth="1"/>
    <col min="259" max="259" width="13.109375" style="585" customWidth="1"/>
    <col min="260" max="260" width="18.5546875" style="585" customWidth="1"/>
    <col min="261" max="261" width="10.88671875" style="585" customWidth="1"/>
    <col min="262" max="262" width="9.6640625" style="585" customWidth="1"/>
    <col min="263" max="263" width="11.6640625" style="585" customWidth="1"/>
    <col min="264" max="264" width="15.33203125" style="585" customWidth="1"/>
    <col min="265" max="265" width="18" style="585" customWidth="1"/>
    <col min="266" max="266" width="11.88671875" style="585" customWidth="1"/>
    <col min="267" max="273" width="9.6640625" style="585" customWidth="1"/>
    <col min="274" max="274" width="4.109375" style="585" customWidth="1"/>
    <col min="275" max="275" width="4.33203125" style="585" customWidth="1"/>
    <col min="276" max="276" width="17.33203125" style="585" customWidth="1"/>
    <col min="277" max="293" width="9.109375" style="585" customWidth="1"/>
    <col min="294" max="512" width="11.5546875" style="585"/>
    <col min="513" max="513" width="3" style="585" customWidth="1"/>
    <col min="514" max="514" width="50.6640625" style="585" customWidth="1"/>
    <col min="515" max="515" width="13.109375" style="585" customWidth="1"/>
    <col min="516" max="516" width="18.5546875" style="585" customWidth="1"/>
    <col min="517" max="517" width="10.88671875" style="585" customWidth="1"/>
    <col min="518" max="518" width="9.6640625" style="585" customWidth="1"/>
    <col min="519" max="519" width="11.6640625" style="585" customWidth="1"/>
    <col min="520" max="520" width="15.33203125" style="585" customWidth="1"/>
    <col min="521" max="521" width="18" style="585" customWidth="1"/>
    <col min="522" max="522" width="11.88671875" style="585" customWidth="1"/>
    <col min="523" max="529" width="9.6640625" style="585" customWidth="1"/>
    <col min="530" max="530" width="4.109375" style="585" customWidth="1"/>
    <col min="531" max="531" width="4.33203125" style="585" customWidth="1"/>
    <col min="532" max="532" width="17.33203125" style="585" customWidth="1"/>
    <col min="533" max="549" width="9.109375" style="585" customWidth="1"/>
    <col min="550" max="768" width="11.5546875" style="585"/>
    <col min="769" max="769" width="3" style="585" customWidth="1"/>
    <col min="770" max="770" width="50.6640625" style="585" customWidth="1"/>
    <col min="771" max="771" width="13.109375" style="585" customWidth="1"/>
    <col min="772" max="772" width="18.5546875" style="585" customWidth="1"/>
    <col min="773" max="773" width="10.88671875" style="585" customWidth="1"/>
    <col min="774" max="774" width="9.6640625" style="585" customWidth="1"/>
    <col min="775" max="775" width="11.6640625" style="585" customWidth="1"/>
    <col min="776" max="776" width="15.33203125" style="585" customWidth="1"/>
    <col min="777" max="777" width="18" style="585" customWidth="1"/>
    <col min="778" max="778" width="11.88671875" style="585" customWidth="1"/>
    <col min="779" max="785" width="9.6640625" style="585" customWidth="1"/>
    <col min="786" max="786" width="4.109375" style="585" customWidth="1"/>
    <col min="787" max="787" width="4.33203125" style="585" customWidth="1"/>
    <col min="788" max="788" width="17.33203125" style="585" customWidth="1"/>
    <col min="789" max="805" width="9.109375" style="585" customWidth="1"/>
    <col min="806" max="1024" width="11.5546875" style="585"/>
    <col min="1025" max="1025" width="3" style="585" customWidth="1"/>
    <col min="1026" max="1026" width="50.6640625" style="585" customWidth="1"/>
    <col min="1027" max="1027" width="13.109375" style="585" customWidth="1"/>
    <col min="1028" max="1028" width="18.5546875" style="585" customWidth="1"/>
    <col min="1029" max="1029" width="10.88671875" style="585" customWidth="1"/>
    <col min="1030" max="1030" width="9.6640625" style="585" customWidth="1"/>
    <col min="1031" max="1031" width="11.6640625" style="585" customWidth="1"/>
    <col min="1032" max="1032" width="15.33203125" style="585" customWidth="1"/>
    <col min="1033" max="1033" width="18" style="585" customWidth="1"/>
    <col min="1034" max="1034" width="11.88671875" style="585" customWidth="1"/>
    <col min="1035" max="1041" width="9.6640625" style="585" customWidth="1"/>
    <col min="1042" max="1042" width="4.109375" style="585" customWidth="1"/>
    <col min="1043" max="1043" width="4.33203125" style="585" customWidth="1"/>
    <col min="1044" max="1044" width="17.33203125" style="585" customWidth="1"/>
    <col min="1045" max="1061" width="9.109375" style="585" customWidth="1"/>
    <col min="1062" max="1280" width="11.5546875" style="585"/>
    <col min="1281" max="1281" width="3" style="585" customWidth="1"/>
    <col min="1282" max="1282" width="50.6640625" style="585" customWidth="1"/>
    <col min="1283" max="1283" width="13.109375" style="585" customWidth="1"/>
    <col min="1284" max="1284" width="18.5546875" style="585" customWidth="1"/>
    <col min="1285" max="1285" width="10.88671875" style="585" customWidth="1"/>
    <col min="1286" max="1286" width="9.6640625" style="585" customWidth="1"/>
    <col min="1287" max="1287" width="11.6640625" style="585" customWidth="1"/>
    <col min="1288" max="1288" width="15.33203125" style="585" customWidth="1"/>
    <col min="1289" max="1289" width="18" style="585" customWidth="1"/>
    <col min="1290" max="1290" width="11.88671875" style="585" customWidth="1"/>
    <col min="1291" max="1297" width="9.6640625" style="585" customWidth="1"/>
    <col min="1298" max="1298" width="4.109375" style="585" customWidth="1"/>
    <col min="1299" max="1299" width="4.33203125" style="585" customWidth="1"/>
    <col min="1300" max="1300" width="17.33203125" style="585" customWidth="1"/>
    <col min="1301" max="1317" width="9.109375" style="585" customWidth="1"/>
    <col min="1318" max="1536" width="11.5546875" style="585"/>
    <col min="1537" max="1537" width="3" style="585" customWidth="1"/>
    <col min="1538" max="1538" width="50.6640625" style="585" customWidth="1"/>
    <col min="1539" max="1539" width="13.109375" style="585" customWidth="1"/>
    <col min="1540" max="1540" width="18.5546875" style="585" customWidth="1"/>
    <col min="1541" max="1541" width="10.88671875" style="585" customWidth="1"/>
    <col min="1542" max="1542" width="9.6640625" style="585" customWidth="1"/>
    <col min="1543" max="1543" width="11.6640625" style="585" customWidth="1"/>
    <col min="1544" max="1544" width="15.33203125" style="585" customWidth="1"/>
    <col min="1545" max="1545" width="18" style="585" customWidth="1"/>
    <col min="1546" max="1546" width="11.88671875" style="585" customWidth="1"/>
    <col min="1547" max="1553" width="9.6640625" style="585" customWidth="1"/>
    <col min="1554" max="1554" width="4.109375" style="585" customWidth="1"/>
    <col min="1555" max="1555" width="4.33203125" style="585" customWidth="1"/>
    <col min="1556" max="1556" width="17.33203125" style="585" customWidth="1"/>
    <col min="1557" max="1573" width="9.109375" style="585" customWidth="1"/>
    <col min="1574" max="1792" width="11.5546875" style="585"/>
    <col min="1793" max="1793" width="3" style="585" customWidth="1"/>
    <col min="1794" max="1794" width="50.6640625" style="585" customWidth="1"/>
    <col min="1795" max="1795" width="13.109375" style="585" customWidth="1"/>
    <col min="1796" max="1796" width="18.5546875" style="585" customWidth="1"/>
    <col min="1797" max="1797" width="10.88671875" style="585" customWidth="1"/>
    <col min="1798" max="1798" width="9.6640625" style="585" customWidth="1"/>
    <col min="1799" max="1799" width="11.6640625" style="585" customWidth="1"/>
    <col min="1800" max="1800" width="15.33203125" style="585" customWidth="1"/>
    <col min="1801" max="1801" width="18" style="585" customWidth="1"/>
    <col min="1802" max="1802" width="11.88671875" style="585" customWidth="1"/>
    <col min="1803" max="1809" width="9.6640625" style="585" customWidth="1"/>
    <col min="1810" max="1810" width="4.109375" style="585" customWidth="1"/>
    <col min="1811" max="1811" width="4.33203125" style="585" customWidth="1"/>
    <col min="1812" max="1812" width="17.33203125" style="585" customWidth="1"/>
    <col min="1813" max="1829" width="9.109375" style="585" customWidth="1"/>
    <col min="1830" max="2048" width="11.5546875" style="585"/>
    <col min="2049" max="2049" width="3" style="585" customWidth="1"/>
    <col min="2050" max="2050" width="50.6640625" style="585" customWidth="1"/>
    <col min="2051" max="2051" width="13.109375" style="585" customWidth="1"/>
    <col min="2052" max="2052" width="18.5546875" style="585" customWidth="1"/>
    <col min="2053" max="2053" width="10.88671875" style="585" customWidth="1"/>
    <col min="2054" max="2054" width="9.6640625" style="585" customWidth="1"/>
    <col min="2055" max="2055" width="11.6640625" style="585" customWidth="1"/>
    <col min="2056" max="2056" width="15.33203125" style="585" customWidth="1"/>
    <col min="2057" max="2057" width="18" style="585" customWidth="1"/>
    <col min="2058" max="2058" width="11.88671875" style="585" customWidth="1"/>
    <col min="2059" max="2065" width="9.6640625" style="585" customWidth="1"/>
    <col min="2066" max="2066" width="4.109375" style="585" customWidth="1"/>
    <col min="2067" max="2067" width="4.33203125" style="585" customWidth="1"/>
    <col min="2068" max="2068" width="17.33203125" style="585" customWidth="1"/>
    <col min="2069" max="2085" width="9.109375" style="585" customWidth="1"/>
    <col min="2086" max="2304" width="11.5546875" style="585"/>
    <col min="2305" max="2305" width="3" style="585" customWidth="1"/>
    <col min="2306" max="2306" width="50.6640625" style="585" customWidth="1"/>
    <col min="2307" max="2307" width="13.109375" style="585" customWidth="1"/>
    <col min="2308" max="2308" width="18.5546875" style="585" customWidth="1"/>
    <col min="2309" max="2309" width="10.88671875" style="585" customWidth="1"/>
    <col min="2310" max="2310" width="9.6640625" style="585" customWidth="1"/>
    <col min="2311" max="2311" width="11.6640625" style="585" customWidth="1"/>
    <col min="2312" max="2312" width="15.33203125" style="585" customWidth="1"/>
    <col min="2313" max="2313" width="18" style="585" customWidth="1"/>
    <col min="2314" max="2314" width="11.88671875" style="585" customWidth="1"/>
    <col min="2315" max="2321" width="9.6640625" style="585" customWidth="1"/>
    <col min="2322" max="2322" width="4.109375" style="585" customWidth="1"/>
    <col min="2323" max="2323" width="4.33203125" style="585" customWidth="1"/>
    <col min="2324" max="2324" width="17.33203125" style="585" customWidth="1"/>
    <col min="2325" max="2341" width="9.109375" style="585" customWidth="1"/>
    <col min="2342" max="2560" width="11.5546875" style="585"/>
    <col min="2561" max="2561" width="3" style="585" customWidth="1"/>
    <col min="2562" max="2562" width="50.6640625" style="585" customWidth="1"/>
    <col min="2563" max="2563" width="13.109375" style="585" customWidth="1"/>
    <col min="2564" max="2564" width="18.5546875" style="585" customWidth="1"/>
    <col min="2565" max="2565" width="10.88671875" style="585" customWidth="1"/>
    <col min="2566" max="2566" width="9.6640625" style="585" customWidth="1"/>
    <col min="2567" max="2567" width="11.6640625" style="585" customWidth="1"/>
    <col min="2568" max="2568" width="15.33203125" style="585" customWidth="1"/>
    <col min="2569" max="2569" width="18" style="585" customWidth="1"/>
    <col min="2570" max="2570" width="11.88671875" style="585" customWidth="1"/>
    <col min="2571" max="2577" width="9.6640625" style="585" customWidth="1"/>
    <col min="2578" max="2578" width="4.109375" style="585" customWidth="1"/>
    <col min="2579" max="2579" width="4.33203125" style="585" customWidth="1"/>
    <col min="2580" max="2580" width="17.33203125" style="585" customWidth="1"/>
    <col min="2581" max="2597" width="9.109375" style="585" customWidth="1"/>
    <col min="2598" max="2816" width="11.5546875" style="585"/>
    <col min="2817" max="2817" width="3" style="585" customWidth="1"/>
    <col min="2818" max="2818" width="50.6640625" style="585" customWidth="1"/>
    <col min="2819" max="2819" width="13.109375" style="585" customWidth="1"/>
    <col min="2820" max="2820" width="18.5546875" style="585" customWidth="1"/>
    <col min="2821" max="2821" width="10.88671875" style="585" customWidth="1"/>
    <col min="2822" max="2822" width="9.6640625" style="585" customWidth="1"/>
    <col min="2823" max="2823" width="11.6640625" style="585" customWidth="1"/>
    <col min="2824" max="2824" width="15.33203125" style="585" customWidth="1"/>
    <col min="2825" max="2825" width="18" style="585" customWidth="1"/>
    <col min="2826" max="2826" width="11.88671875" style="585" customWidth="1"/>
    <col min="2827" max="2833" width="9.6640625" style="585" customWidth="1"/>
    <col min="2834" max="2834" width="4.109375" style="585" customWidth="1"/>
    <col min="2835" max="2835" width="4.33203125" style="585" customWidth="1"/>
    <col min="2836" max="2836" width="17.33203125" style="585" customWidth="1"/>
    <col min="2837" max="2853" width="9.109375" style="585" customWidth="1"/>
    <col min="2854" max="3072" width="11.5546875" style="585"/>
    <col min="3073" max="3073" width="3" style="585" customWidth="1"/>
    <col min="3074" max="3074" width="50.6640625" style="585" customWidth="1"/>
    <col min="3075" max="3075" width="13.109375" style="585" customWidth="1"/>
    <col min="3076" max="3076" width="18.5546875" style="585" customWidth="1"/>
    <col min="3077" max="3077" width="10.88671875" style="585" customWidth="1"/>
    <col min="3078" max="3078" width="9.6640625" style="585" customWidth="1"/>
    <col min="3079" max="3079" width="11.6640625" style="585" customWidth="1"/>
    <col min="3080" max="3080" width="15.33203125" style="585" customWidth="1"/>
    <col min="3081" max="3081" width="18" style="585" customWidth="1"/>
    <col min="3082" max="3082" width="11.88671875" style="585" customWidth="1"/>
    <col min="3083" max="3089" width="9.6640625" style="585" customWidth="1"/>
    <col min="3090" max="3090" width="4.109375" style="585" customWidth="1"/>
    <col min="3091" max="3091" width="4.33203125" style="585" customWidth="1"/>
    <col min="3092" max="3092" width="17.33203125" style="585" customWidth="1"/>
    <col min="3093" max="3109" width="9.109375" style="585" customWidth="1"/>
    <col min="3110" max="3328" width="11.5546875" style="585"/>
    <col min="3329" max="3329" width="3" style="585" customWidth="1"/>
    <col min="3330" max="3330" width="50.6640625" style="585" customWidth="1"/>
    <col min="3331" max="3331" width="13.109375" style="585" customWidth="1"/>
    <col min="3332" max="3332" width="18.5546875" style="585" customWidth="1"/>
    <col min="3333" max="3333" width="10.88671875" style="585" customWidth="1"/>
    <col min="3334" max="3334" width="9.6640625" style="585" customWidth="1"/>
    <col min="3335" max="3335" width="11.6640625" style="585" customWidth="1"/>
    <col min="3336" max="3336" width="15.33203125" style="585" customWidth="1"/>
    <col min="3337" max="3337" width="18" style="585" customWidth="1"/>
    <col min="3338" max="3338" width="11.88671875" style="585" customWidth="1"/>
    <col min="3339" max="3345" width="9.6640625" style="585" customWidth="1"/>
    <col min="3346" max="3346" width="4.109375" style="585" customWidth="1"/>
    <col min="3347" max="3347" width="4.33203125" style="585" customWidth="1"/>
    <col min="3348" max="3348" width="17.33203125" style="585" customWidth="1"/>
    <col min="3349" max="3365" width="9.109375" style="585" customWidth="1"/>
    <col min="3366" max="3584" width="11.5546875" style="585"/>
    <col min="3585" max="3585" width="3" style="585" customWidth="1"/>
    <col min="3586" max="3586" width="50.6640625" style="585" customWidth="1"/>
    <col min="3587" max="3587" width="13.109375" style="585" customWidth="1"/>
    <col min="3588" max="3588" width="18.5546875" style="585" customWidth="1"/>
    <col min="3589" max="3589" width="10.88671875" style="585" customWidth="1"/>
    <col min="3590" max="3590" width="9.6640625" style="585" customWidth="1"/>
    <col min="3591" max="3591" width="11.6640625" style="585" customWidth="1"/>
    <col min="3592" max="3592" width="15.33203125" style="585" customWidth="1"/>
    <col min="3593" max="3593" width="18" style="585" customWidth="1"/>
    <col min="3594" max="3594" width="11.88671875" style="585" customWidth="1"/>
    <col min="3595" max="3601" width="9.6640625" style="585" customWidth="1"/>
    <col min="3602" max="3602" width="4.109375" style="585" customWidth="1"/>
    <col min="3603" max="3603" width="4.33203125" style="585" customWidth="1"/>
    <col min="3604" max="3604" width="17.33203125" style="585" customWidth="1"/>
    <col min="3605" max="3621" width="9.109375" style="585" customWidth="1"/>
    <col min="3622" max="3840" width="11.5546875" style="585"/>
    <col min="3841" max="3841" width="3" style="585" customWidth="1"/>
    <col min="3842" max="3842" width="50.6640625" style="585" customWidth="1"/>
    <col min="3843" max="3843" width="13.109375" style="585" customWidth="1"/>
    <col min="3844" max="3844" width="18.5546875" style="585" customWidth="1"/>
    <col min="3845" max="3845" width="10.88671875" style="585" customWidth="1"/>
    <col min="3846" max="3846" width="9.6640625" style="585" customWidth="1"/>
    <col min="3847" max="3847" width="11.6640625" style="585" customWidth="1"/>
    <col min="3848" max="3848" width="15.33203125" style="585" customWidth="1"/>
    <col min="3849" max="3849" width="18" style="585" customWidth="1"/>
    <col min="3850" max="3850" width="11.88671875" style="585" customWidth="1"/>
    <col min="3851" max="3857" width="9.6640625" style="585" customWidth="1"/>
    <col min="3858" max="3858" width="4.109375" style="585" customWidth="1"/>
    <col min="3859" max="3859" width="4.33203125" style="585" customWidth="1"/>
    <col min="3860" max="3860" width="17.33203125" style="585" customWidth="1"/>
    <col min="3861" max="3877" width="9.109375" style="585" customWidth="1"/>
    <col min="3878" max="4096" width="11.5546875" style="585"/>
    <col min="4097" max="4097" width="3" style="585" customWidth="1"/>
    <col min="4098" max="4098" width="50.6640625" style="585" customWidth="1"/>
    <col min="4099" max="4099" width="13.109375" style="585" customWidth="1"/>
    <col min="4100" max="4100" width="18.5546875" style="585" customWidth="1"/>
    <col min="4101" max="4101" width="10.88671875" style="585" customWidth="1"/>
    <col min="4102" max="4102" width="9.6640625" style="585" customWidth="1"/>
    <col min="4103" max="4103" width="11.6640625" style="585" customWidth="1"/>
    <col min="4104" max="4104" width="15.33203125" style="585" customWidth="1"/>
    <col min="4105" max="4105" width="18" style="585" customWidth="1"/>
    <col min="4106" max="4106" width="11.88671875" style="585" customWidth="1"/>
    <col min="4107" max="4113" width="9.6640625" style="585" customWidth="1"/>
    <col min="4114" max="4114" width="4.109375" style="585" customWidth="1"/>
    <col min="4115" max="4115" width="4.33203125" style="585" customWidth="1"/>
    <col min="4116" max="4116" width="17.33203125" style="585" customWidth="1"/>
    <col min="4117" max="4133" width="9.109375" style="585" customWidth="1"/>
    <col min="4134" max="4352" width="11.5546875" style="585"/>
    <col min="4353" max="4353" width="3" style="585" customWidth="1"/>
    <col min="4354" max="4354" width="50.6640625" style="585" customWidth="1"/>
    <col min="4355" max="4355" width="13.109375" style="585" customWidth="1"/>
    <col min="4356" max="4356" width="18.5546875" style="585" customWidth="1"/>
    <col min="4357" max="4357" width="10.88671875" style="585" customWidth="1"/>
    <col min="4358" max="4358" width="9.6640625" style="585" customWidth="1"/>
    <col min="4359" max="4359" width="11.6640625" style="585" customWidth="1"/>
    <col min="4360" max="4360" width="15.33203125" style="585" customWidth="1"/>
    <col min="4361" max="4361" width="18" style="585" customWidth="1"/>
    <col min="4362" max="4362" width="11.88671875" style="585" customWidth="1"/>
    <col min="4363" max="4369" width="9.6640625" style="585" customWidth="1"/>
    <col min="4370" max="4370" width="4.109375" style="585" customWidth="1"/>
    <col min="4371" max="4371" width="4.33203125" style="585" customWidth="1"/>
    <col min="4372" max="4372" width="17.33203125" style="585" customWidth="1"/>
    <col min="4373" max="4389" width="9.109375" style="585" customWidth="1"/>
    <col min="4390" max="4608" width="11.5546875" style="585"/>
    <col min="4609" max="4609" width="3" style="585" customWidth="1"/>
    <col min="4610" max="4610" width="50.6640625" style="585" customWidth="1"/>
    <col min="4611" max="4611" width="13.109375" style="585" customWidth="1"/>
    <col min="4612" max="4612" width="18.5546875" style="585" customWidth="1"/>
    <col min="4613" max="4613" width="10.88671875" style="585" customWidth="1"/>
    <col min="4614" max="4614" width="9.6640625" style="585" customWidth="1"/>
    <col min="4615" max="4615" width="11.6640625" style="585" customWidth="1"/>
    <col min="4616" max="4616" width="15.33203125" style="585" customWidth="1"/>
    <col min="4617" max="4617" width="18" style="585" customWidth="1"/>
    <col min="4618" max="4618" width="11.88671875" style="585" customWidth="1"/>
    <col min="4619" max="4625" width="9.6640625" style="585" customWidth="1"/>
    <col min="4626" max="4626" width="4.109375" style="585" customWidth="1"/>
    <col min="4627" max="4627" width="4.33203125" style="585" customWidth="1"/>
    <col min="4628" max="4628" width="17.33203125" style="585" customWidth="1"/>
    <col min="4629" max="4645" width="9.109375" style="585" customWidth="1"/>
    <col min="4646" max="4864" width="11.5546875" style="585"/>
    <col min="4865" max="4865" width="3" style="585" customWidth="1"/>
    <col min="4866" max="4866" width="50.6640625" style="585" customWidth="1"/>
    <col min="4867" max="4867" width="13.109375" style="585" customWidth="1"/>
    <col min="4868" max="4868" width="18.5546875" style="585" customWidth="1"/>
    <col min="4869" max="4869" width="10.88671875" style="585" customWidth="1"/>
    <col min="4870" max="4870" width="9.6640625" style="585" customWidth="1"/>
    <col min="4871" max="4871" width="11.6640625" style="585" customWidth="1"/>
    <col min="4872" max="4872" width="15.33203125" style="585" customWidth="1"/>
    <col min="4873" max="4873" width="18" style="585" customWidth="1"/>
    <col min="4874" max="4874" width="11.88671875" style="585" customWidth="1"/>
    <col min="4875" max="4881" width="9.6640625" style="585" customWidth="1"/>
    <col min="4882" max="4882" width="4.109375" style="585" customWidth="1"/>
    <col min="4883" max="4883" width="4.33203125" style="585" customWidth="1"/>
    <col min="4884" max="4884" width="17.33203125" style="585" customWidth="1"/>
    <col min="4885" max="4901" width="9.109375" style="585" customWidth="1"/>
    <col min="4902" max="5120" width="11.5546875" style="585"/>
    <col min="5121" max="5121" width="3" style="585" customWidth="1"/>
    <col min="5122" max="5122" width="50.6640625" style="585" customWidth="1"/>
    <col min="5123" max="5123" width="13.109375" style="585" customWidth="1"/>
    <col min="5124" max="5124" width="18.5546875" style="585" customWidth="1"/>
    <col min="5125" max="5125" width="10.88671875" style="585" customWidth="1"/>
    <col min="5126" max="5126" width="9.6640625" style="585" customWidth="1"/>
    <col min="5127" max="5127" width="11.6640625" style="585" customWidth="1"/>
    <col min="5128" max="5128" width="15.33203125" style="585" customWidth="1"/>
    <col min="5129" max="5129" width="18" style="585" customWidth="1"/>
    <col min="5130" max="5130" width="11.88671875" style="585" customWidth="1"/>
    <col min="5131" max="5137" width="9.6640625" style="585" customWidth="1"/>
    <col min="5138" max="5138" width="4.109375" style="585" customWidth="1"/>
    <col min="5139" max="5139" width="4.33203125" style="585" customWidth="1"/>
    <col min="5140" max="5140" width="17.33203125" style="585" customWidth="1"/>
    <col min="5141" max="5157" width="9.109375" style="585" customWidth="1"/>
    <col min="5158" max="5376" width="11.5546875" style="585"/>
    <col min="5377" max="5377" width="3" style="585" customWidth="1"/>
    <col min="5378" max="5378" width="50.6640625" style="585" customWidth="1"/>
    <col min="5379" max="5379" width="13.109375" style="585" customWidth="1"/>
    <col min="5380" max="5380" width="18.5546875" style="585" customWidth="1"/>
    <col min="5381" max="5381" width="10.88671875" style="585" customWidth="1"/>
    <col min="5382" max="5382" width="9.6640625" style="585" customWidth="1"/>
    <col min="5383" max="5383" width="11.6640625" style="585" customWidth="1"/>
    <col min="5384" max="5384" width="15.33203125" style="585" customWidth="1"/>
    <col min="5385" max="5385" width="18" style="585" customWidth="1"/>
    <col min="5386" max="5386" width="11.88671875" style="585" customWidth="1"/>
    <col min="5387" max="5393" width="9.6640625" style="585" customWidth="1"/>
    <col min="5394" max="5394" width="4.109375" style="585" customWidth="1"/>
    <col min="5395" max="5395" width="4.33203125" style="585" customWidth="1"/>
    <col min="5396" max="5396" width="17.33203125" style="585" customWidth="1"/>
    <col min="5397" max="5413" width="9.109375" style="585" customWidth="1"/>
    <col min="5414" max="5632" width="11.5546875" style="585"/>
    <col min="5633" max="5633" width="3" style="585" customWidth="1"/>
    <col min="5634" max="5634" width="50.6640625" style="585" customWidth="1"/>
    <col min="5635" max="5635" width="13.109375" style="585" customWidth="1"/>
    <col min="5636" max="5636" width="18.5546875" style="585" customWidth="1"/>
    <col min="5637" max="5637" width="10.88671875" style="585" customWidth="1"/>
    <col min="5638" max="5638" width="9.6640625" style="585" customWidth="1"/>
    <col min="5639" max="5639" width="11.6640625" style="585" customWidth="1"/>
    <col min="5640" max="5640" width="15.33203125" style="585" customWidth="1"/>
    <col min="5641" max="5641" width="18" style="585" customWidth="1"/>
    <col min="5642" max="5642" width="11.88671875" style="585" customWidth="1"/>
    <col min="5643" max="5649" width="9.6640625" style="585" customWidth="1"/>
    <col min="5650" max="5650" width="4.109375" style="585" customWidth="1"/>
    <col min="5651" max="5651" width="4.33203125" style="585" customWidth="1"/>
    <col min="5652" max="5652" width="17.33203125" style="585" customWidth="1"/>
    <col min="5653" max="5669" width="9.109375" style="585" customWidth="1"/>
    <col min="5670" max="5888" width="11.5546875" style="585"/>
    <col min="5889" max="5889" width="3" style="585" customWidth="1"/>
    <col min="5890" max="5890" width="50.6640625" style="585" customWidth="1"/>
    <col min="5891" max="5891" width="13.109375" style="585" customWidth="1"/>
    <col min="5892" max="5892" width="18.5546875" style="585" customWidth="1"/>
    <col min="5893" max="5893" width="10.88671875" style="585" customWidth="1"/>
    <col min="5894" max="5894" width="9.6640625" style="585" customWidth="1"/>
    <col min="5895" max="5895" width="11.6640625" style="585" customWidth="1"/>
    <col min="5896" max="5896" width="15.33203125" style="585" customWidth="1"/>
    <col min="5897" max="5897" width="18" style="585" customWidth="1"/>
    <col min="5898" max="5898" width="11.88671875" style="585" customWidth="1"/>
    <col min="5899" max="5905" width="9.6640625" style="585" customWidth="1"/>
    <col min="5906" max="5906" width="4.109375" style="585" customWidth="1"/>
    <col min="5907" max="5907" width="4.33203125" style="585" customWidth="1"/>
    <col min="5908" max="5908" width="17.33203125" style="585" customWidth="1"/>
    <col min="5909" max="5925" width="9.109375" style="585" customWidth="1"/>
    <col min="5926" max="6144" width="11.5546875" style="585"/>
    <col min="6145" max="6145" width="3" style="585" customWidth="1"/>
    <col min="6146" max="6146" width="50.6640625" style="585" customWidth="1"/>
    <col min="6147" max="6147" width="13.109375" style="585" customWidth="1"/>
    <col min="6148" max="6148" width="18.5546875" style="585" customWidth="1"/>
    <col min="6149" max="6149" width="10.88671875" style="585" customWidth="1"/>
    <col min="6150" max="6150" width="9.6640625" style="585" customWidth="1"/>
    <col min="6151" max="6151" width="11.6640625" style="585" customWidth="1"/>
    <col min="6152" max="6152" width="15.33203125" style="585" customWidth="1"/>
    <col min="6153" max="6153" width="18" style="585" customWidth="1"/>
    <col min="6154" max="6154" width="11.88671875" style="585" customWidth="1"/>
    <col min="6155" max="6161" width="9.6640625" style="585" customWidth="1"/>
    <col min="6162" max="6162" width="4.109375" style="585" customWidth="1"/>
    <col min="6163" max="6163" width="4.33203125" style="585" customWidth="1"/>
    <col min="6164" max="6164" width="17.33203125" style="585" customWidth="1"/>
    <col min="6165" max="6181" width="9.109375" style="585" customWidth="1"/>
    <col min="6182" max="6400" width="11.5546875" style="585"/>
    <col min="6401" max="6401" width="3" style="585" customWidth="1"/>
    <col min="6402" max="6402" width="50.6640625" style="585" customWidth="1"/>
    <col min="6403" max="6403" width="13.109375" style="585" customWidth="1"/>
    <col min="6404" max="6404" width="18.5546875" style="585" customWidth="1"/>
    <col min="6405" max="6405" width="10.88671875" style="585" customWidth="1"/>
    <col min="6406" max="6406" width="9.6640625" style="585" customWidth="1"/>
    <col min="6407" max="6407" width="11.6640625" style="585" customWidth="1"/>
    <col min="6408" max="6408" width="15.33203125" style="585" customWidth="1"/>
    <col min="6409" max="6409" width="18" style="585" customWidth="1"/>
    <col min="6410" max="6410" width="11.88671875" style="585" customWidth="1"/>
    <col min="6411" max="6417" width="9.6640625" style="585" customWidth="1"/>
    <col min="6418" max="6418" width="4.109375" style="585" customWidth="1"/>
    <col min="6419" max="6419" width="4.33203125" style="585" customWidth="1"/>
    <col min="6420" max="6420" width="17.33203125" style="585" customWidth="1"/>
    <col min="6421" max="6437" width="9.109375" style="585" customWidth="1"/>
    <col min="6438" max="6656" width="11.5546875" style="585"/>
    <col min="6657" max="6657" width="3" style="585" customWidth="1"/>
    <col min="6658" max="6658" width="50.6640625" style="585" customWidth="1"/>
    <col min="6659" max="6659" width="13.109375" style="585" customWidth="1"/>
    <col min="6660" max="6660" width="18.5546875" style="585" customWidth="1"/>
    <col min="6661" max="6661" width="10.88671875" style="585" customWidth="1"/>
    <col min="6662" max="6662" width="9.6640625" style="585" customWidth="1"/>
    <col min="6663" max="6663" width="11.6640625" style="585" customWidth="1"/>
    <col min="6664" max="6664" width="15.33203125" style="585" customWidth="1"/>
    <col min="6665" max="6665" width="18" style="585" customWidth="1"/>
    <col min="6666" max="6666" width="11.88671875" style="585" customWidth="1"/>
    <col min="6667" max="6673" width="9.6640625" style="585" customWidth="1"/>
    <col min="6674" max="6674" width="4.109375" style="585" customWidth="1"/>
    <col min="6675" max="6675" width="4.33203125" style="585" customWidth="1"/>
    <col min="6676" max="6676" width="17.33203125" style="585" customWidth="1"/>
    <col min="6677" max="6693" width="9.109375" style="585" customWidth="1"/>
    <col min="6694" max="6912" width="11.5546875" style="585"/>
    <col min="6913" max="6913" width="3" style="585" customWidth="1"/>
    <col min="6914" max="6914" width="50.6640625" style="585" customWidth="1"/>
    <col min="6915" max="6915" width="13.109375" style="585" customWidth="1"/>
    <col min="6916" max="6916" width="18.5546875" style="585" customWidth="1"/>
    <col min="6917" max="6917" width="10.88671875" style="585" customWidth="1"/>
    <col min="6918" max="6918" width="9.6640625" style="585" customWidth="1"/>
    <col min="6919" max="6919" width="11.6640625" style="585" customWidth="1"/>
    <col min="6920" max="6920" width="15.33203125" style="585" customWidth="1"/>
    <col min="6921" max="6921" width="18" style="585" customWidth="1"/>
    <col min="6922" max="6922" width="11.88671875" style="585" customWidth="1"/>
    <col min="6923" max="6929" width="9.6640625" style="585" customWidth="1"/>
    <col min="6930" max="6930" width="4.109375" style="585" customWidth="1"/>
    <col min="6931" max="6931" width="4.33203125" style="585" customWidth="1"/>
    <col min="6932" max="6932" width="17.33203125" style="585" customWidth="1"/>
    <col min="6933" max="6949" width="9.109375" style="585" customWidth="1"/>
    <col min="6950" max="7168" width="11.5546875" style="585"/>
    <col min="7169" max="7169" width="3" style="585" customWidth="1"/>
    <col min="7170" max="7170" width="50.6640625" style="585" customWidth="1"/>
    <col min="7171" max="7171" width="13.109375" style="585" customWidth="1"/>
    <col min="7172" max="7172" width="18.5546875" style="585" customWidth="1"/>
    <col min="7173" max="7173" width="10.88671875" style="585" customWidth="1"/>
    <col min="7174" max="7174" width="9.6640625" style="585" customWidth="1"/>
    <col min="7175" max="7175" width="11.6640625" style="585" customWidth="1"/>
    <col min="7176" max="7176" width="15.33203125" style="585" customWidth="1"/>
    <col min="7177" max="7177" width="18" style="585" customWidth="1"/>
    <col min="7178" max="7178" width="11.88671875" style="585" customWidth="1"/>
    <col min="7179" max="7185" width="9.6640625" style="585" customWidth="1"/>
    <col min="7186" max="7186" width="4.109375" style="585" customWidth="1"/>
    <col min="7187" max="7187" width="4.33203125" style="585" customWidth="1"/>
    <col min="7188" max="7188" width="17.33203125" style="585" customWidth="1"/>
    <col min="7189" max="7205" width="9.109375" style="585" customWidth="1"/>
    <col min="7206" max="7424" width="11.5546875" style="585"/>
    <col min="7425" max="7425" width="3" style="585" customWidth="1"/>
    <col min="7426" max="7426" width="50.6640625" style="585" customWidth="1"/>
    <col min="7427" max="7427" width="13.109375" style="585" customWidth="1"/>
    <col min="7428" max="7428" width="18.5546875" style="585" customWidth="1"/>
    <col min="7429" max="7429" width="10.88671875" style="585" customWidth="1"/>
    <col min="7430" max="7430" width="9.6640625" style="585" customWidth="1"/>
    <col min="7431" max="7431" width="11.6640625" style="585" customWidth="1"/>
    <col min="7432" max="7432" width="15.33203125" style="585" customWidth="1"/>
    <col min="7433" max="7433" width="18" style="585" customWidth="1"/>
    <col min="7434" max="7434" width="11.88671875" style="585" customWidth="1"/>
    <col min="7435" max="7441" width="9.6640625" style="585" customWidth="1"/>
    <col min="7442" max="7442" width="4.109375" style="585" customWidth="1"/>
    <col min="7443" max="7443" width="4.33203125" style="585" customWidth="1"/>
    <col min="7444" max="7444" width="17.33203125" style="585" customWidth="1"/>
    <col min="7445" max="7461" width="9.109375" style="585" customWidth="1"/>
    <col min="7462" max="7680" width="11.5546875" style="585"/>
    <col min="7681" max="7681" width="3" style="585" customWidth="1"/>
    <col min="7682" max="7682" width="50.6640625" style="585" customWidth="1"/>
    <col min="7683" max="7683" width="13.109375" style="585" customWidth="1"/>
    <col min="7684" max="7684" width="18.5546875" style="585" customWidth="1"/>
    <col min="7685" max="7685" width="10.88671875" style="585" customWidth="1"/>
    <col min="7686" max="7686" width="9.6640625" style="585" customWidth="1"/>
    <col min="7687" max="7687" width="11.6640625" style="585" customWidth="1"/>
    <col min="7688" max="7688" width="15.33203125" style="585" customWidth="1"/>
    <col min="7689" max="7689" width="18" style="585" customWidth="1"/>
    <col min="7690" max="7690" width="11.88671875" style="585" customWidth="1"/>
    <col min="7691" max="7697" width="9.6640625" style="585" customWidth="1"/>
    <col min="7698" max="7698" width="4.109375" style="585" customWidth="1"/>
    <col min="7699" max="7699" width="4.33203125" style="585" customWidth="1"/>
    <col min="7700" max="7700" width="17.33203125" style="585" customWidth="1"/>
    <col min="7701" max="7717" width="9.109375" style="585" customWidth="1"/>
    <col min="7718" max="7936" width="11.5546875" style="585"/>
    <col min="7937" max="7937" width="3" style="585" customWidth="1"/>
    <col min="7938" max="7938" width="50.6640625" style="585" customWidth="1"/>
    <col min="7939" max="7939" width="13.109375" style="585" customWidth="1"/>
    <col min="7940" max="7940" width="18.5546875" style="585" customWidth="1"/>
    <col min="7941" max="7941" width="10.88671875" style="585" customWidth="1"/>
    <col min="7942" max="7942" width="9.6640625" style="585" customWidth="1"/>
    <col min="7943" max="7943" width="11.6640625" style="585" customWidth="1"/>
    <col min="7944" max="7944" width="15.33203125" style="585" customWidth="1"/>
    <col min="7945" max="7945" width="18" style="585" customWidth="1"/>
    <col min="7946" max="7946" width="11.88671875" style="585" customWidth="1"/>
    <col min="7947" max="7953" width="9.6640625" style="585" customWidth="1"/>
    <col min="7954" max="7954" width="4.109375" style="585" customWidth="1"/>
    <col min="7955" max="7955" width="4.33203125" style="585" customWidth="1"/>
    <col min="7956" max="7956" width="17.33203125" style="585" customWidth="1"/>
    <col min="7957" max="7973" width="9.109375" style="585" customWidth="1"/>
    <col min="7974" max="8192" width="11.5546875" style="585"/>
    <col min="8193" max="8193" width="3" style="585" customWidth="1"/>
    <col min="8194" max="8194" width="50.6640625" style="585" customWidth="1"/>
    <col min="8195" max="8195" width="13.109375" style="585" customWidth="1"/>
    <col min="8196" max="8196" width="18.5546875" style="585" customWidth="1"/>
    <col min="8197" max="8197" width="10.88671875" style="585" customWidth="1"/>
    <col min="8198" max="8198" width="9.6640625" style="585" customWidth="1"/>
    <col min="8199" max="8199" width="11.6640625" style="585" customWidth="1"/>
    <col min="8200" max="8200" width="15.33203125" style="585" customWidth="1"/>
    <col min="8201" max="8201" width="18" style="585" customWidth="1"/>
    <col min="8202" max="8202" width="11.88671875" style="585" customWidth="1"/>
    <col min="8203" max="8209" width="9.6640625" style="585" customWidth="1"/>
    <col min="8210" max="8210" width="4.109375" style="585" customWidth="1"/>
    <col min="8211" max="8211" width="4.33203125" style="585" customWidth="1"/>
    <col min="8212" max="8212" width="17.33203125" style="585" customWidth="1"/>
    <col min="8213" max="8229" width="9.109375" style="585" customWidth="1"/>
    <col min="8230" max="8448" width="11.5546875" style="585"/>
    <col min="8449" max="8449" width="3" style="585" customWidth="1"/>
    <col min="8450" max="8450" width="50.6640625" style="585" customWidth="1"/>
    <col min="8451" max="8451" width="13.109375" style="585" customWidth="1"/>
    <col min="8452" max="8452" width="18.5546875" style="585" customWidth="1"/>
    <col min="8453" max="8453" width="10.88671875" style="585" customWidth="1"/>
    <col min="8454" max="8454" width="9.6640625" style="585" customWidth="1"/>
    <col min="8455" max="8455" width="11.6640625" style="585" customWidth="1"/>
    <col min="8456" max="8456" width="15.33203125" style="585" customWidth="1"/>
    <col min="8457" max="8457" width="18" style="585" customWidth="1"/>
    <col min="8458" max="8458" width="11.88671875" style="585" customWidth="1"/>
    <col min="8459" max="8465" width="9.6640625" style="585" customWidth="1"/>
    <col min="8466" max="8466" width="4.109375" style="585" customWidth="1"/>
    <col min="8467" max="8467" width="4.33203125" style="585" customWidth="1"/>
    <col min="8468" max="8468" width="17.33203125" style="585" customWidth="1"/>
    <col min="8469" max="8485" width="9.109375" style="585" customWidth="1"/>
    <col min="8486" max="8704" width="11.5546875" style="585"/>
    <col min="8705" max="8705" width="3" style="585" customWidth="1"/>
    <col min="8706" max="8706" width="50.6640625" style="585" customWidth="1"/>
    <col min="8707" max="8707" width="13.109375" style="585" customWidth="1"/>
    <col min="8708" max="8708" width="18.5546875" style="585" customWidth="1"/>
    <col min="8709" max="8709" width="10.88671875" style="585" customWidth="1"/>
    <col min="8710" max="8710" width="9.6640625" style="585" customWidth="1"/>
    <col min="8711" max="8711" width="11.6640625" style="585" customWidth="1"/>
    <col min="8712" max="8712" width="15.33203125" style="585" customWidth="1"/>
    <col min="8713" max="8713" width="18" style="585" customWidth="1"/>
    <col min="8714" max="8714" width="11.88671875" style="585" customWidth="1"/>
    <col min="8715" max="8721" width="9.6640625" style="585" customWidth="1"/>
    <col min="8722" max="8722" width="4.109375" style="585" customWidth="1"/>
    <col min="8723" max="8723" width="4.33203125" style="585" customWidth="1"/>
    <col min="8724" max="8724" width="17.33203125" style="585" customWidth="1"/>
    <col min="8725" max="8741" width="9.109375" style="585" customWidth="1"/>
    <col min="8742" max="8960" width="11.5546875" style="585"/>
    <col min="8961" max="8961" width="3" style="585" customWidth="1"/>
    <col min="8962" max="8962" width="50.6640625" style="585" customWidth="1"/>
    <col min="8963" max="8963" width="13.109375" style="585" customWidth="1"/>
    <col min="8964" max="8964" width="18.5546875" style="585" customWidth="1"/>
    <col min="8965" max="8965" width="10.88671875" style="585" customWidth="1"/>
    <col min="8966" max="8966" width="9.6640625" style="585" customWidth="1"/>
    <col min="8967" max="8967" width="11.6640625" style="585" customWidth="1"/>
    <col min="8968" max="8968" width="15.33203125" style="585" customWidth="1"/>
    <col min="8969" max="8969" width="18" style="585" customWidth="1"/>
    <col min="8970" max="8970" width="11.88671875" style="585" customWidth="1"/>
    <col min="8971" max="8977" width="9.6640625" style="585" customWidth="1"/>
    <col min="8978" max="8978" width="4.109375" style="585" customWidth="1"/>
    <col min="8979" max="8979" width="4.33203125" style="585" customWidth="1"/>
    <col min="8980" max="8980" width="17.33203125" style="585" customWidth="1"/>
    <col min="8981" max="8997" width="9.109375" style="585" customWidth="1"/>
    <col min="8998" max="9216" width="11.5546875" style="585"/>
    <col min="9217" max="9217" width="3" style="585" customWidth="1"/>
    <col min="9218" max="9218" width="50.6640625" style="585" customWidth="1"/>
    <col min="9219" max="9219" width="13.109375" style="585" customWidth="1"/>
    <col min="9220" max="9220" width="18.5546875" style="585" customWidth="1"/>
    <col min="9221" max="9221" width="10.88671875" style="585" customWidth="1"/>
    <col min="9222" max="9222" width="9.6640625" style="585" customWidth="1"/>
    <col min="9223" max="9223" width="11.6640625" style="585" customWidth="1"/>
    <col min="9224" max="9224" width="15.33203125" style="585" customWidth="1"/>
    <col min="9225" max="9225" width="18" style="585" customWidth="1"/>
    <col min="9226" max="9226" width="11.88671875" style="585" customWidth="1"/>
    <col min="9227" max="9233" width="9.6640625" style="585" customWidth="1"/>
    <col min="9234" max="9234" width="4.109375" style="585" customWidth="1"/>
    <col min="9235" max="9235" width="4.33203125" style="585" customWidth="1"/>
    <col min="9236" max="9236" width="17.33203125" style="585" customWidth="1"/>
    <col min="9237" max="9253" width="9.109375" style="585" customWidth="1"/>
    <col min="9254" max="9472" width="11.5546875" style="585"/>
    <col min="9473" max="9473" width="3" style="585" customWidth="1"/>
    <col min="9474" max="9474" width="50.6640625" style="585" customWidth="1"/>
    <col min="9475" max="9475" width="13.109375" style="585" customWidth="1"/>
    <col min="9476" max="9476" width="18.5546875" style="585" customWidth="1"/>
    <col min="9477" max="9477" width="10.88671875" style="585" customWidth="1"/>
    <col min="9478" max="9478" width="9.6640625" style="585" customWidth="1"/>
    <col min="9479" max="9479" width="11.6640625" style="585" customWidth="1"/>
    <col min="9480" max="9480" width="15.33203125" style="585" customWidth="1"/>
    <col min="9481" max="9481" width="18" style="585" customWidth="1"/>
    <col min="9482" max="9482" width="11.88671875" style="585" customWidth="1"/>
    <col min="9483" max="9489" width="9.6640625" style="585" customWidth="1"/>
    <col min="9490" max="9490" width="4.109375" style="585" customWidth="1"/>
    <col min="9491" max="9491" width="4.33203125" style="585" customWidth="1"/>
    <col min="9492" max="9492" width="17.33203125" style="585" customWidth="1"/>
    <col min="9493" max="9509" width="9.109375" style="585" customWidth="1"/>
    <col min="9510" max="9728" width="11.5546875" style="585"/>
    <col min="9729" max="9729" width="3" style="585" customWidth="1"/>
    <col min="9730" max="9730" width="50.6640625" style="585" customWidth="1"/>
    <col min="9731" max="9731" width="13.109375" style="585" customWidth="1"/>
    <col min="9732" max="9732" width="18.5546875" style="585" customWidth="1"/>
    <col min="9733" max="9733" width="10.88671875" style="585" customWidth="1"/>
    <col min="9734" max="9734" width="9.6640625" style="585" customWidth="1"/>
    <col min="9735" max="9735" width="11.6640625" style="585" customWidth="1"/>
    <col min="9736" max="9736" width="15.33203125" style="585" customWidth="1"/>
    <col min="9737" max="9737" width="18" style="585" customWidth="1"/>
    <col min="9738" max="9738" width="11.88671875" style="585" customWidth="1"/>
    <col min="9739" max="9745" width="9.6640625" style="585" customWidth="1"/>
    <col min="9746" max="9746" width="4.109375" style="585" customWidth="1"/>
    <col min="9747" max="9747" width="4.33203125" style="585" customWidth="1"/>
    <col min="9748" max="9748" width="17.33203125" style="585" customWidth="1"/>
    <col min="9749" max="9765" width="9.109375" style="585" customWidth="1"/>
    <col min="9766" max="9984" width="11.5546875" style="585"/>
    <col min="9985" max="9985" width="3" style="585" customWidth="1"/>
    <col min="9986" max="9986" width="50.6640625" style="585" customWidth="1"/>
    <col min="9987" max="9987" width="13.109375" style="585" customWidth="1"/>
    <col min="9988" max="9988" width="18.5546875" style="585" customWidth="1"/>
    <col min="9989" max="9989" width="10.88671875" style="585" customWidth="1"/>
    <col min="9990" max="9990" width="9.6640625" style="585" customWidth="1"/>
    <col min="9991" max="9991" width="11.6640625" style="585" customWidth="1"/>
    <col min="9992" max="9992" width="15.33203125" style="585" customWidth="1"/>
    <col min="9993" max="9993" width="18" style="585" customWidth="1"/>
    <col min="9994" max="9994" width="11.88671875" style="585" customWidth="1"/>
    <col min="9995" max="10001" width="9.6640625" style="585" customWidth="1"/>
    <col min="10002" max="10002" width="4.109375" style="585" customWidth="1"/>
    <col min="10003" max="10003" width="4.33203125" style="585" customWidth="1"/>
    <col min="10004" max="10004" width="17.33203125" style="585" customWidth="1"/>
    <col min="10005" max="10021" width="9.109375" style="585" customWidth="1"/>
    <col min="10022" max="10240" width="11.5546875" style="585"/>
    <col min="10241" max="10241" width="3" style="585" customWidth="1"/>
    <col min="10242" max="10242" width="50.6640625" style="585" customWidth="1"/>
    <col min="10243" max="10243" width="13.109375" style="585" customWidth="1"/>
    <col min="10244" max="10244" width="18.5546875" style="585" customWidth="1"/>
    <col min="10245" max="10245" width="10.88671875" style="585" customWidth="1"/>
    <col min="10246" max="10246" width="9.6640625" style="585" customWidth="1"/>
    <col min="10247" max="10247" width="11.6640625" style="585" customWidth="1"/>
    <col min="10248" max="10248" width="15.33203125" style="585" customWidth="1"/>
    <col min="10249" max="10249" width="18" style="585" customWidth="1"/>
    <col min="10250" max="10250" width="11.88671875" style="585" customWidth="1"/>
    <col min="10251" max="10257" width="9.6640625" style="585" customWidth="1"/>
    <col min="10258" max="10258" width="4.109375" style="585" customWidth="1"/>
    <col min="10259" max="10259" width="4.33203125" style="585" customWidth="1"/>
    <col min="10260" max="10260" width="17.33203125" style="585" customWidth="1"/>
    <col min="10261" max="10277" width="9.109375" style="585" customWidth="1"/>
    <col min="10278" max="10496" width="11.5546875" style="585"/>
    <col min="10497" max="10497" width="3" style="585" customWidth="1"/>
    <col min="10498" max="10498" width="50.6640625" style="585" customWidth="1"/>
    <col min="10499" max="10499" width="13.109375" style="585" customWidth="1"/>
    <col min="10500" max="10500" width="18.5546875" style="585" customWidth="1"/>
    <col min="10501" max="10501" width="10.88671875" style="585" customWidth="1"/>
    <col min="10502" max="10502" width="9.6640625" style="585" customWidth="1"/>
    <col min="10503" max="10503" width="11.6640625" style="585" customWidth="1"/>
    <col min="10504" max="10504" width="15.33203125" style="585" customWidth="1"/>
    <col min="10505" max="10505" width="18" style="585" customWidth="1"/>
    <col min="10506" max="10506" width="11.88671875" style="585" customWidth="1"/>
    <col min="10507" max="10513" width="9.6640625" style="585" customWidth="1"/>
    <col min="10514" max="10514" width="4.109375" style="585" customWidth="1"/>
    <col min="10515" max="10515" width="4.33203125" style="585" customWidth="1"/>
    <col min="10516" max="10516" width="17.33203125" style="585" customWidth="1"/>
    <col min="10517" max="10533" width="9.109375" style="585" customWidth="1"/>
    <col min="10534" max="10752" width="11.5546875" style="585"/>
    <col min="10753" max="10753" width="3" style="585" customWidth="1"/>
    <col min="10754" max="10754" width="50.6640625" style="585" customWidth="1"/>
    <col min="10755" max="10755" width="13.109375" style="585" customWidth="1"/>
    <col min="10756" max="10756" width="18.5546875" style="585" customWidth="1"/>
    <col min="10757" max="10757" width="10.88671875" style="585" customWidth="1"/>
    <col min="10758" max="10758" width="9.6640625" style="585" customWidth="1"/>
    <col min="10759" max="10759" width="11.6640625" style="585" customWidth="1"/>
    <col min="10760" max="10760" width="15.33203125" style="585" customWidth="1"/>
    <col min="10761" max="10761" width="18" style="585" customWidth="1"/>
    <col min="10762" max="10762" width="11.88671875" style="585" customWidth="1"/>
    <col min="10763" max="10769" width="9.6640625" style="585" customWidth="1"/>
    <col min="10770" max="10770" width="4.109375" style="585" customWidth="1"/>
    <col min="10771" max="10771" width="4.33203125" style="585" customWidth="1"/>
    <col min="10772" max="10772" width="17.33203125" style="585" customWidth="1"/>
    <col min="10773" max="10789" width="9.109375" style="585" customWidth="1"/>
    <col min="10790" max="11008" width="11.5546875" style="585"/>
    <col min="11009" max="11009" width="3" style="585" customWidth="1"/>
    <col min="11010" max="11010" width="50.6640625" style="585" customWidth="1"/>
    <col min="11011" max="11011" width="13.109375" style="585" customWidth="1"/>
    <col min="11012" max="11012" width="18.5546875" style="585" customWidth="1"/>
    <col min="11013" max="11013" width="10.88671875" style="585" customWidth="1"/>
    <col min="11014" max="11014" width="9.6640625" style="585" customWidth="1"/>
    <col min="11015" max="11015" width="11.6640625" style="585" customWidth="1"/>
    <col min="11016" max="11016" width="15.33203125" style="585" customWidth="1"/>
    <col min="11017" max="11017" width="18" style="585" customWidth="1"/>
    <col min="11018" max="11018" width="11.88671875" style="585" customWidth="1"/>
    <col min="11019" max="11025" width="9.6640625" style="585" customWidth="1"/>
    <col min="11026" max="11026" width="4.109375" style="585" customWidth="1"/>
    <col min="11027" max="11027" width="4.33203125" style="585" customWidth="1"/>
    <col min="11028" max="11028" width="17.33203125" style="585" customWidth="1"/>
    <col min="11029" max="11045" width="9.109375" style="585" customWidth="1"/>
    <col min="11046" max="11264" width="11.5546875" style="585"/>
    <col min="11265" max="11265" width="3" style="585" customWidth="1"/>
    <col min="11266" max="11266" width="50.6640625" style="585" customWidth="1"/>
    <col min="11267" max="11267" width="13.109375" style="585" customWidth="1"/>
    <col min="11268" max="11268" width="18.5546875" style="585" customWidth="1"/>
    <col min="11269" max="11269" width="10.88671875" style="585" customWidth="1"/>
    <col min="11270" max="11270" width="9.6640625" style="585" customWidth="1"/>
    <col min="11271" max="11271" width="11.6640625" style="585" customWidth="1"/>
    <col min="11272" max="11272" width="15.33203125" style="585" customWidth="1"/>
    <col min="11273" max="11273" width="18" style="585" customWidth="1"/>
    <col min="11274" max="11274" width="11.88671875" style="585" customWidth="1"/>
    <col min="11275" max="11281" width="9.6640625" style="585" customWidth="1"/>
    <col min="11282" max="11282" width="4.109375" style="585" customWidth="1"/>
    <col min="11283" max="11283" width="4.33203125" style="585" customWidth="1"/>
    <col min="11284" max="11284" width="17.33203125" style="585" customWidth="1"/>
    <col min="11285" max="11301" width="9.109375" style="585" customWidth="1"/>
    <col min="11302" max="11520" width="11.5546875" style="585"/>
    <col min="11521" max="11521" width="3" style="585" customWidth="1"/>
    <col min="11522" max="11522" width="50.6640625" style="585" customWidth="1"/>
    <col min="11523" max="11523" width="13.109375" style="585" customWidth="1"/>
    <col min="11524" max="11524" width="18.5546875" style="585" customWidth="1"/>
    <col min="11525" max="11525" width="10.88671875" style="585" customWidth="1"/>
    <col min="11526" max="11526" width="9.6640625" style="585" customWidth="1"/>
    <col min="11527" max="11527" width="11.6640625" style="585" customWidth="1"/>
    <col min="11528" max="11528" width="15.33203125" style="585" customWidth="1"/>
    <col min="11529" max="11529" width="18" style="585" customWidth="1"/>
    <col min="11530" max="11530" width="11.88671875" style="585" customWidth="1"/>
    <col min="11531" max="11537" width="9.6640625" style="585" customWidth="1"/>
    <col min="11538" max="11538" width="4.109375" style="585" customWidth="1"/>
    <col min="11539" max="11539" width="4.33203125" style="585" customWidth="1"/>
    <col min="11540" max="11540" width="17.33203125" style="585" customWidth="1"/>
    <col min="11541" max="11557" width="9.109375" style="585" customWidth="1"/>
    <col min="11558" max="11776" width="11.5546875" style="585"/>
    <col min="11777" max="11777" width="3" style="585" customWidth="1"/>
    <col min="11778" max="11778" width="50.6640625" style="585" customWidth="1"/>
    <col min="11779" max="11779" width="13.109375" style="585" customWidth="1"/>
    <col min="11780" max="11780" width="18.5546875" style="585" customWidth="1"/>
    <col min="11781" max="11781" width="10.88671875" style="585" customWidth="1"/>
    <col min="11782" max="11782" width="9.6640625" style="585" customWidth="1"/>
    <col min="11783" max="11783" width="11.6640625" style="585" customWidth="1"/>
    <col min="11784" max="11784" width="15.33203125" style="585" customWidth="1"/>
    <col min="11785" max="11785" width="18" style="585" customWidth="1"/>
    <col min="11786" max="11786" width="11.88671875" style="585" customWidth="1"/>
    <col min="11787" max="11793" width="9.6640625" style="585" customWidth="1"/>
    <col min="11794" max="11794" width="4.109375" style="585" customWidth="1"/>
    <col min="11795" max="11795" width="4.33203125" style="585" customWidth="1"/>
    <col min="11796" max="11796" width="17.33203125" style="585" customWidth="1"/>
    <col min="11797" max="11813" width="9.109375" style="585" customWidth="1"/>
    <col min="11814" max="12032" width="11.5546875" style="585"/>
    <col min="12033" max="12033" width="3" style="585" customWidth="1"/>
    <col min="12034" max="12034" width="50.6640625" style="585" customWidth="1"/>
    <col min="12035" max="12035" width="13.109375" style="585" customWidth="1"/>
    <col min="12036" max="12036" width="18.5546875" style="585" customWidth="1"/>
    <col min="12037" max="12037" width="10.88671875" style="585" customWidth="1"/>
    <col min="12038" max="12038" width="9.6640625" style="585" customWidth="1"/>
    <col min="12039" max="12039" width="11.6640625" style="585" customWidth="1"/>
    <col min="12040" max="12040" width="15.33203125" style="585" customWidth="1"/>
    <col min="12041" max="12041" width="18" style="585" customWidth="1"/>
    <col min="12042" max="12042" width="11.88671875" style="585" customWidth="1"/>
    <col min="12043" max="12049" width="9.6640625" style="585" customWidth="1"/>
    <col min="12050" max="12050" width="4.109375" style="585" customWidth="1"/>
    <col min="12051" max="12051" width="4.33203125" style="585" customWidth="1"/>
    <col min="12052" max="12052" width="17.33203125" style="585" customWidth="1"/>
    <col min="12053" max="12069" width="9.109375" style="585" customWidth="1"/>
    <col min="12070" max="12288" width="11.5546875" style="585"/>
    <col min="12289" max="12289" width="3" style="585" customWidth="1"/>
    <col min="12290" max="12290" width="50.6640625" style="585" customWidth="1"/>
    <col min="12291" max="12291" width="13.109375" style="585" customWidth="1"/>
    <col min="12292" max="12292" width="18.5546875" style="585" customWidth="1"/>
    <col min="12293" max="12293" width="10.88671875" style="585" customWidth="1"/>
    <col min="12294" max="12294" width="9.6640625" style="585" customWidth="1"/>
    <col min="12295" max="12295" width="11.6640625" style="585" customWidth="1"/>
    <col min="12296" max="12296" width="15.33203125" style="585" customWidth="1"/>
    <col min="12297" max="12297" width="18" style="585" customWidth="1"/>
    <col min="12298" max="12298" width="11.88671875" style="585" customWidth="1"/>
    <col min="12299" max="12305" width="9.6640625" style="585" customWidth="1"/>
    <col min="12306" max="12306" width="4.109375" style="585" customWidth="1"/>
    <col min="12307" max="12307" width="4.33203125" style="585" customWidth="1"/>
    <col min="12308" max="12308" width="17.33203125" style="585" customWidth="1"/>
    <col min="12309" max="12325" width="9.109375" style="585" customWidth="1"/>
    <col min="12326" max="12544" width="11.5546875" style="585"/>
    <col min="12545" max="12545" width="3" style="585" customWidth="1"/>
    <col min="12546" max="12546" width="50.6640625" style="585" customWidth="1"/>
    <col min="12547" max="12547" width="13.109375" style="585" customWidth="1"/>
    <col min="12548" max="12548" width="18.5546875" style="585" customWidth="1"/>
    <col min="12549" max="12549" width="10.88671875" style="585" customWidth="1"/>
    <col min="12550" max="12550" width="9.6640625" style="585" customWidth="1"/>
    <col min="12551" max="12551" width="11.6640625" style="585" customWidth="1"/>
    <col min="12552" max="12552" width="15.33203125" style="585" customWidth="1"/>
    <col min="12553" max="12553" width="18" style="585" customWidth="1"/>
    <col min="12554" max="12554" width="11.88671875" style="585" customWidth="1"/>
    <col min="12555" max="12561" width="9.6640625" style="585" customWidth="1"/>
    <col min="12562" max="12562" width="4.109375" style="585" customWidth="1"/>
    <col min="12563" max="12563" width="4.33203125" style="585" customWidth="1"/>
    <col min="12564" max="12564" width="17.33203125" style="585" customWidth="1"/>
    <col min="12565" max="12581" width="9.109375" style="585" customWidth="1"/>
    <col min="12582" max="12800" width="11.5546875" style="585"/>
    <col min="12801" max="12801" width="3" style="585" customWidth="1"/>
    <col min="12802" max="12802" width="50.6640625" style="585" customWidth="1"/>
    <col min="12803" max="12803" width="13.109375" style="585" customWidth="1"/>
    <col min="12804" max="12804" width="18.5546875" style="585" customWidth="1"/>
    <col min="12805" max="12805" width="10.88671875" style="585" customWidth="1"/>
    <col min="12806" max="12806" width="9.6640625" style="585" customWidth="1"/>
    <col min="12807" max="12807" width="11.6640625" style="585" customWidth="1"/>
    <col min="12808" max="12808" width="15.33203125" style="585" customWidth="1"/>
    <col min="12809" max="12809" width="18" style="585" customWidth="1"/>
    <col min="12810" max="12810" width="11.88671875" style="585" customWidth="1"/>
    <col min="12811" max="12817" width="9.6640625" style="585" customWidth="1"/>
    <col min="12818" max="12818" width="4.109375" style="585" customWidth="1"/>
    <col min="12819" max="12819" width="4.33203125" style="585" customWidth="1"/>
    <col min="12820" max="12820" width="17.33203125" style="585" customWidth="1"/>
    <col min="12821" max="12837" width="9.109375" style="585" customWidth="1"/>
    <col min="12838" max="13056" width="11.5546875" style="585"/>
    <col min="13057" max="13057" width="3" style="585" customWidth="1"/>
    <col min="13058" max="13058" width="50.6640625" style="585" customWidth="1"/>
    <col min="13059" max="13059" width="13.109375" style="585" customWidth="1"/>
    <col min="13060" max="13060" width="18.5546875" style="585" customWidth="1"/>
    <col min="13061" max="13061" width="10.88671875" style="585" customWidth="1"/>
    <col min="13062" max="13062" width="9.6640625" style="585" customWidth="1"/>
    <col min="13063" max="13063" width="11.6640625" style="585" customWidth="1"/>
    <col min="13064" max="13064" width="15.33203125" style="585" customWidth="1"/>
    <col min="13065" max="13065" width="18" style="585" customWidth="1"/>
    <col min="13066" max="13066" width="11.88671875" style="585" customWidth="1"/>
    <col min="13067" max="13073" width="9.6640625" style="585" customWidth="1"/>
    <col min="13074" max="13074" width="4.109375" style="585" customWidth="1"/>
    <col min="13075" max="13075" width="4.33203125" style="585" customWidth="1"/>
    <col min="13076" max="13076" width="17.33203125" style="585" customWidth="1"/>
    <col min="13077" max="13093" width="9.109375" style="585" customWidth="1"/>
    <col min="13094" max="13312" width="11.5546875" style="585"/>
    <col min="13313" max="13313" width="3" style="585" customWidth="1"/>
    <col min="13314" max="13314" width="50.6640625" style="585" customWidth="1"/>
    <col min="13315" max="13315" width="13.109375" style="585" customWidth="1"/>
    <col min="13316" max="13316" width="18.5546875" style="585" customWidth="1"/>
    <col min="13317" max="13317" width="10.88671875" style="585" customWidth="1"/>
    <col min="13318" max="13318" width="9.6640625" style="585" customWidth="1"/>
    <col min="13319" max="13319" width="11.6640625" style="585" customWidth="1"/>
    <col min="13320" max="13320" width="15.33203125" style="585" customWidth="1"/>
    <col min="13321" max="13321" width="18" style="585" customWidth="1"/>
    <col min="13322" max="13322" width="11.88671875" style="585" customWidth="1"/>
    <col min="13323" max="13329" width="9.6640625" style="585" customWidth="1"/>
    <col min="13330" max="13330" width="4.109375" style="585" customWidth="1"/>
    <col min="13331" max="13331" width="4.33203125" style="585" customWidth="1"/>
    <col min="13332" max="13332" width="17.33203125" style="585" customWidth="1"/>
    <col min="13333" max="13349" width="9.109375" style="585" customWidth="1"/>
    <col min="13350" max="13568" width="11.5546875" style="585"/>
    <col min="13569" max="13569" width="3" style="585" customWidth="1"/>
    <col min="13570" max="13570" width="50.6640625" style="585" customWidth="1"/>
    <col min="13571" max="13571" width="13.109375" style="585" customWidth="1"/>
    <col min="13572" max="13572" width="18.5546875" style="585" customWidth="1"/>
    <col min="13573" max="13573" width="10.88671875" style="585" customWidth="1"/>
    <col min="13574" max="13574" width="9.6640625" style="585" customWidth="1"/>
    <col min="13575" max="13575" width="11.6640625" style="585" customWidth="1"/>
    <col min="13576" max="13576" width="15.33203125" style="585" customWidth="1"/>
    <col min="13577" max="13577" width="18" style="585" customWidth="1"/>
    <col min="13578" max="13578" width="11.88671875" style="585" customWidth="1"/>
    <col min="13579" max="13585" width="9.6640625" style="585" customWidth="1"/>
    <col min="13586" max="13586" width="4.109375" style="585" customWidth="1"/>
    <col min="13587" max="13587" width="4.33203125" style="585" customWidth="1"/>
    <col min="13588" max="13588" width="17.33203125" style="585" customWidth="1"/>
    <col min="13589" max="13605" width="9.109375" style="585" customWidth="1"/>
    <col min="13606" max="13824" width="11.5546875" style="585"/>
    <col min="13825" max="13825" width="3" style="585" customWidth="1"/>
    <col min="13826" max="13826" width="50.6640625" style="585" customWidth="1"/>
    <col min="13827" max="13827" width="13.109375" style="585" customWidth="1"/>
    <col min="13828" max="13828" width="18.5546875" style="585" customWidth="1"/>
    <col min="13829" max="13829" width="10.88671875" style="585" customWidth="1"/>
    <col min="13830" max="13830" width="9.6640625" style="585" customWidth="1"/>
    <col min="13831" max="13831" width="11.6640625" style="585" customWidth="1"/>
    <col min="13832" max="13832" width="15.33203125" style="585" customWidth="1"/>
    <col min="13833" max="13833" width="18" style="585" customWidth="1"/>
    <col min="13834" max="13834" width="11.88671875" style="585" customWidth="1"/>
    <col min="13835" max="13841" width="9.6640625" style="585" customWidth="1"/>
    <col min="13842" max="13842" width="4.109375" style="585" customWidth="1"/>
    <col min="13843" max="13843" width="4.33203125" style="585" customWidth="1"/>
    <col min="13844" max="13844" width="17.33203125" style="585" customWidth="1"/>
    <col min="13845" max="13861" width="9.109375" style="585" customWidth="1"/>
    <col min="13862" max="14080" width="11.5546875" style="585"/>
    <col min="14081" max="14081" width="3" style="585" customWidth="1"/>
    <col min="14082" max="14082" width="50.6640625" style="585" customWidth="1"/>
    <col min="14083" max="14083" width="13.109375" style="585" customWidth="1"/>
    <col min="14084" max="14084" width="18.5546875" style="585" customWidth="1"/>
    <col min="14085" max="14085" width="10.88671875" style="585" customWidth="1"/>
    <col min="14086" max="14086" width="9.6640625" style="585" customWidth="1"/>
    <col min="14087" max="14087" width="11.6640625" style="585" customWidth="1"/>
    <col min="14088" max="14088" width="15.33203125" style="585" customWidth="1"/>
    <col min="14089" max="14089" width="18" style="585" customWidth="1"/>
    <col min="14090" max="14090" width="11.88671875" style="585" customWidth="1"/>
    <col min="14091" max="14097" width="9.6640625" style="585" customWidth="1"/>
    <col min="14098" max="14098" width="4.109375" style="585" customWidth="1"/>
    <col min="14099" max="14099" width="4.33203125" style="585" customWidth="1"/>
    <col min="14100" max="14100" width="17.33203125" style="585" customWidth="1"/>
    <col min="14101" max="14117" width="9.109375" style="585" customWidth="1"/>
    <col min="14118" max="14336" width="11.5546875" style="585"/>
    <col min="14337" max="14337" width="3" style="585" customWidth="1"/>
    <col min="14338" max="14338" width="50.6640625" style="585" customWidth="1"/>
    <col min="14339" max="14339" width="13.109375" style="585" customWidth="1"/>
    <col min="14340" max="14340" width="18.5546875" style="585" customWidth="1"/>
    <col min="14341" max="14341" width="10.88671875" style="585" customWidth="1"/>
    <col min="14342" max="14342" width="9.6640625" style="585" customWidth="1"/>
    <col min="14343" max="14343" width="11.6640625" style="585" customWidth="1"/>
    <col min="14344" max="14344" width="15.33203125" style="585" customWidth="1"/>
    <col min="14345" max="14345" width="18" style="585" customWidth="1"/>
    <col min="14346" max="14346" width="11.88671875" style="585" customWidth="1"/>
    <col min="14347" max="14353" width="9.6640625" style="585" customWidth="1"/>
    <col min="14354" max="14354" width="4.109375" style="585" customWidth="1"/>
    <col min="14355" max="14355" width="4.33203125" style="585" customWidth="1"/>
    <col min="14356" max="14356" width="17.33203125" style="585" customWidth="1"/>
    <col min="14357" max="14373" width="9.109375" style="585" customWidth="1"/>
    <col min="14374" max="14592" width="11.5546875" style="585"/>
    <col min="14593" max="14593" width="3" style="585" customWidth="1"/>
    <col min="14594" max="14594" width="50.6640625" style="585" customWidth="1"/>
    <col min="14595" max="14595" width="13.109375" style="585" customWidth="1"/>
    <col min="14596" max="14596" width="18.5546875" style="585" customWidth="1"/>
    <col min="14597" max="14597" width="10.88671875" style="585" customWidth="1"/>
    <col min="14598" max="14598" width="9.6640625" style="585" customWidth="1"/>
    <col min="14599" max="14599" width="11.6640625" style="585" customWidth="1"/>
    <col min="14600" max="14600" width="15.33203125" style="585" customWidth="1"/>
    <col min="14601" max="14601" width="18" style="585" customWidth="1"/>
    <col min="14602" max="14602" width="11.88671875" style="585" customWidth="1"/>
    <col min="14603" max="14609" width="9.6640625" style="585" customWidth="1"/>
    <col min="14610" max="14610" width="4.109375" style="585" customWidth="1"/>
    <col min="14611" max="14611" width="4.33203125" style="585" customWidth="1"/>
    <col min="14612" max="14612" width="17.33203125" style="585" customWidth="1"/>
    <col min="14613" max="14629" width="9.109375" style="585" customWidth="1"/>
    <col min="14630" max="14848" width="11.5546875" style="585"/>
    <col min="14849" max="14849" width="3" style="585" customWidth="1"/>
    <col min="14850" max="14850" width="50.6640625" style="585" customWidth="1"/>
    <col min="14851" max="14851" width="13.109375" style="585" customWidth="1"/>
    <col min="14852" max="14852" width="18.5546875" style="585" customWidth="1"/>
    <col min="14853" max="14853" width="10.88671875" style="585" customWidth="1"/>
    <col min="14854" max="14854" width="9.6640625" style="585" customWidth="1"/>
    <col min="14855" max="14855" width="11.6640625" style="585" customWidth="1"/>
    <col min="14856" max="14856" width="15.33203125" style="585" customWidth="1"/>
    <col min="14857" max="14857" width="18" style="585" customWidth="1"/>
    <col min="14858" max="14858" width="11.88671875" style="585" customWidth="1"/>
    <col min="14859" max="14865" width="9.6640625" style="585" customWidth="1"/>
    <col min="14866" max="14866" width="4.109375" style="585" customWidth="1"/>
    <col min="14867" max="14867" width="4.33203125" style="585" customWidth="1"/>
    <col min="14868" max="14868" width="17.33203125" style="585" customWidth="1"/>
    <col min="14869" max="14885" width="9.109375" style="585" customWidth="1"/>
    <col min="14886" max="15104" width="11.5546875" style="585"/>
    <col min="15105" max="15105" width="3" style="585" customWidth="1"/>
    <col min="15106" max="15106" width="50.6640625" style="585" customWidth="1"/>
    <col min="15107" max="15107" width="13.109375" style="585" customWidth="1"/>
    <col min="15108" max="15108" width="18.5546875" style="585" customWidth="1"/>
    <col min="15109" max="15109" width="10.88671875" style="585" customWidth="1"/>
    <col min="15110" max="15110" width="9.6640625" style="585" customWidth="1"/>
    <col min="15111" max="15111" width="11.6640625" style="585" customWidth="1"/>
    <col min="15112" max="15112" width="15.33203125" style="585" customWidth="1"/>
    <col min="15113" max="15113" width="18" style="585" customWidth="1"/>
    <col min="15114" max="15114" width="11.88671875" style="585" customWidth="1"/>
    <col min="15115" max="15121" width="9.6640625" style="585" customWidth="1"/>
    <col min="15122" max="15122" width="4.109375" style="585" customWidth="1"/>
    <col min="15123" max="15123" width="4.33203125" style="585" customWidth="1"/>
    <col min="15124" max="15124" width="17.33203125" style="585" customWidth="1"/>
    <col min="15125" max="15141" width="9.109375" style="585" customWidth="1"/>
    <col min="15142" max="15360" width="11.5546875" style="585"/>
    <col min="15361" max="15361" width="3" style="585" customWidth="1"/>
    <col min="15362" max="15362" width="50.6640625" style="585" customWidth="1"/>
    <col min="15363" max="15363" width="13.109375" style="585" customWidth="1"/>
    <col min="15364" max="15364" width="18.5546875" style="585" customWidth="1"/>
    <col min="15365" max="15365" width="10.88671875" style="585" customWidth="1"/>
    <col min="15366" max="15366" width="9.6640625" style="585" customWidth="1"/>
    <col min="15367" max="15367" width="11.6640625" style="585" customWidth="1"/>
    <col min="15368" max="15368" width="15.33203125" style="585" customWidth="1"/>
    <col min="15369" max="15369" width="18" style="585" customWidth="1"/>
    <col min="15370" max="15370" width="11.88671875" style="585" customWidth="1"/>
    <col min="15371" max="15377" width="9.6640625" style="585" customWidth="1"/>
    <col min="15378" max="15378" width="4.109375" style="585" customWidth="1"/>
    <col min="15379" max="15379" width="4.33203125" style="585" customWidth="1"/>
    <col min="15380" max="15380" width="17.33203125" style="585" customWidth="1"/>
    <col min="15381" max="15397" width="9.109375" style="585" customWidth="1"/>
    <col min="15398" max="15616" width="11.5546875" style="585"/>
    <col min="15617" max="15617" width="3" style="585" customWidth="1"/>
    <col min="15618" max="15618" width="50.6640625" style="585" customWidth="1"/>
    <col min="15619" max="15619" width="13.109375" style="585" customWidth="1"/>
    <col min="15620" max="15620" width="18.5546875" style="585" customWidth="1"/>
    <col min="15621" max="15621" width="10.88671875" style="585" customWidth="1"/>
    <col min="15622" max="15622" width="9.6640625" style="585" customWidth="1"/>
    <col min="15623" max="15623" width="11.6640625" style="585" customWidth="1"/>
    <col min="15624" max="15624" width="15.33203125" style="585" customWidth="1"/>
    <col min="15625" max="15625" width="18" style="585" customWidth="1"/>
    <col min="15626" max="15626" width="11.88671875" style="585" customWidth="1"/>
    <col min="15627" max="15633" width="9.6640625" style="585" customWidth="1"/>
    <col min="15634" max="15634" width="4.109375" style="585" customWidth="1"/>
    <col min="15635" max="15635" width="4.33203125" style="585" customWidth="1"/>
    <col min="15636" max="15636" width="17.33203125" style="585" customWidth="1"/>
    <col min="15637" max="15653" width="9.109375" style="585" customWidth="1"/>
    <col min="15654" max="15872" width="11.5546875" style="585"/>
    <col min="15873" max="15873" width="3" style="585" customWidth="1"/>
    <col min="15874" max="15874" width="50.6640625" style="585" customWidth="1"/>
    <col min="15875" max="15875" width="13.109375" style="585" customWidth="1"/>
    <col min="15876" max="15876" width="18.5546875" style="585" customWidth="1"/>
    <col min="15877" max="15877" width="10.88671875" style="585" customWidth="1"/>
    <col min="15878" max="15878" width="9.6640625" style="585" customWidth="1"/>
    <col min="15879" max="15879" width="11.6640625" style="585" customWidth="1"/>
    <col min="15880" max="15880" width="15.33203125" style="585" customWidth="1"/>
    <col min="15881" max="15881" width="18" style="585" customWidth="1"/>
    <col min="15882" max="15882" width="11.88671875" style="585" customWidth="1"/>
    <col min="15883" max="15889" width="9.6640625" style="585" customWidth="1"/>
    <col min="15890" max="15890" width="4.109375" style="585" customWidth="1"/>
    <col min="15891" max="15891" width="4.33203125" style="585" customWidth="1"/>
    <col min="15892" max="15892" width="17.33203125" style="585" customWidth="1"/>
    <col min="15893" max="15909" width="9.109375" style="585" customWidth="1"/>
    <col min="15910" max="16128" width="11.5546875" style="585"/>
    <col min="16129" max="16129" width="3" style="585" customWidth="1"/>
    <col min="16130" max="16130" width="50.6640625" style="585" customWidth="1"/>
    <col min="16131" max="16131" width="13.109375" style="585" customWidth="1"/>
    <col min="16132" max="16132" width="18.5546875" style="585" customWidth="1"/>
    <col min="16133" max="16133" width="10.88671875" style="585" customWidth="1"/>
    <col min="16134" max="16134" width="9.6640625" style="585" customWidth="1"/>
    <col min="16135" max="16135" width="11.6640625" style="585" customWidth="1"/>
    <col min="16136" max="16136" width="15.33203125" style="585" customWidth="1"/>
    <col min="16137" max="16137" width="18" style="585" customWidth="1"/>
    <col min="16138" max="16138" width="11.88671875" style="585" customWidth="1"/>
    <col min="16139" max="16145" width="9.6640625" style="585" customWidth="1"/>
    <col min="16146" max="16146" width="4.109375" style="585" customWidth="1"/>
    <col min="16147" max="16147" width="4.33203125" style="585" customWidth="1"/>
    <col min="16148" max="16148" width="17.33203125" style="585" customWidth="1"/>
    <col min="16149" max="16165" width="9.109375" style="585" customWidth="1"/>
    <col min="16166" max="16384" width="11.5546875" style="585"/>
  </cols>
  <sheetData>
    <row r="1" spans="1:35" ht="44.4">
      <c r="A1" s="701" t="s">
        <v>614</v>
      </c>
    </row>
    <row r="2" spans="1:35">
      <c r="D2" s="702"/>
    </row>
    <row r="3" spans="1:35" ht="17.399999999999999">
      <c r="A3" s="589"/>
      <c r="B3" s="703" t="s">
        <v>376</v>
      </c>
      <c r="C3" s="589"/>
      <c r="D3" s="704"/>
      <c r="E3" s="589"/>
      <c r="F3" s="589"/>
      <c r="G3" s="589"/>
      <c r="H3" s="588"/>
      <c r="J3" s="588"/>
      <c r="T3" s="922"/>
    </row>
    <row r="4" spans="1:35">
      <c r="H4" s="588"/>
      <c r="J4" s="588"/>
    </row>
    <row r="5" spans="1:35">
      <c r="H5" s="588"/>
      <c r="J5" s="588"/>
    </row>
    <row r="6" spans="1:35">
      <c r="B6" s="705" t="s">
        <v>378</v>
      </c>
      <c r="C6" s="585" t="s">
        <v>379</v>
      </c>
      <c r="D6" s="839">
        <f>Datenblatt!M6</f>
        <v>1</v>
      </c>
      <c r="F6" s="705" t="str">
        <f>INDEX(U66:U77,GebKat)</f>
        <v>I:   Wohnen MFH</v>
      </c>
      <c r="H6" s="588"/>
      <c r="J6" s="588"/>
    </row>
    <row r="7" spans="1:35">
      <c r="B7" s="705" t="s">
        <v>380</v>
      </c>
      <c r="C7" s="585" t="s">
        <v>30</v>
      </c>
      <c r="D7" s="706" t="s">
        <v>196</v>
      </c>
      <c r="H7" s="588"/>
      <c r="J7" s="588"/>
    </row>
    <row r="8" spans="1:35" ht="15.6">
      <c r="B8" s="854" t="s">
        <v>373</v>
      </c>
      <c r="C8" s="585" t="s">
        <v>650</v>
      </c>
      <c r="D8" s="836">
        <f>Datenblatt!M11</f>
        <v>144</v>
      </c>
      <c r="E8" s="585" t="s">
        <v>273</v>
      </c>
      <c r="H8" s="588"/>
      <c r="J8" s="588"/>
    </row>
    <row r="9" spans="1:35" ht="15.6">
      <c r="B9" s="705" t="s">
        <v>381</v>
      </c>
      <c r="C9" s="585" t="s">
        <v>651</v>
      </c>
      <c r="D9" s="836">
        <f>Datenblatt!M12</f>
        <v>112.94117647058823</v>
      </c>
      <c r="E9" s="585" t="s">
        <v>273</v>
      </c>
      <c r="H9" s="588"/>
      <c r="J9" s="588"/>
    </row>
    <row r="10" spans="1:35" ht="15.6">
      <c r="B10" s="705" t="s">
        <v>382</v>
      </c>
      <c r="C10" s="585" t="s">
        <v>652</v>
      </c>
      <c r="D10" s="831">
        <f>D9/AE*0.9</f>
        <v>0.70588235294117652</v>
      </c>
      <c r="H10" s="588"/>
      <c r="J10" s="588"/>
    </row>
    <row r="11" spans="1:35">
      <c r="B11" s="705" t="s">
        <v>383</v>
      </c>
      <c r="C11" s="585" t="s">
        <v>384</v>
      </c>
      <c r="D11" s="831">
        <f>D16/EBF</f>
        <v>0.26143790849673204</v>
      </c>
      <c r="H11" s="588"/>
      <c r="J11" s="588"/>
    </row>
    <row r="12" spans="1:35">
      <c r="B12" s="705" t="s">
        <v>385</v>
      </c>
      <c r="C12" s="585" t="s">
        <v>386</v>
      </c>
      <c r="D12" s="1010">
        <f>D16/(E4beheizt+D16)</f>
        <v>0.33333333333333337</v>
      </c>
      <c r="H12" s="588"/>
      <c r="J12" s="588"/>
    </row>
    <row r="13" spans="1:35" ht="15">
      <c r="B13" s="708" t="s">
        <v>147</v>
      </c>
      <c r="C13" s="707"/>
      <c r="D13" s="709" t="s">
        <v>387</v>
      </c>
      <c r="E13" s="709" t="s">
        <v>30</v>
      </c>
      <c r="F13" s="707" t="s">
        <v>63</v>
      </c>
      <c r="G13" s="707" t="s">
        <v>356</v>
      </c>
      <c r="H13" s="588"/>
      <c r="J13" s="588"/>
    </row>
    <row r="14" spans="1:35">
      <c r="B14" s="705" t="s">
        <v>388</v>
      </c>
      <c r="C14" s="585" t="s">
        <v>389</v>
      </c>
      <c r="D14" s="830">
        <v>0</v>
      </c>
      <c r="E14" s="833">
        <v>0</v>
      </c>
      <c r="H14" s="588"/>
      <c r="J14" s="588"/>
      <c r="AI14" s="588"/>
    </row>
    <row r="15" spans="1:35">
      <c r="B15" s="464" t="s">
        <v>390</v>
      </c>
      <c r="C15" s="585" t="s">
        <v>391</v>
      </c>
      <c r="D15" s="832">
        <f>D9-D16</f>
        <v>75.294117647058812</v>
      </c>
      <c r="E15" s="837">
        <f>Datenblatt!M16*1.1</f>
        <v>0.18700000000000003</v>
      </c>
      <c r="F15" s="837">
        <f>Datenblatt!N16*1.1</f>
        <v>0.11000000000000001</v>
      </c>
      <c r="G15" s="851">
        <f>Datenblatt!O16*1.1</f>
        <v>0.88000000000000012</v>
      </c>
      <c r="H15" s="588"/>
      <c r="J15" s="588"/>
      <c r="AI15" s="588"/>
    </row>
    <row r="16" spans="1:35">
      <c r="B16" s="705" t="s">
        <v>392</v>
      </c>
      <c r="C16" s="585" t="s">
        <v>393</v>
      </c>
      <c r="D16" s="832">
        <f>SUM(D17:D20)</f>
        <v>37.647058823529413</v>
      </c>
      <c r="E16" s="837">
        <f>Datenblatt!M17*1.1</f>
        <v>1.32</v>
      </c>
      <c r="F16" s="837">
        <f>Datenblatt!N17*1.1</f>
        <v>0.9900000000000001</v>
      </c>
      <c r="G16" s="851">
        <f>Datenblatt!O17*1.1</f>
        <v>1.6500000000000001</v>
      </c>
      <c r="AI16" s="588"/>
    </row>
    <row r="17" spans="2:7">
      <c r="B17" s="705" t="s">
        <v>394</v>
      </c>
      <c r="D17" s="835">
        <f>Datenblatt!M$78*(Datenblatt!M$11)/(Datenblatt!M$18)*0</f>
        <v>0</v>
      </c>
      <c r="E17" s="710"/>
      <c r="F17" s="837">
        <v>1</v>
      </c>
    </row>
    <row r="18" spans="2:7">
      <c r="B18" s="705" t="s">
        <v>395</v>
      </c>
      <c r="D18" s="835">
        <f>Datenblatt!M$78*(Datenblatt!M$11)/(Datenblatt!M$18)*0</f>
        <v>0</v>
      </c>
      <c r="E18" s="710"/>
      <c r="F18" s="837">
        <v>1</v>
      </c>
    </row>
    <row r="19" spans="2:7">
      <c r="B19" s="705" t="s">
        <v>396</v>
      </c>
      <c r="D19" s="835">
        <f>Datenblatt!M$78*(Datenblatt!M$11)/(Datenblatt!M$18)*0</f>
        <v>0</v>
      </c>
      <c r="E19" s="710"/>
      <c r="F19" s="837">
        <v>1</v>
      </c>
    </row>
    <row r="20" spans="2:7">
      <c r="B20" s="705" t="s">
        <v>397</v>
      </c>
      <c r="D20" s="835">
        <f>Datenblatt!M$78*(Datenblatt!M$11)/(Datenblatt!M$18)*1</f>
        <v>37.647058823529413</v>
      </c>
      <c r="E20" s="710"/>
      <c r="F20" s="837">
        <v>1</v>
      </c>
    </row>
    <row r="21" spans="2:7">
      <c r="B21" s="705" t="s">
        <v>398</v>
      </c>
      <c r="D21" s="830">
        <v>0</v>
      </c>
      <c r="E21" s="710"/>
      <c r="F21" s="833">
        <v>0</v>
      </c>
    </row>
    <row r="22" spans="2:7">
      <c r="B22" s="705" t="s">
        <v>399</v>
      </c>
      <c r="C22" s="585" t="s">
        <v>400</v>
      </c>
      <c r="D22" s="830">
        <v>0</v>
      </c>
      <c r="E22" s="833">
        <v>0</v>
      </c>
    </row>
    <row r="23" spans="2:7">
      <c r="B23" s="705" t="s">
        <v>401</v>
      </c>
      <c r="C23" s="585" t="s">
        <v>402</v>
      </c>
      <c r="D23" s="830">
        <v>0</v>
      </c>
      <c r="E23" s="833">
        <v>0</v>
      </c>
    </row>
    <row r="24" spans="2:7">
      <c r="E24" s="710"/>
      <c r="G24" s="592"/>
    </row>
    <row r="25" spans="2:7" ht="15">
      <c r="B25" s="712" t="s">
        <v>403</v>
      </c>
      <c r="F25" s="707" t="s">
        <v>63</v>
      </c>
      <c r="G25" s="707" t="s">
        <v>356</v>
      </c>
    </row>
    <row r="26" spans="2:7">
      <c r="B26" s="705" t="s">
        <v>404</v>
      </c>
      <c r="C26" s="585" t="s">
        <v>405</v>
      </c>
      <c r="D26" s="837">
        <f>Datenblatt!M173</f>
        <v>0.93058749999999513</v>
      </c>
      <c r="E26" s="585" t="s">
        <v>406</v>
      </c>
      <c r="F26" s="837">
        <f>Datenblatt!N173</f>
        <v>0.50262499999999788</v>
      </c>
      <c r="G26" s="837">
        <f>Datenblatt!O173</f>
        <v>2.4174999999999929</v>
      </c>
    </row>
    <row r="27" spans="2:7">
      <c r="B27" s="705" t="s">
        <v>407</v>
      </c>
      <c r="C27" s="705" t="s">
        <v>408</v>
      </c>
      <c r="D27" s="1008">
        <f>Datenblatt!M26*3600/1000000</f>
        <v>0.36575999999999997</v>
      </c>
      <c r="E27" s="585" t="s">
        <v>409</v>
      </c>
    </row>
    <row r="28" spans="2:7" ht="15.6">
      <c r="B28" s="705" t="s">
        <v>410</v>
      </c>
      <c r="C28" s="705" t="s">
        <v>618</v>
      </c>
      <c r="D28" s="1007">
        <f>Datenblatt!M18</f>
        <v>0.75</v>
      </c>
    </row>
    <row r="29" spans="2:7">
      <c r="B29" s="713" t="s">
        <v>411</v>
      </c>
      <c r="C29" s="585" t="s">
        <v>412</v>
      </c>
      <c r="D29" s="1004">
        <f>Datenblatt!M24</f>
        <v>0.5</v>
      </c>
      <c r="F29" s="1005">
        <f>Datenblatt!N24</f>
        <v>0.5</v>
      </c>
      <c r="G29" s="1005">
        <f>Datenblatt!O24</f>
        <v>0.65</v>
      </c>
    </row>
    <row r="30" spans="2:7">
      <c r="B30" s="705" t="s">
        <v>413</v>
      </c>
      <c r="C30" s="585" t="s">
        <v>414</v>
      </c>
      <c r="D30" s="1006">
        <f>Datenblatt!M19</f>
        <v>0.1</v>
      </c>
    </row>
    <row r="32" spans="2:7" ht="13.8">
      <c r="B32" s="712" t="s">
        <v>415</v>
      </c>
    </row>
    <row r="33" spans="2:10">
      <c r="B33" s="705" t="s">
        <v>417</v>
      </c>
      <c r="C33" s="705" t="s">
        <v>418</v>
      </c>
      <c r="D33" s="834">
        <f>Datenblatt!M172</f>
        <v>0.7</v>
      </c>
      <c r="E33" s="585" t="s">
        <v>406</v>
      </c>
    </row>
    <row r="34" spans="2:10">
      <c r="B34" s="705" t="s">
        <v>419</v>
      </c>
      <c r="C34" s="705"/>
      <c r="D34" s="834">
        <f>IF(Datenblatt!M30="",0,Datenblatt!M30)</f>
        <v>21</v>
      </c>
      <c r="E34" s="585" t="s">
        <v>3</v>
      </c>
    </row>
    <row r="35" spans="2:10">
      <c r="B35" s="705" t="s">
        <v>131</v>
      </c>
      <c r="C35" s="705" t="s">
        <v>420</v>
      </c>
      <c r="D35" s="834">
        <f>IF(Datenblatt!M54=0, 1000, Datenblatt!M54)</f>
        <v>5</v>
      </c>
      <c r="E35" s="585" t="s">
        <v>421</v>
      </c>
    </row>
    <row r="36" spans="2:10">
      <c r="B36" s="705" t="s">
        <v>423</v>
      </c>
      <c r="C36" s="705" t="s">
        <v>424</v>
      </c>
      <c r="D36" s="834">
        <f>Datenblatt!H58</f>
        <v>70</v>
      </c>
      <c r="E36" s="585" t="s">
        <v>425</v>
      </c>
    </row>
    <row r="37" spans="2:10" ht="15">
      <c r="B37" s="705" t="s">
        <v>427</v>
      </c>
      <c r="C37" s="705" t="s">
        <v>428</v>
      </c>
      <c r="D37" s="842">
        <f>INDEX(Z86:AK86,1,GebKat)</f>
        <v>12</v>
      </c>
      <c r="E37" s="585" t="s">
        <v>17</v>
      </c>
      <c r="F37" s="707" t="s">
        <v>63</v>
      </c>
      <c r="G37" s="707" t="s">
        <v>356</v>
      </c>
    </row>
    <row r="38" spans="2:10">
      <c r="B38" s="705" t="s">
        <v>693</v>
      </c>
      <c r="C38" s="705" t="s">
        <v>431</v>
      </c>
      <c r="D38" s="857">
        <f>(Datenblatt!M75+Datenblatt!M120)*3.6-IF(nutzid=13,(Datenblatt!M70-Datenblatt!M72)*Datenblatt!M74)/1000*3.6</f>
        <v>219.32804434589801</v>
      </c>
      <c r="E38" s="585" t="s">
        <v>345</v>
      </c>
      <c r="F38" s="858">
        <f>(Datenblatt!N75+Datenblatt!N120)*3.6-IF(nutzid=13,(Datenblatt!N70-Datenblatt!N72)*Datenblatt!N74)/1000*3.6</f>
        <v>115.04701672240802</v>
      </c>
      <c r="G38" s="858">
        <f>(Datenblatt!O75+Datenblatt!O120)*3.6-IF(nutzid=13,(Datenblatt!O70-Datenblatt!O72)*Datenblatt!O74)/1000*3.6</f>
        <v>305.440044345898</v>
      </c>
    </row>
    <row r="39" spans="2:10">
      <c r="B39" s="705" t="s">
        <v>433</v>
      </c>
      <c r="C39" s="705" t="s">
        <v>434</v>
      </c>
      <c r="D39" s="485">
        <v>1</v>
      </c>
    </row>
    <row r="40" spans="2:10">
      <c r="B40" s="705" t="s">
        <v>435</v>
      </c>
      <c r="C40" s="705" t="s">
        <v>436</v>
      </c>
      <c r="D40" s="840">
        <f>INDEX(Z90:AK90,1,GebKat)</f>
        <v>75</v>
      </c>
      <c r="E40" s="585" t="s">
        <v>345</v>
      </c>
    </row>
    <row r="41" spans="2:10">
      <c r="B41" s="705" t="s">
        <v>437</v>
      </c>
      <c r="C41" s="705" t="s">
        <v>438</v>
      </c>
      <c r="D41" s="859">
        <v>1</v>
      </c>
    </row>
    <row r="42" spans="2:10">
      <c r="B42" s="705" t="s">
        <v>439</v>
      </c>
      <c r="C42" s="705" t="s">
        <v>440</v>
      </c>
      <c r="D42" s="840">
        <f>INDEX(Z101:AK101,1,GebKat)</f>
        <v>15</v>
      </c>
      <c r="E42" s="585" t="s">
        <v>17</v>
      </c>
    </row>
    <row r="43" spans="2:10">
      <c r="B43" s="705" t="s">
        <v>435</v>
      </c>
      <c r="C43" s="705" t="s">
        <v>441</v>
      </c>
      <c r="D43" s="840">
        <f>INDEX(Z90:AK90,1,GebKat)</f>
        <v>75</v>
      </c>
      <c r="E43" s="585" t="s">
        <v>345</v>
      </c>
    </row>
    <row r="44" spans="2:10" ht="13.8">
      <c r="B44" s="716" t="s">
        <v>442</v>
      </c>
      <c r="C44" s="705"/>
      <c r="D44" s="706"/>
    </row>
    <row r="45" spans="2:10">
      <c r="B45" s="717" t="s">
        <v>443</v>
      </c>
      <c r="C45" s="705"/>
      <c r="D45" s="706"/>
    </row>
    <row r="46" spans="2:10">
      <c r="B46" s="718" t="s">
        <v>444</v>
      </c>
      <c r="C46" s="705"/>
      <c r="D46" s="706"/>
    </row>
    <row r="47" spans="2:10">
      <c r="B47" s="718" t="s">
        <v>445</v>
      </c>
      <c r="C47" s="705"/>
      <c r="D47" s="706"/>
      <c r="J47" s="588"/>
    </row>
    <row r="48" spans="2:10">
      <c r="B48" s="718" t="s">
        <v>446</v>
      </c>
      <c r="C48" s="705"/>
      <c r="D48" s="706"/>
      <c r="J48" s="588"/>
    </row>
    <row r="49" spans="1:37">
      <c r="B49" s="587" t="s">
        <v>377</v>
      </c>
      <c r="C49" s="705"/>
      <c r="D49" s="706"/>
      <c r="J49" s="588"/>
    </row>
    <row r="50" spans="1:37">
      <c r="A50" s="589"/>
      <c r="B50" s="719"/>
      <c r="C50" s="719"/>
      <c r="D50" s="720"/>
      <c r="E50" s="589"/>
      <c r="F50" s="589"/>
      <c r="G50" s="589"/>
      <c r="H50" s="589"/>
      <c r="I50" s="589"/>
      <c r="J50" s="590"/>
      <c r="K50" s="589"/>
      <c r="L50" s="589"/>
    </row>
    <row r="51" spans="1:37" ht="13.8">
      <c r="B51" s="716" t="s">
        <v>447</v>
      </c>
      <c r="J51" s="588"/>
    </row>
    <row r="52" spans="1:37" ht="15.6">
      <c r="B52" s="705" t="s">
        <v>448</v>
      </c>
      <c r="C52" s="585" t="s">
        <v>619</v>
      </c>
      <c r="D52" s="714">
        <v>1</v>
      </c>
      <c r="H52" s="847" t="s">
        <v>632</v>
      </c>
      <c r="I52" s="847"/>
      <c r="J52" s="848"/>
      <c r="K52" s="847"/>
      <c r="L52" s="847"/>
      <c r="M52" s="847"/>
    </row>
    <row r="53" spans="1:37">
      <c r="B53" s="705" t="s">
        <v>449</v>
      </c>
      <c r="C53" s="585" t="s">
        <v>450</v>
      </c>
      <c r="D53" s="714">
        <v>1</v>
      </c>
      <c r="H53" s="844"/>
      <c r="I53" s="585" t="s">
        <v>628</v>
      </c>
    </row>
    <row r="54" spans="1:37" ht="15.6">
      <c r="B54" s="705" t="s">
        <v>451</v>
      </c>
      <c r="C54" s="585" t="s">
        <v>620</v>
      </c>
      <c r="D54" s="714">
        <v>1</v>
      </c>
      <c r="H54" s="845"/>
      <c r="I54" s="585" t="s">
        <v>629</v>
      </c>
      <c r="J54" s="588"/>
    </row>
    <row r="55" spans="1:37">
      <c r="B55" s="721" t="s">
        <v>452</v>
      </c>
      <c r="C55" s="705" t="s">
        <v>453</v>
      </c>
      <c r="D55" s="715">
        <f>$D$34+Thetaig</f>
        <v>21</v>
      </c>
      <c r="E55" s="585" t="s">
        <v>3</v>
      </c>
      <c r="H55" s="843"/>
      <c r="I55" s="585" t="s">
        <v>630</v>
      </c>
      <c r="J55" s="588"/>
    </row>
    <row r="56" spans="1:37">
      <c r="B56" s="705" t="s">
        <v>454</v>
      </c>
      <c r="C56" s="705" t="s">
        <v>455</v>
      </c>
      <c r="D56" s="715">
        <v>2.5</v>
      </c>
      <c r="E56" s="585" t="s">
        <v>3</v>
      </c>
      <c r="H56" s="846"/>
      <c r="I56" s="585" t="s">
        <v>631</v>
      </c>
      <c r="J56" s="588"/>
    </row>
    <row r="57" spans="1:37">
      <c r="B57" s="705" t="s">
        <v>456</v>
      </c>
      <c r="C57" s="705" t="s">
        <v>457</v>
      </c>
      <c r="D57" s="714">
        <v>556</v>
      </c>
      <c r="E57" s="585" t="s">
        <v>35</v>
      </c>
      <c r="J57" s="588"/>
    </row>
    <row r="58" spans="1:37" ht="15.6">
      <c r="B58" s="705" t="s">
        <v>458</v>
      </c>
      <c r="C58" s="705" t="s">
        <v>621</v>
      </c>
      <c r="D58" s="714">
        <v>0.7</v>
      </c>
    </row>
    <row r="59" spans="1:37" ht="15.6">
      <c r="B59" s="705" t="s">
        <v>459</v>
      </c>
      <c r="C59" s="705" t="s">
        <v>622</v>
      </c>
      <c r="D59" s="714">
        <v>30</v>
      </c>
      <c r="E59" s="585" t="s">
        <v>3</v>
      </c>
      <c r="J59" s="588"/>
      <c r="L59" s="588"/>
    </row>
    <row r="60" spans="1:37" ht="15.6">
      <c r="B60" s="705" t="s">
        <v>460</v>
      </c>
      <c r="C60" s="705" t="s">
        <v>623</v>
      </c>
      <c r="D60" s="714">
        <v>0</v>
      </c>
      <c r="E60" s="585" t="s">
        <v>3</v>
      </c>
      <c r="J60" s="588"/>
    </row>
    <row r="61" spans="1:37">
      <c r="B61" s="591" t="s">
        <v>461</v>
      </c>
      <c r="C61" s="592" t="s">
        <v>462</v>
      </c>
      <c r="D61" s="593">
        <v>0</v>
      </c>
      <c r="E61" s="594">
        <f>IF(Standard="Minergie",U12,IF(Standard="Minergie-P",V12,W12))</f>
        <v>0</v>
      </c>
      <c r="F61" s="592" t="s">
        <v>463</v>
      </c>
    </row>
    <row r="62" spans="1:37">
      <c r="B62" s="591" t="s">
        <v>464</v>
      </c>
      <c r="C62" s="592" t="s">
        <v>465</v>
      </c>
      <c r="D62" s="593">
        <v>0</v>
      </c>
      <c r="E62" s="594">
        <f>IF(Standard="Minergie",U17,IF(Standard="Minergie-P",V17,W17))</f>
        <v>0</v>
      </c>
      <c r="F62" s="592" t="s">
        <v>463</v>
      </c>
    </row>
    <row r="63" spans="1:37">
      <c r="B63" s="591"/>
      <c r="C63" s="592"/>
      <c r="D63" s="593"/>
      <c r="E63" s="594"/>
      <c r="F63" s="592"/>
    </row>
    <row r="64" spans="1:37" ht="13.8" thickBot="1">
      <c r="D64" s="710">
        <v>1</v>
      </c>
      <c r="E64" s="710">
        <v>2</v>
      </c>
      <c r="F64" s="710">
        <v>3</v>
      </c>
      <c r="G64" s="710">
        <v>4</v>
      </c>
      <c r="H64" s="710">
        <v>5</v>
      </c>
      <c r="I64" s="710">
        <v>6</v>
      </c>
      <c r="J64" s="710">
        <v>7</v>
      </c>
      <c r="K64" s="710">
        <v>8</v>
      </c>
      <c r="L64" s="710">
        <v>9</v>
      </c>
      <c r="M64" s="710">
        <v>10</v>
      </c>
      <c r="N64" s="710">
        <v>11</v>
      </c>
      <c r="O64" s="710">
        <v>12</v>
      </c>
      <c r="T64" s="595" t="s">
        <v>466</v>
      </c>
      <c r="U64" s="596"/>
      <c r="V64" s="597"/>
      <c r="W64" s="722"/>
      <c r="X64" s="598"/>
      <c r="Y64" s="599" t="s">
        <v>467</v>
      </c>
      <c r="Z64" s="722"/>
      <c r="AA64" s="722"/>
      <c r="AB64" s="722"/>
      <c r="AC64" s="722"/>
      <c r="AD64" s="722"/>
      <c r="AE64" s="600"/>
      <c r="AF64" s="722"/>
      <c r="AG64" s="722"/>
      <c r="AH64" s="722"/>
      <c r="AI64" s="722"/>
      <c r="AJ64" s="722"/>
      <c r="AK64" s="723"/>
    </row>
    <row r="65" spans="2:37" ht="13.8" thickBot="1">
      <c r="B65" s="601" t="s">
        <v>468</v>
      </c>
      <c r="C65" s="724"/>
      <c r="D65" s="725" t="s">
        <v>50</v>
      </c>
      <c r="E65" s="725" t="s">
        <v>51</v>
      </c>
      <c r="F65" s="725" t="s">
        <v>469</v>
      </c>
      <c r="G65" s="725" t="s">
        <v>52</v>
      </c>
      <c r="H65" s="725" t="s">
        <v>53</v>
      </c>
      <c r="I65" s="725" t="s">
        <v>54</v>
      </c>
      <c r="J65" s="725" t="s">
        <v>55</v>
      </c>
      <c r="K65" s="725" t="s">
        <v>56</v>
      </c>
      <c r="L65" s="725" t="s">
        <v>57</v>
      </c>
      <c r="M65" s="725" t="s">
        <v>58</v>
      </c>
      <c r="N65" s="725" t="s">
        <v>59</v>
      </c>
      <c r="O65" s="726" t="s">
        <v>60</v>
      </c>
      <c r="P65" s="724" t="s">
        <v>470</v>
      </c>
      <c r="Q65" s="727"/>
      <c r="T65" s="728"/>
      <c r="U65" s="729"/>
      <c r="V65" s="602"/>
      <c r="W65" s="730"/>
      <c r="X65" s="603"/>
      <c r="Y65" s="731"/>
      <c r="Z65" s="730"/>
      <c r="AA65" s="730"/>
      <c r="AB65" s="730"/>
      <c r="AC65" s="730"/>
      <c r="AD65" s="730"/>
      <c r="AE65" s="604"/>
      <c r="AF65" s="730"/>
      <c r="AG65" s="730"/>
      <c r="AH65" s="730"/>
      <c r="AI65" s="730"/>
      <c r="AJ65" s="730"/>
      <c r="AK65" s="732"/>
    </row>
    <row r="66" spans="2:37">
      <c r="B66" s="615" t="s">
        <v>471</v>
      </c>
      <c r="D66" s="710">
        <v>31</v>
      </c>
      <c r="E66" s="710">
        <v>28</v>
      </c>
      <c r="F66" s="710">
        <v>31</v>
      </c>
      <c r="G66" s="710">
        <v>30</v>
      </c>
      <c r="H66" s="710">
        <v>31</v>
      </c>
      <c r="I66" s="710">
        <v>30</v>
      </c>
      <c r="J66" s="710">
        <v>31</v>
      </c>
      <c r="K66" s="710">
        <v>31</v>
      </c>
      <c r="L66" s="710">
        <v>30</v>
      </c>
      <c r="M66" s="710">
        <v>31</v>
      </c>
      <c r="N66" s="710">
        <v>30</v>
      </c>
      <c r="O66" s="733">
        <v>31</v>
      </c>
      <c r="P66" s="734"/>
      <c r="Q66" s="735" t="s">
        <v>472</v>
      </c>
      <c r="T66" s="605">
        <v>1</v>
      </c>
      <c r="U66" s="606" t="s">
        <v>473</v>
      </c>
      <c r="V66" s="736"/>
      <c r="W66" s="730"/>
      <c r="X66" s="737"/>
      <c r="Y66" s="608" t="s">
        <v>474</v>
      </c>
      <c r="Z66" s="738"/>
      <c r="AA66" s="738"/>
      <c r="AB66" s="738"/>
      <c r="AC66" s="738"/>
      <c r="AD66" s="738"/>
      <c r="AE66" s="607"/>
      <c r="AF66" s="738"/>
      <c r="AG66" s="738"/>
      <c r="AH66" s="738"/>
      <c r="AI66" s="738"/>
      <c r="AJ66" s="738"/>
      <c r="AK66" s="739"/>
    </row>
    <row r="67" spans="2:37">
      <c r="B67" s="740" t="s">
        <v>475</v>
      </c>
      <c r="D67" s="710">
        <v>0.4</v>
      </c>
      <c r="E67" s="710">
        <v>1.6</v>
      </c>
      <c r="F67" s="710">
        <v>5.5</v>
      </c>
      <c r="G67" s="710">
        <v>8.4</v>
      </c>
      <c r="H67" s="710">
        <v>13.4</v>
      </c>
      <c r="I67" s="710">
        <v>16.2</v>
      </c>
      <c r="J67" s="710">
        <v>18.399999999999999</v>
      </c>
      <c r="K67" s="710">
        <v>18.399999999999999</v>
      </c>
      <c r="L67" s="710">
        <v>14</v>
      </c>
      <c r="M67" s="710">
        <v>9.9</v>
      </c>
      <c r="N67" s="710">
        <v>4.2</v>
      </c>
      <c r="O67" s="733">
        <v>1.8</v>
      </c>
      <c r="P67" s="741">
        <v>9.4</v>
      </c>
      <c r="Q67" s="667" t="s">
        <v>3</v>
      </c>
      <c r="T67" s="605">
        <v>2</v>
      </c>
      <c r="U67" s="606" t="s">
        <v>476</v>
      </c>
      <c r="V67" s="736"/>
      <c r="W67" s="730"/>
      <c r="X67" s="737"/>
      <c r="Y67" s="608" t="s">
        <v>477</v>
      </c>
      <c r="Z67" s="738"/>
      <c r="AA67" s="738"/>
      <c r="AB67" s="738"/>
      <c r="AC67" s="738"/>
      <c r="AD67" s="738"/>
      <c r="AE67" s="607"/>
      <c r="AF67" s="738"/>
      <c r="AG67" s="738"/>
      <c r="AH67" s="738"/>
      <c r="AI67" s="738"/>
      <c r="AJ67" s="738"/>
      <c r="AK67" s="739"/>
    </row>
    <row r="68" spans="2:37">
      <c r="B68" s="740" t="s">
        <v>478</v>
      </c>
      <c r="D68" s="710">
        <v>104</v>
      </c>
      <c r="E68" s="710">
        <v>165</v>
      </c>
      <c r="F68" s="710">
        <v>311</v>
      </c>
      <c r="G68" s="710">
        <v>417</v>
      </c>
      <c r="H68" s="710">
        <v>536</v>
      </c>
      <c r="I68" s="710">
        <v>570</v>
      </c>
      <c r="J68" s="710">
        <v>595</v>
      </c>
      <c r="K68" s="710">
        <v>522</v>
      </c>
      <c r="L68" s="710">
        <v>355</v>
      </c>
      <c r="M68" s="710">
        <v>214</v>
      </c>
      <c r="N68" s="710">
        <v>109</v>
      </c>
      <c r="O68" s="733">
        <v>80</v>
      </c>
      <c r="P68" s="741">
        <v>3978</v>
      </c>
      <c r="Q68" s="667" t="s">
        <v>479</v>
      </c>
      <c r="T68" s="605">
        <v>3</v>
      </c>
      <c r="U68" s="606" t="s">
        <v>480</v>
      </c>
      <c r="V68" s="736"/>
      <c r="W68" s="730"/>
      <c r="X68" s="737"/>
      <c r="Y68" s="608" t="s">
        <v>481</v>
      </c>
      <c r="Z68" s="738"/>
      <c r="AA68" s="738"/>
      <c r="AB68" s="738"/>
      <c r="AC68" s="738"/>
      <c r="AD68" s="738"/>
      <c r="AE68" s="607"/>
      <c r="AF68" s="738"/>
      <c r="AG68" s="738"/>
      <c r="AH68" s="738"/>
      <c r="AI68" s="738"/>
      <c r="AJ68" s="738"/>
      <c r="AK68" s="739"/>
    </row>
    <row r="69" spans="2:37">
      <c r="B69" s="740" t="s">
        <v>482</v>
      </c>
      <c r="D69" s="710">
        <v>177</v>
      </c>
      <c r="E69" s="710">
        <v>235</v>
      </c>
      <c r="F69" s="710">
        <v>313</v>
      </c>
      <c r="G69" s="710">
        <v>290</v>
      </c>
      <c r="H69" s="710">
        <v>284</v>
      </c>
      <c r="I69" s="710">
        <v>270</v>
      </c>
      <c r="J69" s="710">
        <v>297</v>
      </c>
      <c r="K69" s="710">
        <v>332</v>
      </c>
      <c r="L69" s="710">
        <v>311</v>
      </c>
      <c r="M69" s="710">
        <v>254</v>
      </c>
      <c r="N69" s="710">
        <v>158</v>
      </c>
      <c r="O69" s="733">
        <v>137</v>
      </c>
      <c r="P69" s="741">
        <v>3058</v>
      </c>
      <c r="Q69" s="667" t="s">
        <v>479</v>
      </c>
      <c r="T69" s="605">
        <v>4</v>
      </c>
      <c r="U69" s="606" t="s">
        <v>483</v>
      </c>
      <c r="V69" s="736"/>
      <c r="W69" s="730"/>
      <c r="X69" s="737"/>
      <c r="Y69" s="608" t="s">
        <v>484</v>
      </c>
      <c r="Z69" s="738"/>
      <c r="AA69" s="738"/>
      <c r="AB69" s="738"/>
      <c r="AC69" s="738"/>
      <c r="AD69" s="738"/>
      <c r="AE69" s="607"/>
      <c r="AF69" s="738"/>
      <c r="AG69" s="738"/>
      <c r="AH69" s="738"/>
      <c r="AI69" s="738"/>
      <c r="AJ69" s="738"/>
      <c r="AK69" s="739"/>
    </row>
    <row r="70" spans="2:37">
      <c r="B70" s="740" t="s">
        <v>485</v>
      </c>
      <c r="D70" s="710">
        <v>67</v>
      </c>
      <c r="E70" s="710">
        <v>109</v>
      </c>
      <c r="F70" s="710">
        <v>185</v>
      </c>
      <c r="G70" s="710">
        <v>233</v>
      </c>
      <c r="H70" s="710">
        <v>281</v>
      </c>
      <c r="I70" s="710">
        <v>295</v>
      </c>
      <c r="J70" s="710">
        <v>311</v>
      </c>
      <c r="K70" s="710">
        <v>287</v>
      </c>
      <c r="L70" s="710">
        <v>192</v>
      </c>
      <c r="M70" s="710">
        <v>112</v>
      </c>
      <c r="N70" s="710">
        <v>62</v>
      </c>
      <c r="O70" s="733">
        <v>51</v>
      </c>
      <c r="P70" s="741">
        <v>2185</v>
      </c>
      <c r="Q70" s="667" t="s">
        <v>479</v>
      </c>
      <c r="T70" s="605">
        <v>5</v>
      </c>
      <c r="U70" s="606" t="s">
        <v>486</v>
      </c>
      <c r="V70" s="736"/>
      <c r="W70" s="730"/>
      <c r="X70" s="737"/>
      <c r="Y70" s="608" t="s">
        <v>487</v>
      </c>
      <c r="Z70" s="738"/>
      <c r="AA70" s="738"/>
      <c r="AB70" s="738"/>
      <c r="AC70" s="738"/>
      <c r="AD70" s="738"/>
      <c r="AE70" s="607"/>
      <c r="AF70" s="738"/>
      <c r="AG70" s="738"/>
      <c r="AH70" s="738"/>
      <c r="AI70" s="738"/>
      <c r="AJ70" s="738"/>
      <c r="AK70" s="739"/>
    </row>
    <row r="71" spans="2:37">
      <c r="B71" s="740" t="s">
        <v>488</v>
      </c>
      <c r="D71" s="710">
        <v>80</v>
      </c>
      <c r="E71" s="710">
        <v>123</v>
      </c>
      <c r="F71" s="710">
        <v>198</v>
      </c>
      <c r="G71" s="710">
        <v>231</v>
      </c>
      <c r="H71" s="710">
        <v>287</v>
      </c>
      <c r="I71" s="710">
        <v>303</v>
      </c>
      <c r="J71" s="710">
        <v>327</v>
      </c>
      <c r="K71" s="710">
        <v>295</v>
      </c>
      <c r="L71" s="710">
        <v>218</v>
      </c>
      <c r="M71" s="710">
        <v>142</v>
      </c>
      <c r="N71" s="710">
        <v>75</v>
      </c>
      <c r="O71" s="733">
        <v>59</v>
      </c>
      <c r="P71" s="741">
        <v>2338</v>
      </c>
      <c r="Q71" s="667" t="s">
        <v>479</v>
      </c>
      <c r="T71" s="605">
        <v>6</v>
      </c>
      <c r="U71" s="606" t="s">
        <v>489</v>
      </c>
      <c r="V71" s="742"/>
      <c r="W71" s="743"/>
      <c r="X71" s="744"/>
      <c r="Y71" s="608" t="s">
        <v>490</v>
      </c>
      <c r="Z71" s="745"/>
      <c r="AA71" s="745"/>
      <c r="AB71" s="745"/>
      <c r="AC71" s="745"/>
      <c r="AD71" s="745"/>
      <c r="AE71" s="745"/>
      <c r="AF71" s="745"/>
      <c r="AG71" s="745"/>
      <c r="AH71" s="745"/>
      <c r="AI71" s="745"/>
      <c r="AJ71" s="745"/>
      <c r="AK71" s="746"/>
    </row>
    <row r="72" spans="2:37" ht="13.8" thickBot="1">
      <c r="B72" s="747" t="s">
        <v>491</v>
      </c>
      <c r="C72" s="748"/>
      <c r="D72" s="749">
        <v>43</v>
      </c>
      <c r="E72" s="749">
        <v>63</v>
      </c>
      <c r="F72" s="749">
        <v>94</v>
      </c>
      <c r="G72" s="749">
        <v>111</v>
      </c>
      <c r="H72" s="749">
        <v>150</v>
      </c>
      <c r="I72" s="749">
        <v>166</v>
      </c>
      <c r="J72" s="749">
        <v>166</v>
      </c>
      <c r="K72" s="749">
        <v>134</v>
      </c>
      <c r="L72" s="749">
        <v>91</v>
      </c>
      <c r="M72" s="749">
        <v>62</v>
      </c>
      <c r="N72" s="749">
        <v>39</v>
      </c>
      <c r="O72" s="750">
        <v>32</v>
      </c>
      <c r="P72" s="751">
        <v>1151</v>
      </c>
      <c r="Q72" s="752" t="s">
        <v>479</v>
      </c>
      <c r="T72" s="605">
        <v>7</v>
      </c>
      <c r="U72" s="606" t="s">
        <v>492</v>
      </c>
      <c r="V72" s="736"/>
      <c r="W72" s="730"/>
      <c r="X72" s="737"/>
      <c r="Y72" s="608" t="s">
        <v>493</v>
      </c>
      <c r="Z72" s="738"/>
      <c r="AA72" s="738"/>
      <c r="AB72" s="738"/>
      <c r="AC72" s="738"/>
      <c r="AD72" s="738"/>
      <c r="AE72" s="607"/>
      <c r="AF72" s="738"/>
      <c r="AG72" s="738"/>
      <c r="AH72" s="738"/>
      <c r="AI72" s="738"/>
      <c r="AJ72" s="738"/>
      <c r="AK72" s="739"/>
    </row>
    <row r="73" spans="2:37" ht="13.8" thickBot="1">
      <c r="T73" s="605">
        <v>8</v>
      </c>
      <c r="U73" s="606" t="s">
        <v>494</v>
      </c>
      <c r="V73" s="736"/>
      <c r="W73" s="730"/>
      <c r="X73" s="737"/>
      <c r="Y73" s="608" t="s">
        <v>495</v>
      </c>
      <c r="Z73" s="738"/>
      <c r="AA73" s="738"/>
      <c r="AB73" s="738"/>
      <c r="AC73" s="738"/>
      <c r="AD73" s="738"/>
      <c r="AE73" s="607"/>
      <c r="AF73" s="738"/>
      <c r="AG73" s="738"/>
      <c r="AH73" s="738"/>
      <c r="AI73" s="738"/>
      <c r="AJ73" s="738"/>
      <c r="AK73" s="739"/>
    </row>
    <row r="74" spans="2:37" ht="13.8" thickBot="1">
      <c r="B74" s="609" t="s">
        <v>635</v>
      </c>
      <c r="C74" s="724"/>
      <c r="D74" s="610">
        <f>Q41</f>
        <v>0</v>
      </c>
      <c r="E74" s="724"/>
      <c r="F74" s="724"/>
      <c r="G74" s="724"/>
      <c r="H74" s="724"/>
      <c r="I74" s="724"/>
      <c r="J74" s="724"/>
      <c r="K74" s="724"/>
      <c r="L74" s="724"/>
      <c r="M74" s="724"/>
      <c r="N74" s="724"/>
      <c r="O74" s="724"/>
      <c r="P74" s="724"/>
      <c r="Q74" s="727"/>
      <c r="T74" s="605">
        <v>9</v>
      </c>
      <c r="U74" s="606" t="s">
        <v>496</v>
      </c>
      <c r="V74" s="736"/>
      <c r="W74" s="730"/>
      <c r="X74" s="737"/>
      <c r="Y74" s="608" t="s">
        <v>497</v>
      </c>
      <c r="Z74" s="738"/>
      <c r="AA74" s="738"/>
      <c r="AB74" s="738"/>
      <c r="AC74" s="738"/>
      <c r="AD74" s="738"/>
      <c r="AE74" s="607"/>
      <c r="AF74" s="738"/>
      <c r="AG74" s="738"/>
      <c r="AH74" s="738"/>
      <c r="AI74" s="738"/>
      <c r="AJ74" s="738"/>
      <c r="AK74" s="739"/>
    </row>
    <row r="75" spans="2:37">
      <c r="B75" s="611" t="s">
        <v>498</v>
      </c>
      <c r="C75" s="753"/>
      <c r="D75" s="753"/>
      <c r="E75" s="753"/>
      <c r="F75" s="753"/>
      <c r="G75" s="753"/>
      <c r="H75" s="753"/>
      <c r="I75" s="753"/>
      <c r="J75" s="753"/>
      <c r="K75" s="753"/>
      <c r="L75" s="753"/>
      <c r="M75" s="753"/>
      <c r="N75" s="753"/>
      <c r="O75" s="735"/>
      <c r="P75" s="734"/>
      <c r="Q75" s="735"/>
      <c r="T75" s="605">
        <v>10</v>
      </c>
      <c r="U75" s="606" t="s">
        <v>499</v>
      </c>
      <c r="V75" s="736"/>
      <c r="W75" s="730"/>
      <c r="X75" s="737"/>
      <c r="Y75" s="608" t="s">
        <v>500</v>
      </c>
      <c r="Z75" s="738"/>
      <c r="AA75" s="738"/>
      <c r="AB75" s="738"/>
      <c r="AC75" s="738"/>
      <c r="AD75" s="738"/>
      <c r="AE75" s="607"/>
      <c r="AF75" s="738"/>
      <c r="AG75" s="738"/>
      <c r="AH75" s="738"/>
      <c r="AI75" s="738"/>
      <c r="AJ75" s="738"/>
      <c r="AK75" s="739"/>
    </row>
    <row r="76" spans="2:37">
      <c r="B76" s="615" t="s">
        <v>501</v>
      </c>
      <c r="D76" s="666">
        <f>IF(EBF&gt;0,(Thetai-D$67)*D$66*$D$22*U_DAFbeheizt*0.0864/EBF,0)</f>
        <v>0</v>
      </c>
      <c r="E76" s="666">
        <f t="shared" ref="E76:O76" si="0">IF(EBF&gt;0,(Thetai-E$67)*E$66*$D$22*U_DAFbeheizt*0.0864/EBF,0)</f>
        <v>0</v>
      </c>
      <c r="F76" s="666">
        <f t="shared" si="0"/>
        <v>0</v>
      </c>
      <c r="G76" s="666">
        <f t="shared" si="0"/>
        <v>0</v>
      </c>
      <c r="H76" s="666">
        <f t="shared" si="0"/>
        <v>0</v>
      </c>
      <c r="I76" s="666">
        <f t="shared" si="0"/>
        <v>0</v>
      </c>
      <c r="J76" s="666">
        <f t="shared" si="0"/>
        <v>0</v>
      </c>
      <c r="K76" s="666">
        <f t="shared" si="0"/>
        <v>0</v>
      </c>
      <c r="L76" s="666">
        <f t="shared" si="0"/>
        <v>0</v>
      </c>
      <c r="M76" s="666">
        <f t="shared" si="0"/>
        <v>0</v>
      </c>
      <c r="N76" s="666">
        <f t="shared" si="0"/>
        <v>0</v>
      </c>
      <c r="O76" s="666">
        <f t="shared" si="0"/>
        <v>0</v>
      </c>
      <c r="P76" s="754">
        <f t="shared" ref="P76:P83" si="1">SUM(D76:O76)</f>
        <v>0</v>
      </c>
      <c r="Q76" s="667" t="s">
        <v>479</v>
      </c>
      <c r="T76" s="605">
        <v>11</v>
      </c>
      <c r="U76" s="606" t="s">
        <v>502</v>
      </c>
      <c r="V76" s="736"/>
      <c r="W76" s="730"/>
      <c r="X76" s="737"/>
      <c r="Y76" s="608" t="s">
        <v>503</v>
      </c>
      <c r="Z76" s="738"/>
      <c r="AA76" s="738"/>
      <c r="AB76" s="738"/>
      <c r="AC76" s="738"/>
      <c r="AD76" s="738"/>
      <c r="AE76" s="738"/>
      <c r="AF76" s="738"/>
      <c r="AG76" s="738"/>
      <c r="AH76" s="738"/>
      <c r="AI76" s="738"/>
      <c r="AJ76" s="738"/>
      <c r="AK76" s="739"/>
    </row>
    <row r="77" spans="2:37">
      <c r="B77" s="615" t="s">
        <v>504</v>
      </c>
      <c r="D77" s="666">
        <f t="shared" ref="D77:O77" si="2">IF(EBF&gt;0,(Thetai-D$67)*D$66*$D$14*U_E3*bGW*0.0864/EBF,0)</f>
        <v>0</v>
      </c>
      <c r="E77" s="666">
        <f t="shared" si="2"/>
        <v>0</v>
      </c>
      <c r="F77" s="666">
        <f t="shared" si="2"/>
        <v>0</v>
      </c>
      <c r="G77" s="666">
        <f t="shared" si="2"/>
        <v>0</v>
      </c>
      <c r="H77" s="666">
        <f t="shared" si="2"/>
        <v>0</v>
      </c>
      <c r="I77" s="666">
        <f t="shared" si="2"/>
        <v>0</v>
      </c>
      <c r="J77" s="666">
        <f t="shared" si="2"/>
        <v>0</v>
      </c>
      <c r="K77" s="666">
        <f t="shared" si="2"/>
        <v>0</v>
      </c>
      <c r="L77" s="666">
        <f t="shared" si="2"/>
        <v>0</v>
      </c>
      <c r="M77" s="666">
        <f t="shared" si="2"/>
        <v>0</v>
      </c>
      <c r="N77" s="666">
        <f t="shared" si="2"/>
        <v>0</v>
      </c>
      <c r="O77" s="666">
        <f t="shared" si="2"/>
        <v>0</v>
      </c>
      <c r="P77" s="754">
        <f t="shared" si="1"/>
        <v>0</v>
      </c>
      <c r="Q77" s="667" t="s">
        <v>479</v>
      </c>
      <c r="T77" s="612">
        <v>12</v>
      </c>
      <c r="U77" s="613" t="s">
        <v>505</v>
      </c>
      <c r="V77" s="755"/>
      <c r="W77" s="755"/>
      <c r="X77" s="756"/>
      <c r="Y77" s="757" t="s">
        <v>506</v>
      </c>
      <c r="Z77" s="758"/>
      <c r="AA77" s="758"/>
      <c r="AB77" s="758"/>
      <c r="AC77" s="758"/>
      <c r="AD77" s="758"/>
      <c r="AE77" s="758"/>
      <c r="AF77" s="758"/>
      <c r="AG77" s="758"/>
      <c r="AH77" s="758"/>
      <c r="AI77" s="758"/>
      <c r="AJ77" s="758"/>
      <c r="AK77" s="759"/>
    </row>
    <row r="78" spans="2:37">
      <c r="B78" s="614" t="s">
        <v>507</v>
      </c>
      <c r="D78" s="666">
        <f>IF(EBF&gt;0,(deltaThetahmax+Thetai-D$67)*D$66*E4beheizt*U_E4*0.0864/EBF,0)</f>
        <v>6.0496128000000002</v>
      </c>
      <c r="E78" s="666">
        <f t="shared" ref="E78:M78" si="3">IF(EBF&gt;0,(Thetai-E$67)*E$66*E4beheizt*U_E4*0.0864/EBF,0)</f>
        <v>4.5889536</v>
      </c>
      <c r="F78" s="666">
        <f t="shared" si="3"/>
        <v>4.0592640000000006</v>
      </c>
      <c r="G78" s="666">
        <f t="shared" si="3"/>
        <v>3.1933440000000002</v>
      </c>
      <c r="H78" s="666">
        <f t="shared" si="3"/>
        <v>1.9903488</v>
      </c>
      <c r="I78" s="666">
        <f t="shared" si="3"/>
        <v>1.2165120000000003</v>
      </c>
      <c r="J78" s="666">
        <f t="shared" si="3"/>
        <v>0.68090880000000042</v>
      </c>
      <c r="K78" s="666">
        <f t="shared" si="3"/>
        <v>0.68090880000000042</v>
      </c>
      <c r="L78" s="666">
        <f t="shared" si="3"/>
        <v>1.7740800000000003</v>
      </c>
      <c r="M78" s="666">
        <f t="shared" si="3"/>
        <v>2.9069567999999997</v>
      </c>
      <c r="N78" s="666">
        <f>IF(EBF&gt;0,(Thetai-N$67)*N$66*E4beheizt*U_E4*0.0864/EBF,0)</f>
        <v>4.2577920000000002</v>
      </c>
      <c r="O78" s="666">
        <f>IF(EBF&gt;0,(Thetai-O$67)*O$66*E4beheizt*U_E4*0.0864/EBF,0)</f>
        <v>5.0282495999999997</v>
      </c>
      <c r="P78" s="754">
        <f t="shared" si="1"/>
        <v>36.426931200000006</v>
      </c>
      <c r="Q78" s="667" t="s">
        <v>479</v>
      </c>
    </row>
    <row r="79" spans="2:37">
      <c r="B79" s="615" t="s">
        <v>508</v>
      </c>
      <c r="D79" s="666">
        <f t="shared" ref="D79:M79" si="4">IF(EBF&gt;0,(Thetai+deltaThetahmax-D$67)*D$66*BodenErdeF*U_Boden*bGF*0.0864/EBF,0)</f>
        <v>0</v>
      </c>
      <c r="E79" s="666">
        <f t="shared" si="4"/>
        <v>0</v>
      </c>
      <c r="F79" s="666">
        <f t="shared" si="4"/>
        <v>0</v>
      </c>
      <c r="G79" s="666">
        <f t="shared" si="4"/>
        <v>0</v>
      </c>
      <c r="H79" s="666">
        <f t="shared" si="4"/>
        <v>0</v>
      </c>
      <c r="I79" s="666">
        <f t="shared" si="4"/>
        <v>0</v>
      </c>
      <c r="J79" s="666">
        <f t="shared" si="4"/>
        <v>0</v>
      </c>
      <c r="K79" s="666">
        <f t="shared" si="4"/>
        <v>0</v>
      </c>
      <c r="L79" s="666">
        <f t="shared" si="4"/>
        <v>0</v>
      </c>
      <c r="M79" s="666">
        <f t="shared" si="4"/>
        <v>0</v>
      </c>
      <c r="N79" s="666">
        <f>IF(EBF&gt;0,(Thetai+deltaThetahmax-N$67)*N$66*BodenErdeF*U_Boden*bGF*0.0864/EBF,0)</f>
        <v>0</v>
      </c>
      <c r="O79" s="666">
        <f>IF(EBF&gt;0,(Thetai+deltaThetahmax-O$67)*O$66*BodenErdeF*U_Boden*bGF*0.0864/EBF,0)</f>
        <v>0</v>
      </c>
      <c r="P79" s="754">
        <f t="shared" si="1"/>
        <v>0</v>
      </c>
      <c r="Q79" s="667" t="s">
        <v>479</v>
      </c>
      <c r="T79" s="599" t="s">
        <v>378</v>
      </c>
      <c r="U79" s="616"/>
      <c r="V79" s="760"/>
      <c r="W79" s="760"/>
      <c r="X79" s="760"/>
      <c r="Y79" s="761"/>
      <c r="Z79" s="617" t="s">
        <v>509</v>
      </c>
      <c r="AA79" s="617" t="s">
        <v>510</v>
      </c>
      <c r="AB79" s="617" t="s">
        <v>511</v>
      </c>
      <c r="AC79" s="617" t="s">
        <v>512</v>
      </c>
      <c r="AD79" s="617" t="s">
        <v>513</v>
      </c>
      <c r="AE79" s="617" t="s">
        <v>514</v>
      </c>
      <c r="AF79" s="617" t="s">
        <v>515</v>
      </c>
      <c r="AG79" s="617" t="s">
        <v>516</v>
      </c>
      <c r="AH79" s="617" t="s">
        <v>517</v>
      </c>
      <c r="AI79" s="617" t="s">
        <v>176</v>
      </c>
      <c r="AJ79" s="617" t="s">
        <v>518</v>
      </c>
      <c r="AK79" s="617" t="s">
        <v>519</v>
      </c>
    </row>
    <row r="80" spans="2:37">
      <c r="B80" s="618" t="s">
        <v>520</v>
      </c>
      <c r="D80" s="666">
        <f>(IF(EBF&gt;0,(Thetai+deltaThetahmax-D$67)*D$66*D62*E62*0.0864/EBF,0))*0</f>
        <v>0</v>
      </c>
      <c r="E80" s="666">
        <f>IF(EBF&gt;0,(Thetai+deltaThetahmax-E$67)*E$66*D62*U_gedaemmteDecken*0.0864/EBF,0)</f>
        <v>0</v>
      </c>
      <c r="F80" s="666">
        <f>IF(EBF&gt;0,(Thetai+deltaThetahmax-F$67)*F$66*D62*U_gedaemmteDecken*0.0864/EBF,0)</f>
        <v>0</v>
      </c>
      <c r="G80" s="666">
        <f>IF(EBF&gt;0,(Thetai+deltaThetahmax-G$67)*G$66*D62*U_gedaemmteDecken*0.0864/EBF,0)</f>
        <v>0</v>
      </c>
      <c r="H80" s="666">
        <f>IF(EBF&gt;0,(Thetai+deltaThetahmax-H$67)*H$66*D62*U_gedaemmteDecken*0.0864/EBF,0)</f>
        <v>0</v>
      </c>
      <c r="I80" s="666">
        <f>IF(EBF&gt;0,(Thetai+deltaThetahmax-I$67)*I$66*D62*U_gedaemmteDecken*0.0864/EBF,0)</f>
        <v>0</v>
      </c>
      <c r="J80" s="666">
        <f>IF(EBF&gt;0,(Thetai+deltaThetahmax-J$67)*J$66*D62*U_gedaemmteDecken*0.0864/EBF,0)</f>
        <v>0</v>
      </c>
      <c r="K80" s="666">
        <f>IF(EBF&gt;0,(Thetai+deltaThetahmax-K$67)*K$66*D62*U_gedaemmteDecken*0.0864/EBF,0)</f>
        <v>0</v>
      </c>
      <c r="L80" s="666">
        <f>IF(EBF&gt;0,(Thetai+deltaThetahmax-L$67)*L$66*D62*U_gedaemmteDecken*0.0864/EBF,0)</f>
        <v>0</v>
      </c>
      <c r="M80" s="666">
        <f>IF(EBF&gt;0,(Thetai+deltaThetahmax-M$67)*M$66*D62*U_gedaemmteDecken*0.0864/EBF,0)</f>
        <v>0</v>
      </c>
      <c r="N80" s="666">
        <f>IF(EBF&gt;0,(Thetai+deltaThetahmax-N$67)*N$66*D62*U_gedaemmteDecken*0.0864/EBF,0)</f>
        <v>0</v>
      </c>
      <c r="O80" s="666">
        <f>IF(EBF&gt;0,(Thetai+deltaThetahmax-O$67)*O$66*D62*U_gedaemmteDecken*0.0864/EBF,0)</f>
        <v>0</v>
      </c>
      <c r="P80" s="754">
        <f t="shared" si="1"/>
        <v>0</v>
      </c>
      <c r="Q80" s="667" t="s">
        <v>479</v>
      </c>
      <c r="T80" s="762"/>
      <c r="U80" s="760"/>
      <c r="V80" s="760"/>
      <c r="W80" s="760"/>
      <c r="X80" s="763"/>
      <c r="Y80" s="764"/>
      <c r="Z80" s="619" t="s">
        <v>133</v>
      </c>
      <c r="AA80" s="620" t="s">
        <v>133</v>
      </c>
      <c r="AB80" s="621" t="s">
        <v>521</v>
      </c>
      <c r="AC80" s="620" t="s">
        <v>290</v>
      </c>
      <c r="AD80" s="621" t="s">
        <v>76</v>
      </c>
      <c r="AE80" s="620" t="s">
        <v>522</v>
      </c>
      <c r="AF80" s="621" t="s">
        <v>523</v>
      </c>
      <c r="AG80" s="620" t="s">
        <v>293</v>
      </c>
      <c r="AH80" s="621" t="s">
        <v>164</v>
      </c>
      <c r="AI80" s="620" t="s">
        <v>294</v>
      </c>
      <c r="AJ80" s="621" t="s">
        <v>524</v>
      </c>
      <c r="AK80" s="620" t="s">
        <v>525</v>
      </c>
    </row>
    <row r="81" spans="2:37">
      <c r="B81" s="615" t="s">
        <v>526</v>
      </c>
      <c r="D81" s="666">
        <f>IF(EBF&gt;0,(Thetai-D$67)*D$66*D16*U_E5*0.0864/EBF,0)</f>
        <v>19.040798117647064</v>
      </c>
      <c r="E81" s="666">
        <f>IF(EBF&gt;0,(Thetai-E$67)*E$66*D16*U_E5*0.0864/EBF,0)</f>
        <v>16.196306823529412</v>
      </c>
      <c r="F81" s="666">
        <f>IF(EBF&gt;0,(Thetai-F$67)*F$66*D16*U_E5*0.0864/EBF,0)</f>
        <v>14.326814117647062</v>
      </c>
      <c r="G81" s="666">
        <f>IF(EBF&gt;0,(Thetai-G$67)*G$66*D16*U_E5*0.0864/EBF,0)</f>
        <v>11.270625882352943</v>
      </c>
      <c r="H81" s="666">
        <f>IF(EBF&gt;0,(Thetai-H$67)*H$66*D16*U_E5*0.0864/EBF,0)</f>
        <v>7.0247604705882374</v>
      </c>
      <c r="I81" s="666">
        <f>IF(EBF&gt;0,(Thetai-I$67)*I$66*D16*U_E5*0.0864/EBF,0)</f>
        <v>4.2935717647058844</v>
      </c>
      <c r="J81" s="666">
        <f>IF(EBF&gt;0,(Thetai-J$67)*J$66*D16*U_E5*0.0864/EBF,0)</f>
        <v>2.4032075294117665</v>
      </c>
      <c r="K81" s="666">
        <f>IF(EBF&gt;0,(Thetai-K$67)*K$66*D16*U_E5*0.0864/EBF,0)</f>
        <v>2.4032075294117665</v>
      </c>
      <c r="L81" s="666">
        <f>IF(EBF&gt;0,(Thetai-L$67)*L$66*D16*U_E5*0.0864/EBF,0)</f>
        <v>6.2614588235294129</v>
      </c>
      <c r="M81" s="666">
        <f>IF(EBF&gt;0,(Thetai-M$67)*M$66*D16*U_E5*0.0864/EBF,0)</f>
        <v>10.259847529411765</v>
      </c>
      <c r="N81" s="666">
        <f>IF(EBF&gt;0,(Thetai-N$67)*N$66*D16*U_E5*0.0864/EBF,0)</f>
        <v>15.02750117647059</v>
      </c>
      <c r="O81" s="666">
        <f>IF(EBF&gt;0,(Thetai-O$67)*O$66*D16*U_E5*0.0864/EBF,0)</f>
        <v>17.746763294117649</v>
      </c>
      <c r="P81" s="754">
        <f t="shared" si="1"/>
        <v>126.25486305882356</v>
      </c>
      <c r="Q81" s="667" t="s">
        <v>479</v>
      </c>
      <c r="T81" s="728"/>
      <c r="U81" s="729"/>
      <c r="V81" s="729"/>
      <c r="W81" s="729"/>
      <c r="X81" s="737"/>
      <c r="Y81" s="765"/>
      <c r="Z81" s="622" t="s">
        <v>288</v>
      </c>
      <c r="AA81" s="623" t="s">
        <v>527</v>
      </c>
      <c r="AB81" s="624" t="s">
        <v>528</v>
      </c>
      <c r="AC81" s="623"/>
      <c r="AD81" s="624"/>
      <c r="AE81" s="623" t="s">
        <v>529</v>
      </c>
      <c r="AF81" s="624" t="s">
        <v>530</v>
      </c>
      <c r="AG81" s="623"/>
      <c r="AH81" s="624"/>
      <c r="AI81" s="623"/>
      <c r="AJ81" s="624" t="s">
        <v>531</v>
      </c>
      <c r="AK81" s="623" t="s">
        <v>532</v>
      </c>
    </row>
    <row r="82" spans="2:37">
      <c r="B82" s="625" t="s">
        <v>533</v>
      </c>
      <c r="D82" s="666">
        <f>(1*D$66*(Thetai-D$67)*BodenUnb*E61*$D$53*0.0864/EBF)*0</f>
        <v>0</v>
      </c>
      <c r="E82" s="666">
        <f t="shared" ref="E82:O82" si="5">(1*E$66*(Thetai-E$67)*BodenUnb*U_Boden*$D$53*0.0864/EBF)*0</f>
        <v>0</v>
      </c>
      <c r="F82" s="666">
        <f t="shared" si="5"/>
        <v>0</v>
      </c>
      <c r="G82" s="666">
        <f t="shared" si="5"/>
        <v>0</v>
      </c>
      <c r="H82" s="666">
        <f t="shared" si="5"/>
        <v>0</v>
      </c>
      <c r="I82" s="666">
        <f t="shared" si="5"/>
        <v>0</v>
      </c>
      <c r="J82" s="666">
        <f t="shared" si="5"/>
        <v>0</v>
      </c>
      <c r="K82" s="666">
        <f t="shared" si="5"/>
        <v>0</v>
      </c>
      <c r="L82" s="666">
        <f t="shared" si="5"/>
        <v>0</v>
      </c>
      <c r="M82" s="666">
        <f t="shared" si="5"/>
        <v>0</v>
      </c>
      <c r="N82" s="666">
        <f t="shared" si="5"/>
        <v>0</v>
      </c>
      <c r="O82" s="666">
        <f t="shared" si="5"/>
        <v>0</v>
      </c>
      <c r="P82" s="754">
        <f>SUM(D82:O82)</f>
        <v>0</v>
      </c>
      <c r="Q82" s="667" t="s">
        <v>479</v>
      </c>
      <c r="T82" s="766"/>
      <c r="U82" s="767"/>
      <c r="V82" s="767"/>
      <c r="W82" s="767"/>
      <c r="X82" s="768"/>
      <c r="Y82" s="769"/>
      <c r="Z82" s="626"/>
      <c r="AA82" s="627"/>
      <c r="AB82" s="628"/>
      <c r="AC82" s="627"/>
      <c r="AD82" s="628"/>
      <c r="AE82" s="627"/>
      <c r="AF82" s="628" t="s">
        <v>534</v>
      </c>
      <c r="AG82" s="627"/>
      <c r="AH82" s="628"/>
      <c r="AI82" s="627"/>
      <c r="AJ82" s="628"/>
      <c r="AK82" s="627"/>
    </row>
    <row r="83" spans="2:37">
      <c r="B83" s="629" t="s">
        <v>422</v>
      </c>
      <c r="D83" s="666">
        <f t="shared" ref="D83:O83" si="6">SUM(D76:D82)*(1+WBZuschlag)</f>
        <v>27.59945200941177</v>
      </c>
      <c r="E83" s="666">
        <f t="shared" si="6"/>
        <v>22.863786465882356</v>
      </c>
      <c r="F83" s="666">
        <f t="shared" si="6"/>
        <v>20.22468592941177</v>
      </c>
      <c r="G83" s="666">
        <f t="shared" si="6"/>
        <v>15.91036687058824</v>
      </c>
      <c r="H83" s="666">
        <f t="shared" si="6"/>
        <v>9.9166201976470614</v>
      </c>
      <c r="I83" s="666">
        <f t="shared" si="6"/>
        <v>6.0610921411764735</v>
      </c>
      <c r="J83" s="666">
        <f t="shared" si="6"/>
        <v>3.3925279623529438</v>
      </c>
      <c r="K83" s="666">
        <f t="shared" si="6"/>
        <v>3.3925279623529438</v>
      </c>
      <c r="L83" s="666">
        <f t="shared" si="6"/>
        <v>8.8390927058823543</v>
      </c>
      <c r="M83" s="666">
        <f t="shared" si="6"/>
        <v>14.483484762352942</v>
      </c>
      <c r="N83" s="666">
        <f t="shared" si="6"/>
        <v>21.21382249411765</v>
      </c>
      <c r="O83" s="666">
        <f t="shared" si="6"/>
        <v>25.052514183529414</v>
      </c>
      <c r="P83" s="642">
        <f t="shared" si="1"/>
        <v>178.94997368470592</v>
      </c>
      <c r="Q83" s="667" t="s">
        <v>479</v>
      </c>
      <c r="T83" s="728" t="s">
        <v>419</v>
      </c>
      <c r="U83" s="729"/>
      <c r="V83" s="729"/>
      <c r="W83" s="729"/>
      <c r="X83" s="729"/>
      <c r="Y83" s="630" t="s">
        <v>3</v>
      </c>
      <c r="Z83" s="731">
        <v>20</v>
      </c>
      <c r="AA83" s="632">
        <v>20</v>
      </c>
      <c r="AB83" s="730">
        <v>20</v>
      </c>
      <c r="AC83" s="632">
        <v>20</v>
      </c>
      <c r="AD83" s="730">
        <v>20</v>
      </c>
      <c r="AE83" s="632">
        <v>20</v>
      </c>
      <c r="AF83" s="730">
        <v>20</v>
      </c>
      <c r="AG83" s="632">
        <v>22</v>
      </c>
      <c r="AH83" s="730">
        <v>18</v>
      </c>
      <c r="AI83" s="632">
        <v>18</v>
      </c>
      <c r="AJ83" s="730">
        <v>18</v>
      </c>
      <c r="AK83" s="632">
        <v>28</v>
      </c>
    </row>
    <row r="84" spans="2:37">
      <c r="B84" s="631" t="s">
        <v>535</v>
      </c>
      <c r="D84" s="710"/>
      <c r="E84" s="710"/>
      <c r="F84" s="710"/>
      <c r="G84" s="710"/>
      <c r="H84" s="710"/>
      <c r="I84" s="710"/>
      <c r="J84" s="710"/>
      <c r="K84" s="710"/>
      <c r="L84" s="710"/>
      <c r="M84" s="710"/>
      <c r="N84" s="710"/>
      <c r="O84" s="733"/>
      <c r="P84" s="754"/>
      <c r="Q84" s="667"/>
      <c r="T84" s="728" t="s">
        <v>131</v>
      </c>
      <c r="U84" s="729"/>
      <c r="V84" s="729"/>
      <c r="W84" s="729"/>
      <c r="X84" s="729"/>
      <c r="Y84" s="632" t="s">
        <v>421</v>
      </c>
      <c r="Z84" s="731">
        <v>40</v>
      </c>
      <c r="AA84" s="632">
        <v>60</v>
      </c>
      <c r="AB84" s="730">
        <v>20</v>
      </c>
      <c r="AC84" s="632">
        <v>10</v>
      </c>
      <c r="AD84" s="730">
        <v>10</v>
      </c>
      <c r="AE84" s="632">
        <v>5</v>
      </c>
      <c r="AF84" s="730">
        <v>5</v>
      </c>
      <c r="AG84" s="632">
        <v>30</v>
      </c>
      <c r="AH84" s="730">
        <v>20</v>
      </c>
      <c r="AI84" s="632">
        <v>100</v>
      </c>
      <c r="AJ84" s="730">
        <v>20</v>
      </c>
      <c r="AK84" s="632">
        <v>20</v>
      </c>
    </row>
    <row r="85" spans="2:37">
      <c r="B85" s="770" t="s">
        <v>426</v>
      </c>
      <c r="D85" s="666">
        <f t="shared" ref="D85:M85" si="7">IF(D83=0,0,(Thetai-D$67)*VStandard*D$66*(1220-0.14*HueM)*0.000024)</f>
        <v>12.253640716800001</v>
      </c>
      <c r="E85" s="666">
        <f t="shared" si="7"/>
        <v>10.4230780416</v>
      </c>
      <c r="F85" s="666">
        <f t="shared" si="7"/>
        <v>9.2199723840000001</v>
      </c>
      <c r="G85" s="666">
        <f t="shared" si="7"/>
        <v>7.2531728639999997</v>
      </c>
      <c r="H85" s="666">
        <f t="shared" si="7"/>
        <v>4.5207606527999999</v>
      </c>
      <c r="I85" s="666">
        <f t="shared" si="7"/>
        <v>2.7631134720000006</v>
      </c>
      <c r="J85" s="666">
        <f t="shared" si="7"/>
        <v>1.546576012800001</v>
      </c>
      <c r="K85" s="666">
        <f t="shared" si="7"/>
        <v>1.546576012800001</v>
      </c>
      <c r="L85" s="666">
        <f t="shared" si="7"/>
        <v>4.0295404799999996</v>
      </c>
      <c r="M85" s="666">
        <f t="shared" si="7"/>
        <v>6.6026899007999997</v>
      </c>
      <c r="N85" s="666">
        <f>IF(N83=0,0,(Thetai-N$67)*VStandard*N$66*(1220-0.14*HueM)*0.000024)</f>
        <v>9.670897152000002</v>
      </c>
      <c r="O85" s="666">
        <f>IF(O83=0,0,(Thetai-O$67)*VStandard*O$66*(1220-0.14*HueM)*0.000024)</f>
        <v>11.420869017600001</v>
      </c>
      <c r="P85" s="642">
        <f>SUM(D85:O85)</f>
        <v>81.25088670720001</v>
      </c>
      <c r="Q85" s="667" t="s">
        <v>479</v>
      </c>
      <c r="T85" s="728" t="s">
        <v>423</v>
      </c>
      <c r="U85" s="729"/>
      <c r="V85" s="729"/>
      <c r="W85" s="729"/>
      <c r="X85" s="729"/>
      <c r="Y85" s="632" t="s">
        <v>425</v>
      </c>
      <c r="Z85" s="731">
        <v>70</v>
      </c>
      <c r="AA85" s="632">
        <v>70</v>
      </c>
      <c r="AB85" s="730">
        <v>80</v>
      </c>
      <c r="AC85" s="632">
        <v>70</v>
      </c>
      <c r="AD85" s="730">
        <v>90</v>
      </c>
      <c r="AE85" s="632">
        <v>100</v>
      </c>
      <c r="AF85" s="730">
        <v>80</v>
      </c>
      <c r="AG85" s="632">
        <v>80</v>
      </c>
      <c r="AH85" s="730">
        <v>100</v>
      </c>
      <c r="AI85" s="632">
        <v>100</v>
      </c>
      <c r="AJ85" s="730">
        <v>100</v>
      </c>
      <c r="AK85" s="632">
        <v>60</v>
      </c>
    </row>
    <row r="86" spans="2:37">
      <c r="B86" s="631" t="s">
        <v>536</v>
      </c>
      <c r="D86" s="710"/>
      <c r="E86" s="710"/>
      <c r="F86" s="710"/>
      <c r="G86" s="710"/>
      <c r="H86" s="710"/>
      <c r="I86" s="710"/>
      <c r="J86" s="710"/>
      <c r="K86" s="710"/>
      <c r="L86" s="710"/>
      <c r="M86" s="710"/>
      <c r="N86" s="710"/>
      <c r="O86" s="733"/>
      <c r="P86" s="754"/>
      <c r="Q86" s="667"/>
      <c r="T86" s="728" t="s">
        <v>427</v>
      </c>
      <c r="U86" s="729"/>
      <c r="V86" s="729"/>
      <c r="W86" s="729"/>
      <c r="X86" s="729"/>
      <c r="Y86" s="632" t="s">
        <v>17</v>
      </c>
      <c r="Z86" s="731">
        <v>12</v>
      </c>
      <c r="AA86" s="632">
        <v>12</v>
      </c>
      <c r="AB86" s="730">
        <v>6</v>
      </c>
      <c r="AC86" s="632">
        <v>4</v>
      </c>
      <c r="AD86" s="730">
        <v>4</v>
      </c>
      <c r="AE86" s="632">
        <v>3</v>
      </c>
      <c r="AF86" s="730">
        <v>3</v>
      </c>
      <c r="AG86" s="632">
        <v>16</v>
      </c>
      <c r="AH86" s="730">
        <v>6</v>
      </c>
      <c r="AI86" s="632">
        <v>6</v>
      </c>
      <c r="AJ86" s="730">
        <v>6</v>
      </c>
      <c r="AK86" s="632">
        <v>4</v>
      </c>
    </row>
    <row r="87" spans="2:37">
      <c r="B87" s="615" t="s">
        <v>537</v>
      </c>
      <c r="D87" s="666">
        <f t="shared" ref="D87:O87" si="8">D85+D83</f>
        <v>39.85309272621177</v>
      </c>
      <c r="E87" s="666">
        <f t="shared" si="8"/>
        <v>33.286864507482356</v>
      </c>
      <c r="F87" s="666">
        <f t="shared" si="8"/>
        <v>29.444658313411772</v>
      </c>
      <c r="G87" s="666">
        <f t="shared" si="8"/>
        <v>23.163539734588241</v>
      </c>
      <c r="H87" s="666">
        <f t="shared" si="8"/>
        <v>14.437380850447061</v>
      </c>
      <c r="I87" s="666">
        <f t="shared" si="8"/>
        <v>8.8242056131764741</v>
      </c>
      <c r="J87" s="666">
        <f t="shared" si="8"/>
        <v>4.9391039751529444</v>
      </c>
      <c r="K87" s="666">
        <f t="shared" si="8"/>
        <v>4.9391039751529444</v>
      </c>
      <c r="L87" s="666">
        <f t="shared" si="8"/>
        <v>12.868633185882354</v>
      </c>
      <c r="M87" s="666">
        <f t="shared" si="8"/>
        <v>21.086174663152942</v>
      </c>
      <c r="N87" s="666">
        <f t="shared" si="8"/>
        <v>30.884719646117652</v>
      </c>
      <c r="O87" s="666">
        <f t="shared" si="8"/>
        <v>36.473383201129415</v>
      </c>
      <c r="P87" s="754">
        <f>SUM(D87:O87)</f>
        <v>260.20086039190591</v>
      </c>
      <c r="Q87" s="667" t="s">
        <v>479</v>
      </c>
      <c r="T87" s="728" t="s">
        <v>430</v>
      </c>
      <c r="U87" s="729"/>
      <c r="V87" s="729"/>
      <c r="W87" s="729"/>
      <c r="X87" s="729"/>
      <c r="Y87" s="632" t="s">
        <v>345</v>
      </c>
      <c r="Z87" s="731">
        <v>100</v>
      </c>
      <c r="AA87" s="632">
        <v>80</v>
      </c>
      <c r="AB87" s="730">
        <v>80</v>
      </c>
      <c r="AC87" s="632">
        <v>40</v>
      </c>
      <c r="AD87" s="730">
        <v>120</v>
      </c>
      <c r="AE87" s="632">
        <v>120</v>
      </c>
      <c r="AF87" s="730">
        <v>60</v>
      </c>
      <c r="AG87" s="632">
        <v>100</v>
      </c>
      <c r="AH87" s="730">
        <v>60</v>
      </c>
      <c r="AI87" s="632">
        <v>20</v>
      </c>
      <c r="AJ87" s="730">
        <v>20</v>
      </c>
      <c r="AK87" s="632">
        <v>200</v>
      </c>
    </row>
    <row r="88" spans="2:37">
      <c r="B88" s="631" t="s">
        <v>538</v>
      </c>
      <c r="D88" s="710"/>
      <c r="E88" s="710" t="s">
        <v>256</v>
      </c>
      <c r="F88" s="710"/>
      <c r="G88" s="710"/>
      <c r="H88" s="710"/>
      <c r="I88" s="710"/>
      <c r="J88" s="710"/>
      <c r="K88" s="710"/>
      <c r="L88" s="710"/>
      <c r="M88" s="710"/>
      <c r="N88" s="710"/>
      <c r="O88" s="733"/>
      <c r="P88" s="754"/>
      <c r="Q88" s="667"/>
      <c r="T88" s="728" t="s">
        <v>433</v>
      </c>
      <c r="U88" s="729"/>
      <c r="V88" s="729"/>
      <c r="W88" s="729"/>
      <c r="X88" s="729"/>
      <c r="Y88" s="632" t="s">
        <v>18</v>
      </c>
      <c r="Z88" s="731">
        <v>0.7</v>
      </c>
      <c r="AA88" s="632">
        <v>0.7</v>
      </c>
      <c r="AB88" s="730">
        <v>0.9</v>
      </c>
      <c r="AC88" s="632">
        <v>0.9</v>
      </c>
      <c r="AD88" s="730">
        <v>0.8</v>
      </c>
      <c r="AE88" s="632">
        <v>0.7</v>
      </c>
      <c r="AF88" s="730">
        <v>0.8</v>
      </c>
      <c r="AG88" s="632">
        <v>0.7</v>
      </c>
      <c r="AH88" s="730">
        <v>0.9</v>
      </c>
      <c r="AI88" s="632">
        <v>0.9</v>
      </c>
      <c r="AJ88" s="730">
        <v>0.9</v>
      </c>
      <c r="AK88" s="632">
        <v>0.7</v>
      </c>
    </row>
    <row r="89" spans="2:37">
      <c r="B89" s="615" t="s">
        <v>539</v>
      </c>
      <c r="D89" s="666">
        <f t="shared" ref="D89:M89" si="9">QE*fE*D$66/365</f>
        <v>18.627861300610515</v>
      </c>
      <c r="E89" s="666">
        <f t="shared" si="9"/>
        <v>16.825165045712723</v>
      </c>
      <c r="F89" s="666">
        <f t="shared" si="9"/>
        <v>18.627861300610515</v>
      </c>
      <c r="G89" s="666">
        <f t="shared" si="9"/>
        <v>18.02696254897792</v>
      </c>
      <c r="H89" s="666">
        <f t="shared" si="9"/>
        <v>18.627861300610515</v>
      </c>
      <c r="I89" s="666">
        <f t="shared" si="9"/>
        <v>18.02696254897792</v>
      </c>
      <c r="J89" s="666">
        <f t="shared" si="9"/>
        <v>18.627861300610515</v>
      </c>
      <c r="K89" s="666">
        <f t="shared" si="9"/>
        <v>18.627861300610515</v>
      </c>
      <c r="L89" s="666">
        <f t="shared" si="9"/>
        <v>18.02696254897792</v>
      </c>
      <c r="M89" s="666">
        <f t="shared" si="9"/>
        <v>18.627861300610515</v>
      </c>
      <c r="N89" s="666">
        <f>QE*fE*N$66/365</f>
        <v>18.02696254897792</v>
      </c>
      <c r="O89" s="666">
        <f>QE*fE*O$66/365</f>
        <v>18.627861300610515</v>
      </c>
      <c r="P89" s="754">
        <f>SUM(D89:O89)</f>
        <v>219.32804434589798</v>
      </c>
      <c r="Q89" s="667" t="s">
        <v>479</v>
      </c>
      <c r="T89" s="728" t="s">
        <v>540</v>
      </c>
      <c r="U89" s="729"/>
      <c r="V89" s="729"/>
      <c r="W89" s="729"/>
      <c r="X89" s="729"/>
      <c r="Y89" s="632" t="s">
        <v>406</v>
      </c>
      <c r="Z89" s="731">
        <v>0.7</v>
      </c>
      <c r="AA89" s="632">
        <v>0.7</v>
      </c>
      <c r="AB89" s="730">
        <v>0.7</v>
      </c>
      <c r="AC89" s="632">
        <v>0.7</v>
      </c>
      <c r="AD89" s="730">
        <v>0.7</v>
      </c>
      <c r="AE89" s="632">
        <v>1.2</v>
      </c>
      <c r="AF89" s="771">
        <v>1</v>
      </c>
      <c r="AG89" s="772">
        <v>1</v>
      </c>
      <c r="AH89" s="730">
        <v>0.7</v>
      </c>
      <c r="AI89" s="632">
        <v>0.3</v>
      </c>
      <c r="AJ89" s="730">
        <v>0.7</v>
      </c>
      <c r="AK89" s="632">
        <v>0.7</v>
      </c>
    </row>
    <row r="90" spans="2:37">
      <c r="B90" s="615" t="s">
        <v>541</v>
      </c>
      <c r="D90" s="666">
        <f t="shared" ref="D90:M90" si="10">QP*tP*D$66*0.0036/AP</f>
        <v>18.748799999999999</v>
      </c>
      <c r="E90" s="666">
        <f t="shared" si="10"/>
        <v>16.9344</v>
      </c>
      <c r="F90" s="666">
        <f t="shared" si="10"/>
        <v>18.748799999999999</v>
      </c>
      <c r="G90" s="666">
        <f t="shared" si="10"/>
        <v>18.143999999999998</v>
      </c>
      <c r="H90" s="666">
        <f t="shared" si="10"/>
        <v>18.748799999999999</v>
      </c>
      <c r="I90" s="666">
        <f t="shared" si="10"/>
        <v>18.143999999999998</v>
      </c>
      <c r="J90" s="666">
        <f t="shared" si="10"/>
        <v>18.748799999999999</v>
      </c>
      <c r="K90" s="666">
        <f t="shared" si="10"/>
        <v>18.748799999999999</v>
      </c>
      <c r="L90" s="666">
        <f t="shared" si="10"/>
        <v>18.143999999999998</v>
      </c>
      <c r="M90" s="666">
        <f t="shared" si="10"/>
        <v>18.748799999999999</v>
      </c>
      <c r="N90" s="666">
        <f>QP*tP*N$66*0.0036/AP</f>
        <v>18.143999999999998</v>
      </c>
      <c r="O90" s="666">
        <f>QP*tP*O$66*0.0036/AP</f>
        <v>18.748799999999999</v>
      </c>
      <c r="P90" s="754">
        <f>SUM(D90:O90)</f>
        <v>220.75199999999995</v>
      </c>
      <c r="Q90" s="667" t="s">
        <v>479</v>
      </c>
      <c r="T90" s="766" t="s">
        <v>542</v>
      </c>
      <c r="U90" s="767"/>
      <c r="V90" s="767"/>
      <c r="W90" s="767"/>
      <c r="X90" s="767"/>
      <c r="Y90" s="633" t="s">
        <v>345</v>
      </c>
      <c r="Z90" s="773">
        <v>75</v>
      </c>
      <c r="AA90" s="633">
        <v>50</v>
      </c>
      <c r="AB90" s="755">
        <v>25</v>
      </c>
      <c r="AC90" s="633">
        <v>25</v>
      </c>
      <c r="AD90" s="755">
        <v>25</v>
      </c>
      <c r="AE90" s="633">
        <v>200</v>
      </c>
      <c r="AF90" s="755">
        <v>50</v>
      </c>
      <c r="AG90" s="633">
        <v>100</v>
      </c>
      <c r="AH90" s="755">
        <v>25</v>
      </c>
      <c r="AI90" s="633">
        <v>5</v>
      </c>
      <c r="AJ90" s="755">
        <v>300</v>
      </c>
      <c r="AK90" s="633">
        <v>300</v>
      </c>
    </row>
    <row r="91" spans="2:37" ht="22.8">
      <c r="B91" s="615" t="s">
        <v>543</v>
      </c>
      <c r="D91" s="666">
        <f t="shared" ref="D91:O91" si="11">D90+D89</f>
        <v>37.376661300610515</v>
      </c>
      <c r="E91" s="666">
        <f t="shared" si="11"/>
        <v>33.759565045712719</v>
      </c>
      <c r="F91" s="666">
        <f t="shared" si="11"/>
        <v>37.376661300610515</v>
      </c>
      <c r="G91" s="666">
        <f t="shared" si="11"/>
        <v>36.170962548977919</v>
      </c>
      <c r="H91" s="666">
        <f t="shared" si="11"/>
        <v>37.376661300610515</v>
      </c>
      <c r="I91" s="666">
        <f t="shared" si="11"/>
        <v>36.170962548977919</v>
      </c>
      <c r="J91" s="666">
        <f t="shared" si="11"/>
        <v>37.376661300610515</v>
      </c>
      <c r="K91" s="666">
        <f t="shared" si="11"/>
        <v>37.376661300610515</v>
      </c>
      <c r="L91" s="666">
        <f t="shared" si="11"/>
        <v>36.170962548977919</v>
      </c>
      <c r="M91" s="666">
        <f t="shared" si="11"/>
        <v>37.376661300610515</v>
      </c>
      <c r="N91" s="666">
        <f t="shared" si="11"/>
        <v>36.170962548977919</v>
      </c>
      <c r="O91" s="666">
        <f t="shared" si="11"/>
        <v>37.376661300610515</v>
      </c>
      <c r="P91" s="754">
        <f>SUM(D91:O91)</f>
        <v>440.08004434589799</v>
      </c>
      <c r="Q91" s="667" t="s">
        <v>479</v>
      </c>
      <c r="T91" s="634"/>
      <c r="U91" s="634"/>
      <c r="V91" s="634"/>
      <c r="W91" s="634"/>
      <c r="X91" s="634"/>
      <c r="Y91" s="634"/>
      <c r="Z91" s="634"/>
      <c r="AA91" s="634"/>
      <c r="AB91" s="634"/>
      <c r="AC91" s="634"/>
      <c r="AD91" s="634"/>
      <c r="AE91" s="634"/>
      <c r="AF91" s="774"/>
      <c r="AG91" s="774"/>
      <c r="AH91" s="774"/>
      <c r="AI91" s="774"/>
      <c r="AJ91" s="774"/>
      <c r="AK91" s="774"/>
    </row>
    <row r="92" spans="2:37" ht="22.8">
      <c r="B92" s="635" t="s">
        <v>544</v>
      </c>
      <c r="D92" s="666">
        <f>IF(EBF&gt;0,($D$19*D$69*$F$19+$D$18*D$70*$F$18+$D$20*D$71*$F$20+$D$17*D$72*$F$17+$D$21*D$68*$F$21)*0.9*G_E5*FF/EBF,0)</f>
        <v>7.0588235294117654</v>
      </c>
      <c r="E92" s="666">
        <f t="shared" ref="E92:O92" si="12">IF(EBF&gt;0,($D$19*E$69*$F$19+$D$18*E$70*$F$18+$D$20*E$71*$F$20+$D$17*E$72*$F$17+$D$21*E$68*$F$21)*0.9*G_E5*FF/EBF,0)</f>
        <v>10.852941176470589</v>
      </c>
      <c r="F92" s="666">
        <f t="shared" si="12"/>
        <v>17.47058823529412</v>
      </c>
      <c r="G92" s="666">
        <f t="shared" si="12"/>
        <v>20.382352941176471</v>
      </c>
      <c r="H92" s="666">
        <f t="shared" si="12"/>
        <v>25.32352941176471</v>
      </c>
      <c r="I92" s="666">
        <f t="shared" si="12"/>
        <v>26.735294117647062</v>
      </c>
      <c r="J92" s="666">
        <f t="shared" si="12"/>
        <v>28.852941176470594</v>
      </c>
      <c r="K92" s="666">
        <f t="shared" si="12"/>
        <v>26.029411764705884</v>
      </c>
      <c r="L92" s="666">
        <f t="shared" si="12"/>
        <v>19.235294117647058</v>
      </c>
      <c r="M92" s="666">
        <f t="shared" si="12"/>
        <v>12.529411764705884</v>
      </c>
      <c r="N92" s="666">
        <f t="shared" si="12"/>
        <v>6.617647058823529</v>
      </c>
      <c r="O92" s="666">
        <f t="shared" si="12"/>
        <v>5.2058823529411775</v>
      </c>
      <c r="P92" s="754">
        <f>SUM(D92:O92)</f>
        <v>206.29411764705884</v>
      </c>
      <c r="Q92" s="667" t="s">
        <v>479</v>
      </c>
      <c r="T92" s="636" t="s">
        <v>545</v>
      </c>
      <c r="U92" s="637"/>
      <c r="V92" s="638"/>
      <c r="W92" s="638"/>
      <c r="X92" s="638"/>
      <c r="Y92" s="638"/>
      <c r="Z92" s="638"/>
      <c r="AA92" s="638"/>
      <c r="AB92" s="638"/>
      <c r="AC92" s="638"/>
      <c r="AD92" s="638"/>
      <c r="AE92" s="638"/>
      <c r="AF92" s="775"/>
      <c r="AG92" s="775"/>
      <c r="AH92" s="775"/>
      <c r="AI92" s="775"/>
      <c r="AJ92" s="775"/>
      <c r="AK92" s="775"/>
    </row>
    <row r="93" spans="2:37" ht="13.5" customHeight="1">
      <c r="B93" s="615" t="s">
        <v>546</v>
      </c>
      <c r="D93" s="666">
        <f>D92+D91</f>
        <v>44.435484830022283</v>
      </c>
      <c r="E93" s="666">
        <f t="shared" ref="E93:O93" si="13">E92+E91</f>
        <v>44.612506222183306</v>
      </c>
      <c r="F93" s="666">
        <f t="shared" si="13"/>
        <v>54.847249535904638</v>
      </c>
      <c r="G93" s="666">
        <f t="shared" si="13"/>
        <v>56.55331549015439</v>
      </c>
      <c r="H93" s="666">
        <f t="shared" si="13"/>
        <v>62.700190712375225</v>
      </c>
      <c r="I93" s="666">
        <f t="shared" si="13"/>
        <v>62.906256666624984</v>
      </c>
      <c r="J93" s="666">
        <f t="shared" si="13"/>
        <v>66.229602477081102</v>
      </c>
      <c r="K93" s="666">
        <f t="shared" si="13"/>
        <v>63.406073065316399</v>
      </c>
      <c r="L93" s="666">
        <f t="shared" si="13"/>
        <v>55.406256666624977</v>
      </c>
      <c r="M93" s="666">
        <f t="shared" si="13"/>
        <v>49.906073065316399</v>
      </c>
      <c r="N93" s="666">
        <f t="shared" si="13"/>
        <v>42.788609607801448</v>
      </c>
      <c r="O93" s="666">
        <f t="shared" si="13"/>
        <v>42.582543653551696</v>
      </c>
      <c r="P93" s="776">
        <f>SUM(D93:O93)</f>
        <v>646.37416199295694</v>
      </c>
      <c r="Q93" s="667" t="s">
        <v>479</v>
      </c>
      <c r="T93" s="638"/>
      <c r="U93" s="638"/>
      <c r="V93" s="638"/>
      <c r="W93" s="638"/>
      <c r="X93" s="638"/>
      <c r="Y93" s="638"/>
      <c r="Z93" s="638"/>
      <c r="AA93" s="638"/>
      <c r="AB93" s="638"/>
      <c r="AC93" s="638"/>
      <c r="AD93" s="638"/>
      <c r="AE93" s="638"/>
      <c r="AF93" s="775"/>
      <c r="AG93" s="775"/>
      <c r="AH93" s="775"/>
      <c r="AI93" s="775"/>
      <c r="AJ93" s="775"/>
      <c r="AK93" s="775"/>
    </row>
    <row r="94" spans="2:37">
      <c r="B94" s="615" t="s">
        <v>615</v>
      </c>
      <c r="D94" s="666">
        <f t="shared" ref="D94:O94" si="14">IF(D87&gt;0,D93/D87,0)</f>
        <v>1.1149820952489498</v>
      </c>
      <c r="E94" s="666">
        <f t="shared" si="14"/>
        <v>1.3402435730212776</v>
      </c>
      <c r="F94" s="666">
        <f t="shared" si="14"/>
        <v>1.8627232468485537</v>
      </c>
      <c r="G94" s="666">
        <f t="shared" si="14"/>
        <v>2.4414798488552205</v>
      </c>
      <c r="H94" s="666">
        <f t="shared" si="14"/>
        <v>4.3429061934342252</v>
      </c>
      <c r="I94" s="666">
        <f t="shared" si="14"/>
        <v>7.1288294294380616</v>
      </c>
      <c r="J94" s="666">
        <f t="shared" si="14"/>
        <v>13.409234308542823</v>
      </c>
      <c r="K94" s="666">
        <f t="shared" si="14"/>
        <v>12.837565960200902</v>
      </c>
      <c r="L94" s="666">
        <f t="shared" si="14"/>
        <v>4.3055277018392983</v>
      </c>
      <c r="M94" s="666">
        <f t="shared" si="14"/>
        <v>2.3667675082159314</v>
      </c>
      <c r="N94" s="666">
        <f t="shared" si="14"/>
        <v>1.3854297561409197</v>
      </c>
      <c r="O94" s="666">
        <f t="shared" si="14"/>
        <v>1.167496401930521</v>
      </c>
      <c r="P94" s="754" t="s">
        <v>71</v>
      </c>
      <c r="Q94" s="667"/>
      <c r="T94" s="599" t="s">
        <v>378</v>
      </c>
      <c r="U94" s="616"/>
      <c r="V94" s="616"/>
      <c r="W94" s="600"/>
      <c r="X94" s="600"/>
      <c r="Y94" s="617">
        <v>0</v>
      </c>
      <c r="Z94" s="617" t="s">
        <v>509</v>
      </c>
      <c r="AA94" s="617" t="s">
        <v>510</v>
      </c>
      <c r="AB94" s="617" t="s">
        <v>511</v>
      </c>
      <c r="AC94" s="617" t="s">
        <v>512</v>
      </c>
      <c r="AD94" s="617" t="s">
        <v>513</v>
      </c>
      <c r="AE94" s="617" t="s">
        <v>514</v>
      </c>
      <c r="AF94" s="617" t="s">
        <v>515</v>
      </c>
      <c r="AG94" s="617" t="s">
        <v>516</v>
      </c>
      <c r="AH94" s="617" t="s">
        <v>517</v>
      </c>
      <c r="AI94" s="617" t="s">
        <v>176</v>
      </c>
      <c r="AJ94" s="617" t="s">
        <v>518</v>
      </c>
      <c r="AK94" s="617" t="s">
        <v>519</v>
      </c>
    </row>
    <row r="95" spans="2:37">
      <c r="B95" s="635" t="s">
        <v>616</v>
      </c>
      <c r="D95" s="666">
        <f t="shared" ref="D95:O95" si="15">IF(D87&gt;0,CEBF*EBF*1000000/(($D$22*U_DAFbeheizt+$D$14*U_E3*bGW+E4beheizt*U_E4+BodenErdeF*U_Boden*bGF+$D$16*U_E5)*3600 + $D$33*EBF*(1220-0.14*HueM)),0)</f>
        <v>152.79057465131942</v>
      </c>
      <c r="E95" s="666">
        <f t="shared" si="15"/>
        <v>152.79057465131942</v>
      </c>
      <c r="F95" s="666">
        <f t="shared" si="15"/>
        <v>152.79057465131942</v>
      </c>
      <c r="G95" s="666">
        <f t="shared" si="15"/>
        <v>152.79057465131942</v>
      </c>
      <c r="H95" s="666">
        <f t="shared" si="15"/>
        <v>152.79057465131942</v>
      </c>
      <c r="I95" s="666">
        <f t="shared" si="15"/>
        <v>152.79057465131942</v>
      </c>
      <c r="J95" s="666">
        <f t="shared" si="15"/>
        <v>152.79057465131942</v>
      </c>
      <c r="K95" s="666">
        <f t="shared" si="15"/>
        <v>152.79057465131942</v>
      </c>
      <c r="L95" s="666">
        <f t="shared" si="15"/>
        <v>152.79057465131942</v>
      </c>
      <c r="M95" s="666">
        <f t="shared" si="15"/>
        <v>152.79057465131942</v>
      </c>
      <c r="N95" s="666">
        <f t="shared" si="15"/>
        <v>152.79057465131942</v>
      </c>
      <c r="O95" s="666">
        <f t="shared" si="15"/>
        <v>152.79057465131942</v>
      </c>
      <c r="P95" s="754"/>
      <c r="Q95" s="667"/>
      <c r="T95" s="762"/>
      <c r="U95" s="760"/>
      <c r="V95" s="760"/>
      <c r="W95" s="762"/>
      <c r="X95" s="763"/>
      <c r="Y95" s="630"/>
      <c r="Z95" s="619" t="s">
        <v>133</v>
      </c>
      <c r="AA95" s="620" t="s">
        <v>133</v>
      </c>
      <c r="AB95" s="621" t="s">
        <v>521</v>
      </c>
      <c r="AC95" s="620" t="s">
        <v>290</v>
      </c>
      <c r="AD95" s="621" t="s">
        <v>76</v>
      </c>
      <c r="AE95" s="620" t="s">
        <v>522</v>
      </c>
      <c r="AF95" s="621" t="s">
        <v>523</v>
      </c>
      <c r="AG95" s="620" t="s">
        <v>293</v>
      </c>
      <c r="AH95" s="621" t="s">
        <v>164</v>
      </c>
      <c r="AI95" s="620" t="s">
        <v>294</v>
      </c>
      <c r="AJ95" s="621" t="s">
        <v>524</v>
      </c>
      <c r="AK95" s="620" t="s">
        <v>525</v>
      </c>
    </row>
    <row r="96" spans="2:37">
      <c r="B96" s="615" t="s">
        <v>547</v>
      </c>
      <c r="D96" s="666">
        <f t="shared" ref="D96:O96" si="16">a0+D95/tau0</f>
        <v>11.186038310087961</v>
      </c>
      <c r="E96" s="666">
        <f>a0+E95/tau0</f>
        <v>11.186038310087961</v>
      </c>
      <c r="F96" s="666">
        <f>a0+F95/tau0</f>
        <v>11.186038310087961</v>
      </c>
      <c r="G96" s="666">
        <f>a0+G95/tau0</f>
        <v>11.186038310087961</v>
      </c>
      <c r="H96" s="666">
        <f t="shared" si="16"/>
        <v>11.186038310087961</v>
      </c>
      <c r="I96" s="666">
        <f t="shared" si="16"/>
        <v>11.186038310087961</v>
      </c>
      <c r="J96" s="666">
        <f t="shared" si="16"/>
        <v>11.186038310087961</v>
      </c>
      <c r="K96" s="666">
        <f t="shared" si="16"/>
        <v>11.186038310087961</v>
      </c>
      <c r="L96" s="666">
        <f t="shared" si="16"/>
        <v>11.186038310087961</v>
      </c>
      <c r="M96" s="666">
        <f t="shared" si="16"/>
        <v>11.186038310087961</v>
      </c>
      <c r="N96" s="666">
        <f t="shared" si="16"/>
        <v>11.186038310087961</v>
      </c>
      <c r="O96" s="666">
        <f t="shared" si="16"/>
        <v>11.186038310087961</v>
      </c>
      <c r="P96" s="754"/>
      <c r="Q96" s="667"/>
      <c r="T96" s="731"/>
      <c r="U96" s="730"/>
      <c r="V96" s="729"/>
      <c r="W96" s="728"/>
      <c r="X96" s="737"/>
      <c r="Y96" s="632"/>
      <c r="Z96" s="622" t="s">
        <v>288</v>
      </c>
      <c r="AA96" s="623" t="s">
        <v>527</v>
      </c>
      <c r="AB96" s="624" t="s">
        <v>528</v>
      </c>
      <c r="AC96" s="623"/>
      <c r="AD96" s="624"/>
      <c r="AE96" s="623" t="s">
        <v>529</v>
      </c>
      <c r="AF96" s="624" t="s">
        <v>530</v>
      </c>
      <c r="AG96" s="623"/>
      <c r="AH96" s="624"/>
      <c r="AI96" s="623"/>
      <c r="AJ96" s="624" t="s">
        <v>531</v>
      </c>
      <c r="AK96" s="623" t="s">
        <v>532</v>
      </c>
    </row>
    <row r="97" spans="2:37">
      <c r="B97" s="615" t="s">
        <v>617</v>
      </c>
      <c r="D97" s="711">
        <f t="shared" ref="D97:O97" si="17">IF(D94=1,D96/(D96+1),IF(D87&lt;=0,0,(1-D94^D96)/(1-D94^(D96+1))))</f>
        <v>0.85960741134796204</v>
      </c>
      <c r="E97" s="711">
        <f t="shared" si="17"/>
        <v>0.73876824562653176</v>
      </c>
      <c r="F97" s="711">
        <f t="shared" si="17"/>
        <v>0.53661186154978058</v>
      </c>
      <c r="G97" s="711">
        <f t="shared" si="17"/>
        <v>0.4095765042610488</v>
      </c>
      <c r="H97" s="711">
        <f t="shared" si="17"/>
        <v>0.23026054419600225</v>
      </c>
      <c r="I97" s="711">
        <f t="shared" si="17"/>
        <v>0.14027548416626365</v>
      </c>
      <c r="J97" s="711">
        <f t="shared" si="17"/>
        <v>7.4575473661660938E-2</v>
      </c>
      <c r="K97" s="711">
        <f t="shared" si="17"/>
        <v>7.7896386519051619E-2</v>
      </c>
      <c r="L97" s="711">
        <f t="shared" si="17"/>
        <v>0.23225955264207307</v>
      </c>
      <c r="M97" s="711">
        <f t="shared" si="17"/>
        <v>0.42250128329279629</v>
      </c>
      <c r="N97" s="711">
        <f t="shared" si="17"/>
        <v>0.71646117017489019</v>
      </c>
      <c r="O97" s="711">
        <f t="shared" si="17"/>
        <v>0.83091712297444476</v>
      </c>
      <c r="P97" s="777">
        <f>IF(P93&gt;0,P98/P93,0)</f>
        <v>0.39742107892280037</v>
      </c>
      <c r="Q97" s="667"/>
      <c r="T97" s="639" t="s">
        <v>548</v>
      </c>
      <c r="U97" s="767"/>
      <c r="V97" s="767"/>
      <c r="W97" s="640" t="s">
        <v>549</v>
      </c>
      <c r="X97" s="641"/>
      <c r="Y97" s="633">
        <v>0</v>
      </c>
      <c r="Z97" s="626"/>
      <c r="AA97" s="627"/>
      <c r="AB97" s="628"/>
      <c r="AC97" s="627"/>
      <c r="AD97" s="628"/>
      <c r="AE97" s="627"/>
      <c r="AF97" s="628" t="s">
        <v>534</v>
      </c>
      <c r="AG97" s="627"/>
      <c r="AH97" s="628"/>
      <c r="AI97" s="627"/>
      <c r="AJ97" s="628"/>
      <c r="AK97" s="627"/>
    </row>
    <row r="98" spans="2:37">
      <c r="B98" s="770" t="s">
        <v>429</v>
      </c>
      <c r="D98" s="666">
        <f t="shared" ref="D98:O98" si="18">D93*D97</f>
        <v>38.19707208672709</v>
      </c>
      <c r="E98" s="666">
        <f t="shared" si="18"/>
        <v>32.958302954765095</v>
      </c>
      <c r="F98" s="666">
        <f t="shared" si="18"/>
        <v>29.431684674347128</v>
      </c>
      <c r="G98" s="666">
        <f t="shared" si="18"/>
        <v>23.162909262829658</v>
      </c>
      <c r="H98" s="666">
        <f t="shared" si="18"/>
        <v>14.437380034624645</v>
      </c>
      <c r="I98" s="666">
        <f t="shared" si="18"/>
        <v>8.8242056109980691</v>
      </c>
      <c r="J98" s="666">
        <f t="shared" si="18"/>
        <v>4.939103975151836</v>
      </c>
      <c r="K98" s="666">
        <f t="shared" si="18"/>
        <v>4.9391039751511139</v>
      </c>
      <c r="L98" s="666">
        <f t="shared" si="18"/>
        <v>12.868632386962195</v>
      </c>
      <c r="M98" s="666">
        <f t="shared" si="18"/>
        <v>21.085379914200235</v>
      </c>
      <c r="N98" s="666">
        <f t="shared" si="18"/>
        <v>30.656377309761975</v>
      </c>
      <c r="O98" s="666">
        <f t="shared" si="18"/>
        <v>35.382564661542879</v>
      </c>
      <c r="P98" s="642">
        <f>SUM(D98:O98)</f>
        <v>256.88271684706189</v>
      </c>
      <c r="Q98" s="667" t="s">
        <v>479</v>
      </c>
      <c r="T98" s="778" t="s">
        <v>550</v>
      </c>
      <c r="U98" s="779"/>
      <c r="V98" s="779"/>
      <c r="W98" s="780"/>
      <c r="X98" s="643" t="s">
        <v>345</v>
      </c>
      <c r="Y98" s="644"/>
      <c r="Z98" s="731">
        <v>55</v>
      </c>
      <c r="AA98" s="632">
        <v>65</v>
      </c>
      <c r="AB98" s="730">
        <v>65</v>
      </c>
      <c r="AC98" s="632">
        <v>70</v>
      </c>
      <c r="AD98" s="730">
        <v>50</v>
      </c>
      <c r="AE98" s="632">
        <v>95</v>
      </c>
      <c r="AF98" s="730">
        <v>95</v>
      </c>
      <c r="AG98" s="632">
        <v>80</v>
      </c>
      <c r="AH98" s="730">
        <v>60</v>
      </c>
      <c r="AI98" s="632">
        <v>60</v>
      </c>
      <c r="AJ98" s="730">
        <v>75</v>
      </c>
      <c r="AK98" s="632">
        <v>70</v>
      </c>
    </row>
    <row r="99" spans="2:37" ht="16.2" thickBot="1">
      <c r="B99" s="645" t="s">
        <v>551</v>
      </c>
      <c r="C99" s="748"/>
      <c r="D99" s="781"/>
      <c r="E99" s="781"/>
      <c r="F99" s="781"/>
      <c r="G99" s="781"/>
      <c r="H99" s="781"/>
      <c r="I99" s="781"/>
      <c r="J99" s="781"/>
      <c r="K99" s="781"/>
      <c r="L99" s="781"/>
      <c r="M99" s="781"/>
      <c r="N99" s="781"/>
      <c r="O99" s="782"/>
      <c r="P99" s="783"/>
      <c r="Q99" s="752"/>
      <c r="T99" s="784" t="s">
        <v>624</v>
      </c>
      <c r="U99" s="785"/>
      <c r="V99" s="785"/>
      <c r="W99" s="786"/>
      <c r="X99" s="646" t="s">
        <v>345</v>
      </c>
      <c r="Y99" s="647"/>
      <c r="Z99" s="773">
        <v>65</v>
      </c>
      <c r="AA99" s="633">
        <v>65</v>
      </c>
      <c r="AB99" s="755">
        <v>85</v>
      </c>
      <c r="AC99" s="633">
        <v>70</v>
      </c>
      <c r="AD99" s="755">
        <v>65</v>
      </c>
      <c r="AE99" s="633">
        <v>75</v>
      </c>
      <c r="AF99" s="755">
        <v>75</v>
      </c>
      <c r="AG99" s="633">
        <v>80</v>
      </c>
      <c r="AH99" s="755">
        <v>70</v>
      </c>
      <c r="AI99" s="633">
        <v>70</v>
      </c>
      <c r="AJ99" s="755">
        <v>70</v>
      </c>
      <c r="AK99" s="633">
        <v>90</v>
      </c>
    </row>
    <row r="100" spans="2:37" ht="13.8" thickBot="1">
      <c r="B100" s="648" t="s">
        <v>432</v>
      </c>
      <c r="C100" s="787"/>
      <c r="D100" s="788">
        <f t="shared" ref="D100:O100" si="19">D87-D98</f>
        <v>1.6560206394846801</v>
      </c>
      <c r="E100" s="788">
        <f t="shared" si="19"/>
        <v>0.32856155271726095</v>
      </c>
      <c r="F100" s="788">
        <f t="shared" si="19"/>
        <v>1.297363906464355E-2</v>
      </c>
      <c r="G100" s="788">
        <f t="shared" si="19"/>
        <v>6.3047175858343962E-4</v>
      </c>
      <c r="H100" s="788">
        <f t="shared" si="19"/>
        <v>8.1582241584499116E-7</v>
      </c>
      <c r="I100" s="788">
        <f t="shared" si="19"/>
        <v>2.1784050119322274E-9</v>
      </c>
      <c r="J100" s="788">
        <f t="shared" si="19"/>
        <v>1.1084466677857563E-12</v>
      </c>
      <c r="K100" s="788">
        <f>K87-K98</f>
        <v>1.8305357230019581E-12</v>
      </c>
      <c r="L100" s="788">
        <f t="shared" si="19"/>
        <v>7.9892015847349285E-7</v>
      </c>
      <c r="M100" s="788">
        <f t="shared" si="19"/>
        <v>7.9474895270692514E-4</v>
      </c>
      <c r="N100" s="788">
        <f t="shared" si="19"/>
        <v>0.22834233635567713</v>
      </c>
      <c r="O100" s="788">
        <f t="shared" si="19"/>
        <v>1.090818539586536</v>
      </c>
      <c r="P100" s="789">
        <f>SUM(D100:O100)</f>
        <v>3.3181435448440064</v>
      </c>
      <c r="Q100" s="790" t="s">
        <v>479</v>
      </c>
      <c r="T100" s="791" t="s">
        <v>438</v>
      </c>
      <c r="U100" s="792"/>
      <c r="V100" s="792"/>
      <c r="W100" s="780"/>
      <c r="X100" s="793" t="s">
        <v>18</v>
      </c>
      <c r="Y100" s="649"/>
      <c r="Z100" s="630">
        <v>1</v>
      </c>
      <c r="AA100" s="630">
        <v>1</v>
      </c>
      <c r="AB100" s="630">
        <v>0.8</v>
      </c>
      <c r="AC100" s="630">
        <v>0.8</v>
      </c>
      <c r="AD100" s="630">
        <v>0.8</v>
      </c>
      <c r="AE100" s="630">
        <v>0.8</v>
      </c>
      <c r="AF100" s="630">
        <v>0.8</v>
      </c>
      <c r="AG100" s="630">
        <v>1</v>
      </c>
      <c r="AH100" s="630">
        <v>0.8</v>
      </c>
      <c r="AI100" s="630">
        <v>0.8</v>
      </c>
      <c r="AJ100" s="630">
        <v>0.8</v>
      </c>
      <c r="AK100" s="630">
        <v>0.8</v>
      </c>
    </row>
    <row r="101" spans="2:37" ht="13.8" thickBot="1">
      <c r="B101" s="650" t="s">
        <v>552</v>
      </c>
      <c r="C101" s="787"/>
      <c r="D101" s="788"/>
      <c r="E101" s="788"/>
      <c r="F101" s="788"/>
      <c r="G101" s="788"/>
      <c r="H101" s="788"/>
      <c r="I101" s="788"/>
      <c r="J101" s="788"/>
      <c r="K101" s="788"/>
      <c r="L101" s="788"/>
      <c r="M101" s="788"/>
      <c r="N101" s="788"/>
      <c r="O101" s="794"/>
      <c r="P101" s="795">
        <f>W26*3.6</f>
        <v>0</v>
      </c>
      <c r="Q101" s="790" t="s">
        <v>479</v>
      </c>
      <c r="T101" s="784" t="s">
        <v>553</v>
      </c>
      <c r="U101" s="785"/>
      <c r="V101" s="785"/>
      <c r="W101" s="786"/>
      <c r="X101" s="786" t="s">
        <v>17</v>
      </c>
      <c r="Y101" s="651"/>
      <c r="Z101" s="633">
        <v>15</v>
      </c>
      <c r="AA101" s="633">
        <v>15</v>
      </c>
      <c r="AB101" s="633">
        <v>70</v>
      </c>
      <c r="AC101" s="633">
        <v>70</v>
      </c>
      <c r="AD101" s="633">
        <v>70</v>
      </c>
      <c r="AE101" s="633">
        <v>70</v>
      </c>
      <c r="AF101" s="633">
        <v>70</v>
      </c>
      <c r="AG101" s="633">
        <v>15</v>
      </c>
      <c r="AH101" s="633">
        <v>70</v>
      </c>
      <c r="AI101" s="633">
        <v>70</v>
      </c>
      <c r="AJ101" s="633">
        <v>70</v>
      </c>
      <c r="AK101" s="633">
        <v>70</v>
      </c>
    </row>
    <row r="102" spans="2:37">
      <c r="T102" s="796" t="s">
        <v>554</v>
      </c>
      <c r="U102" s="779"/>
      <c r="V102" s="779"/>
      <c r="W102" s="780"/>
      <c r="X102" s="643" t="s">
        <v>168</v>
      </c>
      <c r="Y102" s="644"/>
      <c r="Z102" s="797">
        <f>(Z98+$D$10*Z99)/3.6</f>
        <v>28.022875816993462</v>
      </c>
      <c r="AA102" s="797">
        <f>(AA98+$D$10*AA99)/3.6</f>
        <v>30.800653594771241</v>
      </c>
      <c r="AB102" s="797">
        <f t="shared" ref="AB102:AK102" si="20">(AB98+$D$10*AB99)/3.6</f>
        <v>34.722222222222221</v>
      </c>
      <c r="AC102" s="797">
        <f t="shared" si="20"/>
        <v>33.169934640522875</v>
      </c>
      <c r="AD102" s="797">
        <f t="shared" si="20"/>
        <v>26.633986928104573</v>
      </c>
      <c r="AE102" s="797">
        <f t="shared" si="20"/>
        <v>41.094771241830067</v>
      </c>
      <c r="AF102" s="797">
        <f t="shared" si="20"/>
        <v>41.094771241830067</v>
      </c>
      <c r="AG102" s="797">
        <f t="shared" si="20"/>
        <v>37.908496732026144</v>
      </c>
      <c r="AH102" s="797">
        <f t="shared" si="20"/>
        <v>30.392156862745097</v>
      </c>
      <c r="AI102" s="797">
        <f t="shared" si="20"/>
        <v>30.392156862745097</v>
      </c>
      <c r="AJ102" s="797">
        <f t="shared" si="20"/>
        <v>34.558823529411761</v>
      </c>
      <c r="AK102" s="797">
        <f t="shared" si="20"/>
        <v>37.091503267973856</v>
      </c>
    </row>
    <row r="103" spans="2:37">
      <c r="T103" s="798" t="s">
        <v>555</v>
      </c>
      <c r="U103" s="785"/>
      <c r="V103" s="785"/>
      <c r="W103" s="786"/>
      <c r="X103" s="646" t="s">
        <v>168</v>
      </c>
      <c r="Y103" s="647"/>
      <c r="Z103" s="799">
        <f>1.25*Z102</f>
        <v>35.028594771241828</v>
      </c>
      <c r="AA103" s="799">
        <f t="shared" ref="AA103:AK103" si="21">1.25*AA102</f>
        <v>38.500816993464049</v>
      </c>
      <c r="AB103" s="799">
        <f t="shared" si="21"/>
        <v>43.402777777777779</v>
      </c>
      <c r="AC103" s="799">
        <f t="shared" si="21"/>
        <v>41.462418300653596</v>
      </c>
      <c r="AD103" s="799">
        <f t="shared" si="21"/>
        <v>33.292483660130713</v>
      </c>
      <c r="AE103" s="799">
        <f t="shared" si="21"/>
        <v>51.368464052287585</v>
      </c>
      <c r="AF103" s="799">
        <f t="shared" si="21"/>
        <v>51.368464052287585</v>
      </c>
      <c r="AG103" s="799">
        <f t="shared" si="21"/>
        <v>47.385620915032682</v>
      </c>
      <c r="AH103" s="799">
        <f t="shared" si="21"/>
        <v>37.990196078431367</v>
      </c>
      <c r="AI103" s="799">
        <f t="shared" si="21"/>
        <v>37.990196078431367</v>
      </c>
      <c r="AJ103" s="799">
        <f t="shared" si="21"/>
        <v>43.198529411764703</v>
      </c>
      <c r="AK103" s="799">
        <f t="shared" si="21"/>
        <v>46.364379084967318</v>
      </c>
    </row>
    <row r="104" spans="2:37" ht="16.2" thickBot="1">
      <c r="B104" s="652" t="str">
        <f>IF(Standard="Minergie-P","Mit Wärmegewinn Elektrizität gemäss MINERGIE-P und mechanischer Lüftungsanlage.",IF(Standard="Minergie","Mit Wärmegewinn Elektrizität gemäss MINERGIE und mechanischer Lüftungsanlage.",""))</f>
        <v/>
      </c>
    </row>
    <row r="105" spans="2:37" ht="16.5" customHeight="1" thickBot="1">
      <c r="B105" s="850" t="s">
        <v>556</v>
      </c>
      <c r="C105" s="852" t="s">
        <v>61</v>
      </c>
      <c r="D105" s="610">
        <f>Q41</f>
        <v>0</v>
      </c>
      <c r="E105" s="724"/>
      <c r="F105" s="724"/>
      <c r="G105" s="724"/>
      <c r="H105" s="724"/>
      <c r="I105" s="724"/>
      <c r="J105" s="724"/>
      <c r="K105" s="724"/>
      <c r="L105" s="724"/>
      <c r="M105" s="724"/>
      <c r="N105" s="724"/>
      <c r="O105" s="724"/>
      <c r="P105" s="724"/>
      <c r="Q105" s="727"/>
      <c r="T105" s="636" t="s">
        <v>557</v>
      </c>
      <c r="U105" s="637"/>
      <c r="V105" s="638"/>
      <c r="W105" s="638"/>
      <c r="X105" s="638"/>
      <c r="Y105" s="638"/>
      <c r="Z105" s="638"/>
      <c r="AA105" s="638"/>
      <c r="AB105" s="638"/>
      <c r="AC105" s="638"/>
      <c r="AD105" s="638"/>
      <c r="AE105" s="638"/>
      <c r="AF105" s="775"/>
      <c r="AG105" s="775"/>
      <c r="AH105" s="775"/>
      <c r="AI105" s="775"/>
      <c r="AJ105" s="775"/>
      <c r="AK105" s="775"/>
    </row>
    <row r="106" spans="2:37" ht="22.8">
      <c r="B106" s="653" t="s">
        <v>498</v>
      </c>
      <c r="C106" s="753"/>
      <c r="D106" s="753"/>
      <c r="E106" s="753"/>
      <c r="F106" s="753"/>
      <c r="G106" s="753"/>
      <c r="H106" s="753"/>
      <c r="I106" s="753"/>
      <c r="J106" s="753"/>
      <c r="K106" s="753"/>
      <c r="L106" s="753"/>
      <c r="M106" s="753"/>
      <c r="N106" s="753"/>
      <c r="O106" s="735"/>
      <c r="P106" s="734"/>
      <c r="Q106" s="735"/>
      <c r="T106" s="638"/>
      <c r="U106" s="638"/>
      <c r="V106" s="638"/>
      <c r="W106" s="638"/>
      <c r="X106" s="638"/>
      <c r="Y106" s="638"/>
      <c r="Z106" s="638"/>
      <c r="AA106" s="638"/>
      <c r="AB106" s="638"/>
      <c r="AC106" s="638"/>
      <c r="AD106" s="638"/>
      <c r="AE106" s="638"/>
      <c r="AF106" s="775"/>
      <c r="AG106" s="775"/>
      <c r="AH106" s="775"/>
      <c r="AI106" s="775"/>
      <c r="AJ106" s="775"/>
      <c r="AK106" s="775"/>
    </row>
    <row r="107" spans="2:37">
      <c r="B107" s="615" t="s">
        <v>501</v>
      </c>
      <c r="D107" s="666">
        <f>IF(EBF&gt;0,(Thetai-D$67)*D$66*$D$22*U_DAFbeheizt*0.0864/EBF,0)</f>
        <v>0</v>
      </c>
      <c r="E107" s="666">
        <f t="shared" ref="E107:O107" si="22">IF(EBF&gt;0,(Thetai-E$67)*E$66*$D$22*U_DAFbeheizt*0.0864/EBF,0)</f>
        <v>0</v>
      </c>
      <c r="F107" s="666">
        <f t="shared" si="22"/>
        <v>0</v>
      </c>
      <c r="G107" s="666">
        <f t="shared" si="22"/>
        <v>0</v>
      </c>
      <c r="H107" s="666">
        <f t="shared" si="22"/>
        <v>0</v>
      </c>
      <c r="I107" s="666">
        <f t="shared" si="22"/>
        <v>0</v>
      </c>
      <c r="J107" s="666">
        <f t="shared" si="22"/>
        <v>0</v>
      </c>
      <c r="K107" s="666">
        <f t="shared" si="22"/>
        <v>0</v>
      </c>
      <c r="L107" s="666">
        <f t="shared" si="22"/>
        <v>0</v>
      </c>
      <c r="M107" s="666">
        <f t="shared" si="22"/>
        <v>0</v>
      </c>
      <c r="N107" s="666">
        <f t="shared" si="22"/>
        <v>0</v>
      </c>
      <c r="O107" s="666">
        <f t="shared" si="22"/>
        <v>0</v>
      </c>
      <c r="P107" s="754">
        <f t="shared" ref="P107:P112" si="23">SUM(D107:O107)</f>
        <v>0</v>
      </c>
      <c r="Q107" s="667" t="s">
        <v>479</v>
      </c>
      <c r="T107" s="599" t="s">
        <v>378</v>
      </c>
      <c r="U107" s="616"/>
      <c r="V107" s="616"/>
      <c r="W107" s="600"/>
      <c r="X107" s="600"/>
      <c r="Y107" s="617">
        <v>0</v>
      </c>
      <c r="Z107" s="617" t="s">
        <v>509</v>
      </c>
      <c r="AA107" s="617" t="s">
        <v>510</v>
      </c>
      <c r="AB107" s="617" t="s">
        <v>511</v>
      </c>
      <c r="AC107" s="617" t="s">
        <v>512</v>
      </c>
      <c r="AD107" s="617" t="s">
        <v>513</v>
      </c>
      <c r="AE107" s="617" t="s">
        <v>514</v>
      </c>
      <c r="AF107" s="617" t="s">
        <v>515</v>
      </c>
      <c r="AG107" s="617" t="s">
        <v>516</v>
      </c>
      <c r="AH107" s="617" t="s">
        <v>517</v>
      </c>
      <c r="AI107" s="617" t="s">
        <v>176</v>
      </c>
      <c r="AJ107" s="617" t="s">
        <v>518</v>
      </c>
      <c r="AK107" s="617" t="s">
        <v>519</v>
      </c>
    </row>
    <row r="108" spans="2:37">
      <c r="B108" s="615" t="s">
        <v>504</v>
      </c>
      <c r="D108" s="666">
        <v>0</v>
      </c>
      <c r="E108" s="666">
        <v>0</v>
      </c>
      <c r="F108" s="666">
        <v>0</v>
      </c>
      <c r="G108" s="666">
        <v>0</v>
      </c>
      <c r="H108" s="666">
        <v>0</v>
      </c>
      <c r="I108" s="666">
        <v>0</v>
      </c>
      <c r="J108" s="666">
        <v>0</v>
      </c>
      <c r="K108" s="666">
        <v>0</v>
      </c>
      <c r="L108" s="666">
        <v>0</v>
      </c>
      <c r="M108" s="666">
        <v>0</v>
      </c>
      <c r="N108" s="666">
        <v>0</v>
      </c>
      <c r="O108" s="666">
        <v>0</v>
      </c>
      <c r="P108" s="754">
        <f t="shared" si="23"/>
        <v>0</v>
      </c>
      <c r="Q108" s="667" t="s">
        <v>479</v>
      </c>
      <c r="T108" s="762"/>
      <c r="U108" s="760"/>
      <c r="V108" s="760"/>
      <c r="W108" s="762"/>
      <c r="X108" s="763"/>
      <c r="Y108" s="630"/>
      <c r="Z108" s="619" t="s">
        <v>133</v>
      </c>
      <c r="AA108" s="620" t="s">
        <v>133</v>
      </c>
      <c r="AB108" s="621" t="s">
        <v>521</v>
      </c>
      <c r="AC108" s="620" t="s">
        <v>290</v>
      </c>
      <c r="AD108" s="621" t="s">
        <v>76</v>
      </c>
      <c r="AE108" s="620" t="s">
        <v>522</v>
      </c>
      <c r="AF108" s="621" t="s">
        <v>523</v>
      </c>
      <c r="AG108" s="620" t="s">
        <v>293</v>
      </c>
      <c r="AH108" s="621" t="s">
        <v>164</v>
      </c>
      <c r="AI108" s="620" t="s">
        <v>294</v>
      </c>
      <c r="AJ108" s="621" t="s">
        <v>524</v>
      </c>
      <c r="AK108" s="620" t="s">
        <v>525</v>
      </c>
    </row>
    <row r="109" spans="2:37">
      <c r="B109" s="615" t="s">
        <v>507</v>
      </c>
      <c r="D109" s="666">
        <f>IF(EBF&gt;0,(deltaThetahmax+Thetai-D$67)*D$66*E4beheizt*U_E4*0.0864/EBF,0)</f>
        <v>6.0496128000000002</v>
      </c>
      <c r="E109" s="666">
        <f t="shared" ref="E109:M109" si="24">IF(EBF&gt;0,(Thetai-E$67)*E$66*E4beheizt*U_E4*0.0864/EBF,0)</f>
        <v>4.5889536</v>
      </c>
      <c r="F109" s="666">
        <f t="shared" si="24"/>
        <v>4.0592640000000006</v>
      </c>
      <c r="G109" s="666">
        <f t="shared" si="24"/>
        <v>3.1933440000000002</v>
      </c>
      <c r="H109" s="666">
        <f t="shared" si="24"/>
        <v>1.9903488</v>
      </c>
      <c r="I109" s="666">
        <f t="shared" si="24"/>
        <v>1.2165120000000003</v>
      </c>
      <c r="J109" s="666">
        <f t="shared" si="24"/>
        <v>0.68090880000000042</v>
      </c>
      <c r="K109" s="666">
        <f t="shared" si="24"/>
        <v>0.68090880000000042</v>
      </c>
      <c r="L109" s="666">
        <f t="shared" si="24"/>
        <v>1.7740800000000003</v>
      </c>
      <c r="M109" s="666">
        <f t="shared" si="24"/>
        <v>2.9069567999999997</v>
      </c>
      <c r="N109" s="666">
        <f>IF(EBF&gt;0,(Thetai-N$67)*N$66*E4beheizt*U_E4*0.0864/EBF,0)</f>
        <v>4.2577920000000002</v>
      </c>
      <c r="O109" s="666">
        <f>IF(EBF&gt;0,(Thetai-O$67)*O$66*E4beheizt*U_E4*0.0864/EBF,0)</f>
        <v>5.0282495999999997</v>
      </c>
      <c r="P109" s="754">
        <f t="shared" si="23"/>
        <v>36.426931200000006</v>
      </c>
      <c r="Q109" s="667" t="s">
        <v>479</v>
      </c>
      <c r="T109" s="731"/>
      <c r="U109" s="730"/>
      <c r="V109" s="729"/>
      <c r="W109" s="728"/>
      <c r="X109" s="737"/>
      <c r="Y109" s="632"/>
      <c r="Z109" s="622" t="s">
        <v>288</v>
      </c>
      <c r="AA109" s="623" t="s">
        <v>527</v>
      </c>
      <c r="AB109" s="624" t="s">
        <v>528</v>
      </c>
      <c r="AC109" s="623"/>
      <c r="AD109" s="624"/>
      <c r="AE109" s="623" t="s">
        <v>529</v>
      </c>
      <c r="AF109" s="624" t="s">
        <v>530</v>
      </c>
      <c r="AG109" s="623"/>
      <c r="AH109" s="624"/>
      <c r="AI109" s="623"/>
      <c r="AJ109" s="624" t="s">
        <v>531</v>
      </c>
      <c r="AK109" s="623" t="s">
        <v>532</v>
      </c>
    </row>
    <row r="110" spans="2:37">
      <c r="B110" s="615" t="s">
        <v>558</v>
      </c>
      <c r="D110" s="666">
        <f t="shared" ref="D110:M110" si="25">IF(EBF&gt;0,(Thetai+deltaThetahmax-D$67)*D$66*BodenErdeF*U_Boden*bGF*0.0864/EBF,0)</f>
        <v>0</v>
      </c>
      <c r="E110" s="666">
        <f t="shared" si="25"/>
        <v>0</v>
      </c>
      <c r="F110" s="666">
        <f t="shared" si="25"/>
        <v>0</v>
      </c>
      <c r="G110" s="666">
        <f t="shared" si="25"/>
        <v>0</v>
      </c>
      <c r="H110" s="666">
        <f t="shared" si="25"/>
        <v>0</v>
      </c>
      <c r="I110" s="666">
        <f t="shared" si="25"/>
        <v>0</v>
      </c>
      <c r="J110" s="666">
        <f t="shared" si="25"/>
        <v>0</v>
      </c>
      <c r="K110" s="666">
        <f t="shared" si="25"/>
        <v>0</v>
      </c>
      <c r="L110" s="666">
        <f t="shared" si="25"/>
        <v>0</v>
      </c>
      <c r="M110" s="666">
        <f t="shared" si="25"/>
        <v>0</v>
      </c>
      <c r="N110" s="666">
        <f>IF(EBF&gt;0,(Thetai+deltaThetahmax-N$67)*N$66*BodenErdeF*U_Boden*bGF*0.0864/EBF,0)</f>
        <v>0</v>
      </c>
      <c r="O110" s="666">
        <f>IF(EBF&gt;0,(Thetai+deltaThetahmax-O$67)*O$66*BodenErdeF*U_Boden*bGF*0.0864/EBF,0)</f>
        <v>0</v>
      </c>
      <c r="P110" s="754">
        <f t="shared" si="23"/>
        <v>0</v>
      </c>
      <c r="Q110" s="667" t="s">
        <v>479</v>
      </c>
      <c r="T110" s="654" t="s">
        <v>559</v>
      </c>
      <c r="U110" s="800"/>
      <c r="V110" s="800"/>
      <c r="W110" s="655" t="s">
        <v>549</v>
      </c>
      <c r="X110" s="656"/>
      <c r="Y110" s="633"/>
      <c r="Z110" s="626"/>
      <c r="AA110" s="627"/>
      <c r="AB110" s="628"/>
      <c r="AC110" s="627"/>
      <c r="AD110" s="628"/>
      <c r="AE110" s="627"/>
      <c r="AF110" s="628" t="s">
        <v>534</v>
      </c>
      <c r="AG110" s="627"/>
      <c r="AH110" s="628"/>
      <c r="AI110" s="627"/>
      <c r="AJ110" s="628"/>
      <c r="AK110" s="627"/>
    </row>
    <row r="111" spans="2:37">
      <c r="B111" s="618" t="s">
        <v>560</v>
      </c>
      <c r="D111" s="666">
        <f t="shared" ref="D111:O111" si="26">(IF(EBF&gt;0,(Thetai+deltaThetahmax-D$67)*D$66*BodenErdeF*U_gedaemmteDecken*0.0864/EBF,0))*0</f>
        <v>0</v>
      </c>
      <c r="E111" s="666">
        <f t="shared" si="26"/>
        <v>0</v>
      </c>
      <c r="F111" s="666">
        <f t="shared" si="26"/>
        <v>0</v>
      </c>
      <c r="G111" s="666">
        <f t="shared" si="26"/>
        <v>0</v>
      </c>
      <c r="H111" s="666">
        <f t="shared" si="26"/>
        <v>0</v>
      </c>
      <c r="I111" s="666">
        <f t="shared" si="26"/>
        <v>0</v>
      </c>
      <c r="J111" s="666">
        <f t="shared" si="26"/>
        <v>0</v>
      </c>
      <c r="K111" s="666">
        <f t="shared" si="26"/>
        <v>0</v>
      </c>
      <c r="L111" s="666">
        <f t="shared" si="26"/>
        <v>0</v>
      </c>
      <c r="M111" s="666">
        <f t="shared" si="26"/>
        <v>0</v>
      </c>
      <c r="N111" s="666">
        <f t="shared" si="26"/>
        <v>0</v>
      </c>
      <c r="O111" s="666">
        <f t="shared" si="26"/>
        <v>0</v>
      </c>
      <c r="P111" s="754">
        <f t="shared" si="23"/>
        <v>0</v>
      </c>
      <c r="Q111" s="667" t="s">
        <v>479</v>
      </c>
      <c r="T111" s="796" t="s">
        <v>561</v>
      </c>
      <c r="U111" s="779"/>
      <c r="V111" s="779"/>
      <c r="W111" s="780"/>
      <c r="X111" s="643" t="s">
        <v>168</v>
      </c>
      <c r="Y111" s="644"/>
      <c r="Z111" s="731">
        <v>38</v>
      </c>
      <c r="AA111" s="632">
        <v>38</v>
      </c>
      <c r="AB111" s="730">
        <v>40</v>
      </c>
      <c r="AC111" s="632">
        <v>40</v>
      </c>
      <c r="AD111" s="730">
        <v>40</v>
      </c>
      <c r="AE111" s="632">
        <v>45</v>
      </c>
      <c r="AF111" s="730">
        <v>40</v>
      </c>
      <c r="AG111" s="632">
        <v>70</v>
      </c>
      <c r="AH111" s="730">
        <v>20</v>
      </c>
      <c r="AI111" s="632">
        <v>20</v>
      </c>
      <c r="AJ111" s="730">
        <v>25</v>
      </c>
      <c r="AK111" s="632">
        <v>0</v>
      </c>
    </row>
    <row r="112" spans="2:37">
      <c r="B112" s="615" t="s">
        <v>526</v>
      </c>
      <c r="D112" s="666">
        <f>IF(EBF&gt;0,(Thetai-D$67)*D$66*D16*U_E5*0.0864/EBF,0)</f>
        <v>19.040798117647064</v>
      </c>
      <c r="E112" s="666">
        <f>IF(EBF&gt;0,(Thetai-E$67)*E$66*D16*U_E5*0.0864/EBF,0)</f>
        <v>16.196306823529412</v>
      </c>
      <c r="F112" s="666">
        <f>IF(EBF&gt;0,(Thetai-F$67)*F$66*D16*U_E5*0.0864/EBF,0)</f>
        <v>14.326814117647062</v>
      </c>
      <c r="G112" s="666">
        <f>IF(EBF&gt;0,(Thetai-G$67)*G$66*D16*U_E5*0.0864/EBF,0)</f>
        <v>11.270625882352943</v>
      </c>
      <c r="H112" s="666">
        <f>IF(EBF&gt;0,(Thetai-H$67)*H$66*D16*U_E5*0.0864/EBF,0)</f>
        <v>7.0247604705882374</v>
      </c>
      <c r="I112" s="666">
        <f>IF(EBF&gt;0,(Thetai-I$67)*I$66*D16*U_E5*0.0864/EBF,0)</f>
        <v>4.2935717647058844</v>
      </c>
      <c r="J112" s="666">
        <f>IF(EBF&gt;0,(Thetai-J$67)*J$66*D16*U_E5*0.0864/EBF,0)</f>
        <v>2.4032075294117665</v>
      </c>
      <c r="K112" s="666">
        <f>IF(EBF&gt;0,(Thetai-K$67)*K$66*D16*U_E5*0.0864/EBF,0)</f>
        <v>2.4032075294117665</v>
      </c>
      <c r="L112" s="666">
        <f>IF(EBF&gt;0,(Thetai-L$67)*L$66*D16*U_E5*0.0864/EBF,0)</f>
        <v>6.2614588235294129</v>
      </c>
      <c r="M112" s="666">
        <f>IF(EBF&gt;0,(Thetai-M$67)*M$66*D16*U_E5*0.0864/EBF,0)</f>
        <v>10.259847529411765</v>
      </c>
      <c r="N112" s="666">
        <f>IF(EBF&gt;0,(Thetai-N$67)*N$66*D16*U_E5*0.0864/EBF,0)</f>
        <v>15.02750117647059</v>
      </c>
      <c r="O112" s="666">
        <f>IF(EBF&gt;0,(Thetai-O$67)*O$66*D16*U_E5*0.0864/EBF,0)</f>
        <v>17.746763294117649</v>
      </c>
      <c r="P112" s="754">
        <f t="shared" si="23"/>
        <v>126.25486305882356</v>
      </c>
      <c r="Q112" s="667" t="s">
        <v>479</v>
      </c>
      <c r="T112" s="798" t="s">
        <v>562</v>
      </c>
      <c r="U112" s="785"/>
      <c r="V112" s="785"/>
      <c r="W112" s="786"/>
      <c r="X112" s="646" t="s">
        <v>168</v>
      </c>
      <c r="Y112" s="647"/>
      <c r="Z112" s="773">
        <v>60</v>
      </c>
      <c r="AA112" s="633">
        <v>60</v>
      </c>
      <c r="AB112" s="755">
        <v>55</v>
      </c>
      <c r="AC112" s="633">
        <v>55</v>
      </c>
      <c r="AD112" s="755">
        <v>55</v>
      </c>
      <c r="AE112" s="633">
        <v>65</v>
      </c>
      <c r="AF112" s="755">
        <v>60</v>
      </c>
      <c r="AG112" s="633">
        <v>85</v>
      </c>
      <c r="AH112" s="755">
        <v>40</v>
      </c>
      <c r="AI112" s="633">
        <v>35</v>
      </c>
      <c r="AJ112" s="755">
        <v>40</v>
      </c>
      <c r="AK112" s="633">
        <v>0</v>
      </c>
    </row>
    <row r="113" spans="2:37">
      <c r="B113" s="625" t="s">
        <v>563</v>
      </c>
      <c r="D113" s="666">
        <f>1*D$66*(Thetai-D$67)*BodenUnb*E61*$D$53*0.0864/EBF</f>
        <v>0</v>
      </c>
      <c r="E113" s="666">
        <f t="shared" ref="E113:O113" si="27">1*E$66*(Thetai-E$67)*BodenUnb*U_Boden*$D$53*0.0864/EBF</f>
        <v>0</v>
      </c>
      <c r="F113" s="666">
        <f t="shared" si="27"/>
        <v>0</v>
      </c>
      <c r="G113" s="666">
        <f t="shared" si="27"/>
        <v>0</v>
      </c>
      <c r="H113" s="666">
        <f t="shared" si="27"/>
        <v>0</v>
      </c>
      <c r="I113" s="666">
        <f t="shared" si="27"/>
        <v>0</v>
      </c>
      <c r="J113" s="666">
        <f t="shared" si="27"/>
        <v>0</v>
      </c>
      <c r="K113" s="666">
        <f t="shared" si="27"/>
        <v>0</v>
      </c>
      <c r="L113" s="666">
        <f t="shared" si="27"/>
        <v>0</v>
      </c>
      <c r="M113" s="666">
        <f t="shared" si="27"/>
        <v>0</v>
      </c>
      <c r="N113" s="666">
        <f t="shared" si="27"/>
        <v>0</v>
      </c>
      <c r="O113" s="666">
        <f t="shared" si="27"/>
        <v>0</v>
      </c>
      <c r="P113" s="754">
        <f>SUM(D113:O113)</f>
        <v>0</v>
      </c>
      <c r="Q113" s="667" t="s">
        <v>479</v>
      </c>
      <c r="T113" s="796" t="s">
        <v>564</v>
      </c>
      <c r="U113" s="779"/>
      <c r="V113" s="779"/>
      <c r="W113" s="780"/>
      <c r="X113" s="643" t="s">
        <v>168</v>
      </c>
      <c r="Y113" s="644"/>
      <c r="Z113" s="731">
        <v>30</v>
      </c>
      <c r="AA113" s="632">
        <v>30</v>
      </c>
      <c r="AB113" s="730">
        <v>25</v>
      </c>
      <c r="AC113" s="632">
        <v>25</v>
      </c>
      <c r="AD113" s="730">
        <v>25</v>
      </c>
      <c r="AE113" s="632">
        <v>40</v>
      </c>
      <c r="AF113" s="730">
        <v>40</v>
      </c>
      <c r="AG113" s="632">
        <v>45</v>
      </c>
      <c r="AH113" s="730">
        <v>15</v>
      </c>
      <c r="AI113" s="632">
        <v>15</v>
      </c>
      <c r="AJ113" s="730">
        <v>20</v>
      </c>
      <c r="AK113" s="632">
        <v>0</v>
      </c>
    </row>
    <row r="114" spans="2:37">
      <c r="B114" s="657" t="s">
        <v>422</v>
      </c>
      <c r="D114" s="666">
        <f>SUM(D107:D113)*(1+WBZuschlag)</f>
        <v>27.59945200941177</v>
      </c>
      <c r="E114" s="666">
        <f t="shared" ref="E114:O114" si="28">SUM(E107:E113)*(1+WBZuschlag)</f>
        <v>22.863786465882356</v>
      </c>
      <c r="F114" s="666">
        <f t="shared" si="28"/>
        <v>20.22468592941177</v>
      </c>
      <c r="G114" s="666">
        <f t="shared" si="28"/>
        <v>15.91036687058824</v>
      </c>
      <c r="H114" s="666">
        <f t="shared" si="28"/>
        <v>9.9166201976470614</v>
      </c>
      <c r="I114" s="666">
        <f t="shared" si="28"/>
        <v>6.0610921411764735</v>
      </c>
      <c r="J114" s="666">
        <f t="shared" si="28"/>
        <v>3.3925279623529438</v>
      </c>
      <c r="K114" s="666">
        <f t="shared" si="28"/>
        <v>3.3925279623529438</v>
      </c>
      <c r="L114" s="666">
        <f t="shared" si="28"/>
        <v>8.8390927058823543</v>
      </c>
      <c r="M114" s="666">
        <f t="shared" si="28"/>
        <v>14.483484762352942</v>
      </c>
      <c r="N114" s="666">
        <f t="shared" si="28"/>
        <v>21.21382249411765</v>
      </c>
      <c r="O114" s="666">
        <f t="shared" si="28"/>
        <v>25.052514183529414</v>
      </c>
      <c r="P114" s="658">
        <f>SUM(D114:O114)</f>
        <v>178.94997368470592</v>
      </c>
      <c r="Q114" s="667" t="s">
        <v>479</v>
      </c>
      <c r="T114" s="798" t="s">
        <v>565</v>
      </c>
      <c r="U114" s="785"/>
      <c r="V114" s="785"/>
      <c r="W114" s="786"/>
      <c r="X114" s="646" t="s">
        <v>168</v>
      </c>
      <c r="Y114" s="647"/>
      <c r="Z114" s="659">
        <f>0.8*Z103</f>
        <v>28.022875816993462</v>
      </c>
      <c r="AA114" s="659">
        <f t="shared" ref="AA114:AK114" si="29">0.8*AA103</f>
        <v>30.800653594771241</v>
      </c>
      <c r="AB114" s="659">
        <f t="shared" si="29"/>
        <v>34.722222222222221</v>
      </c>
      <c r="AC114" s="659">
        <f t="shared" si="29"/>
        <v>33.169934640522875</v>
      </c>
      <c r="AD114" s="659">
        <f t="shared" si="29"/>
        <v>26.633986928104573</v>
      </c>
      <c r="AE114" s="659">
        <f t="shared" si="29"/>
        <v>41.094771241830074</v>
      </c>
      <c r="AF114" s="659">
        <f t="shared" si="29"/>
        <v>41.094771241830074</v>
      </c>
      <c r="AG114" s="659">
        <f t="shared" si="29"/>
        <v>37.908496732026144</v>
      </c>
      <c r="AH114" s="659">
        <f t="shared" si="29"/>
        <v>30.392156862745097</v>
      </c>
      <c r="AI114" s="659">
        <f t="shared" si="29"/>
        <v>30.392156862745097</v>
      </c>
      <c r="AJ114" s="659">
        <f t="shared" si="29"/>
        <v>34.558823529411761</v>
      </c>
      <c r="AK114" s="659">
        <f t="shared" si="29"/>
        <v>37.091503267973856</v>
      </c>
    </row>
    <row r="115" spans="2:37">
      <c r="B115" s="631" t="s">
        <v>535</v>
      </c>
      <c r="C115" s="660"/>
      <c r="D115" s="661"/>
      <c r="E115" s="661"/>
      <c r="F115" s="661"/>
      <c r="G115" s="661"/>
      <c r="H115" s="661"/>
      <c r="I115" s="661"/>
      <c r="J115" s="661"/>
      <c r="K115" s="661"/>
      <c r="L115" s="661"/>
      <c r="M115" s="661"/>
      <c r="N115" s="661"/>
      <c r="O115" s="662"/>
      <c r="P115" s="663"/>
      <c r="Q115" s="664"/>
    </row>
    <row r="116" spans="2:37">
      <c r="B116" s="665" t="s">
        <v>426</v>
      </c>
      <c r="C116" s="660"/>
      <c r="D116" s="666">
        <f>IF(D114=0,0,(Thetai-D$67)*Vth*D$66*(1220-0.14*HueM)*0.000024)</f>
        <v>16.290121257921516</v>
      </c>
      <c r="E116" s="666">
        <f t="shared" ref="E116:O116" si="30">IF(E114=0,0,(Thetai-E$67)*Vth*E$66*(1220-0.14*HueM)*0.000024)</f>
        <v>13.856551624339128</v>
      </c>
      <c r="F116" s="666">
        <f t="shared" si="30"/>
        <v>12.257130072707938</v>
      </c>
      <c r="G116" s="666">
        <f t="shared" si="30"/>
        <v>9.6424457179679504</v>
      </c>
      <c r="H116" s="666">
        <f t="shared" si="30"/>
        <v>6.0099476485535694</v>
      </c>
      <c r="I116" s="666">
        <f t="shared" si="30"/>
        <v>3.6733126544639809</v>
      </c>
      <c r="J116" s="666">
        <f t="shared" si="30"/>
        <v>2.0560347218735902</v>
      </c>
      <c r="K116" s="666">
        <f t="shared" si="30"/>
        <v>2.0560347218735902</v>
      </c>
      <c r="L116" s="666">
        <f t="shared" si="30"/>
        <v>5.356914287759972</v>
      </c>
      <c r="M116" s="666">
        <f t="shared" si="30"/>
        <v>8.7776866972295533</v>
      </c>
      <c r="N116" s="666">
        <f t="shared" si="30"/>
        <v>12.856594290623935</v>
      </c>
      <c r="O116" s="666">
        <f t="shared" si="30"/>
        <v>15.18302563845112</v>
      </c>
      <c r="P116" s="658">
        <f>SUM(D116:O116)</f>
        <v>108.01579933376584</v>
      </c>
      <c r="Q116" s="667" t="s">
        <v>479</v>
      </c>
    </row>
    <row r="117" spans="2:37">
      <c r="B117" s="631" t="s">
        <v>536</v>
      </c>
      <c r="D117" s="710"/>
      <c r="E117" s="710"/>
      <c r="F117" s="710"/>
      <c r="G117" s="710"/>
      <c r="H117" s="710"/>
      <c r="I117" s="710"/>
      <c r="J117" s="710"/>
      <c r="K117" s="710"/>
      <c r="L117" s="710"/>
      <c r="M117" s="710"/>
      <c r="N117" s="710"/>
      <c r="O117" s="733"/>
      <c r="P117" s="754"/>
      <c r="Q117" s="667"/>
    </row>
    <row r="118" spans="2:37">
      <c r="B118" s="615" t="s">
        <v>537</v>
      </c>
      <c r="D118" s="666">
        <f t="shared" ref="D118:O118" si="31">D116+D114</f>
        <v>43.88957326733329</v>
      </c>
      <c r="E118" s="666">
        <f t="shared" si="31"/>
        <v>36.720338090221482</v>
      </c>
      <c r="F118" s="666">
        <f t="shared" si="31"/>
        <v>32.481816002119707</v>
      </c>
      <c r="G118" s="666">
        <f t="shared" si="31"/>
        <v>25.55281258855619</v>
      </c>
      <c r="H118" s="666">
        <f t="shared" si="31"/>
        <v>15.92656784620063</v>
      </c>
      <c r="I118" s="666">
        <f t="shared" si="31"/>
        <v>9.7344047956404545</v>
      </c>
      <c r="J118" s="666">
        <f t="shared" si="31"/>
        <v>5.448562684226534</v>
      </c>
      <c r="K118" s="666">
        <f t="shared" si="31"/>
        <v>5.448562684226534</v>
      </c>
      <c r="L118" s="666">
        <f t="shared" si="31"/>
        <v>14.196006993642326</v>
      </c>
      <c r="M118" s="666">
        <f t="shared" si="31"/>
        <v>23.261171459582496</v>
      </c>
      <c r="N118" s="666">
        <f t="shared" si="31"/>
        <v>34.070416784741582</v>
      </c>
      <c r="O118" s="666">
        <f t="shared" si="31"/>
        <v>40.235539821980538</v>
      </c>
      <c r="P118" s="754">
        <f>SUM(D118:O118)</f>
        <v>286.96577301847179</v>
      </c>
      <c r="Q118" s="667" t="s">
        <v>479</v>
      </c>
    </row>
    <row r="119" spans="2:37">
      <c r="B119" s="631" t="s">
        <v>538</v>
      </c>
      <c r="D119" s="710"/>
      <c r="E119" s="710" t="s">
        <v>256</v>
      </c>
      <c r="F119" s="710"/>
      <c r="G119" s="710"/>
      <c r="H119" s="710"/>
      <c r="I119" s="710"/>
      <c r="J119" s="710"/>
      <c r="K119" s="710"/>
      <c r="L119" s="710"/>
      <c r="M119" s="710"/>
      <c r="N119" s="710"/>
      <c r="O119" s="733"/>
      <c r="P119" s="754"/>
      <c r="Q119" s="667"/>
    </row>
    <row r="120" spans="2:37">
      <c r="B120" s="615" t="s">
        <v>539</v>
      </c>
      <c r="D120" s="666">
        <f>QE*fE*D$66/365</f>
        <v>18.627861300610515</v>
      </c>
      <c r="E120" s="666">
        <f t="shared" ref="E120:M120" si="32">QE*fE*E$66/365</f>
        <v>16.825165045712723</v>
      </c>
      <c r="F120" s="666">
        <f t="shared" si="32"/>
        <v>18.627861300610515</v>
      </c>
      <c r="G120" s="666">
        <f t="shared" si="32"/>
        <v>18.02696254897792</v>
      </c>
      <c r="H120" s="666">
        <f t="shared" si="32"/>
        <v>18.627861300610515</v>
      </c>
      <c r="I120" s="666">
        <f t="shared" si="32"/>
        <v>18.02696254897792</v>
      </c>
      <c r="J120" s="666">
        <f t="shared" si="32"/>
        <v>18.627861300610515</v>
      </c>
      <c r="K120" s="666">
        <f t="shared" si="32"/>
        <v>18.627861300610515</v>
      </c>
      <c r="L120" s="666">
        <f t="shared" si="32"/>
        <v>18.02696254897792</v>
      </c>
      <c r="M120" s="666">
        <f t="shared" si="32"/>
        <v>18.627861300610515</v>
      </c>
      <c r="N120" s="666">
        <f>QE*fE*N$66/365</f>
        <v>18.02696254897792</v>
      </c>
      <c r="O120" s="666">
        <f>QE*fE*O$66/365</f>
        <v>18.627861300610515</v>
      </c>
      <c r="P120" s="754">
        <f>SUM(D120:O120)</f>
        <v>219.32804434589798</v>
      </c>
      <c r="Q120" s="667" t="s">
        <v>479</v>
      </c>
    </row>
    <row r="121" spans="2:37">
      <c r="B121" s="615" t="s">
        <v>541</v>
      </c>
      <c r="D121" s="666">
        <f t="shared" ref="D121:M121" si="33">QP*tP*D$66*0.0036/AP</f>
        <v>18.748799999999999</v>
      </c>
      <c r="E121" s="666">
        <f t="shared" si="33"/>
        <v>16.9344</v>
      </c>
      <c r="F121" s="666">
        <f t="shared" si="33"/>
        <v>18.748799999999999</v>
      </c>
      <c r="G121" s="666">
        <f t="shared" si="33"/>
        <v>18.143999999999998</v>
      </c>
      <c r="H121" s="666">
        <f t="shared" si="33"/>
        <v>18.748799999999999</v>
      </c>
      <c r="I121" s="666">
        <f t="shared" si="33"/>
        <v>18.143999999999998</v>
      </c>
      <c r="J121" s="666">
        <f t="shared" si="33"/>
        <v>18.748799999999999</v>
      </c>
      <c r="K121" s="666">
        <f t="shared" si="33"/>
        <v>18.748799999999999</v>
      </c>
      <c r="L121" s="666">
        <f t="shared" si="33"/>
        <v>18.143999999999998</v>
      </c>
      <c r="M121" s="666">
        <f t="shared" si="33"/>
        <v>18.748799999999999</v>
      </c>
      <c r="N121" s="666">
        <f>QP*tP*N$66*0.0036/AP</f>
        <v>18.143999999999998</v>
      </c>
      <c r="O121" s="666">
        <f>QP*tP*O$66*0.0036/AP</f>
        <v>18.748799999999999</v>
      </c>
      <c r="P121" s="754">
        <f>SUM(D121:O121)</f>
        <v>220.75199999999995</v>
      </c>
      <c r="Q121" s="667" t="s">
        <v>479</v>
      </c>
    </row>
    <row r="122" spans="2:37">
      <c r="B122" s="615" t="s">
        <v>543</v>
      </c>
      <c r="D122" s="666">
        <f t="shared" ref="D122:O122" si="34">D121+D120</f>
        <v>37.376661300610515</v>
      </c>
      <c r="E122" s="666">
        <f t="shared" si="34"/>
        <v>33.759565045712719</v>
      </c>
      <c r="F122" s="666">
        <f t="shared" si="34"/>
        <v>37.376661300610515</v>
      </c>
      <c r="G122" s="666">
        <f t="shared" si="34"/>
        <v>36.170962548977919</v>
      </c>
      <c r="H122" s="666">
        <f t="shared" si="34"/>
        <v>37.376661300610515</v>
      </c>
      <c r="I122" s="666">
        <f t="shared" si="34"/>
        <v>36.170962548977919</v>
      </c>
      <c r="J122" s="666">
        <f t="shared" si="34"/>
        <v>37.376661300610515</v>
      </c>
      <c r="K122" s="666">
        <f t="shared" si="34"/>
        <v>37.376661300610515</v>
      </c>
      <c r="L122" s="666">
        <f t="shared" si="34"/>
        <v>36.170962548977919</v>
      </c>
      <c r="M122" s="666">
        <f t="shared" si="34"/>
        <v>37.376661300610515</v>
      </c>
      <c r="N122" s="666">
        <f t="shared" si="34"/>
        <v>36.170962548977919</v>
      </c>
      <c r="O122" s="666">
        <f t="shared" si="34"/>
        <v>37.376661300610515</v>
      </c>
      <c r="P122" s="754">
        <f>SUM(D122:O122)</f>
        <v>440.08004434589799</v>
      </c>
      <c r="Q122" s="667" t="s">
        <v>479</v>
      </c>
    </row>
    <row r="123" spans="2:37">
      <c r="B123" s="631" t="s">
        <v>544</v>
      </c>
      <c r="D123" s="666">
        <f t="shared" ref="D123:O123" si="35">IF(EBF&gt;0,($D$19*D$69*$F$19+$D$18*D$70*$F$18+$D$20*D$71*$F$20+$D$17*D$72*$F$17+$D$21*D$68*$F$21)*0.9*$F$29*FF/EBF,0)</f>
        <v>7.0588235294117654</v>
      </c>
      <c r="E123" s="666">
        <f t="shared" si="35"/>
        <v>10.852941176470589</v>
      </c>
      <c r="F123" s="666">
        <f t="shared" si="35"/>
        <v>17.47058823529412</v>
      </c>
      <c r="G123" s="666">
        <f t="shared" si="35"/>
        <v>20.382352941176471</v>
      </c>
      <c r="H123" s="666">
        <f t="shared" si="35"/>
        <v>25.32352941176471</v>
      </c>
      <c r="I123" s="666">
        <f t="shared" si="35"/>
        <v>26.735294117647062</v>
      </c>
      <c r="J123" s="666">
        <f t="shared" si="35"/>
        <v>28.852941176470594</v>
      </c>
      <c r="K123" s="666">
        <f t="shared" si="35"/>
        <v>26.029411764705884</v>
      </c>
      <c r="L123" s="666">
        <f t="shared" si="35"/>
        <v>19.235294117647058</v>
      </c>
      <c r="M123" s="666">
        <f t="shared" si="35"/>
        <v>12.529411764705884</v>
      </c>
      <c r="N123" s="666">
        <f t="shared" si="35"/>
        <v>6.617647058823529</v>
      </c>
      <c r="O123" s="666">
        <f t="shared" si="35"/>
        <v>5.2058823529411775</v>
      </c>
      <c r="P123" s="754">
        <f>SUM(D123:O123)</f>
        <v>206.29411764705884</v>
      </c>
      <c r="Q123" s="667" t="s">
        <v>479</v>
      </c>
    </row>
    <row r="124" spans="2:37">
      <c r="B124" s="615" t="s">
        <v>546</v>
      </c>
      <c r="D124" s="666">
        <f t="shared" ref="D124:O124" si="36">D123+D122</f>
        <v>44.435484830022283</v>
      </c>
      <c r="E124" s="666">
        <f t="shared" si="36"/>
        <v>44.612506222183306</v>
      </c>
      <c r="F124" s="666">
        <f t="shared" si="36"/>
        <v>54.847249535904638</v>
      </c>
      <c r="G124" s="666">
        <f t="shared" si="36"/>
        <v>56.55331549015439</v>
      </c>
      <c r="H124" s="666">
        <f t="shared" si="36"/>
        <v>62.700190712375225</v>
      </c>
      <c r="I124" s="666">
        <f t="shared" si="36"/>
        <v>62.906256666624984</v>
      </c>
      <c r="J124" s="666">
        <f t="shared" si="36"/>
        <v>66.229602477081102</v>
      </c>
      <c r="K124" s="666">
        <f t="shared" si="36"/>
        <v>63.406073065316399</v>
      </c>
      <c r="L124" s="666">
        <f t="shared" si="36"/>
        <v>55.406256666624977</v>
      </c>
      <c r="M124" s="666">
        <f t="shared" si="36"/>
        <v>49.906073065316399</v>
      </c>
      <c r="N124" s="666">
        <f t="shared" si="36"/>
        <v>42.788609607801448</v>
      </c>
      <c r="O124" s="666">
        <f t="shared" si="36"/>
        <v>42.582543653551696</v>
      </c>
      <c r="P124" s="754">
        <f>SUM(D124:O124)</f>
        <v>646.37416199295694</v>
      </c>
      <c r="Q124" s="667" t="s">
        <v>479</v>
      </c>
    </row>
    <row r="125" spans="2:37">
      <c r="B125" s="615" t="s">
        <v>615</v>
      </c>
      <c r="D125" s="666">
        <f t="shared" ref="D125:O125" si="37">IF(D118&gt;0,D124/D118,0)</f>
        <v>1.0124382973460193</v>
      </c>
      <c r="E125" s="666">
        <f t="shared" si="37"/>
        <v>1.2149263471532004</v>
      </c>
      <c r="F125" s="666">
        <f t="shared" si="37"/>
        <v>1.6885524359945085</v>
      </c>
      <c r="G125" s="666">
        <f t="shared" si="37"/>
        <v>2.2131933732994136</v>
      </c>
      <c r="H125" s="666">
        <f t="shared" si="37"/>
        <v>3.9368300388292825</v>
      </c>
      <c r="I125" s="666">
        <f t="shared" si="37"/>
        <v>6.4622601984661152</v>
      </c>
      <c r="J125" s="666">
        <f t="shared" si="37"/>
        <v>12.155426360205841</v>
      </c>
      <c r="K125" s="666">
        <f t="shared" si="37"/>
        <v>11.637210901303485</v>
      </c>
      <c r="L125" s="666">
        <f t="shared" si="37"/>
        <v>3.9029465603559252</v>
      </c>
      <c r="M125" s="666">
        <f t="shared" si="37"/>
        <v>2.1454668846765013</v>
      </c>
      <c r="N125" s="666">
        <f t="shared" si="37"/>
        <v>1.2558874720594644</v>
      </c>
      <c r="O125" s="666">
        <f t="shared" si="37"/>
        <v>1.0583316103612705</v>
      </c>
      <c r="P125" s="754" t="s">
        <v>71</v>
      </c>
      <c r="Q125" s="667"/>
    </row>
    <row r="126" spans="2:37">
      <c r="B126" s="631" t="s">
        <v>616</v>
      </c>
      <c r="D126" s="666">
        <f t="shared" ref="D126:O126" si="38">IF(D118&gt;0,CEBF*EBF*1000000/(($D$22*U_DAFbeheizt+$D$14*U_E3*bGW+E4beheizt*U_E4+BodenErdeF*U_Boden*bGF+$D$16*U_E5)*3600 + Vth*EBF*(1220-0.14*HueM)),0)</f>
        <v>137.64695569074274</v>
      </c>
      <c r="E126" s="666">
        <f t="shared" si="38"/>
        <v>137.64695569074274</v>
      </c>
      <c r="F126" s="666">
        <f t="shared" si="38"/>
        <v>137.64695569074274</v>
      </c>
      <c r="G126" s="666">
        <f t="shared" si="38"/>
        <v>137.64695569074274</v>
      </c>
      <c r="H126" s="666">
        <f t="shared" si="38"/>
        <v>137.64695569074274</v>
      </c>
      <c r="I126" s="666">
        <f t="shared" si="38"/>
        <v>137.64695569074274</v>
      </c>
      <c r="J126" s="666">
        <f t="shared" si="38"/>
        <v>137.64695569074274</v>
      </c>
      <c r="K126" s="666">
        <f t="shared" si="38"/>
        <v>137.64695569074274</v>
      </c>
      <c r="L126" s="666">
        <f t="shared" si="38"/>
        <v>137.64695569074274</v>
      </c>
      <c r="M126" s="666">
        <f t="shared" si="38"/>
        <v>137.64695569074274</v>
      </c>
      <c r="N126" s="666">
        <f t="shared" si="38"/>
        <v>137.64695569074274</v>
      </c>
      <c r="O126" s="666">
        <f t="shared" si="38"/>
        <v>137.64695569074274</v>
      </c>
      <c r="P126" s="754"/>
      <c r="Q126" s="667"/>
    </row>
    <row r="127" spans="2:37">
      <c r="B127" s="615" t="s">
        <v>547</v>
      </c>
      <c r="D127" s="666">
        <f>a0+D126/tau0</f>
        <v>10.176463712716183</v>
      </c>
      <c r="E127" s="666">
        <f>a0+E126/tau0</f>
        <v>10.176463712716183</v>
      </c>
      <c r="F127" s="666">
        <f>a0+F126/tau0</f>
        <v>10.176463712716183</v>
      </c>
      <c r="G127" s="666">
        <f>a0+G126/tau0</f>
        <v>10.176463712716183</v>
      </c>
      <c r="H127" s="666">
        <f t="shared" ref="H127:O127" si="39">a0+H126/tau0</f>
        <v>10.176463712716183</v>
      </c>
      <c r="I127" s="666">
        <f t="shared" si="39"/>
        <v>10.176463712716183</v>
      </c>
      <c r="J127" s="666">
        <f t="shared" si="39"/>
        <v>10.176463712716183</v>
      </c>
      <c r="K127" s="666">
        <f t="shared" si="39"/>
        <v>10.176463712716183</v>
      </c>
      <c r="L127" s="666">
        <f t="shared" si="39"/>
        <v>10.176463712716183</v>
      </c>
      <c r="M127" s="666">
        <f t="shared" si="39"/>
        <v>10.176463712716183</v>
      </c>
      <c r="N127" s="666">
        <f t="shared" si="39"/>
        <v>10.176463712716183</v>
      </c>
      <c r="O127" s="666">
        <f t="shared" si="39"/>
        <v>10.176463712716183</v>
      </c>
      <c r="P127" s="754"/>
      <c r="Q127" s="667"/>
    </row>
    <row r="128" spans="2:37">
      <c r="B128" s="615" t="s">
        <v>617</v>
      </c>
      <c r="D128" s="711">
        <f t="shared" ref="D128:O128" si="40">IF(D125=1,D127/(D127+1),IF(D118&lt;=0,0,(1-D125^D127)/(1-D125^(D127+1))))</f>
        <v>0.90479286329553477</v>
      </c>
      <c r="E128" s="711">
        <f t="shared" si="40"/>
        <v>0.80044371591112706</v>
      </c>
      <c r="F128" s="711">
        <f t="shared" si="40"/>
        <v>0.59105142413392142</v>
      </c>
      <c r="G128" s="711">
        <f t="shared" si="40"/>
        <v>0.45175943917213823</v>
      </c>
      <c r="H128" s="711">
        <f t="shared" si="40"/>
        <v>0.25401130735468824</v>
      </c>
      <c r="I128" s="711">
        <f t="shared" si="40"/>
        <v>0.1547446194521101</v>
      </c>
      <c r="J128" s="711">
        <f t="shared" si="40"/>
        <v>8.2267784803122398E-2</v>
      </c>
      <c r="K128" s="711">
        <f t="shared" si="40"/>
        <v>8.5931243187744991E-2</v>
      </c>
      <c r="L128" s="711">
        <f t="shared" si="40"/>
        <v>0.256216494747804</v>
      </c>
      <c r="M128" s="711">
        <f t="shared" si="40"/>
        <v>0.46599374418130723</v>
      </c>
      <c r="N128" s="711">
        <f t="shared" si="40"/>
        <v>0.77892694141476859</v>
      </c>
      <c r="O128" s="711">
        <f t="shared" si="40"/>
        <v>0.88256598841617973</v>
      </c>
      <c r="P128" s="777">
        <f>IF(P124&gt;0,P129/P124,0)</f>
        <v>0.43133199472333261</v>
      </c>
      <c r="Q128" s="667"/>
    </row>
    <row r="129" spans="2:17">
      <c r="B129" s="665" t="s">
        <v>429</v>
      </c>
      <c r="D129" s="666">
        <f t="shared" ref="D129:O129" si="41">D124*D128</f>
        <v>40.204909551281162</v>
      </c>
      <c r="E129" s="666">
        <f t="shared" si="41"/>
        <v>35.709800256592686</v>
      </c>
      <c r="F129" s="666">
        <f t="shared" si="41"/>
        <v>32.417544948024997</v>
      </c>
      <c r="G129" s="666">
        <f t="shared" si="41"/>
        <v>25.548494089157145</v>
      </c>
      <c r="H129" s="666">
        <f t="shared" si="41"/>
        <v>15.926557414238712</v>
      </c>
      <c r="I129" s="666">
        <f t="shared" si="41"/>
        <v>9.7344047490336472</v>
      </c>
      <c r="J129" s="666">
        <f t="shared" si="41"/>
        <v>5.4485626841808505</v>
      </c>
      <c r="K129" s="666">
        <f t="shared" si="41"/>
        <v>5.4485626841556307</v>
      </c>
      <c r="L129" s="666">
        <f t="shared" si="41"/>
        <v>14.195996870219799</v>
      </c>
      <c r="M129" s="666">
        <f t="shared" si="41"/>
        <v>23.255917845092679</v>
      </c>
      <c r="N129" s="666">
        <f t="shared" si="41"/>
        <v>33.329200809195363</v>
      </c>
      <c r="O129" s="666">
        <f t="shared" si="41"/>
        <v>37.581904728871976</v>
      </c>
      <c r="P129" s="658">
        <f>SUM(D129:O129)</f>
        <v>278.80185663004465</v>
      </c>
      <c r="Q129" s="667" t="s">
        <v>479</v>
      </c>
    </row>
    <row r="130" spans="2:17" ht="13.8" thickBot="1">
      <c r="B130" s="645" t="s">
        <v>551</v>
      </c>
      <c r="C130" s="748"/>
      <c r="D130" s="781"/>
      <c r="E130" s="781"/>
      <c r="F130" s="781"/>
      <c r="G130" s="781"/>
      <c r="H130" s="781"/>
      <c r="I130" s="781"/>
      <c r="J130" s="781"/>
      <c r="K130" s="781"/>
      <c r="L130" s="781"/>
      <c r="M130" s="781"/>
      <c r="N130" s="781"/>
      <c r="O130" s="782"/>
      <c r="P130" s="783"/>
      <c r="Q130" s="752"/>
    </row>
    <row r="131" spans="2:17" ht="13.8" thickBot="1">
      <c r="B131" s="668" t="s">
        <v>566</v>
      </c>
      <c r="C131" s="787"/>
      <c r="D131" s="788">
        <f t="shared" ref="D131:O131" si="42">D118-D129</f>
        <v>3.6846637160521283</v>
      </c>
      <c r="E131" s="788">
        <f t="shared" si="42"/>
        <v>1.0105378336287956</v>
      </c>
      <c r="F131" s="788">
        <f t="shared" si="42"/>
        <v>6.4271054094710678E-2</v>
      </c>
      <c r="G131" s="788">
        <f t="shared" si="42"/>
        <v>4.3184993990443843E-3</v>
      </c>
      <c r="H131" s="788">
        <f t="shared" si="42"/>
        <v>1.0431961918300203E-5</v>
      </c>
      <c r="I131" s="788">
        <f t="shared" si="42"/>
        <v>4.6606807302396192E-8</v>
      </c>
      <c r="J131" s="788">
        <f t="shared" si="42"/>
        <v>4.5683457017275941E-11</v>
      </c>
      <c r="K131" s="788">
        <f t="shared" si="42"/>
        <v>7.0903283244660997E-11</v>
      </c>
      <c r="L131" s="788">
        <f t="shared" si="42"/>
        <v>1.0123422526930881E-5</v>
      </c>
      <c r="M131" s="788">
        <f t="shared" si="42"/>
        <v>5.2536144898169823E-3</v>
      </c>
      <c r="N131" s="788">
        <f t="shared" si="42"/>
        <v>0.74121597554621843</v>
      </c>
      <c r="O131" s="788">
        <f t="shared" si="42"/>
        <v>2.6536350931085622</v>
      </c>
      <c r="P131" s="853">
        <f>SUM(D131:O131)</f>
        <v>8.1639163884271149</v>
      </c>
      <c r="Q131" s="790" t="s">
        <v>479</v>
      </c>
    </row>
    <row r="132" spans="2:17" ht="13.8" thickBot="1">
      <c r="B132" s="650" t="str">
        <f>CONCATENATE("Qh, li (inkl. Wärmebrückenzuschlag) für ",Standard)</f>
        <v>Qh, li (inkl. Wärmebrückenzuschlag) für SIA</v>
      </c>
      <c r="C132" s="787"/>
      <c r="D132" s="788"/>
      <c r="E132" s="788"/>
      <c r="F132" s="788"/>
      <c r="G132" s="788"/>
      <c r="H132" s="788"/>
      <c r="I132" s="788"/>
      <c r="J132" s="788"/>
      <c r="K132" s="788"/>
      <c r="L132" s="788"/>
      <c r="M132" s="788"/>
      <c r="N132" s="788"/>
      <c r="O132" s="794"/>
      <c r="P132" s="795">
        <f>IF((Standard="Minergie-P"),QhmitWB*0.6,QhmitWB*0.9)</f>
        <v>0</v>
      </c>
      <c r="Q132" s="790" t="s">
        <v>479</v>
      </c>
    </row>
    <row r="135" spans="2:17" ht="13.8" thickBot="1"/>
    <row r="136" spans="2:17" ht="13.8" thickBot="1">
      <c r="B136" s="609" t="s">
        <v>556</v>
      </c>
      <c r="C136" s="852" t="s">
        <v>63</v>
      </c>
      <c r="D136" s="610" t="str">
        <f>Q72</f>
        <v>MJ/m2a</v>
      </c>
      <c r="E136" s="724"/>
      <c r="F136" s="724"/>
      <c r="G136" s="724"/>
      <c r="H136" s="724"/>
      <c r="I136" s="724"/>
      <c r="J136" s="724"/>
      <c r="K136" s="724"/>
      <c r="L136" s="724"/>
      <c r="M136" s="724"/>
      <c r="N136" s="724"/>
      <c r="O136" s="724"/>
      <c r="P136" s="724"/>
      <c r="Q136" s="727"/>
    </row>
    <row r="137" spans="2:17">
      <c r="B137" s="653" t="s">
        <v>498</v>
      </c>
      <c r="C137" s="753"/>
      <c r="D137" s="753"/>
      <c r="E137" s="753"/>
      <c r="F137" s="753"/>
      <c r="G137" s="753"/>
      <c r="H137" s="753"/>
      <c r="I137" s="753"/>
      <c r="J137" s="753"/>
      <c r="K137" s="753"/>
      <c r="L137" s="753"/>
      <c r="M137" s="753"/>
      <c r="N137" s="753"/>
      <c r="O137" s="735"/>
      <c r="P137" s="734"/>
      <c r="Q137" s="735"/>
    </row>
    <row r="138" spans="2:17">
      <c r="B138" s="615" t="s">
        <v>501</v>
      </c>
      <c r="D138" s="666">
        <f>IF(EBF&gt;0,(Thetai-D$67)*D$66*$D$22*U_DAFbeheizt*0.0864/EBF,0)</f>
        <v>0</v>
      </c>
      <c r="E138" s="666">
        <f t="shared" ref="E138:O138" si="43">IF(EBF&gt;0,(Thetai-E$67)*E$66*$D$22*U_DAFbeheizt*0.0864/EBF,0)</f>
        <v>0</v>
      </c>
      <c r="F138" s="666">
        <f t="shared" si="43"/>
        <v>0</v>
      </c>
      <c r="G138" s="666">
        <f t="shared" si="43"/>
        <v>0</v>
      </c>
      <c r="H138" s="666">
        <f t="shared" si="43"/>
        <v>0</v>
      </c>
      <c r="I138" s="666">
        <f t="shared" si="43"/>
        <v>0</v>
      </c>
      <c r="J138" s="666">
        <f t="shared" si="43"/>
        <v>0</v>
      </c>
      <c r="K138" s="666">
        <f t="shared" si="43"/>
        <v>0</v>
      </c>
      <c r="L138" s="666">
        <f t="shared" si="43"/>
        <v>0</v>
      </c>
      <c r="M138" s="666">
        <f t="shared" si="43"/>
        <v>0</v>
      </c>
      <c r="N138" s="666">
        <f t="shared" si="43"/>
        <v>0</v>
      </c>
      <c r="O138" s="666">
        <f t="shared" si="43"/>
        <v>0</v>
      </c>
      <c r="P138" s="754">
        <f t="shared" ref="P138:P143" si="44">SUM(D138:O138)</f>
        <v>0</v>
      </c>
      <c r="Q138" s="667" t="s">
        <v>479</v>
      </c>
    </row>
    <row r="139" spans="2:17">
      <c r="B139" s="615" t="s">
        <v>504</v>
      </c>
      <c r="D139" s="666">
        <v>0</v>
      </c>
      <c r="E139" s="666">
        <v>0</v>
      </c>
      <c r="F139" s="666">
        <v>0</v>
      </c>
      <c r="G139" s="666">
        <v>0</v>
      </c>
      <c r="H139" s="666">
        <v>0</v>
      </c>
      <c r="I139" s="666">
        <v>0</v>
      </c>
      <c r="J139" s="666">
        <v>0</v>
      </c>
      <c r="K139" s="666">
        <v>0</v>
      </c>
      <c r="L139" s="666">
        <v>0</v>
      </c>
      <c r="M139" s="666">
        <v>0</v>
      </c>
      <c r="N139" s="666">
        <v>0</v>
      </c>
      <c r="O139" s="666">
        <v>0</v>
      </c>
      <c r="P139" s="754">
        <f t="shared" si="44"/>
        <v>0</v>
      </c>
      <c r="Q139" s="667" t="s">
        <v>479</v>
      </c>
    </row>
    <row r="140" spans="2:17">
      <c r="B140" s="615" t="s">
        <v>507</v>
      </c>
      <c r="D140" s="666">
        <f t="shared" ref="D140:O140" si="45">IF(EBF&gt;0,(deltaThetahmax+Thetai-D$67)*D$66*E4beheizt*$F$15*0.0864/EBF,0)</f>
        <v>3.5585957647058826</v>
      </c>
      <c r="E140" s="666">
        <f t="shared" si="45"/>
        <v>3.0472432941176471</v>
      </c>
      <c r="F140" s="666">
        <f t="shared" si="45"/>
        <v>2.7729317647058824</v>
      </c>
      <c r="G140" s="666">
        <f t="shared" si="45"/>
        <v>2.251143529411765</v>
      </c>
      <c r="H140" s="666">
        <f t="shared" si="45"/>
        <v>1.5559228235294116</v>
      </c>
      <c r="I140" s="666">
        <f t="shared" si="45"/>
        <v>1.0883011764705883</v>
      </c>
      <c r="J140" s="666">
        <f t="shared" si="45"/>
        <v>0.78566400000000014</v>
      </c>
      <c r="K140" s="666">
        <f t="shared" si="45"/>
        <v>0.78566400000000014</v>
      </c>
      <c r="L140" s="666">
        <f t="shared" si="45"/>
        <v>1.4162823529411765</v>
      </c>
      <c r="M140" s="666">
        <f t="shared" si="45"/>
        <v>2.0951040000000001</v>
      </c>
      <c r="N140" s="666">
        <f t="shared" si="45"/>
        <v>2.8772894117647057</v>
      </c>
      <c r="O140" s="666">
        <f t="shared" si="45"/>
        <v>3.342923294117647</v>
      </c>
      <c r="P140" s="754">
        <f t="shared" si="44"/>
        <v>25.577065411764707</v>
      </c>
      <c r="Q140" s="667" t="s">
        <v>479</v>
      </c>
    </row>
    <row r="141" spans="2:17">
      <c r="B141" s="615" t="s">
        <v>558</v>
      </c>
      <c r="D141" s="666">
        <f t="shared" ref="D141:M141" si="46">IF(EBF&gt;0,(Thetai+deltaThetahmax-D$67)*D$66*BodenErdeF*U_Boden*bGF*0.0864/EBF,0)</f>
        <v>0</v>
      </c>
      <c r="E141" s="666">
        <f t="shared" si="46"/>
        <v>0</v>
      </c>
      <c r="F141" s="666">
        <f t="shared" si="46"/>
        <v>0</v>
      </c>
      <c r="G141" s="666">
        <f t="shared" si="46"/>
        <v>0</v>
      </c>
      <c r="H141" s="666">
        <f t="shared" si="46"/>
        <v>0</v>
      </c>
      <c r="I141" s="666">
        <f t="shared" si="46"/>
        <v>0</v>
      </c>
      <c r="J141" s="666">
        <f t="shared" si="46"/>
        <v>0</v>
      </c>
      <c r="K141" s="666">
        <f t="shared" si="46"/>
        <v>0</v>
      </c>
      <c r="L141" s="666">
        <f t="shared" si="46"/>
        <v>0</v>
      </c>
      <c r="M141" s="666">
        <f t="shared" si="46"/>
        <v>0</v>
      </c>
      <c r="N141" s="666">
        <f>IF(EBF&gt;0,(Thetai+deltaThetahmax-N$67)*N$66*BodenErdeF*U_Boden*bGF*0.0864/EBF,0)</f>
        <v>0</v>
      </c>
      <c r="O141" s="666">
        <f>IF(EBF&gt;0,(Thetai+deltaThetahmax-O$67)*O$66*BodenErdeF*U_Boden*bGF*0.0864/EBF,0)</f>
        <v>0</v>
      </c>
      <c r="P141" s="754">
        <f t="shared" si="44"/>
        <v>0</v>
      </c>
      <c r="Q141" s="667" t="s">
        <v>479</v>
      </c>
    </row>
    <row r="142" spans="2:17">
      <c r="B142" s="618" t="s">
        <v>560</v>
      </c>
      <c r="D142" s="666">
        <f t="shared" ref="D142:O142" si="47">(IF(EBF&gt;0,(Thetai+deltaThetahmax-D$67)*D$66*BodenErdeF*U_gedaemmteDecken*0.0864/EBF,0))*0</f>
        <v>0</v>
      </c>
      <c r="E142" s="666">
        <f t="shared" si="47"/>
        <v>0</v>
      </c>
      <c r="F142" s="666">
        <f t="shared" si="47"/>
        <v>0</v>
      </c>
      <c r="G142" s="666">
        <f t="shared" si="47"/>
        <v>0</v>
      </c>
      <c r="H142" s="666">
        <f t="shared" si="47"/>
        <v>0</v>
      </c>
      <c r="I142" s="666">
        <f t="shared" si="47"/>
        <v>0</v>
      </c>
      <c r="J142" s="666">
        <f t="shared" si="47"/>
        <v>0</v>
      </c>
      <c r="K142" s="666">
        <f t="shared" si="47"/>
        <v>0</v>
      </c>
      <c r="L142" s="666">
        <f t="shared" si="47"/>
        <v>0</v>
      </c>
      <c r="M142" s="666">
        <f t="shared" si="47"/>
        <v>0</v>
      </c>
      <c r="N142" s="666">
        <f t="shared" si="47"/>
        <v>0</v>
      </c>
      <c r="O142" s="666">
        <f t="shared" si="47"/>
        <v>0</v>
      </c>
      <c r="P142" s="754">
        <f t="shared" si="44"/>
        <v>0</v>
      </c>
      <c r="Q142" s="667" t="s">
        <v>479</v>
      </c>
    </row>
    <row r="143" spans="2:17">
      <c r="B143" s="615" t="s">
        <v>526</v>
      </c>
      <c r="D143" s="666">
        <f t="shared" ref="D143:O143" si="48">IF(EBF&gt;0,(Thetai-D$67)*D$66*$D$16*$F$16*0.0864/EBF,0)</f>
        <v>14.280598588235298</v>
      </c>
      <c r="E143" s="666">
        <f t="shared" si="48"/>
        <v>12.147230117647059</v>
      </c>
      <c r="F143" s="666">
        <f t="shared" si="48"/>
        <v>10.745110588235297</v>
      </c>
      <c r="G143" s="666">
        <f t="shared" si="48"/>
        <v>8.4529694117647072</v>
      </c>
      <c r="H143" s="666">
        <f t="shared" si="48"/>
        <v>5.2685703529411771</v>
      </c>
      <c r="I143" s="666">
        <f t="shared" si="48"/>
        <v>3.2201788235294133</v>
      </c>
      <c r="J143" s="666">
        <f t="shared" si="48"/>
        <v>1.8024056470588252</v>
      </c>
      <c r="K143" s="666">
        <f t="shared" si="48"/>
        <v>1.8024056470588252</v>
      </c>
      <c r="L143" s="666">
        <f t="shared" si="48"/>
        <v>4.6960941176470596</v>
      </c>
      <c r="M143" s="666">
        <f t="shared" si="48"/>
        <v>7.6948856470588236</v>
      </c>
      <c r="N143" s="666">
        <f t="shared" si="48"/>
        <v>11.270625882352943</v>
      </c>
      <c r="O143" s="666">
        <f t="shared" si="48"/>
        <v>13.310072470588237</v>
      </c>
      <c r="P143" s="754">
        <f t="shared" si="44"/>
        <v>94.69114729411767</v>
      </c>
      <c r="Q143" s="667" t="s">
        <v>479</v>
      </c>
    </row>
    <row r="144" spans="2:17">
      <c r="B144" s="625" t="s">
        <v>563</v>
      </c>
      <c r="D144" s="666">
        <f>1*D$66*(Thetai-D$67)*BodenUnb*E92*$D$53*0.0864/EBF</f>
        <v>0</v>
      </c>
      <c r="E144" s="666">
        <f t="shared" ref="E144:O144" si="49">1*E$66*(Thetai-E$67)*BodenUnb*U_Boden*$D$53*0.0864/EBF</f>
        <v>0</v>
      </c>
      <c r="F144" s="666">
        <f t="shared" si="49"/>
        <v>0</v>
      </c>
      <c r="G144" s="666">
        <f t="shared" si="49"/>
        <v>0</v>
      </c>
      <c r="H144" s="666">
        <f t="shared" si="49"/>
        <v>0</v>
      </c>
      <c r="I144" s="666">
        <f t="shared" si="49"/>
        <v>0</v>
      </c>
      <c r="J144" s="666">
        <f t="shared" si="49"/>
        <v>0</v>
      </c>
      <c r="K144" s="666">
        <f t="shared" si="49"/>
        <v>0</v>
      </c>
      <c r="L144" s="666">
        <f t="shared" si="49"/>
        <v>0</v>
      </c>
      <c r="M144" s="666">
        <f t="shared" si="49"/>
        <v>0</v>
      </c>
      <c r="N144" s="666">
        <f t="shared" si="49"/>
        <v>0</v>
      </c>
      <c r="O144" s="666">
        <f t="shared" si="49"/>
        <v>0</v>
      </c>
      <c r="P144" s="754">
        <f>SUM(D144:O144)</f>
        <v>0</v>
      </c>
      <c r="Q144" s="667" t="s">
        <v>479</v>
      </c>
    </row>
    <row r="145" spans="2:17">
      <c r="B145" s="657" t="s">
        <v>422</v>
      </c>
      <c r="D145" s="666">
        <f>SUM(D138:D144)*(1+WBZuschlag)</f>
        <v>19.623113788235301</v>
      </c>
      <c r="E145" s="666">
        <f t="shared" ref="E145:O145" si="50">SUM(E138:E144)*(1+WBZuschlag)</f>
        <v>16.713920752941178</v>
      </c>
      <c r="F145" s="666">
        <f t="shared" si="50"/>
        <v>14.869846588235299</v>
      </c>
      <c r="G145" s="666">
        <f t="shared" si="50"/>
        <v>11.77452423529412</v>
      </c>
      <c r="H145" s="666">
        <f t="shared" si="50"/>
        <v>7.5069424941176486</v>
      </c>
      <c r="I145" s="666">
        <f t="shared" si="50"/>
        <v>4.7393280000000013</v>
      </c>
      <c r="J145" s="666">
        <f t="shared" si="50"/>
        <v>2.8468766117647077</v>
      </c>
      <c r="K145" s="666">
        <f t="shared" si="50"/>
        <v>2.8468766117647077</v>
      </c>
      <c r="L145" s="666">
        <f t="shared" si="50"/>
        <v>6.7236141176470605</v>
      </c>
      <c r="M145" s="666">
        <f t="shared" si="50"/>
        <v>10.768988611764708</v>
      </c>
      <c r="N145" s="666">
        <f t="shared" si="50"/>
        <v>15.562706823529416</v>
      </c>
      <c r="O145" s="666">
        <f t="shared" si="50"/>
        <v>18.318295341176476</v>
      </c>
      <c r="P145" s="658">
        <f>SUM(D145:O145)</f>
        <v>132.29503397647062</v>
      </c>
      <c r="Q145" s="667" t="s">
        <v>479</v>
      </c>
    </row>
    <row r="146" spans="2:17">
      <c r="B146" s="631" t="s">
        <v>535</v>
      </c>
      <c r="C146" s="660"/>
      <c r="D146" s="661"/>
      <c r="E146" s="661"/>
      <c r="F146" s="661"/>
      <c r="G146" s="661"/>
      <c r="H146" s="661"/>
      <c r="I146" s="661"/>
      <c r="J146" s="661"/>
      <c r="K146" s="661"/>
      <c r="L146" s="661"/>
      <c r="M146" s="661"/>
      <c r="N146" s="661"/>
      <c r="O146" s="662"/>
      <c r="P146" s="663"/>
      <c r="Q146" s="664"/>
    </row>
    <row r="147" spans="2:17">
      <c r="B147" s="665" t="s">
        <v>426</v>
      </c>
      <c r="C147" s="660"/>
      <c r="D147" s="666">
        <f>IF(D145=0,0,(Thetai-D$67)*$F$26*D$66*(1220-0.14*HueM)*0.000024)</f>
        <v>8.7985516646879649</v>
      </c>
      <c r="E147" s="666">
        <f t="shared" ref="E147:O147" si="51">IF(E145=0,0,(Thetai-E$67)*$F$26*E$66*(1220-0.14*HueM)*0.000024)</f>
        <v>7.4841422866559686</v>
      </c>
      <c r="F147" s="666">
        <f t="shared" si="51"/>
        <v>6.6202694564399733</v>
      </c>
      <c r="G147" s="666">
        <f t="shared" si="51"/>
        <v>5.2080371582399776</v>
      </c>
      <c r="H147" s="666">
        <f t="shared" si="51"/>
        <v>3.2460676044479864</v>
      </c>
      <c r="I147" s="666">
        <f t="shared" si="51"/>
        <v>1.9840141555199919</v>
      </c>
      <c r="J147" s="666">
        <f t="shared" si="51"/>
        <v>1.1104968120479961</v>
      </c>
      <c r="K147" s="666">
        <f t="shared" si="51"/>
        <v>1.1104968120479961</v>
      </c>
      <c r="L147" s="666">
        <f t="shared" si="51"/>
        <v>2.8933539767999883</v>
      </c>
      <c r="M147" s="666">
        <f t="shared" si="51"/>
        <v>4.7409671591279796</v>
      </c>
      <c r="N147" s="666">
        <f t="shared" si="51"/>
        <v>6.9440495443199719</v>
      </c>
      <c r="O147" s="666">
        <f t="shared" si="51"/>
        <v>8.2005918428159656</v>
      </c>
      <c r="P147" s="658">
        <f>SUM(D147:O147)</f>
        <v>58.341038473151762</v>
      </c>
      <c r="Q147" s="667" t="s">
        <v>479</v>
      </c>
    </row>
    <row r="148" spans="2:17">
      <c r="B148" s="631" t="s">
        <v>536</v>
      </c>
      <c r="D148" s="710"/>
      <c r="E148" s="710"/>
      <c r="F148" s="710"/>
      <c r="G148" s="710"/>
      <c r="H148" s="710"/>
      <c r="I148" s="710"/>
      <c r="J148" s="710"/>
      <c r="K148" s="710"/>
      <c r="L148" s="710"/>
      <c r="M148" s="710"/>
      <c r="N148" s="710"/>
      <c r="O148" s="733"/>
      <c r="P148" s="754"/>
      <c r="Q148" s="667"/>
    </row>
    <row r="149" spans="2:17">
      <c r="B149" s="615" t="s">
        <v>537</v>
      </c>
      <c r="D149" s="666">
        <f t="shared" ref="D149:O149" si="52">D147+D145</f>
        <v>28.421665452923264</v>
      </c>
      <c r="E149" s="666">
        <f t="shared" si="52"/>
        <v>24.198063039597145</v>
      </c>
      <c r="F149" s="666">
        <f t="shared" si="52"/>
        <v>21.490116044675272</v>
      </c>
      <c r="G149" s="666">
        <f t="shared" si="52"/>
        <v>16.982561393534098</v>
      </c>
      <c r="H149" s="666">
        <f t="shared" si="52"/>
        <v>10.753010098565635</v>
      </c>
      <c r="I149" s="666">
        <f t="shared" si="52"/>
        <v>6.723342155519993</v>
      </c>
      <c r="J149" s="666">
        <f t="shared" si="52"/>
        <v>3.9573734238127036</v>
      </c>
      <c r="K149" s="666">
        <f t="shared" si="52"/>
        <v>3.9573734238127036</v>
      </c>
      <c r="L149" s="666">
        <f t="shared" si="52"/>
        <v>9.6169680944470493</v>
      </c>
      <c r="M149" s="666">
        <f t="shared" si="52"/>
        <v>15.509955770892688</v>
      </c>
      <c r="N149" s="666">
        <f t="shared" si="52"/>
        <v>22.506756367849388</v>
      </c>
      <c r="O149" s="666">
        <f t="shared" si="52"/>
        <v>26.51888718399244</v>
      </c>
      <c r="P149" s="754">
        <f>SUM(D149:O149)</f>
        <v>190.63607244962236</v>
      </c>
      <c r="Q149" s="667" t="s">
        <v>479</v>
      </c>
    </row>
    <row r="150" spans="2:17">
      <c r="B150" s="631" t="s">
        <v>538</v>
      </c>
      <c r="D150" s="710"/>
      <c r="E150" s="710" t="s">
        <v>256</v>
      </c>
      <c r="F150" s="710"/>
      <c r="G150" s="710"/>
      <c r="H150" s="710"/>
      <c r="I150" s="710"/>
      <c r="J150" s="710"/>
      <c r="K150" s="710"/>
      <c r="L150" s="710"/>
      <c r="M150" s="710"/>
      <c r="N150" s="710"/>
      <c r="O150" s="733"/>
      <c r="P150" s="754"/>
      <c r="Q150" s="667"/>
    </row>
    <row r="151" spans="2:17">
      <c r="B151" s="615" t="s">
        <v>539</v>
      </c>
      <c r="D151" s="841">
        <f t="shared" ref="D151:O151" si="53">$F$38*fE*D$66/365</f>
        <v>9.7711164887524617</v>
      </c>
      <c r="E151" s="666">
        <f t="shared" si="53"/>
        <v>8.8255245704860954</v>
      </c>
      <c r="F151" s="666">
        <f t="shared" si="53"/>
        <v>9.7711164887524617</v>
      </c>
      <c r="G151" s="666">
        <f t="shared" si="53"/>
        <v>9.4559191826636724</v>
      </c>
      <c r="H151" s="666">
        <f t="shared" si="53"/>
        <v>9.7711164887524617</v>
      </c>
      <c r="I151" s="666">
        <f t="shared" si="53"/>
        <v>9.4559191826636724</v>
      </c>
      <c r="J151" s="666">
        <f t="shared" si="53"/>
        <v>9.7711164887524617</v>
      </c>
      <c r="K151" s="666">
        <f t="shared" si="53"/>
        <v>9.7711164887524617</v>
      </c>
      <c r="L151" s="666">
        <f t="shared" si="53"/>
        <v>9.4559191826636724</v>
      </c>
      <c r="M151" s="666">
        <f t="shared" si="53"/>
        <v>9.7711164887524617</v>
      </c>
      <c r="N151" s="666">
        <f t="shared" si="53"/>
        <v>9.4559191826636724</v>
      </c>
      <c r="O151" s="666">
        <f t="shared" si="53"/>
        <v>9.7711164887524617</v>
      </c>
      <c r="P151" s="754">
        <f>SUM(D151:O151)</f>
        <v>115.04701672240802</v>
      </c>
      <c r="Q151" s="667" t="s">
        <v>479</v>
      </c>
    </row>
    <row r="152" spans="2:17">
      <c r="B152" s="615" t="s">
        <v>541</v>
      </c>
      <c r="D152" s="666">
        <f t="shared" ref="D152:M152" si="54">QP*tP*D$66*0.0036/AP</f>
        <v>18.748799999999999</v>
      </c>
      <c r="E152" s="666">
        <f t="shared" si="54"/>
        <v>16.9344</v>
      </c>
      <c r="F152" s="666">
        <f t="shared" si="54"/>
        <v>18.748799999999999</v>
      </c>
      <c r="G152" s="666">
        <f t="shared" si="54"/>
        <v>18.143999999999998</v>
      </c>
      <c r="H152" s="666">
        <f t="shared" si="54"/>
        <v>18.748799999999999</v>
      </c>
      <c r="I152" s="666">
        <f t="shared" si="54"/>
        <v>18.143999999999998</v>
      </c>
      <c r="J152" s="666">
        <f t="shared" si="54"/>
        <v>18.748799999999999</v>
      </c>
      <c r="K152" s="666">
        <f t="shared" si="54"/>
        <v>18.748799999999999</v>
      </c>
      <c r="L152" s="666">
        <f t="shared" si="54"/>
        <v>18.143999999999998</v>
      </c>
      <c r="M152" s="666">
        <f t="shared" si="54"/>
        <v>18.748799999999999</v>
      </c>
      <c r="N152" s="666">
        <f>QP*tP*N$66*0.0036/AP</f>
        <v>18.143999999999998</v>
      </c>
      <c r="O152" s="666">
        <f>QP*tP*O$66*0.0036/AP</f>
        <v>18.748799999999999</v>
      </c>
      <c r="P152" s="754">
        <f>SUM(D152:O152)</f>
        <v>220.75199999999995</v>
      </c>
      <c r="Q152" s="667" t="s">
        <v>479</v>
      </c>
    </row>
    <row r="153" spans="2:17">
      <c r="B153" s="615" t="s">
        <v>543</v>
      </c>
      <c r="D153" s="666">
        <f t="shared" ref="D153:O153" si="55">D152+D151</f>
        <v>28.519916488752461</v>
      </c>
      <c r="E153" s="666">
        <f t="shared" si="55"/>
        <v>25.759924570486096</v>
      </c>
      <c r="F153" s="666">
        <f t="shared" si="55"/>
        <v>28.519916488752461</v>
      </c>
      <c r="G153" s="666">
        <f t="shared" si="55"/>
        <v>27.599919182663669</v>
      </c>
      <c r="H153" s="666">
        <f t="shared" si="55"/>
        <v>28.519916488752461</v>
      </c>
      <c r="I153" s="666">
        <f t="shared" si="55"/>
        <v>27.599919182663669</v>
      </c>
      <c r="J153" s="666">
        <f t="shared" si="55"/>
        <v>28.519916488752461</v>
      </c>
      <c r="K153" s="666">
        <f t="shared" si="55"/>
        <v>28.519916488752461</v>
      </c>
      <c r="L153" s="666">
        <f t="shared" si="55"/>
        <v>27.599919182663669</v>
      </c>
      <c r="M153" s="666">
        <f t="shared" si="55"/>
        <v>28.519916488752461</v>
      </c>
      <c r="N153" s="666">
        <f t="shared" si="55"/>
        <v>27.599919182663669</v>
      </c>
      <c r="O153" s="666">
        <f t="shared" si="55"/>
        <v>28.519916488752461</v>
      </c>
      <c r="P153" s="754">
        <f>SUM(D153:O153)</f>
        <v>335.799016722408</v>
      </c>
      <c r="Q153" s="667" t="s">
        <v>479</v>
      </c>
    </row>
    <row r="154" spans="2:17">
      <c r="B154" s="631" t="s">
        <v>544</v>
      </c>
      <c r="D154" s="666">
        <f t="shared" ref="D154:O154" si="56">IF(EBF&gt;0,($D$19*D$69*$F$19+$D$18*D$70*$F$18+$D$20*D$71*$F$20+$D$17*D$72*$F$17+$D$21*D$68*$F$21)*0.9*G_E5*FF/EBF,0)</f>
        <v>7.0588235294117654</v>
      </c>
      <c r="E154" s="666">
        <f t="shared" si="56"/>
        <v>10.852941176470589</v>
      </c>
      <c r="F154" s="666">
        <f t="shared" si="56"/>
        <v>17.47058823529412</v>
      </c>
      <c r="G154" s="666">
        <f t="shared" si="56"/>
        <v>20.382352941176471</v>
      </c>
      <c r="H154" s="666">
        <f t="shared" si="56"/>
        <v>25.32352941176471</v>
      </c>
      <c r="I154" s="666">
        <f t="shared" si="56"/>
        <v>26.735294117647062</v>
      </c>
      <c r="J154" s="666">
        <f t="shared" si="56"/>
        <v>28.852941176470594</v>
      </c>
      <c r="K154" s="666">
        <f t="shared" si="56"/>
        <v>26.029411764705884</v>
      </c>
      <c r="L154" s="666">
        <f t="shared" si="56"/>
        <v>19.235294117647058</v>
      </c>
      <c r="M154" s="666">
        <f t="shared" si="56"/>
        <v>12.529411764705884</v>
      </c>
      <c r="N154" s="666">
        <f t="shared" si="56"/>
        <v>6.617647058823529</v>
      </c>
      <c r="O154" s="666">
        <f t="shared" si="56"/>
        <v>5.2058823529411775</v>
      </c>
      <c r="P154" s="754">
        <f>SUM(D154:O154)</f>
        <v>206.29411764705884</v>
      </c>
      <c r="Q154" s="667" t="s">
        <v>479</v>
      </c>
    </row>
    <row r="155" spans="2:17">
      <c r="B155" s="615" t="s">
        <v>546</v>
      </c>
      <c r="D155" s="666">
        <f t="shared" ref="D155:O155" si="57">D154+D153</f>
        <v>35.578740018164225</v>
      </c>
      <c r="E155" s="666">
        <f t="shared" si="57"/>
        <v>36.612865746956686</v>
      </c>
      <c r="F155" s="666">
        <f t="shared" si="57"/>
        <v>45.990504724046581</v>
      </c>
      <c r="G155" s="666">
        <f t="shared" si="57"/>
        <v>47.98227212384014</v>
      </c>
      <c r="H155" s="666">
        <f t="shared" si="57"/>
        <v>53.843445900517168</v>
      </c>
      <c r="I155" s="666">
        <f t="shared" si="57"/>
        <v>54.335213300310727</v>
      </c>
      <c r="J155" s="666">
        <f t="shared" si="57"/>
        <v>57.372857665223052</v>
      </c>
      <c r="K155" s="666">
        <f t="shared" si="57"/>
        <v>54.549328253458341</v>
      </c>
      <c r="L155" s="666">
        <f t="shared" si="57"/>
        <v>46.835213300310727</v>
      </c>
      <c r="M155" s="666">
        <f t="shared" si="57"/>
        <v>41.049328253458341</v>
      </c>
      <c r="N155" s="666">
        <f t="shared" si="57"/>
        <v>34.217566241487198</v>
      </c>
      <c r="O155" s="666">
        <f t="shared" si="57"/>
        <v>33.725798841693639</v>
      </c>
      <c r="P155" s="754">
        <f>SUM(D155:O155)</f>
        <v>542.09313436946672</v>
      </c>
      <c r="Q155" s="667" t="s">
        <v>479</v>
      </c>
    </row>
    <row r="156" spans="2:17">
      <c r="B156" s="615" t="s">
        <v>615</v>
      </c>
      <c r="D156" s="666">
        <f t="shared" ref="D156:O156" si="58">IF(D149&gt;0,D155/D149,0)</f>
        <v>1.2518175642133185</v>
      </c>
      <c r="E156" s="666">
        <f t="shared" si="58"/>
        <v>1.5130494406533386</v>
      </c>
      <c r="F156" s="666">
        <f t="shared" si="58"/>
        <v>2.1400770767564983</v>
      </c>
      <c r="G156" s="666">
        <f t="shared" si="58"/>
        <v>2.8253848764008476</v>
      </c>
      <c r="H156" s="666">
        <f t="shared" si="58"/>
        <v>5.0072905546419459</v>
      </c>
      <c r="I156" s="666">
        <f t="shared" si="58"/>
        <v>8.0815778884167706</v>
      </c>
      <c r="J156" s="666">
        <f t="shared" si="58"/>
        <v>14.497711365824955</v>
      </c>
      <c r="K156" s="666">
        <f t="shared" si="58"/>
        <v>13.784225649573189</v>
      </c>
      <c r="L156" s="666">
        <f t="shared" si="58"/>
        <v>4.8700601728474</v>
      </c>
      <c r="M156" s="666">
        <f t="shared" si="58"/>
        <v>2.6466437983333924</v>
      </c>
      <c r="N156" s="666">
        <f t="shared" si="58"/>
        <v>1.5203241943102273</v>
      </c>
      <c r="O156" s="666">
        <f t="shared" si="58"/>
        <v>1.2717652368931791</v>
      </c>
      <c r="P156" s="754" t="s">
        <v>71</v>
      </c>
      <c r="Q156" s="667"/>
    </row>
    <row r="157" spans="2:17">
      <c r="B157" s="631" t="s">
        <v>616</v>
      </c>
      <c r="D157" s="666">
        <f t="shared" ref="D157:O157" si="59">IF(D149&gt;0,CEBF*EBF*1000000/(($D$22*U_DAFbeheizt+$D$14*U_E3*bGW+E4beheizt*U_E4+BodenErdeF*U_Boden*bGF+$D$16*U_E5)*3600 + Vth*EBF*(1220-0.14*HueM)),0)</f>
        <v>137.64695569074274</v>
      </c>
      <c r="E157" s="666">
        <f t="shared" si="59"/>
        <v>137.64695569074274</v>
      </c>
      <c r="F157" s="666">
        <f t="shared" si="59"/>
        <v>137.64695569074274</v>
      </c>
      <c r="G157" s="666">
        <f t="shared" si="59"/>
        <v>137.64695569074274</v>
      </c>
      <c r="H157" s="666">
        <f t="shared" si="59"/>
        <v>137.64695569074274</v>
      </c>
      <c r="I157" s="666">
        <f t="shared" si="59"/>
        <v>137.64695569074274</v>
      </c>
      <c r="J157" s="666">
        <f t="shared" si="59"/>
        <v>137.64695569074274</v>
      </c>
      <c r="K157" s="666">
        <f t="shared" si="59"/>
        <v>137.64695569074274</v>
      </c>
      <c r="L157" s="666">
        <f t="shared" si="59"/>
        <v>137.64695569074274</v>
      </c>
      <c r="M157" s="666">
        <f t="shared" si="59"/>
        <v>137.64695569074274</v>
      </c>
      <c r="N157" s="666">
        <f t="shared" si="59"/>
        <v>137.64695569074274</v>
      </c>
      <c r="O157" s="666">
        <f t="shared" si="59"/>
        <v>137.64695569074274</v>
      </c>
      <c r="P157" s="754"/>
      <c r="Q157" s="667"/>
    </row>
    <row r="158" spans="2:17">
      <c r="B158" s="615" t="s">
        <v>547</v>
      </c>
      <c r="D158" s="666">
        <f>a0+D157/tau0</f>
        <v>10.176463712716183</v>
      </c>
      <c r="E158" s="666">
        <f>a0+E157/tau0</f>
        <v>10.176463712716183</v>
      </c>
      <c r="F158" s="666">
        <f>a0+F157/tau0</f>
        <v>10.176463712716183</v>
      </c>
      <c r="G158" s="666">
        <f>a0+G157/tau0</f>
        <v>10.176463712716183</v>
      </c>
      <c r="H158" s="666">
        <f t="shared" ref="H158:O158" si="60">a0+H157/tau0</f>
        <v>10.176463712716183</v>
      </c>
      <c r="I158" s="666">
        <f t="shared" si="60"/>
        <v>10.176463712716183</v>
      </c>
      <c r="J158" s="666">
        <f t="shared" si="60"/>
        <v>10.176463712716183</v>
      </c>
      <c r="K158" s="666">
        <f t="shared" si="60"/>
        <v>10.176463712716183</v>
      </c>
      <c r="L158" s="666">
        <f t="shared" si="60"/>
        <v>10.176463712716183</v>
      </c>
      <c r="M158" s="666">
        <f t="shared" si="60"/>
        <v>10.176463712716183</v>
      </c>
      <c r="N158" s="666">
        <f t="shared" si="60"/>
        <v>10.176463712716183</v>
      </c>
      <c r="O158" s="666">
        <f t="shared" si="60"/>
        <v>10.176463712716183</v>
      </c>
      <c r="P158" s="754"/>
      <c r="Q158" s="667"/>
    </row>
    <row r="159" spans="2:17">
      <c r="B159" s="615" t="s">
        <v>617</v>
      </c>
      <c r="D159" s="711">
        <f t="shared" ref="D159:O159" si="61">IF(D156=1,D158/(D158+1),IF(D149&lt;=0,0,(1-D156^D158)/(1-D156^(D158+1))))</f>
        <v>0.78104808328877251</v>
      </c>
      <c r="E159" s="711">
        <f t="shared" si="61"/>
        <v>0.65757153621831688</v>
      </c>
      <c r="F159" s="711">
        <f t="shared" si="61"/>
        <v>0.4671648557668886</v>
      </c>
      <c r="G159" s="711">
        <f t="shared" si="61"/>
        <v>0.35392820853652235</v>
      </c>
      <c r="H159" s="711">
        <f t="shared" si="61"/>
        <v>0.19970879027426852</v>
      </c>
      <c r="I159" s="711">
        <f t="shared" si="61"/>
        <v>0.12373821217801198</v>
      </c>
      <c r="J159" s="711">
        <f t="shared" si="61"/>
        <v>6.8976404258940721E-2</v>
      </c>
      <c r="K159" s="711">
        <f t="shared" si="61"/>
        <v>7.2546693983394431E-2</v>
      </c>
      <c r="L159" s="711">
        <f t="shared" si="61"/>
        <v>0.2053362554937278</v>
      </c>
      <c r="M159" s="711">
        <f t="shared" si="61"/>
        <v>0.37782527773026908</v>
      </c>
      <c r="N159" s="711">
        <f t="shared" si="61"/>
        <v>0.65455573942044676</v>
      </c>
      <c r="O159" s="711">
        <f t="shared" si="61"/>
        <v>0.77069466264544995</v>
      </c>
      <c r="P159" s="777">
        <f>IF(P155&gt;0,P160/P155,0)</f>
        <v>0.34908918291727248</v>
      </c>
      <c r="Q159" s="667"/>
    </row>
    <row r="160" spans="2:17">
      <c r="B160" s="665" t="s">
        <v>429</v>
      </c>
      <c r="D160" s="666">
        <f t="shared" ref="D160:O160" si="62">D155*D159</f>
        <v>27.788706697016714</v>
      </c>
      <c r="E160" s="666">
        <f t="shared" si="62"/>
        <v>24.075578374581301</v>
      </c>
      <c r="F160" s="666">
        <f t="shared" si="62"/>
        <v>21.485147506055629</v>
      </c>
      <c r="G160" s="666">
        <f t="shared" si="62"/>
        <v>16.982279614302655</v>
      </c>
      <c r="H160" s="666">
        <f t="shared" si="62"/>
        <v>10.753009444990306</v>
      </c>
      <c r="I160" s="666">
        <f t="shared" si="62"/>
        <v>6.7233421520913872</v>
      </c>
      <c r="J160" s="666">
        <f t="shared" si="62"/>
        <v>3.9573734238070912</v>
      </c>
      <c r="K160" s="666">
        <f t="shared" si="62"/>
        <v>3.9573734238033742</v>
      </c>
      <c r="L160" s="666">
        <f t="shared" si="62"/>
        <v>9.6169673243358424</v>
      </c>
      <c r="M160" s="666">
        <f t="shared" si="62"/>
        <v>15.509473848003879</v>
      </c>
      <c r="N160" s="666">
        <f t="shared" si="62"/>
        <v>22.397304372364768</v>
      </c>
      <c r="O160" s="666">
        <f t="shared" si="62"/>
        <v>25.992293160747387</v>
      </c>
      <c r="P160" s="658">
        <f>SUM(D160:O160)</f>
        <v>189.23884934210034</v>
      </c>
      <c r="Q160" s="667" t="s">
        <v>479</v>
      </c>
    </row>
    <row r="161" spans="2:17" ht="13.8" thickBot="1">
      <c r="B161" s="645" t="s">
        <v>551</v>
      </c>
      <c r="C161" s="748"/>
      <c r="D161" s="781"/>
      <c r="E161" s="781"/>
      <c r="F161" s="781"/>
      <c r="G161" s="781"/>
      <c r="H161" s="781"/>
      <c r="I161" s="781"/>
      <c r="J161" s="781"/>
      <c r="K161" s="781"/>
      <c r="L161" s="781"/>
      <c r="M161" s="781"/>
      <c r="N161" s="781"/>
      <c r="O161" s="782"/>
      <c r="P161" s="783"/>
      <c r="Q161" s="752"/>
    </row>
    <row r="162" spans="2:17" ht="13.8" thickBot="1">
      <c r="B162" s="668" t="s">
        <v>566</v>
      </c>
      <c r="C162" s="787"/>
      <c r="D162" s="788">
        <f t="shared" ref="D162:O162" si="63">D149-D160</f>
        <v>0.63295875590655015</v>
      </c>
      <c r="E162" s="788">
        <f t="shared" si="63"/>
        <v>0.12248466501584332</v>
      </c>
      <c r="F162" s="788">
        <f t="shared" si="63"/>
        <v>4.9685386196429704E-3</v>
      </c>
      <c r="G162" s="788">
        <f t="shared" si="63"/>
        <v>2.8177923144312444E-4</v>
      </c>
      <c r="H162" s="788">
        <f t="shared" si="63"/>
        <v>6.5357532896825887E-7</v>
      </c>
      <c r="I162" s="788">
        <f t="shared" si="63"/>
        <v>3.4286058436805433E-9</v>
      </c>
      <c r="J162" s="788">
        <f t="shared" si="63"/>
        <v>5.6123994340850913E-12</v>
      </c>
      <c r="K162" s="788">
        <f t="shared" si="63"/>
        <v>9.3294261205301154E-12</v>
      </c>
      <c r="L162" s="788">
        <f t="shared" si="63"/>
        <v>7.7011120680481326E-7</v>
      </c>
      <c r="M162" s="788">
        <f t="shared" si="63"/>
        <v>4.8192288880954948E-4</v>
      </c>
      <c r="N162" s="788">
        <f t="shared" si="63"/>
        <v>0.10945199548461915</v>
      </c>
      <c r="O162" s="788">
        <f t="shared" si="63"/>
        <v>0.52659402324505322</v>
      </c>
      <c r="P162" s="853">
        <f>SUM(D162:O162)</f>
        <v>1.3972231075220449</v>
      </c>
      <c r="Q162" s="790" t="s">
        <v>479</v>
      </c>
    </row>
    <row r="163" spans="2:17" ht="13.8" thickBot="1">
      <c r="B163" s="650" t="str">
        <f>CONCATENATE("Qh, li (inkl. Wärmebrückenzuschlag) für ",Standard)</f>
        <v>Qh, li (inkl. Wärmebrückenzuschlag) für SIA</v>
      </c>
      <c r="C163" s="787"/>
      <c r="D163" s="788"/>
      <c r="E163" s="788"/>
      <c r="F163" s="788"/>
      <c r="G163" s="788"/>
      <c r="H163" s="788"/>
      <c r="I163" s="788"/>
      <c r="J163" s="788"/>
      <c r="K163" s="788"/>
      <c r="L163" s="788"/>
      <c r="M163" s="788"/>
      <c r="N163" s="788"/>
      <c r="O163" s="794"/>
      <c r="P163" s="795">
        <f>IF((Standard="Minergie-P"),QhmitWB*0.6,QhmitWB*0.9)</f>
        <v>0</v>
      </c>
      <c r="Q163" s="790" t="s">
        <v>479</v>
      </c>
    </row>
    <row r="166" spans="2:17" ht="13.8" thickBot="1"/>
    <row r="167" spans="2:17" ht="13.8" thickBot="1">
      <c r="B167" s="609" t="s">
        <v>556</v>
      </c>
      <c r="C167" s="852" t="s">
        <v>356</v>
      </c>
      <c r="D167" s="610">
        <f>Q103</f>
        <v>0</v>
      </c>
      <c r="E167" s="724"/>
      <c r="F167" s="724"/>
      <c r="G167" s="724"/>
      <c r="H167" s="724"/>
      <c r="I167" s="724"/>
      <c r="J167" s="724"/>
      <c r="K167" s="724"/>
      <c r="L167" s="724"/>
      <c r="M167" s="724"/>
      <c r="N167" s="724"/>
      <c r="O167" s="724"/>
      <c r="P167" s="724"/>
      <c r="Q167" s="727"/>
    </row>
    <row r="168" spans="2:17">
      <c r="B168" s="653" t="s">
        <v>498</v>
      </c>
      <c r="C168" s="753"/>
      <c r="D168" s="753"/>
      <c r="E168" s="753"/>
      <c r="F168" s="753"/>
      <c r="G168" s="753"/>
      <c r="H168" s="753"/>
      <c r="I168" s="753"/>
      <c r="J168" s="753"/>
      <c r="K168" s="753"/>
      <c r="L168" s="753"/>
      <c r="M168" s="753"/>
      <c r="N168" s="753"/>
      <c r="O168" s="735"/>
      <c r="P168" s="734"/>
      <c r="Q168" s="735"/>
    </row>
    <row r="169" spans="2:17">
      <c r="B169" s="615" t="s">
        <v>501</v>
      </c>
      <c r="D169" s="666">
        <f>IF(EBF&gt;0,(Thetai-D$67)*D$66*$D$22*U_DAFbeheizt*0.0864/EBF,0)</f>
        <v>0</v>
      </c>
      <c r="E169" s="666">
        <f t="shared" ref="E169:O169" si="64">IF(EBF&gt;0,(Thetai-E$67)*E$66*$D$22*U_DAFbeheizt*0.0864/EBF,0)</f>
        <v>0</v>
      </c>
      <c r="F169" s="666">
        <f t="shared" si="64"/>
        <v>0</v>
      </c>
      <c r="G169" s="666">
        <f t="shared" si="64"/>
        <v>0</v>
      </c>
      <c r="H169" s="666">
        <f t="shared" si="64"/>
        <v>0</v>
      </c>
      <c r="I169" s="666">
        <f t="shared" si="64"/>
        <v>0</v>
      </c>
      <c r="J169" s="666">
        <f t="shared" si="64"/>
        <v>0</v>
      </c>
      <c r="K169" s="666">
        <f t="shared" si="64"/>
        <v>0</v>
      </c>
      <c r="L169" s="666">
        <f t="shared" si="64"/>
        <v>0</v>
      </c>
      <c r="M169" s="666">
        <f t="shared" si="64"/>
        <v>0</v>
      </c>
      <c r="N169" s="666">
        <f t="shared" si="64"/>
        <v>0</v>
      </c>
      <c r="O169" s="666">
        <f t="shared" si="64"/>
        <v>0</v>
      </c>
      <c r="P169" s="754">
        <f t="shared" ref="P169:P174" si="65">SUM(D169:O169)</f>
        <v>0</v>
      </c>
      <c r="Q169" s="667" t="s">
        <v>479</v>
      </c>
    </row>
    <row r="170" spans="2:17">
      <c r="B170" s="615" t="s">
        <v>504</v>
      </c>
      <c r="D170" s="666">
        <v>0</v>
      </c>
      <c r="E170" s="666">
        <v>0</v>
      </c>
      <c r="F170" s="666">
        <v>0</v>
      </c>
      <c r="G170" s="666">
        <v>0</v>
      </c>
      <c r="H170" s="666">
        <v>0</v>
      </c>
      <c r="I170" s="666">
        <v>0</v>
      </c>
      <c r="J170" s="666">
        <v>0</v>
      </c>
      <c r="K170" s="666">
        <v>0</v>
      </c>
      <c r="L170" s="666">
        <v>0</v>
      </c>
      <c r="M170" s="666">
        <v>0</v>
      </c>
      <c r="N170" s="666">
        <v>0</v>
      </c>
      <c r="O170" s="666">
        <v>0</v>
      </c>
      <c r="P170" s="754">
        <f t="shared" si="65"/>
        <v>0</v>
      </c>
      <c r="Q170" s="667" t="s">
        <v>479</v>
      </c>
    </row>
    <row r="171" spans="2:17">
      <c r="B171" s="615" t="s">
        <v>507</v>
      </c>
      <c r="D171" s="666">
        <f t="shared" ref="D171:O171" si="66">IF(EBF&gt;0,(deltaThetahmax+Thetai-D$67)*D$66*E4beheizt*$G$15*0.0864/EBF,0)</f>
        <v>28.468766117647061</v>
      </c>
      <c r="E171" s="666">
        <f t="shared" si="66"/>
        <v>24.377946352941176</v>
      </c>
      <c r="F171" s="666">
        <f t="shared" si="66"/>
        <v>22.183454117647059</v>
      </c>
      <c r="G171" s="666">
        <f t="shared" si="66"/>
        <v>18.00914823529412</v>
      </c>
      <c r="H171" s="666">
        <f t="shared" si="66"/>
        <v>12.447382588235293</v>
      </c>
      <c r="I171" s="666">
        <f t="shared" si="66"/>
        <v>8.7064094117647066</v>
      </c>
      <c r="J171" s="666">
        <f t="shared" si="66"/>
        <v>6.2853120000000011</v>
      </c>
      <c r="K171" s="666">
        <f t="shared" si="66"/>
        <v>6.2853120000000011</v>
      </c>
      <c r="L171" s="666">
        <f t="shared" si="66"/>
        <v>11.330258823529412</v>
      </c>
      <c r="M171" s="666">
        <f t="shared" si="66"/>
        <v>16.760832000000001</v>
      </c>
      <c r="N171" s="666">
        <f t="shared" si="66"/>
        <v>23.018315294117645</v>
      </c>
      <c r="O171" s="666">
        <f t="shared" si="66"/>
        <v>26.743386352941176</v>
      </c>
      <c r="P171" s="754">
        <f t="shared" si="65"/>
        <v>204.61652329411766</v>
      </c>
      <c r="Q171" s="667" t="s">
        <v>479</v>
      </c>
    </row>
    <row r="172" spans="2:17">
      <c r="B172" s="615" t="s">
        <v>558</v>
      </c>
      <c r="D172" s="666">
        <f t="shared" ref="D172:M172" si="67">IF(EBF&gt;0,(Thetai+deltaThetahmax-D$67)*D$66*BodenErdeF*U_Boden*bGF*0.0864/EBF,0)</f>
        <v>0</v>
      </c>
      <c r="E172" s="666">
        <f t="shared" si="67"/>
        <v>0</v>
      </c>
      <c r="F172" s="666">
        <f t="shared" si="67"/>
        <v>0</v>
      </c>
      <c r="G172" s="666">
        <f t="shared" si="67"/>
        <v>0</v>
      </c>
      <c r="H172" s="666">
        <f t="shared" si="67"/>
        <v>0</v>
      </c>
      <c r="I172" s="666">
        <f t="shared" si="67"/>
        <v>0</v>
      </c>
      <c r="J172" s="666">
        <f t="shared" si="67"/>
        <v>0</v>
      </c>
      <c r="K172" s="666">
        <f t="shared" si="67"/>
        <v>0</v>
      </c>
      <c r="L172" s="666">
        <f t="shared" si="67"/>
        <v>0</v>
      </c>
      <c r="M172" s="666">
        <f t="shared" si="67"/>
        <v>0</v>
      </c>
      <c r="N172" s="666">
        <f>IF(EBF&gt;0,(Thetai+deltaThetahmax-N$67)*N$66*BodenErdeF*U_Boden*bGF*0.0864/EBF,0)</f>
        <v>0</v>
      </c>
      <c r="O172" s="666">
        <f>IF(EBF&gt;0,(Thetai+deltaThetahmax-O$67)*O$66*BodenErdeF*U_Boden*bGF*0.0864/EBF,0)</f>
        <v>0</v>
      </c>
      <c r="P172" s="754">
        <f t="shared" si="65"/>
        <v>0</v>
      </c>
      <c r="Q172" s="667" t="s">
        <v>479</v>
      </c>
    </row>
    <row r="173" spans="2:17">
      <c r="B173" s="618" t="s">
        <v>560</v>
      </c>
      <c r="D173" s="666">
        <f t="shared" ref="D173:O173" si="68">(IF(EBF&gt;0,(Thetai+deltaThetahmax-D$67)*D$66*BodenErdeF*U_gedaemmteDecken*0.0864/EBF,0))*0</f>
        <v>0</v>
      </c>
      <c r="E173" s="666">
        <f t="shared" si="68"/>
        <v>0</v>
      </c>
      <c r="F173" s="666">
        <f t="shared" si="68"/>
        <v>0</v>
      </c>
      <c r="G173" s="666">
        <f t="shared" si="68"/>
        <v>0</v>
      </c>
      <c r="H173" s="666">
        <f t="shared" si="68"/>
        <v>0</v>
      </c>
      <c r="I173" s="666">
        <f t="shared" si="68"/>
        <v>0</v>
      </c>
      <c r="J173" s="666">
        <f t="shared" si="68"/>
        <v>0</v>
      </c>
      <c r="K173" s="666">
        <f t="shared" si="68"/>
        <v>0</v>
      </c>
      <c r="L173" s="666">
        <f t="shared" si="68"/>
        <v>0</v>
      </c>
      <c r="M173" s="666">
        <f t="shared" si="68"/>
        <v>0</v>
      </c>
      <c r="N173" s="666">
        <f t="shared" si="68"/>
        <v>0</v>
      </c>
      <c r="O173" s="666">
        <f t="shared" si="68"/>
        <v>0</v>
      </c>
      <c r="P173" s="754">
        <f t="shared" si="65"/>
        <v>0</v>
      </c>
      <c r="Q173" s="667" t="s">
        <v>479</v>
      </c>
    </row>
    <row r="174" spans="2:17">
      <c r="B174" s="615" t="s">
        <v>526</v>
      </c>
      <c r="D174" s="666">
        <f t="shared" ref="D174:O174" si="69">IF(EBF&gt;0,(Thetai-D$67)*D$66*$D$16*$G$16*0.0864/EBF,0)</f>
        <v>23.800997647058832</v>
      </c>
      <c r="E174" s="666">
        <f t="shared" si="69"/>
        <v>20.245383529411768</v>
      </c>
      <c r="F174" s="666">
        <f t="shared" si="69"/>
        <v>17.908517647058829</v>
      </c>
      <c r="G174" s="666">
        <f t="shared" si="69"/>
        <v>14.08828235294118</v>
      </c>
      <c r="H174" s="666">
        <f t="shared" si="69"/>
        <v>8.7809505882352941</v>
      </c>
      <c r="I174" s="666">
        <f t="shared" si="69"/>
        <v>5.3669647058823555</v>
      </c>
      <c r="J174" s="666">
        <f t="shared" si="69"/>
        <v>3.0040094117647085</v>
      </c>
      <c r="K174" s="666">
        <f t="shared" si="69"/>
        <v>3.0040094117647085</v>
      </c>
      <c r="L174" s="666">
        <f t="shared" si="69"/>
        <v>7.8268235294117652</v>
      </c>
      <c r="M174" s="666">
        <f t="shared" si="69"/>
        <v>12.824809411764708</v>
      </c>
      <c r="N174" s="666">
        <f t="shared" si="69"/>
        <v>18.784376470588239</v>
      </c>
      <c r="O174" s="666">
        <f t="shared" si="69"/>
        <v>22.183454117647059</v>
      </c>
      <c r="P174" s="754">
        <f t="shared" si="65"/>
        <v>157.81857882352944</v>
      </c>
      <c r="Q174" s="667" t="s">
        <v>479</v>
      </c>
    </row>
    <row r="175" spans="2:17">
      <c r="B175" s="625" t="s">
        <v>563</v>
      </c>
      <c r="D175" s="666">
        <f>1*D$66*(Thetai-D$67)*BodenUnb*E123*$D$53*0.0864/EBF</f>
        <v>0</v>
      </c>
      <c r="E175" s="666">
        <f t="shared" ref="E175:O175" si="70">1*E$66*(Thetai-E$67)*BodenUnb*U_Boden*$D$53*0.0864/EBF</f>
        <v>0</v>
      </c>
      <c r="F175" s="666">
        <f t="shared" si="70"/>
        <v>0</v>
      </c>
      <c r="G175" s="666">
        <f t="shared" si="70"/>
        <v>0</v>
      </c>
      <c r="H175" s="666">
        <f t="shared" si="70"/>
        <v>0</v>
      </c>
      <c r="I175" s="666">
        <f t="shared" si="70"/>
        <v>0</v>
      </c>
      <c r="J175" s="666">
        <f t="shared" si="70"/>
        <v>0</v>
      </c>
      <c r="K175" s="666">
        <f t="shared" si="70"/>
        <v>0</v>
      </c>
      <c r="L175" s="666">
        <f t="shared" si="70"/>
        <v>0</v>
      </c>
      <c r="M175" s="666">
        <f t="shared" si="70"/>
        <v>0</v>
      </c>
      <c r="N175" s="666">
        <f t="shared" si="70"/>
        <v>0</v>
      </c>
      <c r="O175" s="666">
        <f t="shared" si="70"/>
        <v>0</v>
      </c>
      <c r="P175" s="754">
        <f>SUM(D175:O175)</f>
        <v>0</v>
      </c>
      <c r="Q175" s="667" t="s">
        <v>479</v>
      </c>
    </row>
    <row r="176" spans="2:17">
      <c r="B176" s="657" t="s">
        <v>422</v>
      </c>
      <c r="D176" s="666">
        <f>SUM(D169:D175)*(1+WBZuschlag)</f>
        <v>57.496740141176488</v>
      </c>
      <c r="E176" s="666">
        <f t="shared" ref="E176:O176" si="71">SUM(E169:E175)*(1+WBZuschlag)</f>
        <v>49.085662870588244</v>
      </c>
      <c r="F176" s="666">
        <f t="shared" si="71"/>
        <v>44.101168941176482</v>
      </c>
      <c r="G176" s="666">
        <f t="shared" si="71"/>
        <v>35.307173647058832</v>
      </c>
      <c r="H176" s="666">
        <f t="shared" si="71"/>
        <v>23.351166494117646</v>
      </c>
      <c r="I176" s="666">
        <f t="shared" si="71"/>
        <v>15.480711529411771</v>
      </c>
      <c r="J176" s="666">
        <f t="shared" si="71"/>
        <v>10.218253552941182</v>
      </c>
      <c r="K176" s="666">
        <f t="shared" si="71"/>
        <v>10.218253552941182</v>
      </c>
      <c r="L176" s="666">
        <f t="shared" si="71"/>
        <v>21.072790588235296</v>
      </c>
      <c r="M176" s="666">
        <f t="shared" si="71"/>
        <v>32.544205552941179</v>
      </c>
      <c r="N176" s="666">
        <f t="shared" si="71"/>
        <v>45.982960941176479</v>
      </c>
      <c r="O176" s="666">
        <f t="shared" si="71"/>
        <v>53.819524517647061</v>
      </c>
      <c r="P176" s="658">
        <f>SUM(D176:O176)</f>
        <v>398.67861232941186</v>
      </c>
      <c r="Q176" s="667" t="s">
        <v>479</v>
      </c>
    </row>
    <row r="177" spans="2:17">
      <c r="B177" s="631" t="s">
        <v>535</v>
      </c>
      <c r="C177" s="660"/>
      <c r="D177" s="661"/>
      <c r="E177" s="661"/>
      <c r="F177" s="661"/>
      <c r="G177" s="661"/>
      <c r="H177" s="661"/>
      <c r="I177" s="661"/>
      <c r="J177" s="661"/>
      <c r="K177" s="661"/>
      <c r="L177" s="661"/>
      <c r="M177" s="661"/>
      <c r="N177" s="661"/>
      <c r="O177" s="662"/>
      <c r="P177" s="663"/>
      <c r="Q177" s="664"/>
    </row>
    <row r="178" spans="2:17">
      <c r="B178" s="665" t="s">
        <v>426</v>
      </c>
      <c r="C178" s="660"/>
      <c r="D178" s="666">
        <f t="shared" ref="D178:O178" si="72">IF(D176=0,0,(Thetai-D$67)*$G$26*D$66*(1220-0.14*HueM)*0.000024)</f>
        <v>42.318823475519885</v>
      </c>
      <c r="E178" s="666">
        <f t="shared" si="72"/>
        <v>35.99684452223989</v>
      </c>
      <c r="F178" s="666">
        <f t="shared" si="72"/>
        <v>31.841833197599911</v>
      </c>
      <c r="G178" s="666">
        <f t="shared" si="72"/>
        <v>25.04935056959993</v>
      </c>
      <c r="H178" s="666">
        <f t="shared" si="72"/>
        <v>15.612769825919953</v>
      </c>
      <c r="I178" s="666">
        <f t="shared" si="72"/>
        <v>9.5426097407999748</v>
      </c>
      <c r="J178" s="666">
        <f t="shared" si="72"/>
        <v>5.3412107299199878</v>
      </c>
      <c r="K178" s="666">
        <f t="shared" si="72"/>
        <v>5.3412107299199878</v>
      </c>
      <c r="L178" s="666">
        <f t="shared" si="72"/>
        <v>13.916305871999961</v>
      </c>
      <c r="M178" s="666">
        <f t="shared" si="72"/>
        <v>22.802861193119934</v>
      </c>
      <c r="N178" s="666">
        <f t="shared" si="72"/>
        <v>33.399134092799905</v>
      </c>
      <c r="O178" s="666">
        <f t="shared" si="72"/>
        <v>39.442786928639883</v>
      </c>
      <c r="P178" s="658">
        <f>SUM(D178:O178)</f>
        <v>280.60574087807919</v>
      </c>
      <c r="Q178" s="667" t="s">
        <v>479</v>
      </c>
    </row>
    <row r="179" spans="2:17">
      <c r="B179" s="631" t="s">
        <v>536</v>
      </c>
      <c r="D179" s="710"/>
      <c r="E179" s="710"/>
      <c r="F179" s="710"/>
      <c r="G179" s="710"/>
      <c r="H179" s="710"/>
      <c r="I179" s="710"/>
      <c r="J179" s="710"/>
      <c r="K179" s="710"/>
      <c r="L179" s="710"/>
      <c r="M179" s="710"/>
      <c r="N179" s="710"/>
      <c r="O179" s="733"/>
      <c r="P179" s="754"/>
      <c r="Q179" s="667"/>
    </row>
    <row r="180" spans="2:17">
      <c r="B180" s="615" t="s">
        <v>537</v>
      </c>
      <c r="D180" s="666">
        <f t="shared" ref="D180:O180" si="73">D178+D176</f>
        <v>99.81556361669638</v>
      </c>
      <c r="E180" s="666">
        <f t="shared" si="73"/>
        <v>85.082507392828134</v>
      </c>
      <c r="F180" s="666">
        <f t="shared" si="73"/>
        <v>75.943002138776393</v>
      </c>
      <c r="G180" s="666">
        <f t="shared" si="73"/>
        <v>60.356524216658762</v>
      </c>
      <c r="H180" s="666">
        <f t="shared" si="73"/>
        <v>38.963936320037597</v>
      </c>
      <c r="I180" s="666">
        <f t="shared" si="73"/>
        <v>25.023321270211746</v>
      </c>
      <c r="J180" s="666">
        <f t="shared" si="73"/>
        <v>15.559464282861169</v>
      </c>
      <c r="K180" s="666">
        <f t="shared" si="73"/>
        <v>15.559464282861169</v>
      </c>
      <c r="L180" s="666">
        <f t="shared" si="73"/>
        <v>34.98909646023526</v>
      </c>
      <c r="M180" s="666">
        <f t="shared" si="73"/>
        <v>55.347066746061117</v>
      </c>
      <c r="N180" s="666">
        <f t="shared" si="73"/>
        <v>79.382095033976384</v>
      </c>
      <c r="O180" s="666">
        <f t="shared" si="73"/>
        <v>93.262311446286944</v>
      </c>
      <c r="P180" s="754">
        <f>SUM(D180:O180)</f>
        <v>679.28435320749099</v>
      </c>
      <c r="Q180" s="667" t="s">
        <v>479</v>
      </c>
    </row>
    <row r="181" spans="2:17">
      <c r="B181" s="631" t="s">
        <v>538</v>
      </c>
      <c r="D181" s="710"/>
      <c r="E181" s="710" t="s">
        <v>256</v>
      </c>
      <c r="F181" s="710"/>
      <c r="G181" s="710"/>
      <c r="H181" s="710"/>
      <c r="I181" s="710"/>
      <c r="J181" s="710"/>
      <c r="K181" s="710"/>
      <c r="L181" s="710"/>
      <c r="M181" s="710"/>
      <c r="N181" s="710"/>
      <c r="O181" s="733"/>
      <c r="P181" s="754"/>
      <c r="Q181" s="667"/>
    </row>
    <row r="182" spans="2:17">
      <c r="B182" s="615" t="s">
        <v>539</v>
      </c>
      <c r="D182" s="841">
        <f t="shared" ref="D182:O182" si="74">$G$38*fE*D$66/365</f>
        <v>25.941483218418735</v>
      </c>
      <c r="E182" s="666">
        <f t="shared" si="74"/>
        <v>23.431017100507244</v>
      </c>
      <c r="F182" s="666">
        <f t="shared" si="74"/>
        <v>25.941483218418735</v>
      </c>
      <c r="G182" s="666">
        <f t="shared" si="74"/>
        <v>25.104661179114903</v>
      </c>
      <c r="H182" s="666">
        <f t="shared" si="74"/>
        <v>25.941483218418735</v>
      </c>
      <c r="I182" s="666">
        <f t="shared" si="74"/>
        <v>25.104661179114903</v>
      </c>
      <c r="J182" s="666">
        <f t="shared" si="74"/>
        <v>25.941483218418735</v>
      </c>
      <c r="K182" s="666">
        <f t="shared" si="74"/>
        <v>25.941483218418735</v>
      </c>
      <c r="L182" s="666">
        <f t="shared" si="74"/>
        <v>25.104661179114903</v>
      </c>
      <c r="M182" s="666">
        <f t="shared" si="74"/>
        <v>25.941483218418735</v>
      </c>
      <c r="N182" s="666">
        <f t="shared" si="74"/>
        <v>25.104661179114903</v>
      </c>
      <c r="O182" s="666">
        <f t="shared" si="74"/>
        <v>25.941483218418735</v>
      </c>
      <c r="P182" s="754">
        <f>SUM(D182:O182)</f>
        <v>305.440044345898</v>
      </c>
      <c r="Q182" s="667" t="s">
        <v>479</v>
      </c>
    </row>
    <row r="183" spans="2:17">
      <c r="B183" s="615" t="s">
        <v>541</v>
      </c>
      <c r="D183" s="666">
        <f t="shared" ref="D183:M183" si="75">QP*tP*D$66*0.0036/AP</f>
        <v>18.748799999999999</v>
      </c>
      <c r="E183" s="666">
        <f t="shared" si="75"/>
        <v>16.9344</v>
      </c>
      <c r="F183" s="666">
        <f t="shared" si="75"/>
        <v>18.748799999999999</v>
      </c>
      <c r="G183" s="666">
        <f t="shared" si="75"/>
        <v>18.143999999999998</v>
      </c>
      <c r="H183" s="666">
        <f t="shared" si="75"/>
        <v>18.748799999999999</v>
      </c>
      <c r="I183" s="666">
        <f t="shared" si="75"/>
        <v>18.143999999999998</v>
      </c>
      <c r="J183" s="666">
        <f t="shared" si="75"/>
        <v>18.748799999999999</v>
      </c>
      <c r="K183" s="666">
        <f t="shared" si="75"/>
        <v>18.748799999999999</v>
      </c>
      <c r="L183" s="666">
        <f t="shared" si="75"/>
        <v>18.143999999999998</v>
      </c>
      <c r="M183" s="666">
        <f t="shared" si="75"/>
        <v>18.748799999999999</v>
      </c>
      <c r="N183" s="666">
        <f>QP*tP*N$66*0.0036/AP</f>
        <v>18.143999999999998</v>
      </c>
      <c r="O183" s="666">
        <f>QP*tP*O$66*0.0036/AP</f>
        <v>18.748799999999999</v>
      </c>
      <c r="P183" s="754">
        <f>SUM(D183:O183)</f>
        <v>220.75199999999995</v>
      </c>
      <c r="Q183" s="667" t="s">
        <v>479</v>
      </c>
    </row>
    <row r="184" spans="2:17">
      <c r="B184" s="615" t="s">
        <v>543</v>
      </c>
      <c r="D184" s="666">
        <f t="shared" ref="D184:O184" si="76">D183+D182</f>
        <v>44.690283218418735</v>
      </c>
      <c r="E184" s="666">
        <f t="shared" si="76"/>
        <v>40.365417100507244</v>
      </c>
      <c r="F184" s="666">
        <f t="shared" si="76"/>
        <v>44.690283218418735</v>
      </c>
      <c r="G184" s="666">
        <f t="shared" si="76"/>
        <v>43.248661179114904</v>
      </c>
      <c r="H184" s="666">
        <f t="shared" si="76"/>
        <v>44.690283218418735</v>
      </c>
      <c r="I184" s="666">
        <f t="shared" si="76"/>
        <v>43.248661179114904</v>
      </c>
      <c r="J184" s="666">
        <f t="shared" si="76"/>
        <v>44.690283218418735</v>
      </c>
      <c r="K184" s="666">
        <f t="shared" si="76"/>
        <v>44.690283218418735</v>
      </c>
      <c r="L184" s="666">
        <f t="shared" si="76"/>
        <v>43.248661179114904</v>
      </c>
      <c r="M184" s="666">
        <f t="shared" si="76"/>
        <v>44.690283218418735</v>
      </c>
      <c r="N184" s="666">
        <f t="shared" si="76"/>
        <v>43.248661179114904</v>
      </c>
      <c r="O184" s="666">
        <f t="shared" si="76"/>
        <v>44.690283218418735</v>
      </c>
      <c r="P184" s="754">
        <f>SUM(D184:O184)</f>
        <v>526.19204434589801</v>
      </c>
      <c r="Q184" s="667" t="s">
        <v>479</v>
      </c>
    </row>
    <row r="185" spans="2:17">
      <c r="B185" s="631" t="s">
        <v>544</v>
      </c>
      <c r="D185" s="666">
        <f t="shared" ref="D185:O185" si="77">IF(EBF&gt;0,($D$19*D$69*$F$19+$D$18*D$70*$F$18+$D$20*D$71*$F$20+$D$17*D$72*$F$17+$D$21*D$68*$F$21)*0.9*$G$29*FF/EBF,0)</f>
        <v>9.176470588235297</v>
      </c>
      <c r="E185" s="666">
        <f t="shared" si="77"/>
        <v>14.108823529411767</v>
      </c>
      <c r="F185" s="666">
        <f t="shared" si="77"/>
        <v>22.711764705882356</v>
      </c>
      <c r="G185" s="666">
        <f t="shared" si="77"/>
        <v>26.497058823529414</v>
      </c>
      <c r="H185" s="666">
        <f t="shared" si="77"/>
        <v>32.920588235294126</v>
      </c>
      <c r="I185" s="666">
        <f t="shared" si="77"/>
        <v>34.755882352941185</v>
      </c>
      <c r="J185" s="666">
        <f t="shared" si="77"/>
        <v>37.508823529411778</v>
      </c>
      <c r="K185" s="666">
        <f t="shared" si="77"/>
        <v>33.838235294117652</v>
      </c>
      <c r="L185" s="666">
        <f t="shared" si="77"/>
        <v>25.005882352941182</v>
      </c>
      <c r="M185" s="666">
        <f t="shared" si="77"/>
        <v>16.288235294117651</v>
      </c>
      <c r="N185" s="666">
        <f t="shared" si="77"/>
        <v>8.602941176470587</v>
      </c>
      <c r="O185" s="666">
        <f t="shared" si="77"/>
        <v>6.7676470588235311</v>
      </c>
      <c r="P185" s="754">
        <f>SUM(D185:O185)</f>
        <v>268.18235294117648</v>
      </c>
      <c r="Q185" s="667" t="s">
        <v>479</v>
      </c>
    </row>
    <row r="186" spans="2:17">
      <c r="B186" s="615" t="s">
        <v>546</v>
      </c>
      <c r="D186" s="666">
        <f t="shared" ref="D186:O186" si="78">D185+D184</f>
        <v>53.866753806654032</v>
      </c>
      <c r="E186" s="666">
        <f t="shared" si="78"/>
        <v>54.474240629919009</v>
      </c>
      <c r="F186" s="666">
        <f t="shared" si="78"/>
        <v>67.402047924301087</v>
      </c>
      <c r="G186" s="666">
        <f t="shared" si="78"/>
        <v>69.745720002644319</v>
      </c>
      <c r="H186" s="666">
        <f t="shared" si="78"/>
        <v>77.610871453712861</v>
      </c>
      <c r="I186" s="666">
        <f t="shared" si="78"/>
        <v>78.00454353205609</v>
      </c>
      <c r="J186" s="666">
        <f t="shared" si="78"/>
        <v>82.199106747830513</v>
      </c>
      <c r="K186" s="666">
        <f t="shared" si="78"/>
        <v>78.52851851253638</v>
      </c>
      <c r="L186" s="666">
        <f t="shared" si="78"/>
        <v>68.25454353205609</v>
      </c>
      <c r="M186" s="666">
        <f t="shared" si="78"/>
        <v>60.978518512536382</v>
      </c>
      <c r="N186" s="666">
        <f t="shared" si="78"/>
        <v>51.851602355585491</v>
      </c>
      <c r="O186" s="666">
        <f t="shared" si="78"/>
        <v>51.457930277242269</v>
      </c>
      <c r="P186" s="754">
        <f>SUM(D186:O186)</f>
        <v>794.37439728707454</v>
      </c>
      <c r="Q186" s="667" t="s">
        <v>479</v>
      </c>
    </row>
    <row r="187" spans="2:17">
      <c r="B187" s="615" t="s">
        <v>615</v>
      </c>
      <c r="D187" s="666">
        <f t="shared" ref="D187:O187" si="79">IF(D180&gt;0,D186/D180,0)</f>
        <v>0.53966287275107483</v>
      </c>
      <c r="E187" s="666">
        <f t="shared" si="79"/>
        <v>0.64025194248695605</v>
      </c>
      <c r="F187" s="666">
        <f t="shared" si="79"/>
        <v>0.88753467766697225</v>
      </c>
      <c r="G187" s="666">
        <f t="shared" si="79"/>
        <v>1.1555622347019461</v>
      </c>
      <c r="H187" s="666">
        <f t="shared" si="79"/>
        <v>1.9918642412368559</v>
      </c>
      <c r="I187" s="666">
        <f t="shared" si="79"/>
        <v>3.1172737899071068</v>
      </c>
      <c r="J187" s="666">
        <f t="shared" si="79"/>
        <v>5.2829008282999341</v>
      </c>
      <c r="K187" s="666">
        <f t="shared" si="79"/>
        <v>5.0469937193811969</v>
      </c>
      <c r="L187" s="666">
        <f t="shared" si="79"/>
        <v>1.9507375278932013</v>
      </c>
      <c r="M187" s="666">
        <f t="shared" si="79"/>
        <v>1.1017479714383607</v>
      </c>
      <c r="N187" s="666">
        <f t="shared" si="79"/>
        <v>0.6531901473927143</v>
      </c>
      <c r="O187" s="666">
        <f t="shared" si="79"/>
        <v>0.55175482442206791</v>
      </c>
      <c r="P187" s="754" t="s">
        <v>71</v>
      </c>
      <c r="Q187" s="667"/>
    </row>
    <row r="188" spans="2:17">
      <c r="B188" s="631" t="s">
        <v>616</v>
      </c>
      <c r="D188" s="666">
        <f t="shared" ref="D188:O188" si="80">IF(D180&gt;0,CEBF*EBF*1000000/(($D$22*U_DAFbeheizt+$D$14*U_E3*bGW+E4beheizt*U_E4+BodenErdeF*U_Boden*bGF+$D$16*U_E5)*3600 + Vth*EBF*(1220-0.14*HueM)),0)</f>
        <v>137.64695569074274</v>
      </c>
      <c r="E188" s="666">
        <f t="shared" si="80"/>
        <v>137.64695569074274</v>
      </c>
      <c r="F188" s="666">
        <f t="shared" si="80"/>
        <v>137.64695569074274</v>
      </c>
      <c r="G188" s="666">
        <f t="shared" si="80"/>
        <v>137.64695569074274</v>
      </c>
      <c r="H188" s="666">
        <f t="shared" si="80"/>
        <v>137.64695569074274</v>
      </c>
      <c r="I188" s="666">
        <f t="shared" si="80"/>
        <v>137.64695569074274</v>
      </c>
      <c r="J188" s="666">
        <f t="shared" si="80"/>
        <v>137.64695569074274</v>
      </c>
      <c r="K188" s="666">
        <f t="shared" si="80"/>
        <v>137.64695569074274</v>
      </c>
      <c r="L188" s="666">
        <f t="shared" si="80"/>
        <v>137.64695569074274</v>
      </c>
      <c r="M188" s="666">
        <f t="shared" si="80"/>
        <v>137.64695569074274</v>
      </c>
      <c r="N188" s="666">
        <f t="shared" si="80"/>
        <v>137.64695569074274</v>
      </c>
      <c r="O188" s="666">
        <f t="shared" si="80"/>
        <v>137.64695569074274</v>
      </c>
      <c r="P188" s="754"/>
      <c r="Q188" s="667"/>
    </row>
    <row r="189" spans="2:17">
      <c r="B189" s="615" t="s">
        <v>547</v>
      </c>
      <c r="D189" s="666">
        <f>a0+D188/tau0</f>
        <v>10.176463712716183</v>
      </c>
      <c r="E189" s="666">
        <f>a0+E188/tau0</f>
        <v>10.176463712716183</v>
      </c>
      <c r="F189" s="666">
        <f>a0+F188/tau0</f>
        <v>10.176463712716183</v>
      </c>
      <c r="G189" s="666">
        <f>a0+G188/tau0</f>
        <v>10.176463712716183</v>
      </c>
      <c r="H189" s="666">
        <f t="shared" ref="H189:O189" si="81">a0+H188/tau0</f>
        <v>10.176463712716183</v>
      </c>
      <c r="I189" s="666">
        <f t="shared" si="81"/>
        <v>10.176463712716183</v>
      </c>
      <c r="J189" s="666">
        <f t="shared" si="81"/>
        <v>10.176463712716183</v>
      </c>
      <c r="K189" s="666">
        <f t="shared" si="81"/>
        <v>10.176463712716183</v>
      </c>
      <c r="L189" s="666">
        <f t="shared" si="81"/>
        <v>10.176463712716183</v>
      </c>
      <c r="M189" s="666">
        <f t="shared" si="81"/>
        <v>10.176463712716183</v>
      </c>
      <c r="N189" s="666">
        <f t="shared" si="81"/>
        <v>10.176463712716183</v>
      </c>
      <c r="O189" s="666">
        <f t="shared" si="81"/>
        <v>10.176463712716183</v>
      </c>
      <c r="P189" s="754"/>
      <c r="Q189" s="667"/>
    </row>
    <row r="190" spans="2:17">
      <c r="B190" s="615" t="s">
        <v>617</v>
      </c>
      <c r="D190" s="711">
        <f t="shared" ref="D190:O190" si="82">IF(D187=1,D189/(D189+1),IF(D180&lt;=0,0,(1-D187^D189)/(1-D187^(D189+1))))</f>
        <v>0.99913409270394526</v>
      </c>
      <c r="E190" s="711">
        <f t="shared" si="82"/>
        <v>0.99612456371023284</v>
      </c>
      <c r="F190" s="711">
        <f t="shared" si="82"/>
        <v>0.95464796369310956</v>
      </c>
      <c r="G190" s="711">
        <f t="shared" si="82"/>
        <v>0.83199803443894915</v>
      </c>
      <c r="H190" s="711">
        <f t="shared" si="82"/>
        <v>0.50181696693014266</v>
      </c>
      <c r="I190" s="711">
        <f t="shared" si="82"/>
        <v>0.32079106729792978</v>
      </c>
      <c r="J190" s="711">
        <f t="shared" si="82"/>
        <v>0.18928993687527501</v>
      </c>
      <c r="K190" s="711">
        <f t="shared" si="82"/>
        <v>0.19813774286323232</v>
      </c>
      <c r="L190" s="711">
        <f t="shared" si="82"/>
        <v>0.51234819938399467</v>
      </c>
      <c r="M190" s="711">
        <f t="shared" si="82"/>
        <v>0.86037274611005832</v>
      </c>
      <c r="N190" s="711">
        <f t="shared" si="82"/>
        <v>0.99541240319810909</v>
      </c>
      <c r="O190" s="711">
        <f t="shared" si="82"/>
        <v>0.99894325760717584</v>
      </c>
      <c r="P190" s="777">
        <f>IF(P186&gt;0,P191/P186,0)</f>
        <v>0.64956390768204297</v>
      </c>
      <c r="Q190" s="667"/>
    </row>
    <row r="191" spans="2:17">
      <c r="B191" s="665" t="s">
        <v>429</v>
      </c>
      <c r="D191" s="666">
        <f t="shared" ref="D191:O191" si="83">D186*D190</f>
        <v>53.820110191518069</v>
      </c>
      <c r="E191" s="666">
        <f t="shared" si="83"/>
        <v>54.263129180924309</v>
      </c>
      <c r="F191" s="666">
        <f t="shared" si="83"/>
        <v>64.345227799679421</v>
      </c>
      <c r="G191" s="666">
        <f t="shared" si="83"/>
        <v>58.028301952729372</v>
      </c>
      <c r="H191" s="666">
        <f t="shared" si="83"/>
        <v>38.94645211370738</v>
      </c>
      <c r="I191" s="666">
        <f t="shared" si="83"/>
        <v>25.023160773736098</v>
      </c>
      <c r="J191" s="666">
        <f t="shared" si="83"/>
        <v>15.55946372750083</v>
      </c>
      <c r="K191" s="666">
        <f t="shared" si="83"/>
        <v>15.559463408467513</v>
      </c>
      <c r="L191" s="666">
        <f t="shared" si="83"/>
        <v>34.970092478425414</v>
      </c>
      <c r="M191" s="666">
        <f t="shared" si="83"/>
        <v>52.464255426353958</v>
      </c>
      <c r="N191" s="666">
        <f t="shared" si="83"/>
        <v>51.61372811044609</v>
      </c>
      <c r="O191" s="666">
        <f t="shared" si="83"/>
        <v>51.403552500871321</v>
      </c>
      <c r="P191" s="658">
        <f>SUM(D191:O191)</f>
        <v>515.99693766435985</v>
      </c>
      <c r="Q191" s="667" t="s">
        <v>479</v>
      </c>
    </row>
    <row r="192" spans="2:17" ht="13.8" thickBot="1">
      <c r="B192" s="645" t="s">
        <v>551</v>
      </c>
      <c r="C192" s="748"/>
      <c r="D192" s="781"/>
      <c r="E192" s="781"/>
      <c r="F192" s="781"/>
      <c r="G192" s="781"/>
      <c r="H192" s="781"/>
      <c r="I192" s="781"/>
      <c r="J192" s="781"/>
      <c r="K192" s="781"/>
      <c r="L192" s="781"/>
      <c r="M192" s="781"/>
      <c r="N192" s="781"/>
      <c r="O192" s="782"/>
      <c r="P192" s="783"/>
      <c r="Q192" s="752"/>
    </row>
    <row r="193" spans="1:30" ht="13.8" thickBot="1">
      <c r="B193" s="668" t="s">
        <v>566</v>
      </c>
      <c r="C193" s="787"/>
      <c r="D193" s="788">
        <f>D180-D191</f>
        <v>45.995453425178312</v>
      </c>
      <c r="E193" s="788">
        <f t="shared" ref="E193:O193" si="84">E180-E191</f>
        <v>30.819378211903825</v>
      </c>
      <c r="F193" s="788">
        <f t="shared" si="84"/>
        <v>11.597774339096972</v>
      </c>
      <c r="G193" s="788">
        <f t="shared" si="84"/>
        <v>2.3282222639293906</v>
      </c>
      <c r="H193" s="788">
        <f t="shared" si="84"/>
        <v>1.7484206330216523E-2</v>
      </c>
      <c r="I193" s="788">
        <f t="shared" si="84"/>
        <v>1.6049647564742031E-4</v>
      </c>
      <c r="J193" s="788">
        <f t="shared" si="84"/>
        <v>5.5536033904957094E-7</v>
      </c>
      <c r="K193" s="788">
        <f t="shared" si="84"/>
        <v>8.7439365614727649E-7</v>
      </c>
      <c r="L193" s="788">
        <f t="shared" si="84"/>
        <v>1.9003981809845527E-2</v>
      </c>
      <c r="M193" s="788">
        <f t="shared" si="84"/>
        <v>2.8828113197071588</v>
      </c>
      <c r="N193" s="788">
        <f t="shared" si="84"/>
        <v>27.768366923530294</v>
      </c>
      <c r="O193" s="788">
        <f t="shared" si="84"/>
        <v>41.858758945415623</v>
      </c>
      <c r="P193" s="853">
        <f>SUM(D193:O193)</f>
        <v>163.28741554313129</v>
      </c>
      <c r="Q193" s="790" t="s">
        <v>479</v>
      </c>
    </row>
    <row r="194" spans="1:30" ht="13.8" thickBot="1">
      <c r="B194" s="650" t="str">
        <f>CONCATENATE("Qh, li (inkl. Wärmebrückenzuschlag) für ",Standard)</f>
        <v>Qh, li (inkl. Wärmebrückenzuschlag) für SIA</v>
      </c>
      <c r="C194" s="787"/>
      <c r="D194" s="788"/>
      <c r="E194" s="788"/>
      <c r="F194" s="788"/>
      <c r="G194" s="788"/>
      <c r="H194" s="788"/>
      <c r="I194" s="788"/>
      <c r="J194" s="788"/>
      <c r="K194" s="788"/>
      <c r="L194" s="788"/>
      <c r="M194" s="788"/>
      <c r="N194" s="788"/>
      <c r="O194" s="794"/>
      <c r="P194" s="795">
        <f>IF((Standard="Minergie-P"),QhmitWB*0.6,QhmitWB*0.9)</f>
        <v>0</v>
      </c>
      <c r="Q194" s="790" t="s">
        <v>479</v>
      </c>
    </row>
    <row r="201" spans="1:30" ht="17.399999999999999">
      <c r="B201" s="669"/>
    </row>
    <row r="202" spans="1:30" ht="17.399999999999999">
      <c r="B202" s="669" t="s">
        <v>567</v>
      </c>
      <c r="Q202" s="702"/>
      <c r="R202" s="702"/>
      <c r="S202" s="702"/>
      <c r="T202" s="702"/>
      <c r="U202" s="702"/>
      <c r="V202" s="702"/>
      <c r="W202" s="702"/>
      <c r="X202" s="702"/>
      <c r="Y202" s="702"/>
      <c r="Z202" s="702"/>
      <c r="AA202" s="702"/>
      <c r="AB202" s="702"/>
      <c r="AC202" s="702"/>
      <c r="AD202" s="702"/>
    </row>
    <row r="203" spans="1:30" ht="17.399999999999999">
      <c r="B203" s="669"/>
      <c r="J203" s="1826" t="s">
        <v>568</v>
      </c>
      <c r="K203" s="1827"/>
      <c r="Q203" s="702"/>
      <c r="R203" s="702"/>
      <c r="S203" s="702"/>
      <c r="T203" s="670"/>
      <c r="U203" s="670"/>
      <c r="V203" s="670"/>
      <c r="W203" s="683"/>
      <c r="X203" s="683"/>
      <c r="Y203" s="683"/>
      <c r="Z203" s="683"/>
      <c r="AA203" s="670"/>
      <c r="AB203" s="670"/>
      <c r="AC203" s="702"/>
      <c r="AD203" s="702"/>
    </row>
    <row r="204" spans="1:30" ht="17.399999999999999">
      <c r="B204" s="671"/>
      <c r="C204" s="672"/>
      <c r="D204" s="673"/>
      <c r="E204" s="673"/>
      <c r="F204" s="673"/>
      <c r="G204" s="673"/>
      <c r="H204" s="1828" t="s">
        <v>416</v>
      </c>
      <c r="I204" s="1829"/>
      <c r="J204" s="1830" t="s">
        <v>569</v>
      </c>
      <c r="K204" s="1829"/>
      <c r="Q204" s="702"/>
      <c r="R204" s="702"/>
      <c r="S204" s="702"/>
      <c r="T204" s="674"/>
      <c r="U204" s="683"/>
      <c r="V204" s="683"/>
      <c r="W204" s="675"/>
      <c r="X204" s="683"/>
      <c r="Y204" s="683"/>
      <c r="Z204" s="676"/>
      <c r="AA204" s="676"/>
      <c r="AB204" s="676"/>
      <c r="AC204" s="702"/>
      <c r="AD204" s="702"/>
    </row>
    <row r="205" spans="1:30" ht="15.6">
      <c r="B205" s="677" t="s">
        <v>570</v>
      </c>
      <c r="C205" s="589" t="s">
        <v>571</v>
      </c>
      <c r="D205" s="678" t="s">
        <v>25</v>
      </c>
      <c r="E205" s="679" t="s">
        <v>441</v>
      </c>
      <c r="F205" s="678" t="s">
        <v>572</v>
      </c>
      <c r="G205" s="678" t="s">
        <v>573</v>
      </c>
      <c r="H205" s="679" t="s">
        <v>25</v>
      </c>
      <c r="I205" s="680" t="s">
        <v>441</v>
      </c>
      <c r="J205" s="681" t="s">
        <v>25</v>
      </c>
      <c r="K205" s="680" t="s">
        <v>441</v>
      </c>
      <c r="Q205" s="702"/>
      <c r="R205" s="702"/>
      <c r="S205" s="706"/>
      <c r="T205" s="683"/>
      <c r="U205" s="682"/>
      <c r="V205" s="683"/>
      <c r="W205" s="684"/>
      <c r="X205" s="685"/>
      <c r="Y205" s="685"/>
      <c r="Z205" s="685"/>
      <c r="AA205" s="685"/>
      <c r="AB205" s="685"/>
      <c r="AC205" s="706"/>
      <c r="AD205" s="702"/>
    </row>
    <row r="206" spans="1:30">
      <c r="A206" s="801">
        <v>1</v>
      </c>
      <c r="B206" s="802" t="str">
        <f>INDEX($B$213:$B$251,C206,1)</f>
        <v>Fernwärme (aus KVA, ARA, Industrie) resp. Abwärme</v>
      </c>
      <c r="C206" s="803">
        <v>11</v>
      </c>
      <c r="D206" s="804">
        <f>INDEX($D$213:$D$257,C206,1)</f>
        <v>1</v>
      </c>
      <c r="E206" s="805">
        <f>INDEX($E$213:$E$257,C206,1)</f>
        <v>1</v>
      </c>
      <c r="F206" s="806">
        <f>INDEX($F$213:$F$257,C206,1)</f>
        <v>1</v>
      </c>
      <c r="G206" s="805">
        <f>INDEX($G$213:$G$257,C206,1)</f>
        <v>0.6</v>
      </c>
      <c r="H206" s="807">
        <v>1</v>
      </c>
      <c r="I206" s="808">
        <v>0</v>
      </c>
      <c r="J206" s="809">
        <f>IF(H206&gt;0,$P$131*H206/F206*G206/3.6,0)</f>
        <v>1.3606527314045191</v>
      </c>
      <c r="K206" s="809">
        <f>IF(I206&gt;0,WW*I206/F206*G206/3.6,0)</f>
        <v>0</v>
      </c>
      <c r="L206" s="585" t="s">
        <v>168</v>
      </c>
      <c r="Q206" s="702"/>
      <c r="R206" s="702"/>
      <c r="S206" s="686"/>
      <c r="T206" s="683"/>
      <c r="U206" s="682"/>
      <c r="V206" s="683"/>
      <c r="W206" s="687"/>
      <c r="X206" s="688"/>
      <c r="Y206" s="682"/>
      <c r="Z206" s="689"/>
      <c r="AA206" s="690"/>
      <c r="AB206" s="691"/>
      <c r="AC206" s="686"/>
      <c r="AD206" s="702"/>
    </row>
    <row r="207" spans="1:30">
      <c r="A207" s="801">
        <v>2</v>
      </c>
      <c r="B207" s="705" t="str">
        <f t="shared" ref="B207:B209" si="85">INDEX($B$213:$B$251,C207,1)</f>
        <v>Fernwärme (aus KVA, ARA, Industrie) resp. Abwärme</v>
      </c>
      <c r="C207" s="810">
        <v>11</v>
      </c>
      <c r="D207" s="804">
        <f>INDEX($D$213:$D$257,C207,1)</f>
        <v>1</v>
      </c>
      <c r="E207" s="804">
        <f>INDEX($E$213:$E$257,C207,1)</f>
        <v>1</v>
      </c>
      <c r="F207" s="811">
        <f>INDEX($F$213:$F$257,C207,1)</f>
        <v>1</v>
      </c>
      <c r="G207" s="804">
        <f>INDEX($G$213:$G$257,C207,1)</f>
        <v>0.6</v>
      </c>
      <c r="H207" s="812">
        <v>0</v>
      </c>
      <c r="I207" s="813">
        <v>1</v>
      </c>
      <c r="J207" s="814">
        <f>IF(H207&gt;0,$P$131*H207/F207*G207/3.6,0)</f>
        <v>0</v>
      </c>
      <c r="K207" s="814">
        <f>IF(I207&gt;0,WW*I207/F207*G207/3.6,0)</f>
        <v>12.5</v>
      </c>
      <c r="L207" s="585" t="s">
        <v>168</v>
      </c>
      <c r="Q207" s="702"/>
      <c r="R207" s="702"/>
      <c r="S207" s="686"/>
      <c r="T207" s="683"/>
      <c r="U207" s="682"/>
      <c r="V207" s="683"/>
      <c r="W207" s="687"/>
      <c r="X207" s="690"/>
      <c r="Y207" s="682"/>
      <c r="Z207" s="689"/>
      <c r="AA207" s="690"/>
      <c r="AB207" s="691"/>
      <c r="AC207" s="686"/>
      <c r="AD207" s="702"/>
    </row>
    <row r="208" spans="1:30">
      <c r="A208" s="801">
        <v>3</v>
      </c>
      <c r="B208" s="815">
        <f t="shared" si="85"/>
        <v>0</v>
      </c>
      <c r="C208" s="810">
        <v>1</v>
      </c>
      <c r="D208" s="804">
        <f>INDEX($D$213:$D$257,C208,1)</f>
        <v>0</v>
      </c>
      <c r="E208" s="804">
        <f>INDEX($E$213:$E$257,C208,1)</f>
        <v>0</v>
      </c>
      <c r="F208" s="811">
        <f>INDEX($F$213:$F$257,C208,1)</f>
        <v>0</v>
      </c>
      <c r="G208" s="804">
        <f>INDEX($G$213:$G$257,C208,1)</f>
        <v>0</v>
      </c>
      <c r="H208" s="812">
        <v>0</v>
      </c>
      <c r="I208" s="813">
        <v>0</v>
      </c>
      <c r="J208" s="814">
        <f>IF(H208&gt;0,$P$131*H208/F208*G208/3.6,0)</f>
        <v>0</v>
      </c>
      <c r="K208" s="814">
        <f>IF(I208&gt;0,WW*I208/F208*G208/3.6,0)</f>
        <v>0</v>
      </c>
      <c r="L208" s="585" t="s">
        <v>168</v>
      </c>
      <c r="Q208" s="702"/>
      <c r="R208" s="702"/>
      <c r="S208" s="686"/>
      <c r="T208" s="683"/>
      <c r="U208" s="682"/>
      <c r="V208" s="683"/>
      <c r="W208" s="687"/>
      <c r="X208" s="690"/>
      <c r="Y208" s="682"/>
      <c r="Z208" s="689"/>
      <c r="AA208" s="690"/>
      <c r="AB208" s="691"/>
      <c r="AC208" s="686"/>
      <c r="AD208" s="702"/>
    </row>
    <row r="209" spans="1:30">
      <c r="A209" s="801">
        <v>4</v>
      </c>
      <c r="B209" s="816">
        <f t="shared" si="85"/>
        <v>0</v>
      </c>
      <c r="C209" s="817">
        <v>1</v>
      </c>
      <c r="D209" s="818">
        <f>INDEX($D$213:$D$257,C209,1)</f>
        <v>0</v>
      </c>
      <c r="E209" s="818">
        <f>INDEX($E$213:$E$257,C209,1)</f>
        <v>0</v>
      </c>
      <c r="F209" s="819">
        <f>INDEX($F$213:$F$257,C209,1)</f>
        <v>0</v>
      </c>
      <c r="G209" s="818">
        <f>INDEX($G$213:$G$257,C209,1)</f>
        <v>0</v>
      </c>
      <c r="H209" s="820">
        <v>0</v>
      </c>
      <c r="I209" s="821">
        <v>0</v>
      </c>
      <c r="J209" s="822">
        <f>IF(H209&gt;0,$P$131*H209/F209*G209/3.6,0)</f>
        <v>0</v>
      </c>
      <c r="K209" s="814">
        <f>IF(I209&gt;0,WW*I209/F209*G209/3.6,0)</f>
        <v>0</v>
      </c>
      <c r="L209" s="585" t="s">
        <v>168</v>
      </c>
      <c r="Q209" s="702"/>
      <c r="R209" s="702"/>
      <c r="S209" s="686"/>
      <c r="T209" s="683"/>
      <c r="U209" s="682"/>
      <c r="V209" s="683"/>
      <c r="W209" s="687"/>
      <c r="X209" s="690"/>
      <c r="Y209" s="682"/>
      <c r="Z209" s="689"/>
      <c r="AA209" s="690"/>
      <c r="AB209" s="691"/>
      <c r="AC209" s="686"/>
      <c r="AD209" s="702"/>
    </row>
    <row r="210" spans="1:30">
      <c r="C210" s="705"/>
      <c r="J210" s="822">
        <f>SUM(J206:J209)</f>
        <v>1.3606527314045191</v>
      </c>
      <c r="K210" s="823">
        <f>SUM(K206:K209)</f>
        <v>12.5</v>
      </c>
      <c r="L210" s="585" t="s">
        <v>168</v>
      </c>
      <c r="Q210" s="702"/>
      <c r="R210" s="702"/>
      <c r="S210" s="702"/>
      <c r="T210" s="692"/>
      <c r="U210" s="692"/>
      <c r="V210" s="692"/>
      <c r="W210" s="693"/>
      <c r="X210" s="692"/>
      <c r="Y210" s="692"/>
      <c r="Z210" s="694"/>
      <c r="AA210" s="695"/>
      <c r="AB210" s="695"/>
      <c r="AC210" s="702"/>
      <c r="AD210" s="702"/>
    </row>
    <row r="211" spans="1:30">
      <c r="A211" s="824"/>
      <c r="B211" s="696" t="s">
        <v>574</v>
      </c>
      <c r="C211" s="697"/>
      <c r="D211" s="698" t="s">
        <v>25</v>
      </c>
      <c r="E211" s="699" t="s">
        <v>441</v>
      </c>
      <c r="F211" s="698" t="s">
        <v>572</v>
      </c>
      <c r="G211" s="698" t="s">
        <v>573</v>
      </c>
      <c r="I211" s="586" t="s">
        <v>575</v>
      </c>
      <c r="J211" s="1831">
        <f>3*2</f>
        <v>6</v>
      </c>
      <c r="K211" s="1832"/>
      <c r="L211" s="585" t="s">
        <v>168</v>
      </c>
      <c r="M211" s="585" t="s">
        <v>576</v>
      </c>
      <c r="Q211" s="702"/>
      <c r="R211" s="702"/>
      <c r="S211" s="702"/>
      <c r="T211" s="702"/>
      <c r="U211" s="702"/>
      <c r="V211" s="702"/>
      <c r="W211" s="702"/>
      <c r="X211" s="702"/>
      <c r="Y211" s="702"/>
      <c r="Z211" s="702"/>
      <c r="AA211" s="702"/>
      <c r="AB211" s="702"/>
      <c r="AC211" s="702"/>
      <c r="AD211" s="702"/>
    </row>
    <row r="212" spans="1:30">
      <c r="A212" s="824"/>
      <c r="B212" s="700"/>
      <c r="C212" s="825"/>
      <c r="D212" s="804"/>
      <c r="E212" s="826"/>
      <c r="F212" s="804"/>
      <c r="G212" s="804"/>
      <c r="I212" s="586" t="s">
        <v>577</v>
      </c>
      <c r="J212" s="1833">
        <f>J210+K210+J211</f>
        <v>19.860652731404521</v>
      </c>
      <c r="K212" s="1833"/>
      <c r="L212" s="585" t="s">
        <v>168</v>
      </c>
      <c r="Q212" s="702"/>
      <c r="R212" s="702"/>
      <c r="S212" s="702"/>
      <c r="T212" s="702"/>
      <c r="U212" s="702"/>
      <c r="V212" s="702"/>
      <c r="W212" s="702"/>
      <c r="X212" s="702"/>
      <c r="Y212" s="702"/>
      <c r="Z212" s="702"/>
      <c r="AA212" s="702"/>
      <c r="AB212" s="702"/>
      <c r="AC212" s="702"/>
      <c r="AD212" s="702"/>
    </row>
    <row r="213" spans="1:30">
      <c r="A213" s="824">
        <v>1</v>
      </c>
      <c r="B213" s="815">
        <v>0</v>
      </c>
      <c r="C213" s="827">
        <v>1</v>
      </c>
      <c r="D213" s="804"/>
      <c r="E213" s="826"/>
      <c r="F213" s="804"/>
      <c r="G213" s="804"/>
      <c r="Q213" s="702"/>
      <c r="R213" s="702"/>
      <c r="S213" s="702"/>
      <c r="T213" s="702"/>
      <c r="U213" s="702"/>
      <c r="V213" s="702"/>
      <c r="W213" s="702"/>
      <c r="X213" s="702"/>
      <c r="Y213" s="702"/>
      <c r="Z213" s="702"/>
      <c r="AA213" s="702"/>
      <c r="AB213" s="702"/>
      <c r="AC213" s="702"/>
      <c r="AD213" s="702"/>
    </row>
    <row r="214" spans="1:30">
      <c r="A214" s="824">
        <v>2</v>
      </c>
      <c r="B214" s="700" t="s">
        <v>578</v>
      </c>
      <c r="C214" s="827">
        <v>2</v>
      </c>
      <c r="D214" s="804">
        <v>1</v>
      </c>
      <c r="E214" s="826">
        <v>1</v>
      </c>
      <c r="F214" s="804">
        <v>0.85</v>
      </c>
      <c r="G214" s="804">
        <v>1</v>
      </c>
    </row>
    <row r="215" spans="1:30">
      <c r="A215" s="824">
        <v>3</v>
      </c>
      <c r="B215" s="700" t="s">
        <v>579</v>
      </c>
      <c r="C215" s="827">
        <v>3</v>
      </c>
      <c r="D215" s="804">
        <v>1</v>
      </c>
      <c r="E215" s="826">
        <v>0</v>
      </c>
      <c r="F215" s="804">
        <v>0.91</v>
      </c>
      <c r="G215" s="804">
        <v>1</v>
      </c>
    </row>
    <row r="216" spans="1:30">
      <c r="A216" s="824">
        <v>4</v>
      </c>
      <c r="B216" s="700" t="s">
        <v>580</v>
      </c>
      <c r="C216" s="827">
        <v>4</v>
      </c>
      <c r="D216" s="804">
        <v>0</v>
      </c>
      <c r="E216" s="826">
        <v>1</v>
      </c>
      <c r="F216" s="804">
        <v>0.88</v>
      </c>
      <c r="G216" s="804">
        <v>1</v>
      </c>
    </row>
    <row r="217" spans="1:30">
      <c r="A217" s="824">
        <v>5</v>
      </c>
      <c r="B217" s="700" t="s">
        <v>581</v>
      </c>
      <c r="C217" s="827">
        <v>5</v>
      </c>
      <c r="D217" s="804">
        <v>1</v>
      </c>
      <c r="E217" s="826">
        <v>1</v>
      </c>
      <c r="F217" s="804">
        <v>0.85</v>
      </c>
      <c r="G217" s="804">
        <v>1</v>
      </c>
    </row>
    <row r="218" spans="1:30">
      <c r="A218" s="824">
        <v>6</v>
      </c>
      <c r="B218" s="700" t="s">
        <v>582</v>
      </c>
      <c r="C218" s="827">
        <v>6</v>
      </c>
      <c r="D218" s="804">
        <v>1</v>
      </c>
      <c r="E218" s="826">
        <v>0</v>
      </c>
      <c r="F218" s="804">
        <v>0.95</v>
      </c>
      <c r="G218" s="804">
        <v>1</v>
      </c>
    </row>
    <row r="219" spans="1:30">
      <c r="A219" s="824">
        <v>7</v>
      </c>
      <c r="B219" s="700" t="s">
        <v>583</v>
      </c>
      <c r="C219" s="827">
        <v>7</v>
      </c>
      <c r="D219" s="804">
        <v>0</v>
      </c>
      <c r="E219" s="826">
        <v>1</v>
      </c>
      <c r="F219" s="804">
        <v>0.92</v>
      </c>
      <c r="G219" s="804">
        <v>1</v>
      </c>
    </row>
    <row r="220" spans="1:30">
      <c r="A220" s="824">
        <v>8</v>
      </c>
      <c r="B220" s="700" t="s">
        <v>584</v>
      </c>
      <c r="C220" s="827">
        <v>8</v>
      </c>
      <c r="D220" s="804">
        <v>0</v>
      </c>
      <c r="E220" s="826">
        <v>1</v>
      </c>
      <c r="F220" s="804">
        <v>0.7</v>
      </c>
      <c r="G220" s="804">
        <v>1</v>
      </c>
    </row>
    <row r="221" spans="1:30">
      <c r="A221" s="824">
        <v>9</v>
      </c>
      <c r="B221" s="700" t="s">
        <v>585</v>
      </c>
      <c r="C221" s="827">
        <v>9</v>
      </c>
      <c r="D221" s="804">
        <v>1</v>
      </c>
      <c r="E221" s="826">
        <v>1</v>
      </c>
      <c r="F221" s="804">
        <v>0.75</v>
      </c>
      <c r="G221" s="804">
        <v>0.5</v>
      </c>
    </row>
    <row r="222" spans="1:30">
      <c r="A222" s="824">
        <v>10</v>
      </c>
      <c r="B222" s="700" t="s">
        <v>586</v>
      </c>
      <c r="C222" s="827">
        <v>10</v>
      </c>
      <c r="D222" s="804">
        <v>1</v>
      </c>
      <c r="E222" s="826">
        <v>1</v>
      </c>
      <c r="F222" s="804">
        <v>0.85</v>
      </c>
      <c r="G222" s="804">
        <v>0.5</v>
      </c>
    </row>
    <row r="223" spans="1:30">
      <c r="A223" s="824">
        <v>11</v>
      </c>
      <c r="B223" s="700" t="s">
        <v>587</v>
      </c>
      <c r="C223" s="827">
        <v>11</v>
      </c>
      <c r="D223" s="804">
        <v>1</v>
      </c>
      <c r="E223" s="826">
        <v>1</v>
      </c>
      <c r="F223" s="804">
        <v>1</v>
      </c>
      <c r="G223" s="804">
        <v>0.6</v>
      </c>
    </row>
    <row r="224" spans="1:30">
      <c r="A224" s="824">
        <v>12</v>
      </c>
      <c r="B224" s="700" t="s">
        <v>588</v>
      </c>
      <c r="C224" s="827">
        <v>12</v>
      </c>
      <c r="D224" s="804">
        <v>1</v>
      </c>
      <c r="E224" s="826">
        <v>0</v>
      </c>
      <c r="F224" s="804">
        <v>0.93</v>
      </c>
      <c r="G224" s="804">
        <v>2</v>
      </c>
    </row>
    <row r="225" spans="1:7">
      <c r="A225" s="824">
        <v>13</v>
      </c>
      <c r="B225" s="700" t="s">
        <v>589</v>
      </c>
      <c r="C225" s="827">
        <v>13</v>
      </c>
      <c r="D225" s="804">
        <v>1</v>
      </c>
      <c r="E225" s="826">
        <v>0</v>
      </c>
      <c r="F225" s="804">
        <v>1</v>
      </c>
      <c r="G225" s="804">
        <v>2</v>
      </c>
    </row>
    <row r="226" spans="1:7">
      <c r="A226" s="824">
        <v>14</v>
      </c>
      <c r="B226" s="700" t="s">
        <v>590</v>
      </c>
      <c r="C226" s="827">
        <v>14</v>
      </c>
      <c r="D226" s="804">
        <v>0</v>
      </c>
      <c r="E226" s="826">
        <v>1</v>
      </c>
      <c r="F226" s="804">
        <v>0.9</v>
      </c>
      <c r="G226" s="804">
        <v>2</v>
      </c>
    </row>
    <row r="227" spans="1:7">
      <c r="A227" s="824">
        <v>15</v>
      </c>
      <c r="B227" s="700"/>
      <c r="C227" s="827">
        <v>15</v>
      </c>
      <c r="D227" s="804"/>
      <c r="E227" s="826"/>
      <c r="F227" s="804"/>
      <c r="G227" s="804"/>
    </row>
    <row r="228" spans="1:7">
      <c r="A228" s="824">
        <v>16</v>
      </c>
      <c r="B228" s="700"/>
      <c r="C228" s="827">
        <v>16</v>
      </c>
      <c r="D228" s="804"/>
      <c r="E228" s="826"/>
      <c r="F228" s="804"/>
      <c r="G228" s="804"/>
    </row>
    <row r="229" spans="1:7">
      <c r="A229" s="824">
        <v>17</v>
      </c>
      <c r="B229" s="700" t="s">
        <v>591</v>
      </c>
      <c r="C229" s="827">
        <v>17</v>
      </c>
      <c r="D229" s="804">
        <v>1</v>
      </c>
      <c r="E229" s="826">
        <v>0</v>
      </c>
      <c r="F229" s="804">
        <v>2.2999999999999998</v>
      </c>
      <c r="G229" s="804">
        <v>2</v>
      </c>
    </row>
    <row r="230" spans="1:7">
      <c r="A230" s="824">
        <v>18</v>
      </c>
      <c r="B230" s="700" t="s">
        <v>592</v>
      </c>
      <c r="C230" s="827">
        <v>18</v>
      </c>
      <c r="D230" s="804">
        <v>0</v>
      </c>
      <c r="E230" s="826">
        <v>1</v>
      </c>
      <c r="F230" s="804">
        <v>2.2999999999999998</v>
      </c>
      <c r="G230" s="804">
        <v>2</v>
      </c>
    </row>
    <row r="231" spans="1:7">
      <c r="A231" s="824">
        <v>19</v>
      </c>
      <c r="B231" s="700" t="s">
        <v>593</v>
      </c>
      <c r="C231" s="827">
        <v>19</v>
      </c>
      <c r="D231" s="804">
        <v>1</v>
      </c>
      <c r="E231" s="826">
        <v>0</v>
      </c>
      <c r="F231" s="804">
        <v>3.1</v>
      </c>
      <c r="G231" s="804">
        <v>2</v>
      </c>
    </row>
    <row r="232" spans="1:7">
      <c r="A232" s="824">
        <v>20</v>
      </c>
      <c r="B232" s="700" t="s">
        <v>594</v>
      </c>
      <c r="C232" s="827">
        <v>20</v>
      </c>
      <c r="D232" s="804">
        <v>0</v>
      </c>
      <c r="E232" s="826">
        <v>1</v>
      </c>
      <c r="F232" s="804">
        <v>2.7</v>
      </c>
      <c r="G232" s="804">
        <v>2</v>
      </c>
    </row>
    <row r="233" spans="1:7">
      <c r="A233" s="824">
        <v>21</v>
      </c>
      <c r="B233" s="700" t="s">
        <v>595</v>
      </c>
      <c r="C233" s="827">
        <v>21</v>
      </c>
      <c r="D233" s="804">
        <v>1</v>
      </c>
      <c r="E233" s="826">
        <v>0</v>
      </c>
      <c r="F233" s="804">
        <v>2.8</v>
      </c>
      <c r="G233" s="804">
        <v>2</v>
      </c>
    </row>
    <row r="234" spans="1:7">
      <c r="A234" s="824">
        <v>22</v>
      </c>
      <c r="B234" s="700" t="s">
        <v>596</v>
      </c>
      <c r="C234" s="827">
        <v>22</v>
      </c>
      <c r="D234" s="804">
        <v>0</v>
      </c>
      <c r="E234" s="826">
        <v>1</v>
      </c>
      <c r="F234" s="804">
        <v>2.8</v>
      </c>
      <c r="G234" s="804">
        <v>2</v>
      </c>
    </row>
    <row r="235" spans="1:7">
      <c r="A235" s="824">
        <v>23</v>
      </c>
      <c r="B235" s="700" t="s">
        <v>597</v>
      </c>
      <c r="C235" s="827">
        <v>23</v>
      </c>
      <c r="D235" s="804">
        <v>1</v>
      </c>
      <c r="E235" s="826">
        <v>0</v>
      </c>
      <c r="F235" s="804">
        <v>2.7</v>
      </c>
      <c r="G235" s="804">
        <v>2</v>
      </c>
    </row>
    <row r="236" spans="1:7">
      <c r="A236" s="824">
        <v>24</v>
      </c>
      <c r="B236" s="700" t="s">
        <v>598</v>
      </c>
      <c r="C236" s="827">
        <v>24</v>
      </c>
      <c r="D236" s="804">
        <v>0</v>
      </c>
      <c r="E236" s="826">
        <v>1</v>
      </c>
      <c r="F236" s="804">
        <v>2.8</v>
      </c>
      <c r="G236" s="804">
        <v>2</v>
      </c>
    </row>
    <row r="237" spans="1:7">
      <c r="A237" s="824">
        <v>25</v>
      </c>
      <c r="B237" s="700" t="s">
        <v>599</v>
      </c>
      <c r="C237" s="827">
        <v>25</v>
      </c>
      <c r="D237" s="804">
        <v>1</v>
      </c>
      <c r="E237" s="826">
        <v>0</v>
      </c>
      <c r="F237" s="804">
        <v>3.2</v>
      </c>
      <c r="G237" s="804">
        <v>2</v>
      </c>
    </row>
    <row r="238" spans="1:7">
      <c r="A238" s="824">
        <v>26</v>
      </c>
      <c r="B238" s="700" t="s">
        <v>600</v>
      </c>
      <c r="C238" s="827">
        <v>26</v>
      </c>
      <c r="D238" s="804">
        <v>0</v>
      </c>
      <c r="E238" s="826">
        <v>1</v>
      </c>
      <c r="F238" s="804">
        <v>2.9</v>
      </c>
      <c r="G238" s="804">
        <v>2</v>
      </c>
    </row>
    <row r="239" spans="1:7">
      <c r="A239" s="824">
        <v>27</v>
      </c>
      <c r="B239" s="700" t="s">
        <v>601</v>
      </c>
      <c r="C239" s="827">
        <v>27</v>
      </c>
      <c r="D239" s="804">
        <v>1</v>
      </c>
      <c r="E239" s="826">
        <v>0</v>
      </c>
      <c r="F239" s="804">
        <v>2.7</v>
      </c>
      <c r="G239" s="804">
        <v>2</v>
      </c>
    </row>
    <row r="240" spans="1:7">
      <c r="A240" s="824">
        <v>28</v>
      </c>
      <c r="B240" s="700" t="s">
        <v>602</v>
      </c>
      <c r="C240" s="827">
        <v>28</v>
      </c>
      <c r="D240" s="804">
        <v>0</v>
      </c>
      <c r="E240" s="826">
        <v>1</v>
      </c>
      <c r="F240" s="804">
        <v>2.7</v>
      </c>
      <c r="G240" s="804">
        <v>2</v>
      </c>
    </row>
    <row r="241" spans="1:7">
      <c r="A241" s="824">
        <v>29</v>
      </c>
      <c r="B241" s="700" t="s">
        <v>603</v>
      </c>
      <c r="C241" s="827">
        <v>29</v>
      </c>
      <c r="D241" s="804">
        <v>1</v>
      </c>
      <c r="E241" s="826">
        <v>0</v>
      </c>
      <c r="F241" s="804">
        <v>2.9</v>
      </c>
      <c r="G241" s="804">
        <v>2</v>
      </c>
    </row>
    <row r="242" spans="1:7">
      <c r="A242" s="824">
        <v>30</v>
      </c>
      <c r="B242" s="700" t="s">
        <v>604</v>
      </c>
      <c r="C242" s="827">
        <v>30</v>
      </c>
      <c r="D242" s="804">
        <v>0</v>
      </c>
      <c r="E242" s="826">
        <v>1</v>
      </c>
      <c r="F242" s="804">
        <v>2.7</v>
      </c>
      <c r="G242" s="804">
        <v>2</v>
      </c>
    </row>
    <row r="243" spans="1:7">
      <c r="A243" s="824">
        <v>31</v>
      </c>
      <c r="B243" s="700" t="s">
        <v>605</v>
      </c>
      <c r="C243" s="827">
        <v>31</v>
      </c>
      <c r="D243" s="804">
        <v>1</v>
      </c>
      <c r="E243" s="826">
        <v>0</v>
      </c>
      <c r="F243" s="804">
        <v>2.2999999999999998</v>
      </c>
      <c r="G243" s="804">
        <v>2</v>
      </c>
    </row>
    <row r="244" spans="1:7">
      <c r="A244" s="824">
        <v>32</v>
      </c>
      <c r="B244" s="700" t="s">
        <v>606</v>
      </c>
      <c r="C244" s="827">
        <v>32</v>
      </c>
      <c r="D244" s="804">
        <v>1</v>
      </c>
      <c r="E244" s="826">
        <v>0</v>
      </c>
      <c r="F244" s="804">
        <v>2.7</v>
      </c>
      <c r="G244" s="804">
        <v>2</v>
      </c>
    </row>
    <row r="245" spans="1:7">
      <c r="A245" s="824">
        <v>33</v>
      </c>
      <c r="B245" s="700" t="s">
        <v>607</v>
      </c>
      <c r="C245" s="827">
        <v>33</v>
      </c>
      <c r="D245" s="804">
        <v>1</v>
      </c>
      <c r="E245" s="826">
        <v>1</v>
      </c>
      <c r="F245" s="804">
        <v>2.5</v>
      </c>
      <c r="G245" s="804">
        <v>2</v>
      </c>
    </row>
    <row r="246" spans="1:7">
      <c r="A246" s="824">
        <v>34</v>
      </c>
      <c r="B246" s="700" t="s">
        <v>608</v>
      </c>
      <c r="C246" s="827">
        <v>34</v>
      </c>
      <c r="D246" s="804">
        <v>1</v>
      </c>
      <c r="E246" s="826">
        <v>1</v>
      </c>
      <c r="F246" s="804">
        <v>2.2999999999999998</v>
      </c>
      <c r="G246" s="804">
        <v>2</v>
      </c>
    </row>
    <row r="247" spans="1:7">
      <c r="A247" s="824">
        <v>35</v>
      </c>
      <c r="B247" s="700" t="s">
        <v>609</v>
      </c>
      <c r="C247" s="827">
        <v>35</v>
      </c>
      <c r="D247" s="804">
        <v>1</v>
      </c>
      <c r="E247" s="826">
        <v>0</v>
      </c>
      <c r="F247" s="804">
        <v>2.7</v>
      </c>
      <c r="G247" s="804">
        <v>2</v>
      </c>
    </row>
    <row r="248" spans="1:7">
      <c r="A248" s="824">
        <v>36</v>
      </c>
      <c r="B248" s="700" t="s">
        <v>610</v>
      </c>
      <c r="C248" s="827">
        <v>36</v>
      </c>
      <c r="D248" s="804">
        <v>0</v>
      </c>
      <c r="E248" s="826">
        <v>1</v>
      </c>
      <c r="F248" s="804">
        <v>2.5</v>
      </c>
      <c r="G248" s="804">
        <v>2</v>
      </c>
    </row>
    <row r="249" spans="1:7">
      <c r="A249" s="824">
        <v>37</v>
      </c>
      <c r="B249" s="700" t="s">
        <v>611</v>
      </c>
      <c r="C249" s="827">
        <v>37</v>
      </c>
      <c r="D249" s="804">
        <v>1</v>
      </c>
      <c r="E249" s="826">
        <v>0</v>
      </c>
      <c r="F249" s="804">
        <v>100</v>
      </c>
      <c r="G249" s="804">
        <v>1</v>
      </c>
    </row>
    <row r="250" spans="1:7">
      <c r="A250" s="824">
        <v>38</v>
      </c>
      <c r="B250" s="700" t="s">
        <v>612</v>
      </c>
      <c r="C250" s="827">
        <v>38</v>
      </c>
      <c r="D250" s="804">
        <v>0</v>
      </c>
      <c r="E250" s="826">
        <v>1</v>
      </c>
      <c r="F250" s="804">
        <v>100</v>
      </c>
      <c r="G250" s="804">
        <v>1</v>
      </c>
    </row>
    <row r="251" spans="1:7">
      <c r="A251" s="824">
        <v>39</v>
      </c>
      <c r="B251" s="700" t="s">
        <v>613</v>
      </c>
      <c r="C251" s="827">
        <v>39</v>
      </c>
      <c r="D251" s="804">
        <v>1</v>
      </c>
      <c r="E251" s="826">
        <v>1</v>
      </c>
      <c r="F251" s="804">
        <v>100</v>
      </c>
      <c r="G251" s="804">
        <v>1</v>
      </c>
    </row>
    <row r="252" spans="1:7">
      <c r="A252" s="824">
        <v>40</v>
      </c>
      <c r="B252" s="700"/>
      <c r="C252" s="827">
        <v>40</v>
      </c>
      <c r="D252" s="804"/>
      <c r="E252" s="826"/>
      <c r="F252" s="804"/>
      <c r="G252" s="804"/>
    </row>
    <row r="253" spans="1:7">
      <c r="A253" s="824">
        <v>41</v>
      </c>
      <c r="B253" s="700"/>
      <c r="C253" s="827">
        <v>41</v>
      </c>
      <c r="D253" s="804"/>
      <c r="E253" s="826"/>
      <c r="F253" s="804"/>
      <c r="G253" s="804"/>
    </row>
    <row r="254" spans="1:7">
      <c r="A254" s="824">
        <v>42</v>
      </c>
      <c r="B254" s="700"/>
      <c r="C254" s="827">
        <v>42</v>
      </c>
      <c r="D254" s="804"/>
      <c r="E254" s="826"/>
      <c r="F254" s="804"/>
      <c r="G254" s="804"/>
    </row>
    <row r="255" spans="1:7">
      <c r="A255" s="824">
        <v>43</v>
      </c>
      <c r="B255" s="700"/>
      <c r="C255" s="827">
        <v>43</v>
      </c>
      <c r="D255" s="804"/>
      <c r="E255" s="826"/>
      <c r="F255" s="804"/>
      <c r="G255" s="804"/>
    </row>
    <row r="256" spans="1:7">
      <c r="A256" s="824">
        <v>44</v>
      </c>
      <c r="C256" s="827">
        <v>44</v>
      </c>
      <c r="D256" s="804"/>
      <c r="E256" s="826"/>
      <c r="F256" s="804"/>
      <c r="G256" s="804"/>
    </row>
    <row r="257" spans="1:7">
      <c r="A257" s="824"/>
      <c r="B257" s="828"/>
      <c r="D257" s="818"/>
      <c r="E257" s="829"/>
      <c r="F257" s="818"/>
      <c r="G257" s="818"/>
    </row>
  </sheetData>
  <sheetProtection selectLockedCells="1"/>
  <mergeCells count="5">
    <mergeCell ref="J203:K203"/>
    <mergeCell ref="H204:I204"/>
    <mergeCell ref="J204:K204"/>
    <mergeCell ref="J211:K211"/>
    <mergeCell ref="J212:K212"/>
  </mergeCells>
  <conditionalFormatting sqref="Z209 AB209">
    <cfRule type="expression" dxfId="7" priority="1" stopIfTrue="1">
      <formula>$L$83=0</formula>
    </cfRule>
  </conditionalFormatting>
  <conditionalFormatting sqref="W209 Y209">
    <cfRule type="expression" dxfId="6" priority="2" stopIfTrue="1">
      <formula>$E$83=0</formula>
    </cfRule>
  </conditionalFormatting>
  <conditionalFormatting sqref="Z206 AB206">
    <cfRule type="expression" dxfId="5" priority="3" stopIfTrue="1">
      <formula>$L$80=0</formula>
    </cfRule>
  </conditionalFormatting>
  <conditionalFormatting sqref="Z207 AB207">
    <cfRule type="expression" dxfId="4" priority="4" stopIfTrue="1">
      <formula>$L$81=0</formula>
    </cfRule>
  </conditionalFormatting>
  <conditionalFormatting sqref="Z208 AB208">
    <cfRule type="expression" dxfId="3" priority="5" stopIfTrue="1">
      <formula>$L$82=0</formula>
    </cfRule>
  </conditionalFormatting>
  <conditionalFormatting sqref="Y206">
    <cfRule type="expression" dxfId="2" priority="6" stopIfTrue="1">
      <formula>$E$80=0</formula>
    </cfRule>
  </conditionalFormatting>
  <conditionalFormatting sqref="Y207 X206:X209 AA206:AA209 W206:W207">
    <cfRule type="expression" dxfId="1" priority="7" stopIfTrue="1">
      <formula>$E$81=0</formula>
    </cfRule>
  </conditionalFormatting>
  <conditionalFormatting sqref="W208 Y208">
    <cfRule type="expression" dxfId="0" priority="8" stopIfTrue="1">
      <formula>$E$82=0</formula>
    </cfRule>
  </conditionalFormatting>
  <dataValidations count="2">
    <dataValidation type="list" allowBlank="1" showInputMessage="1" showErrorMessage="1" sqref="D7 JA4 SW4 ACS4 AMO4 AWK4 BGG4 BQC4 BZY4 CJU4 CTQ4 DDM4 DNI4 DXE4 EHA4 EQW4 FAS4 FKO4 FUK4 GEG4 GOC4 GXY4 HHU4 HRQ4 IBM4 ILI4 IVE4 JFA4 JOW4 JYS4 KIO4 KSK4 LCG4 LMC4 LVY4 MFU4 MPQ4 MZM4 NJI4 NTE4 ODA4 OMW4 OWS4 PGO4 PQK4 QAG4 QKC4 QTY4 RDU4 RNQ4 RXM4 SHI4 SRE4 TBA4 TKW4 TUS4 UEO4 UOK4 UYG4 VIC4 VRY4 WBU4 WLQ4 WVM4 E65614 JA65614 SW65614 ACS65614 AMO65614 AWK65614 BGG65614 BQC65614 BZY65614 CJU65614 CTQ65614 DDM65614 DNI65614 DXE65614 EHA65614 EQW65614 FAS65614 FKO65614 FUK65614 GEG65614 GOC65614 GXY65614 HHU65614 HRQ65614 IBM65614 ILI65614 IVE65614 JFA65614 JOW65614 JYS65614 KIO65614 KSK65614 LCG65614 LMC65614 LVY65614 MFU65614 MPQ65614 MZM65614 NJI65614 NTE65614 ODA65614 OMW65614 OWS65614 PGO65614 PQK65614 QAG65614 QKC65614 QTY65614 RDU65614 RNQ65614 RXM65614 SHI65614 SRE65614 TBA65614 TKW65614 TUS65614 UEO65614 UOK65614 UYG65614 VIC65614 VRY65614 WBU65614 WLQ65614 WVM65614 E131150 JA131150 SW131150 ACS131150 AMO131150 AWK131150 BGG131150 BQC131150 BZY131150 CJU131150 CTQ131150 DDM131150 DNI131150 DXE131150 EHA131150 EQW131150 FAS131150 FKO131150 FUK131150 GEG131150 GOC131150 GXY131150 HHU131150 HRQ131150 IBM131150 ILI131150 IVE131150 JFA131150 JOW131150 JYS131150 KIO131150 KSK131150 LCG131150 LMC131150 LVY131150 MFU131150 MPQ131150 MZM131150 NJI131150 NTE131150 ODA131150 OMW131150 OWS131150 PGO131150 PQK131150 QAG131150 QKC131150 QTY131150 RDU131150 RNQ131150 RXM131150 SHI131150 SRE131150 TBA131150 TKW131150 TUS131150 UEO131150 UOK131150 UYG131150 VIC131150 VRY131150 WBU131150 WLQ131150 WVM131150 E196686 JA196686 SW196686 ACS196686 AMO196686 AWK196686 BGG196686 BQC196686 BZY196686 CJU196686 CTQ196686 DDM196686 DNI196686 DXE196686 EHA196686 EQW196686 FAS196686 FKO196686 FUK196686 GEG196686 GOC196686 GXY196686 HHU196686 HRQ196686 IBM196686 ILI196686 IVE196686 JFA196686 JOW196686 JYS196686 KIO196686 KSK196686 LCG196686 LMC196686 LVY196686 MFU196686 MPQ196686 MZM196686 NJI196686 NTE196686 ODA196686 OMW196686 OWS196686 PGO196686 PQK196686 QAG196686 QKC196686 QTY196686 RDU196686 RNQ196686 RXM196686 SHI196686 SRE196686 TBA196686 TKW196686 TUS196686 UEO196686 UOK196686 UYG196686 VIC196686 VRY196686 WBU196686 WLQ196686 WVM196686 E262222 JA262222 SW262222 ACS262222 AMO262222 AWK262222 BGG262222 BQC262222 BZY262222 CJU262222 CTQ262222 DDM262222 DNI262222 DXE262222 EHA262222 EQW262222 FAS262222 FKO262222 FUK262222 GEG262222 GOC262222 GXY262222 HHU262222 HRQ262222 IBM262222 ILI262222 IVE262222 JFA262222 JOW262222 JYS262222 KIO262222 KSK262222 LCG262222 LMC262222 LVY262222 MFU262222 MPQ262222 MZM262222 NJI262222 NTE262222 ODA262222 OMW262222 OWS262222 PGO262222 PQK262222 QAG262222 QKC262222 QTY262222 RDU262222 RNQ262222 RXM262222 SHI262222 SRE262222 TBA262222 TKW262222 TUS262222 UEO262222 UOK262222 UYG262222 VIC262222 VRY262222 WBU262222 WLQ262222 WVM262222 E327758 JA327758 SW327758 ACS327758 AMO327758 AWK327758 BGG327758 BQC327758 BZY327758 CJU327758 CTQ327758 DDM327758 DNI327758 DXE327758 EHA327758 EQW327758 FAS327758 FKO327758 FUK327758 GEG327758 GOC327758 GXY327758 HHU327758 HRQ327758 IBM327758 ILI327758 IVE327758 JFA327758 JOW327758 JYS327758 KIO327758 KSK327758 LCG327758 LMC327758 LVY327758 MFU327758 MPQ327758 MZM327758 NJI327758 NTE327758 ODA327758 OMW327758 OWS327758 PGO327758 PQK327758 QAG327758 QKC327758 QTY327758 RDU327758 RNQ327758 RXM327758 SHI327758 SRE327758 TBA327758 TKW327758 TUS327758 UEO327758 UOK327758 UYG327758 VIC327758 VRY327758 WBU327758 WLQ327758 WVM327758 E393294 JA393294 SW393294 ACS393294 AMO393294 AWK393294 BGG393294 BQC393294 BZY393294 CJU393294 CTQ393294 DDM393294 DNI393294 DXE393294 EHA393294 EQW393294 FAS393294 FKO393294 FUK393294 GEG393294 GOC393294 GXY393294 HHU393294 HRQ393294 IBM393294 ILI393294 IVE393294 JFA393294 JOW393294 JYS393294 KIO393294 KSK393294 LCG393294 LMC393294 LVY393294 MFU393294 MPQ393294 MZM393294 NJI393294 NTE393294 ODA393294 OMW393294 OWS393294 PGO393294 PQK393294 QAG393294 QKC393294 QTY393294 RDU393294 RNQ393294 RXM393294 SHI393294 SRE393294 TBA393294 TKW393294 TUS393294 UEO393294 UOK393294 UYG393294 VIC393294 VRY393294 WBU393294 WLQ393294 WVM393294 E458830 JA458830 SW458830 ACS458830 AMO458830 AWK458830 BGG458830 BQC458830 BZY458830 CJU458830 CTQ458830 DDM458830 DNI458830 DXE458830 EHA458830 EQW458830 FAS458830 FKO458830 FUK458830 GEG458830 GOC458830 GXY458830 HHU458830 HRQ458830 IBM458830 ILI458830 IVE458830 JFA458830 JOW458830 JYS458830 KIO458830 KSK458830 LCG458830 LMC458830 LVY458830 MFU458830 MPQ458830 MZM458830 NJI458830 NTE458830 ODA458830 OMW458830 OWS458830 PGO458830 PQK458830 QAG458830 QKC458830 QTY458830 RDU458830 RNQ458830 RXM458830 SHI458830 SRE458830 TBA458830 TKW458830 TUS458830 UEO458830 UOK458830 UYG458830 VIC458830 VRY458830 WBU458830 WLQ458830 WVM458830 E524366 JA524366 SW524366 ACS524366 AMO524366 AWK524366 BGG524366 BQC524366 BZY524366 CJU524366 CTQ524366 DDM524366 DNI524366 DXE524366 EHA524366 EQW524366 FAS524366 FKO524366 FUK524366 GEG524366 GOC524366 GXY524366 HHU524366 HRQ524366 IBM524366 ILI524366 IVE524366 JFA524366 JOW524366 JYS524366 KIO524366 KSK524366 LCG524366 LMC524366 LVY524366 MFU524366 MPQ524366 MZM524366 NJI524366 NTE524366 ODA524366 OMW524366 OWS524366 PGO524366 PQK524366 QAG524366 QKC524366 QTY524366 RDU524366 RNQ524366 RXM524366 SHI524366 SRE524366 TBA524366 TKW524366 TUS524366 UEO524366 UOK524366 UYG524366 VIC524366 VRY524366 WBU524366 WLQ524366 WVM524366 E589902 JA589902 SW589902 ACS589902 AMO589902 AWK589902 BGG589902 BQC589902 BZY589902 CJU589902 CTQ589902 DDM589902 DNI589902 DXE589902 EHA589902 EQW589902 FAS589902 FKO589902 FUK589902 GEG589902 GOC589902 GXY589902 HHU589902 HRQ589902 IBM589902 ILI589902 IVE589902 JFA589902 JOW589902 JYS589902 KIO589902 KSK589902 LCG589902 LMC589902 LVY589902 MFU589902 MPQ589902 MZM589902 NJI589902 NTE589902 ODA589902 OMW589902 OWS589902 PGO589902 PQK589902 QAG589902 QKC589902 QTY589902 RDU589902 RNQ589902 RXM589902 SHI589902 SRE589902 TBA589902 TKW589902 TUS589902 UEO589902 UOK589902 UYG589902 VIC589902 VRY589902 WBU589902 WLQ589902 WVM589902 E655438 JA655438 SW655438 ACS655438 AMO655438 AWK655438 BGG655438 BQC655438 BZY655438 CJU655438 CTQ655438 DDM655438 DNI655438 DXE655438 EHA655438 EQW655438 FAS655438 FKO655438 FUK655438 GEG655438 GOC655438 GXY655438 HHU655438 HRQ655438 IBM655438 ILI655438 IVE655438 JFA655438 JOW655438 JYS655438 KIO655438 KSK655438 LCG655438 LMC655438 LVY655438 MFU655438 MPQ655438 MZM655438 NJI655438 NTE655438 ODA655438 OMW655438 OWS655438 PGO655438 PQK655438 QAG655438 QKC655438 QTY655438 RDU655438 RNQ655438 RXM655438 SHI655438 SRE655438 TBA655438 TKW655438 TUS655438 UEO655438 UOK655438 UYG655438 VIC655438 VRY655438 WBU655438 WLQ655438 WVM655438 E720974 JA720974 SW720974 ACS720974 AMO720974 AWK720974 BGG720974 BQC720974 BZY720974 CJU720974 CTQ720974 DDM720974 DNI720974 DXE720974 EHA720974 EQW720974 FAS720974 FKO720974 FUK720974 GEG720974 GOC720974 GXY720974 HHU720974 HRQ720974 IBM720974 ILI720974 IVE720974 JFA720974 JOW720974 JYS720974 KIO720974 KSK720974 LCG720974 LMC720974 LVY720974 MFU720974 MPQ720974 MZM720974 NJI720974 NTE720974 ODA720974 OMW720974 OWS720974 PGO720974 PQK720974 QAG720974 QKC720974 QTY720974 RDU720974 RNQ720974 RXM720974 SHI720974 SRE720974 TBA720974 TKW720974 TUS720974 UEO720974 UOK720974 UYG720974 VIC720974 VRY720974 WBU720974 WLQ720974 WVM720974 E786510 JA786510 SW786510 ACS786510 AMO786510 AWK786510 BGG786510 BQC786510 BZY786510 CJU786510 CTQ786510 DDM786510 DNI786510 DXE786510 EHA786510 EQW786510 FAS786510 FKO786510 FUK786510 GEG786510 GOC786510 GXY786510 HHU786510 HRQ786510 IBM786510 ILI786510 IVE786510 JFA786510 JOW786510 JYS786510 KIO786510 KSK786510 LCG786510 LMC786510 LVY786510 MFU786510 MPQ786510 MZM786510 NJI786510 NTE786510 ODA786510 OMW786510 OWS786510 PGO786510 PQK786510 QAG786510 QKC786510 QTY786510 RDU786510 RNQ786510 RXM786510 SHI786510 SRE786510 TBA786510 TKW786510 TUS786510 UEO786510 UOK786510 UYG786510 VIC786510 VRY786510 WBU786510 WLQ786510 WVM786510 E852046 JA852046 SW852046 ACS852046 AMO852046 AWK852046 BGG852046 BQC852046 BZY852046 CJU852046 CTQ852046 DDM852046 DNI852046 DXE852046 EHA852046 EQW852046 FAS852046 FKO852046 FUK852046 GEG852046 GOC852046 GXY852046 HHU852046 HRQ852046 IBM852046 ILI852046 IVE852046 JFA852046 JOW852046 JYS852046 KIO852046 KSK852046 LCG852046 LMC852046 LVY852046 MFU852046 MPQ852046 MZM852046 NJI852046 NTE852046 ODA852046 OMW852046 OWS852046 PGO852046 PQK852046 QAG852046 QKC852046 QTY852046 RDU852046 RNQ852046 RXM852046 SHI852046 SRE852046 TBA852046 TKW852046 TUS852046 UEO852046 UOK852046 UYG852046 VIC852046 VRY852046 WBU852046 WLQ852046 WVM852046 E917582 JA917582 SW917582 ACS917582 AMO917582 AWK917582 BGG917582 BQC917582 BZY917582 CJU917582 CTQ917582 DDM917582 DNI917582 DXE917582 EHA917582 EQW917582 FAS917582 FKO917582 FUK917582 GEG917582 GOC917582 GXY917582 HHU917582 HRQ917582 IBM917582 ILI917582 IVE917582 JFA917582 JOW917582 JYS917582 KIO917582 KSK917582 LCG917582 LMC917582 LVY917582 MFU917582 MPQ917582 MZM917582 NJI917582 NTE917582 ODA917582 OMW917582 OWS917582 PGO917582 PQK917582 QAG917582 QKC917582 QTY917582 RDU917582 RNQ917582 RXM917582 SHI917582 SRE917582 TBA917582 TKW917582 TUS917582 UEO917582 UOK917582 UYG917582 VIC917582 VRY917582 WBU917582 WLQ917582 WVM917582 E983118 JA983118 SW983118 ACS983118 AMO983118 AWK983118 BGG983118 BQC983118 BZY983118 CJU983118 CTQ983118 DDM983118 DNI983118 DXE983118 EHA983118 EQW983118 FAS983118 FKO983118 FUK983118 GEG983118 GOC983118 GXY983118 HHU983118 HRQ983118 IBM983118 ILI983118 IVE983118 JFA983118 JOW983118 JYS983118 KIO983118 KSK983118 LCG983118 LMC983118 LVY983118 MFU983118 MPQ983118 MZM983118 NJI983118 NTE983118 ODA983118 OMW983118 OWS983118 PGO983118 PQK983118 QAG983118 QKC983118 QTY983118 RDU983118 RNQ983118 RXM983118 SHI983118 SRE983118 TBA983118 TKW983118 TUS983118 UEO983118 UOK983118 UYG983118 VIC983118 VRY983118 WBU983118 WLQ983118 WVM983118" xr:uid="{00000000-0002-0000-0C00-000000000000}">
      <formula1>$V$2:$V$4</formula1>
    </dataValidation>
    <dataValidation type="list" allowBlank="1" showInputMessage="1" showErrorMessage="1" sqref="D6 WVM983117 WLQ983117 WBU983117 VRY983117 VIC983117 UYG983117 UOK983117 UEO983117 TUS983117 TKW983117 TBA983117 SRE983117 SHI983117 RXM983117 RNQ983117 RDU983117 QTY983117 QKC983117 QAG983117 PQK983117 PGO983117 OWS983117 OMW983117 ODA983117 NTE983117 NJI983117 MZM983117 MPQ983117 MFU983117 LVY983117 LMC983117 LCG983117 KSK983117 KIO983117 JYS983117 JOW983117 JFA983117 IVE983117 ILI983117 IBM983117 HRQ983117 HHU983117 GXY983117 GOC983117 GEG983117 FUK983117 FKO983117 FAS983117 EQW983117 EHA983117 DXE983117 DNI983117 DDM983117 CTQ983117 CJU983117 BZY983117 BQC983117 BGG983117 AWK983117 AMO983117 ACS983117 SW983117 JA983117 E983117 WVM917581 WLQ917581 WBU917581 VRY917581 VIC917581 UYG917581 UOK917581 UEO917581 TUS917581 TKW917581 TBA917581 SRE917581 SHI917581 RXM917581 RNQ917581 RDU917581 QTY917581 QKC917581 QAG917581 PQK917581 PGO917581 OWS917581 OMW917581 ODA917581 NTE917581 NJI917581 MZM917581 MPQ917581 MFU917581 LVY917581 LMC917581 LCG917581 KSK917581 KIO917581 JYS917581 JOW917581 JFA917581 IVE917581 ILI917581 IBM917581 HRQ917581 HHU917581 GXY917581 GOC917581 GEG917581 FUK917581 FKO917581 FAS917581 EQW917581 EHA917581 DXE917581 DNI917581 DDM917581 CTQ917581 CJU917581 BZY917581 BQC917581 BGG917581 AWK917581 AMO917581 ACS917581 SW917581 JA917581 E917581 WVM852045 WLQ852045 WBU852045 VRY852045 VIC852045 UYG852045 UOK852045 UEO852045 TUS852045 TKW852045 TBA852045 SRE852045 SHI852045 RXM852045 RNQ852045 RDU852045 QTY852045 QKC852045 QAG852045 PQK852045 PGO852045 OWS852045 OMW852045 ODA852045 NTE852045 NJI852045 MZM852045 MPQ852045 MFU852045 LVY852045 LMC852045 LCG852045 KSK852045 KIO852045 JYS852045 JOW852045 JFA852045 IVE852045 ILI852045 IBM852045 HRQ852045 HHU852045 GXY852045 GOC852045 GEG852045 FUK852045 FKO852045 FAS852045 EQW852045 EHA852045 DXE852045 DNI852045 DDM852045 CTQ852045 CJU852045 BZY852045 BQC852045 BGG852045 AWK852045 AMO852045 ACS852045 SW852045 JA852045 E852045 WVM786509 WLQ786509 WBU786509 VRY786509 VIC786509 UYG786509 UOK786509 UEO786509 TUS786509 TKW786509 TBA786509 SRE786509 SHI786509 RXM786509 RNQ786509 RDU786509 QTY786509 QKC786509 QAG786509 PQK786509 PGO786509 OWS786509 OMW786509 ODA786509 NTE786509 NJI786509 MZM786509 MPQ786509 MFU786509 LVY786509 LMC786509 LCG786509 KSK786509 KIO786509 JYS786509 JOW786509 JFA786509 IVE786509 ILI786509 IBM786509 HRQ786509 HHU786509 GXY786509 GOC786509 GEG786509 FUK786509 FKO786509 FAS786509 EQW786509 EHA786509 DXE786509 DNI786509 DDM786509 CTQ786509 CJU786509 BZY786509 BQC786509 BGG786509 AWK786509 AMO786509 ACS786509 SW786509 JA786509 E786509 WVM720973 WLQ720973 WBU720973 VRY720973 VIC720973 UYG720973 UOK720973 UEO720973 TUS720973 TKW720973 TBA720973 SRE720973 SHI720973 RXM720973 RNQ720973 RDU720973 QTY720973 QKC720973 QAG720973 PQK720973 PGO720973 OWS720973 OMW720973 ODA720973 NTE720973 NJI720973 MZM720973 MPQ720973 MFU720973 LVY720973 LMC720973 LCG720973 KSK720973 KIO720973 JYS720973 JOW720973 JFA720973 IVE720973 ILI720973 IBM720973 HRQ720973 HHU720973 GXY720973 GOC720973 GEG720973 FUK720973 FKO720973 FAS720973 EQW720973 EHA720973 DXE720973 DNI720973 DDM720973 CTQ720973 CJU720973 BZY720973 BQC720973 BGG720973 AWK720973 AMO720973 ACS720973 SW720973 JA720973 E720973 WVM655437 WLQ655437 WBU655437 VRY655437 VIC655437 UYG655437 UOK655437 UEO655437 TUS655437 TKW655437 TBA655437 SRE655437 SHI655437 RXM655437 RNQ655437 RDU655437 QTY655437 QKC655437 QAG655437 PQK655437 PGO655437 OWS655437 OMW655437 ODA655437 NTE655437 NJI655437 MZM655437 MPQ655437 MFU655437 LVY655437 LMC655437 LCG655437 KSK655437 KIO655437 JYS655437 JOW655437 JFA655437 IVE655437 ILI655437 IBM655437 HRQ655437 HHU655437 GXY655437 GOC655437 GEG655437 FUK655437 FKO655437 FAS655437 EQW655437 EHA655437 DXE655437 DNI655437 DDM655437 CTQ655437 CJU655437 BZY655437 BQC655437 BGG655437 AWK655437 AMO655437 ACS655437 SW655437 JA655437 E655437 WVM589901 WLQ589901 WBU589901 VRY589901 VIC589901 UYG589901 UOK589901 UEO589901 TUS589901 TKW589901 TBA589901 SRE589901 SHI589901 RXM589901 RNQ589901 RDU589901 QTY589901 QKC589901 QAG589901 PQK589901 PGO589901 OWS589901 OMW589901 ODA589901 NTE589901 NJI589901 MZM589901 MPQ589901 MFU589901 LVY589901 LMC589901 LCG589901 KSK589901 KIO589901 JYS589901 JOW589901 JFA589901 IVE589901 ILI589901 IBM589901 HRQ589901 HHU589901 GXY589901 GOC589901 GEG589901 FUK589901 FKO589901 FAS589901 EQW589901 EHA589901 DXE589901 DNI589901 DDM589901 CTQ589901 CJU589901 BZY589901 BQC589901 BGG589901 AWK589901 AMO589901 ACS589901 SW589901 JA589901 E589901 WVM524365 WLQ524365 WBU524365 VRY524365 VIC524365 UYG524365 UOK524365 UEO524365 TUS524365 TKW524365 TBA524365 SRE524365 SHI524365 RXM524365 RNQ524365 RDU524365 QTY524365 QKC524365 QAG524365 PQK524365 PGO524365 OWS524365 OMW524365 ODA524365 NTE524365 NJI524365 MZM524365 MPQ524365 MFU524365 LVY524365 LMC524365 LCG524365 KSK524365 KIO524365 JYS524365 JOW524365 JFA524365 IVE524365 ILI524365 IBM524365 HRQ524365 HHU524365 GXY524365 GOC524365 GEG524365 FUK524365 FKO524365 FAS524365 EQW524365 EHA524365 DXE524365 DNI524365 DDM524365 CTQ524365 CJU524365 BZY524365 BQC524365 BGG524365 AWK524365 AMO524365 ACS524365 SW524365 JA524365 E524365 WVM458829 WLQ458829 WBU458829 VRY458829 VIC458829 UYG458829 UOK458829 UEO458829 TUS458829 TKW458829 TBA458829 SRE458829 SHI458829 RXM458829 RNQ458829 RDU458829 QTY458829 QKC458829 QAG458829 PQK458829 PGO458829 OWS458829 OMW458829 ODA458829 NTE458829 NJI458829 MZM458829 MPQ458829 MFU458829 LVY458829 LMC458829 LCG458829 KSK458829 KIO458829 JYS458829 JOW458829 JFA458829 IVE458829 ILI458829 IBM458829 HRQ458829 HHU458829 GXY458829 GOC458829 GEG458829 FUK458829 FKO458829 FAS458829 EQW458829 EHA458829 DXE458829 DNI458829 DDM458829 CTQ458829 CJU458829 BZY458829 BQC458829 BGG458829 AWK458829 AMO458829 ACS458829 SW458829 JA458829 E458829 WVM393293 WLQ393293 WBU393293 VRY393293 VIC393293 UYG393293 UOK393293 UEO393293 TUS393293 TKW393293 TBA393293 SRE393293 SHI393293 RXM393293 RNQ393293 RDU393293 QTY393293 QKC393293 QAG393293 PQK393293 PGO393293 OWS393293 OMW393293 ODA393293 NTE393293 NJI393293 MZM393293 MPQ393293 MFU393293 LVY393293 LMC393293 LCG393293 KSK393293 KIO393293 JYS393293 JOW393293 JFA393293 IVE393293 ILI393293 IBM393293 HRQ393293 HHU393293 GXY393293 GOC393293 GEG393293 FUK393293 FKO393293 FAS393293 EQW393293 EHA393293 DXE393293 DNI393293 DDM393293 CTQ393293 CJU393293 BZY393293 BQC393293 BGG393293 AWK393293 AMO393293 ACS393293 SW393293 JA393293 E393293 WVM327757 WLQ327757 WBU327757 VRY327757 VIC327757 UYG327757 UOK327757 UEO327757 TUS327757 TKW327757 TBA327757 SRE327757 SHI327757 RXM327757 RNQ327757 RDU327757 QTY327757 QKC327757 QAG327757 PQK327757 PGO327757 OWS327757 OMW327757 ODA327757 NTE327757 NJI327757 MZM327757 MPQ327757 MFU327757 LVY327757 LMC327757 LCG327757 KSK327757 KIO327757 JYS327757 JOW327757 JFA327757 IVE327757 ILI327757 IBM327757 HRQ327757 HHU327757 GXY327757 GOC327757 GEG327757 FUK327757 FKO327757 FAS327757 EQW327757 EHA327757 DXE327757 DNI327757 DDM327757 CTQ327757 CJU327757 BZY327757 BQC327757 BGG327757 AWK327757 AMO327757 ACS327757 SW327757 JA327757 E327757 WVM262221 WLQ262221 WBU262221 VRY262221 VIC262221 UYG262221 UOK262221 UEO262221 TUS262221 TKW262221 TBA262221 SRE262221 SHI262221 RXM262221 RNQ262221 RDU262221 QTY262221 QKC262221 QAG262221 PQK262221 PGO262221 OWS262221 OMW262221 ODA262221 NTE262221 NJI262221 MZM262221 MPQ262221 MFU262221 LVY262221 LMC262221 LCG262221 KSK262221 KIO262221 JYS262221 JOW262221 JFA262221 IVE262221 ILI262221 IBM262221 HRQ262221 HHU262221 GXY262221 GOC262221 GEG262221 FUK262221 FKO262221 FAS262221 EQW262221 EHA262221 DXE262221 DNI262221 DDM262221 CTQ262221 CJU262221 BZY262221 BQC262221 BGG262221 AWK262221 AMO262221 ACS262221 SW262221 JA262221 E262221 WVM196685 WLQ196685 WBU196685 VRY196685 VIC196685 UYG196685 UOK196685 UEO196685 TUS196685 TKW196685 TBA196685 SRE196685 SHI196685 RXM196685 RNQ196685 RDU196685 QTY196685 QKC196685 QAG196685 PQK196685 PGO196685 OWS196685 OMW196685 ODA196685 NTE196685 NJI196685 MZM196685 MPQ196685 MFU196685 LVY196685 LMC196685 LCG196685 KSK196685 KIO196685 JYS196685 JOW196685 JFA196685 IVE196685 ILI196685 IBM196685 HRQ196685 HHU196685 GXY196685 GOC196685 GEG196685 FUK196685 FKO196685 FAS196685 EQW196685 EHA196685 DXE196685 DNI196685 DDM196685 CTQ196685 CJU196685 BZY196685 BQC196685 BGG196685 AWK196685 AMO196685 ACS196685 SW196685 JA196685 E196685 WVM131149 WLQ131149 WBU131149 VRY131149 VIC131149 UYG131149 UOK131149 UEO131149 TUS131149 TKW131149 TBA131149 SRE131149 SHI131149 RXM131149 RNQ131149 RDU131149 QTY131149 QKC131149 QAG131149 PQK131149 PGO131149 OWS131149 OMW131149 ODA131149 NTE131149 NJI131149 MZM131149 MPQ131149 MFU131149 LVY131149 LMC131149 LCG131149 KSK131149 KIO131149 JYS131149 JOW131149 JFA131149 IVE131149 ILI131149 IBM131149 HRQ131149 HHU131149 GXY131149 GOC131149 GEG131149 FUK131149 FKO131149 FAS131149 EQW131149 EHA131149 DXE131149 DNI131149 DDM131149 CTQ131149 CJU131149 BZY131149 BQC131149 BGG131149 AWK131149 AMO131149 ACS131149 SW131149 JA131149 E131149 WVM65613 WLQ65613 WBU65613 VRY65613 VIC65613 UYG65613 UOK65613 UEO65613 TUS65613 TKW65613 TBA65613 SRE65613 SHI65613 RXM65613 RNQ65613 RDU65613 QTY65613 QKC65613 QAG65613 PQK65613 PGO65613 OWS65613 OMW65613 ODA65613 NTE65613 NJI65613 MZM65613 MPQ65613 MFU65613 LVY65613 LMC65613 LCG65613 KSK65613 KIO65613 JYS65613 JOW65613 JFA65613 IVE65613 ILI65613 IBM65613 HRQ65613 HHU65613 GXY65613 GOC65613 GEG65613 FUK65613 FKO65613 FAS65613 EQW65613 EHA65613 DXE65613 DNI65613 DDM65613 CTQ65613 CJU65613 BZY65613 BQC65613 BGG65613 AWK65613 AMO65613 ACS65613 SW65613 JA65613 E65613 WVM3 WLQ3 WBU3 VRY3 VIC3 UYG3 UOK3 UEO3 TUS3 TKW3 TBA3 SRE3 SHI3 RXM3 RNQ3 RDU3 QTY3 QKC3 QAG3 PQK3 PGO3 OWS3 OMW3 ODA3 NTE3 NJI3 MZM3 MPQ3 MFU3 LVY3 LMC3 LCG3 KSK3 KIO3 JYS3 JOW3 JFA3 IVE3 ILI3 IBM3 HRQ3 HHU3 GXY3 GOC3 GEG3 FUK3 FKO3 FAS3 EQW3 EHA3 DXE3 DNI3 DDM3 CTQ3 CJU3 BZY3 BQC3 BGG3 AWK3 AMO3 ACS3 SW3 JA3" xr:uid="{00000000-0002-0000-0C00-000001000000}">
      <formula1>$T$66:$T$77</formula1>
    </dataValidation>
  </dataValidations>
  <pageMargins left="0.78740157499999996" right="0.78740157499999996" top="0.984251969" bottom="0.984251969" header="0.4921259845" footer="0.4921259845"/>
  <pageSetup paperSize="9" scale="56" orientation="landscape"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3"/>
  <dimension ref="A2:S53"/>
  <sheetViews>
    <sheetView zoomScale="85" zoomScaleNormal="85" workbookViewId="0">
      <selection activeCell="B9" sqref="B9"/>
    </sheetView>
  </sheetViews>
  <sheetFormatPr baseColWidth="10" defaultColWidth="11.44140625" defaultRowHeight="13.8"/>
  <cols>
    <col min="1" max="1" width="8.5546875" style="534" customWidth="1"/>
    <col min="2" max="2" width="31.5546875" style="534" customWidth="1"/>
    <col min="3" max="8" width="13.6640625" style="535" customWidth="1"/>
    <col min="9" max="9" width="11.44140625" style="534"/>
    <col min="10" max="10" width="16" style="534" customWidth="1"/>
    <col min="11" max="12" width="11.44140625" style="534"/>
    <col min="13" max="13" width="11.44140625" style="535"/>
    <col min="14" max="16384" width="11.44140625" style="534"/>
  </cols>
  <sheetData>
    <row r="2" spans="1:19">
      <c r="A2" s="556" t="s">
        <v>359</v>
      </c>
      <c r="J2" s="556" t="s">
        <v>698</v>
      </c>
    </row>
    <row r="3" spans="1:19" ht="14.4">
      <c r="A3" s="534" t="s">
        <v>697</v>
      </c>
      <c r="C3" s="536" t="s">
        <v>654</v>
      </c>
      <c r="D3" s="928" t="s">
        <v>691</v>
      </c>
      <c r="E3" s="929"/>
      <c r="F3" s="929"/>
      <c r="G3" s="929"/>
      <c r="H3" s="929"/>
      <c r="J3" s="534" t="s">
        <v>699</v>
      </c>
    </row>
    <row r="4" spans="1:19">
      <c r="N4" s="534" t="s">
        <v>879</v>
      </c>
    </row>
    <row r="5" spans="1:19">
      <c r="A5" s="537"/>
      <c r="B5" s="537"/>
      <c r="C5" s="539" t="s">
        <v>30</v>
      </c>
      <c r="D5" s="538"/>
      <c r="E5" s="539" t="s">
        <v>63</v>
      </c>
      <c r="F5" s="540"/>
      <c r="G5" s="538" t="s">
        <v>356</v>
      </c>
      <c r="H5" s="540"/>
      <c r="J5" s="1009"/>
      <c r="N5" s="539" t="s">
        <v>30</v>
      </c>
      <c r="O5" s="538"/>
      <c r="P5" s="539" t="s">
        <v>63</v>
      </c>
      <c r="Q5" s="540"/>
      <c r="R5" s="538" t="s">
        <v>356</v>
      </c>
      <c r="S5" s="540"/>
    </row>
    <row r="6" spans="1:19" ht="27.6">
      <c r="A6" s="541"/>
      <c r="B6" s="541"/>
      <c r="C6" s="542" t="s">
        <v>358</v>
      </c>
      <c r="D6" s="543" t="s">
        <v>357</v>
      </c>
      <c r="E6" s="542" t="s">
        <v>358</v>
      </c>
      <c r="F6" s="544" t="s">
        <v>357</v>
      </c>
      <c r="G6" s="542" t="s">
        <v>358</v>
      </c>
      <c r="H6" s="544" t="s">
        <v>357</v>
      </c>
      <c r="J6" s="542" t="s">
        <v>695</v>
      </c>
      <c r="N6" s="542" t="s">
        <v>358</v>
      </c>
      <c r="O6" s="543" t="s">
        <v>357</v>
      </c>
      <c r="P6" s="542" t="s">
        <v>358</v>
      </c>
      <c r="Q6" s="544" t="s">
        <v>357</v>
      </c>
      <c r="R6" s="542" t="s">
        <v>358</v>
      </c>
      <c r="S6" s="544" t="s">
        <v>357</v>
      </c>
    </row>
    <row r="7" spans="1:19">
      <c r="A7" s="541"/>
      <c r="B7" s="541"/>
      <c r="C7" s="545" t="s">
        <v>29</v>
      </c>
      <c r="D7" s="546" t="s">
        <v>168</v>
      </c>
      <c r="E7" s="545"/>
      <c r="F7" s="547" t="s">
        <v>168</v>
      </c>
      <c r="G7" s="545"/>
      <c r="H7" s="547" t="s">
        <v>168</v>
      </c>
      <c r="J7" s="545" t="s">
        <v>696</v>
      </c>
      <c r="M7" s="535" t="s">
        <v>273</v>
      </c>
      <c r="N7" s="545" t="s">
        <v>881</v>
      </c>
      <c r="O7" s="546" t="s">
        <v>880</v>
      </c>
      <c r="P7" s="545" t="s">
        <v>881</v>
      </c>
      <c r="Q7" s="547" t="s">
        <v>880</v>
      </c>
      <c r="R7" s="545" t="s">
        <v>881</v>
      </c>
      <c r="S7" s="547" t="s">
        <v>880</v>
      </c>
    </row>
    <row r="8" spans="1:19">
      <c r="A8" s="548"/>
      <c r="B8" s="548"/>
      <c r="C8" s="549"/>
      <c r="D8" s="550"/>
      <c r="E8" s="549"/>
      <c r="F8" s="551"/>
      <c r="G8" s="549"/>
      <c r="H8" s="551"/>
      <c r="J8" s="549"/>
      <c r="N8" s="549"/>
      <c r="O8" s="550"/>
      <c r="P8" s="549"/>
      <c r="Q8" s="551"/>
      <c r="R8" s="549"/>
      <c r="S8" s="551"/>
    </row>
    <row r="9" spans="1:19">
      <c r="A9" s="557">
        <f>Eingabedaten!A10</f>
        <v>1.1000000000000001</v>
      </c>
      <c r="B9" s="558" t="str">
        <f>Eingabedaten!C10</f>
        <v>Wohnen MFH</v>
      </c>
      <c r="C9" s="553">
        <v>12</v>
      </c>
      <c r="D9" s="1044">
        <v>6.6275000000000004</v>
      </c>
      <c r="E9" s="553">
        <v>10</v>
      </c>
      <c r="F9" s="1045">
        <v>6.5095000000000001</v>
      </c>
      <c r="G9" s="553">
        <v>21</v>
      </c>
      <c r="H9" s="1045">
        <v>1.6459999999999999</v>
      </c>
      <c r="J9" s="552">
        <v>120</v>
      </c>
      <c r="M9" s="535">
        <f>Eingabedaten!G10*100</f>
        <v>2000</v>
      </c>
      <c r="N9" s="553">
        <v>23445</v>
      </c>
      <c r="O9" s="1044">
        <v>9510</v>
      </c>
      <c r="P9" s="553">
        <v>19687</v>
      </c>
      <c r="Q9" s="1045">
        <v>11531</v>
      </c>
      <c r="R9" s="553">
        <v>39456</v>
      </c>
      <c r="S9" s="1045">
        <v>1084</v>
      </c>
    </row>
    <row r="10" spans="1:19">
      <c r="A10" s="559">
        <f>Eingabedaten!A11</f>
        <v>1.2</v>
      </c>
      <c r="B10" s="560" t="str">
        <f>Eingabedaten!C11</f>
        <v>Wohnen EFH</v>
      </c>
      <c r="C10" s="554">
        <v>12</v>
      </c>
      <c r="D10" s="1046">
        <v>5.6455000000000002</v>
      </c>
      <c r="E10" s="554">
        <v>9</v>
      </c>
      <c r="F10" s="1047">
        <v>5.4065000000000003</v>
      </c>
      <c r="G10" s="554">
        <v>21</v>
      </c>
      <c r="H10" s="1047">
        <v>1.3265</v>
      </c>
      <c r="J10" s="552">
        <v>120</v>
      </c>
      <c r="M10" s="535">
        <f>Eingabedaten!G11*100</f>
        <v>2000</v>
      </c>
      <c r="N10" s="554">
        <v>22056</v>
      </c>
      <c r="O10" s="1046">
        <v>7878</v>
      </c>
      <c r="P10" s="554">
        <v>18299</v>
      </c>
      <c r="Q10" s="1047">
        <v>9493</v>
      </c>
      <c r="R10" s="554">
        <v>38907</v>
      </c>
      <c r="S10" s="1047">
        <v>739</v>
      </c>
    </row>
    <row r="11" spans="1:19">
      <c r="A11" s="557">
        <f>Eingabedaten!A12</f>
        <v>2.1</v>
      </c>
      <c r="B11" s="558" t="str">
        <f>Eingabedaten!C12</f>
        <v xml:space="preserve">Hotelzimmer </v>
      </c>
      <c r="C11" s="553">
        <v>13</v>
      </c>
      <c r="D11" s="1044">
        <v>6.72</v>
      </c>
      <c r="E11" s="553">
        <v>10</v>
      </c>
      <c r="F11" s="1045">
        <v>7.2725</v>
      </c>
      <c r="G11" s="553">
        <v>20</v>
      </c>
      <c r="H11" s="1045">
        <v>1.4255</v>
      </c>
      <c r="J11" s="553">
        <v>120</v>
      </c>
      <c r="M11" s="535">
        <f>Eingabedaten!G12*100</f>
        <v>2000</v>
      </c>
      <c r="N11" s="553">
        <v>25532</v>
      </c>
      <c r="O11" s="1044">
        <v>11976</v>
      </c>
      <c r="P11" s="553">
        <v>22848</v>
      </c>
      <c r="Q11" s="1045">
        <v>14436</v>
      </c>
      <c r="R11" s="553">
        <v>39727</v>
      </c>
      <c r="S11" s="1045">
        <v>1706</v>
      </c>
    </row>
    <row r="12" spans="1:19">
      <c r="A12" s="559">
        <f>Eingabedaten!A13</f>
        <v>2.2000000000000002</v>
      </c>
      <c r="B12" s="560" t="str">
        <f>Eingabedaten!C13</f>
        <v>Empfang, Lobby</v>
      </c>
      <c r="C12" s="554">
        <v>36</v>
      </c>
      <c r="D12" s="1046">
        <v>25.517569444444444</v>
      </c>
      <c r="E12" s="554">
        <v>27</v>
      </c>
      <c r="F12" s="1047">
        <v>27.991944444444446</v>
      </c>
      <c r="G12" s="554">
        <v>48</v>
      </c>
      <c r="H12" s="1047">
        <v>14.724305555555556</v>
      </c>
      <c r="J12" s="554">
        <v>101.6</v>
      </c>
      <c r="M12" s="535">
        <f>Eingabedaten!G13*100</f>
        <v>14400</v>
      </c>
      <c r="N12" s="554">
        <v>503781</v>
      </c>
      <c r="O12" s="1046">
        <v>388945</v>
      </c>
      <c r="P12" s="554">
        <v>454377</v>
      </c>
      <c r="Q12" s="1047">
        <v>513242</v>
      </c>
      <c r="R12" s="554">
        <v>558582</v>
      </c>
      <c r="S12" s="1047">
        <v>199529</v>
      </c>
    </row>
    <row r="13" spans="1:19">
      <c r="A13" s="557">
        <f>Eingabedaten!A14</f>
        <v>3.1</v>
      </c>
      <c r="B13" s="558" t="str">
        <f>Eingabedaten!C14</f>
        <v>Einzel-, Gruppenbüro</v>
      </c>
      <c r="C13" s="552">
        <v>27</v>
      </c>
      <c r="D13" s="1042">
        <v>13.349444444444444</v>
      </c>
      <c r="E13" s="552">
        <v>20</v>
      </c>
      <c r="F13" s="1043">
        <v>10.801388888888889</v>
      </c>
      <c r="G13" s="552">
        <v>38</v>
      </c>
      <c r="H13" s="1043">
        <v>7.673055555555556</v>
      </c>
      <c r="J13" s="552">
        <v>111.9</v>
      </c>
      <c r="M13" s="535">
        <f>Eingabedaten!G14*100</f>
        <v>3600</v>
      </c>
      <c r="N13" s="552">
        <v>95906</v>
      </c>
      <c r="O13" s="1042">
        <v>40768</v>
      </c>
      <c r="P13" s="552">
        <v>81288</v>
      </c>
      <c r="Q13" s="1043">
        <v>44246</v>
      </c>
      <c r="R13" s="552">
        <v>116927</v>
      </c>
      <c r="S13" s="1043">
        <v>12793</v>
      </c>
    </row>
    <row r="14" spans="1:19">
      <c r="A14" s="561">
        <f>Eingabedaten!A15</f>
        <v>3.2</v>
      </c>
      <c r="B14" s="562" t="str">
        <f>Eingabedaten!C15</f>
        <v>Grossraumbüro</v>
      </c>
      <c r="C14" s="552">
        <v>26</v>
      </c>
      <c r="D14" s="1042">
        <v>20.585625</v>
      </c>
      <c r="E14" s="552">
        <v>18</v>
      </c>
      <c r="F14" s="1043">
        <v>12.321805555555555</v>
      </c>
      <c r="G14" s="552">
        <v>37</v>
      </c>
      <c r="H14" s="1043">
        <v>11.200347222222222</v>
      </c>
      <c r="J14" s="552">
        <v>98.7</v>
      </c>
      <c r="M14" s="535">
        <f>Eingabedaten!G15*100</f>
        <v>14400</v>
      </c>
      <c r="N14" s="552">
        <v>358703</v>
      </c>
      <c r="O14" s="1042">
        <v>253564</v>
      </c>
      <c r="P14" s="552">
        <v>338196</v>
      </c>
      <c r="Q14" s="1043">
        <v>278224</v>
      </c>
      <c r="R14" s="552">
        <v>409255</v>
      </c>
      <c r="S14" s="1043">
        <v>83812</v>
      </c>
    </row>
    <row r="15" spans="1:19">
      <c r="A15" s="561">
        <f>Eingabedaten!A16</f>
        <v>3.3</v>
      </c>
      <c r="B15" s="562" t="str">
        <f>Eingabedaten!C16</f>
        <v>Sitzungszimmer</v>
      </c>
      <c r="C15" s="552">
        <v>42</v>
      </c>
      <c r="D15" s="1042">
        <v>10.724722222222223</v>
      </c>
      <c r="E15" s="552">
        <v>33</v>
      </c>
      <c r="F15" s="1043">
        <v>12.897777777777778</v>
      </c>
      <c r="G15" s="552">
        <v>52</v>
      </c>
      <c r="H15" s="1043">
        <v>4.1952777777777781</v>
      </c>
      <c r="J15" s="552">
        <v>111.9</v>
      </c>
      <c r="M15" s="535">
        <f>Eingabedaten!G16*100</f>
        <v>3600</v>
      </c>
      <c r="N15" s="552">
        <v>146131</v>
      </c>
      <c r="O15" s="1042">
        <v>34250</v>
      </c>
      <c r="P15" s="552">
        <v>123679</v>
      </c>
      <c r="Q15" s="1043">
        <v>42558</v>
      </c>
      <c r="R15" s="552">
        <v>166290</v>
      </c>
      <c r="S15" s="1043">
        <v>11794</v>
      </c>
    </row>
    <row r="16" spans="1:19">
      <c r="A16" s="561">
        <f>Eingabedaten!A17</f>
        <v>3.4</v>
      </c>
      <c r="B16" s="562" t="str">
        <f>Eingabedaten!C17</f>
        <v>Schalterhalle, Empfang</v>
      </c>
      <c r="C16" s="552">
        <v>22</v>
      </c>
      <c r="D16" s="1042">
        <v>12.911875</v>
      </c>
      <c r="E16" s="552">
        <v>16</v>
      </c>
      <c r="F16" s="1043">
        <v>10.395833333333334</v>
      </c>
      <c r="G16" s="552">
        <v>30</v>
      </c>
      <c r="H16" s="1043">
        <v>7.662638888888889</v>
      </c>
      <c r="J16" s="552">
        <v>101.6</v>
      </c>
      <c r="M16" s="535">
        <f>Eingabedaten!G17*100</f>
        <v>14400</v>
      </c>
      <c r="N16" s="552">
        <v>312661</v>
      </c>
      <c r="O16" s="1042">
        <v>165169</v>
      </c>
      <c r="P16" s="552">
        <v>271621</v>
      </c>
      <c r="Q16" s="1043">
        <v>175641</v>
      </c>
      <c r="R16" s="552">
        <v>370062</v>
      </c>
      <c r="S16" s="1043">
        <v>59233</v>
      </c>
    </row>
    <row r="17" spans="1:19">
      <c r="A17" s="563">
        <f>Eingabedaten!A18</f>
        <v>4.0999999999999996</v>
      </c>
      <c r="B17" s="564" t="str">
        <f>Eingabedaten!C18</f>
        <v>Schulzimmer</v>
      </c>
      <c r="C17" s="553">
        <v>36</v>
      </c>
      <c r="D17" s="1044">
        <v>16.868857142857141</v>
      </c>
      <c r="E17" s="553">
        <v>31</v>
      </c>
      <c r="F17" s="1045">
        <v>16.87442857142857</v>
      </c>
      <c r="G17" s="553">
        <v>46</v>
      </c>
      <c r="H17" s="1045">
        <v>5.3250000000000002</v>
      </c>
      <c r="J17" s="553">
        <v>106.4</v>
      </c>
      <c r="M17" s="535">
        <f>Eingabedaten!G18*100</f>
        <v>7000</v>
      </c>
      <c r="N17" s="553">
        <v>249465</v>
      </c>
      <c r="O17" s="1044">
        <v>105610</v>
      </c>
      <c r="P17" s="553">
        <v>228548</v>
      </c>
      <c r="Q17" s="1045">
        <v>119026</v>
      </c>
      <c r="R17" s="553">
        <v>292601</v>
      </c>
      <c r="S17" s="1045">
        <v>28722</v>
      </c>
    </row>
    <row r="18" spans="1:19">
      <c r="A18" s="561">
        <f>Eingabedaten!A19</f>
        <v>4.2</v>
      </c>
      <c r="B18" s="562" t="str">
        <f>Eingabedaten!C19</f>
        <v>Lehrerzimmer</v>
      </c>
      <c r="C18" s="552">
        <v>37</v>
      </c>
      <c r="D18" s="1042">
        <v>9.8886111111111106</v>
      </c>
      <c r="E18" s="552">
        <v>27</v>
      </c>
      <c r="F18" s="1043">
        <v>13.325555555555555</v>
      </c>
      <c r="G18" s="552">
        <v>50</v>
      </c>
      <c r="H18" s="1043">
        <v>2.6161111111111111</v>
      </c>
      <c r="J18" s="552">
        <v>116.4</v>
      </c>
      <c r="M18" s="535">
        <f>Eingabedaten!G19*100</f>
        <v>3600</v>
      </c>
      <c r="N18" s="552">
        <v>129793</v>
      </c>
      <c r="O18" s="1042">
        <v>30820</v>
      </c>
      <c r="P18" s="552">
        <v>101773</v>
      </c>
      <c r="Q18" s="1043">
        <v>44384</v>
      </c>
      <c r="R18" s="552">
        <v>157507</v>
      </c>
      <c r="S18" s="1043">
        <v>6398</v>
      </c>
    </row>
    <row r="19" spans="1:19">
      <c r="A19" s="561">
        <f>Eingabedaten!A20</f>
        <v>4.3</v>
      </c>
      <c r="B19" s="562" t="str">
        <f>Eingabedaten!C20</f>
        <v>Bibliothek</v>
      </c>
      <c r="C19" s="552">
        <v>21</v>
      </c>
      <c r="D19" s="1042">
        <v>8.2642361111111118</v>
      </c>
      <c r="E19" s="552">
        <v>16</v>
      </c>
      <c r="F19" s="1043">
        <v>7.9001388888888888</v>
      </c>
      <c r="G19" s="552">
        <v>27</v>
      </c>
      <c r="H19" s="1043">
        <v>1.9981944444444444</v>
      </c>
      <c r="J19" s="552">
        <v>98.7</v>
      </c>
      <c r="M19" s="535">
        <f>Eingabedaten!G20*100</f>
        <v>14400</v>
      </c>
      <c r="N19" s="552">
        <v>284240</v>
      </c>
      <c r="O19" s="1042">
        <v>100046</v>
      </c>
      <c r="P19" s="552">
        <v>252737</v>
      </c>
      <c r="Q19" s="1043">
        <v>113173</v>
      </c>
      <c r="R19" s="552">
        <v>346274</v>
      </c>
      <c r="S19" s="1043">
        <v>18891</v>
      </c>
    </row>
    <row r="20" spans="1:19">
      <c r="A20" s="561">
        <f>Eingabedaten!A21</f>
        <v>4.4000000000000004</v>
      </c>
      <c r="B20" s="562" t="str">
        <f>Eingabedaten!C21</f>
        <v>Hörsaal</v>
      </c>
      <c r="C20" s="552">
        <v>48</v>
      </c>
      <c r="D20" s="1042">
        <v>20.477499999999999</v>
      </c>
      <c r="E20" s="552">
        <v>39</v>
      </c>
      <c r="F20" s="1043">
        <v>29.806458333333332</v>
      </c>
      <c r="G20" s="552">
        <v>58</v>
      </c>
      <c r="H20" s="1043">
        <v>6.7120833333333332</v>
      </c>
      <c r="J20" s="552">
        <v>98.7</v>
      </c>
      <c r="M20" s="535">
        <f>Eingabedaten!G21*100</f>
        <v>14400</v>
      </c>
      <c r="N20" s="552">
        <v>659058</v>
      </c>
      <c r="O20" s="1042">
        <v>284974</v>
      </c>
      <c r="P20" s="552">
        <v>604914</v>
      </c>
      <c r="Q20" s="1043">
        <v>462198</v>
      </c>
      <c r="R20" s="552">
        <v>702018</v>
      </c>
      <c r="S20" s="1043">
        <v>112950</v>
      </c>
    </row>
    <row r="21" spans="1:19">
      <c r="A21" s="565">
        <f>Eingabedaten!A22</f>
        <v>4.5</v>
      </c>
      <c r="B21" s="566" t="str">
        <f>Eingabedaten!C22</f>
        <v>Schulfachraum (Spezialraum)</v>
      </c>
      <c r="C21" s="554">
        <v>34</v>
      </c>
      <c r="D21" s="1046">
        <v>10.626857142857142</v>
      </c>
      <c r="E21" s="554">
        <v>26</v>
      </c>
      <c r="F21" s="1047">
        <v>11.201142857142857</v>
      </c>
      <c r="G21" s="554">
        <v>48</v>
      </c>
      <c r="H21" s="1047">
        <v>3.7108571428571429</v>
      </c>
      <c r="J21" s="554">
        <v>106.4</v>
      </c>
      <c r="M21" s="535">
        <f>Eingabedaten!G22*100</f>
        <v>7000</v>
      </c>
      <c r="N21" s="554">
        <v>232857</v>
      </c>
      <c r="O21" s="1046">
        <v>65026</v>
      </c>
      <c r="P21" s="554">
        <v>201212</v>
      </c>
      <c r="Q21" s="1047">
        <v>79680</v>
      </c>
      <c r="R21" s="554">
        <v>277546</v>
      </c>
      <c r="S21" s="1047">
        <v>16131</v>
      </c>
    </row>
    <row r="22" spans="1:19">
      <c r="A22" s="567">
        <f>Eingabedaten!A23</f>
        <v>5.0999999999999996</v>
      </c>
      <c r="B22" s="568" t="str">
        <f>Eingabedaten!C23</f>
        <v>Lebensmittelverkauf</v>
      </c>
      <c r="C22" s="552">
        <v>21</v>
      </c>
      <c r="D22" s="1042">
        <v>17.561299999999999</v>
      </c>
      <c r="E22" s="552">
        <v>17</v>
      </c>
      <c r="F22" s="1043">
        <v>11.107849999999999</v>
      </c>
      <c r="G22" s="552">
        <v>28</v>
      </c>
      <c r="H22" s="1122">
        <v>5.395975</v>
      </c>
      <c r="J22" s="552">
        <v>96.9</v>
      </c>
      <c r="M22" s="535">
        <f>Eingabedaten!G23*100</f>
        <v>40000</v>
      </c>
      <c r="N22" s="552">
        <v>809003</v>
      </c>
      <c r="O22" s="1042">
        <v>715095</v>
      </c>
      <c r="P22" s="552">
        <v>831723</v>
      </c>
      <c r="Q22" s="1043">
        <v>727716</v>
      </c>
      <c r="R22" s="552">
        <v>1119716</v>
      </c>
      <c r="S22" s="1043">
        <v>218756</v>
      </c>
    </row>
    <row r="23" spans="1:19">
      <c r="A23" s="561">
        <f>Eingabedaten!A24</f>
        <v>5.2</v>
      </c>
      <c r="B23" s="562" t="str">
        <f>Eingabedaten!C24</f>
        <v>Fachgeschäft</v>
      </c>
      <c r="C23" s="855">
        <v>41</v>
      </c>
      <c r="D23" s="1048">
        <v>88.573949999999996</v>
      </c>
      <c r="E23" s="855">
        <v>26</v>
      </c>
      <c r="F23" s="1049">
        <v>51.8795</v>
      </c>
      <c r="G23" s="855">
        <v>46</v>
      </c>
      <c r="H23" s="1049">
        <v>36.260275</v>
      </c>
      <c r="J23" s="855">
        <v>96.9</v>
      </c>
      <c r="M23" s="535">
        <f>Eingabedaten!G24*100</f>
        <v>40000</v>
      </c>
      <c r="N23" s="855">
        <v>1612528</v>
      </c>
      <c r="O23" s="1048">
        <v>3635426</v>
      </c>
      <c r="P23" s="855">
        <v>1531463</v>
      </c>
      <c r="Q23" s="1049">
        <v>4308840</v>
      </c>
      <c r="R23" s="855">
        <v>1753659</v>
      </c>
      <c r="S23" s="1049">
        <v>1553053</v>
      </c>
    </row>
    <row r="24" spans="1:19">
      <c r="A24" s="569">
        <f>Eingabedaten!A25</f>
        <v>5.3</v>
      </c>
      <c r="B24" s="562" t="str">
        <f>Eingabedaten!C25</f>
        <v>Verkauf Möbel, Bau, Garten</v>
      </c>
      <c r="C24" s="552">
        <v>27</v>
      </c>
      <c r="D24" s="1042">
        <v>39.898625000000003</v>
      </c>
      <c r="E24" s="552">
        <v>17</v>
      </c>
      <c r="F24" s="1043">
        <v>24.26295</v>
      </c>
      <c r="G24" s="552">
        <v>32</v>
      </c>
      <c r="H24" s="1043">
        <v>15.251025</v>
      </c>
      <c r="J24" s="552">
        <v>96.9</v>
      </c>
      <c r="M24" s="535">
        <f>Eingabedaten!G25*100</f>
        <v>40000</v>
      </c>
      <c r="N24" s="552">
        <v>1057867</v>
      </c>
      <c r="O24" s="1042">
        <v>1603647</v>
      </c>
      <c r="P24" s="552">
        <v>978891</v>
      </c>
      <c r="Q24" s="1043">
        <v>2051842</v>
      </c>
      <c r="R24" s="552">
        <v>1222443</v>
      </c>
      <c r="S24" s="1043">
        <v>582402</v>
      </c>
    </row>
    <row r="25" spans="1:19">
      <c r="A25" s="570">
        <f>Eingabedaten!A26</f>
        <v>6.1</v>
      </c>
      <c r="B25" s="564" t="str">
        <f>Eingabedaten!C26</f>
        <v>Restaurant</v>
      </c>
      <c r="C25" s="553">
        <v>36</v>
      </c>
      <c r="D25" s="1044">
        <v>11.386736111111111</v>
      </c>
      <c r="E25" s="553">
        <v>30</v>
      </c>
      <c r="F25" s="1045">
        <v>22.154166666666665</v>
      </c>
      <c r="G25" s="553">
        <v>41</v>
      </c>
      <c r="H25" s="1045">
        <v>2.5955555555555554</v>
      </c>
      <c r="J25" s="553">
        <v>101</v>
      </c>
      <c r="M25" s="535">
        <f>Eingabedaten!G26*100</f>
        <v>14400</v>
      </c>
      <c r="N25" s="553">
        <v>497967</v>
      </c>
      <c r="O25" s="1044">
        <v>165481</v>
      </c>
      <c r="P25" s="553">
        <v>462364</v>
      </c>
      <c r="Q25" s="1045">
        <v>320636</v>
      </c>
      <c r="R25" s="553">
        <v>550530</v>
      </c>
      <c r="S25" s="1045">
        <v>49478</v>
      </c>
    </row>
    <row r="26" spans="1:19">
      <c r="A26" s="569">
        <f>Eingabedaten!A27</f>
        <v>6.2</v>
      </c>
      <c r="B26" s="562" t="str">
        <f>Eingabedaten!C27</f>
        <v>Selbstbedienungsrestaurant</v>
      </c>
      <c r="C26" s="552">
        <v>30</v>
      </c>
      <c r="D26" s="1042">
        <v>8.46875</v>
      </c>
      <c r="E26" s="552">
        <v>26</v>
      </c>
      <c r="F26" s="1043">
        <v>12.233025</v>
      </c>
      <c r="G26" s="552">
        <v>33</v>
      </c>
      <c r="H26" s="1043">
        <v>2.273825</v>
      </c>
      <c r="J26" s="552">
        <v>93</v>
      </c>
      <c r="M26" s="535">
        <f>Eingabedaten!G27*100</f>
        <v>40000</v>
      </c>
      <c r="N26" s="552">
        <v>1163666</v>
      </c>
      <c r="O26" s="1042">
        <v>331411</v>
      </c>
      <c r="P26" s="552">
        <v>1096878</v>
      </c>
      <c r="Q26" s="1043">
        <v>503923</v>
      </c>
      <c r="R26" s="552">
        <v>1244046</v>
      </c>
      <c r="S26" s="1043">
        <v>102408</v>
      </c>
    </row>
    <row r="27" spans="1:19">
      <c r="A27" s="569">
        <f>Eingabedaten!A28</f>
        <v>6.3</v>
      </c>
      <c r="B27" s="562" t="str">
        <f>Eingabedaten!C28</f>
        <v>Küche zu Restaurant</v>
      </c>
      <c r="C27" s="552">
        <v>169</v>
      </c>
      <c r="D27" s="1042">
        <v>320.64583333333331</v>
      </c>
      <c r="E27" s="552">
        <v>132</v>
      </c>
      <c r="F27" s="1043">
        <v>306.05305555555555</v>
      </c>
      <c r="G27" s="552">
        <v>195</v>
      </c>
      <c r="H27" s="1043">
        <v>173.52527777777777</v>
      </c>
      <c r="J27" s="552">
        <v>116.4</v>
      </c>
      <c r="M27" s="535">
        <f>Eingabedaten!G28*100</f>
        <v>3600</v>
      </c>
      <c r="N27" s="552">
        <v>613690</v>
      </c>
      <c r="O27" s="1042">
        <v>1219466</v>
      </c>
      <c r="P27" s="552">
        <v>612606</v>
      </c>
      <c r="Q27" s="1043">
        <v>1502453</v>
      </c>
      <c r="R27" s="552">
        <v>596939</v>
      </c>
      <c r="S27" s="1043">
        <v>560159</v>
      </c>
    </row>
    <row r="28" spans="1:19">
      <c r="A28" s="571">
        <f>Eingabedaten!A29</f>
        <v>6.4</v>
      </c>
      <c r="B28" s="566" t="str">
        <f>Eingabedaten!C29</f>
        <v>Küche zu Selbstbedienungsrest.</v>
      </c>
      <c r="C28" s="554">
        <v>148</v>
      </c>
      <c r="D28" s="1046">
        <v>245.41069444444443</v>
      </c>
      <c r="E28" s="554">
        <v>116</v>
      </c>
      <c r="F28" s="1047">
        <v>223.11812499999999</v>
      </c>
      <c r="G28" s="554">
        <v>173</v>
      </c>
      <c r="H28" s="1047">
        <v>157.74972222222223</v>
      </c>
      <c r="J28" s="554">
        <v>98.7</v>
      </c>
      <c r="M28" s="535">
        <f>Eingabedaten!G29*100</f>
        <v>14400</v>
      </c>
      <c r="N28" s="554">
        <v>2148337</v>
      </c>
      <c r="O28" s="1046">
        <v>3722163</v>
      </c>
      <c r="P28" s="554">
        <v>2152249</v>
      </c>
      <c r="Q28" s="1047">
        <v>4370798</v>
      </c>
      <c r="R28" s="554">
        <v>2102036</v>
      </c>
      <c r="S28" s="1047">
        <v>2090064</v>
      </c>
    </row>
    <row r="29" spans="1:19">
      <c r="A29" s="569">
        <f>Eingabedaten!A30</f>
        <v>7.1</v>
      </c>
      <c r="B29" s="562" t="str">
        <f>Eingabedaten!C30</f>
        <v>Vorstellungsraum</v>
      </c>
      <c r="C29" s="552">
        <v>30</v>
      </c>
      <c r="D29" s="1042">
        <v>14.4162</v>
      </c>
      <c r="E29" s="552">
        <v>25</v>
      </c>
      <c r="F29" s="1043">
        <v>25.948425</v>
      </c>
      <c r="G29" s="552">
        <v>42</v>
      </c>
      <c r="H29" s="1043">
        <v>1.9337</v>
      </c>
      <c r="J29" s="552">
        <v>111.4</v>
      </c>
      <c r="M29" s="535">
        <f>Eingabedaten!G30*100</f>
        <v>40000</v>
      </c>
      <c r="N29" s="552">
        <v>1174829</v>
      </c>
      <c r="O29" s="1042">
        <v>702846</v>
      </c>
      <c r="P29" s="552">
        <v>1133526</v>
      </c>
      <c r="Q29" s="1043">
        <v>1202065</v>
      </c>
      <c r="R29" s="552">
        <v>1589616</v>
      </c>
      <c r="S29" s="1043">
        <v>96560</v>
      </c>
    </row>
    <row r="30" spans="1:19">
      <c r="A30" s="569">
        <f>Eingabedaten!A31</f>
        <v>7.2</v>
      </c>
      <c r="B30" s="562" t="str">
        <f>Eingabedaten!C31</f>
        <v>Mehrzweckhalle</v>
      </c>
      <c r="C30" s="552">
        <v>43</v>
      </c>
      <c r="D30" s="1042">
        <v>23.260974999999998</v>
      </c>
      <c r="E30" s="552">
        <v>35</v>
      </c>
      <c r="F30" s="1043">
        <v>32.448050000000002</v>
      </c>
      <c r="G30" s="552">
        <v>52</v>
      </c>
      <c r="H30" s="1043">
        <v>7.0721249999999998</v>
      </c>
      <c r="J30" s="552">
        <v>105.8</v>
      </c>
      <c r="M30" s="535">
        <f>Eingabedaten!G31*100</f>
        <v>40000</v>
      </c>
      <c r="N30" s="552">
        <v>1691681</v>
      </c>
      <c r="O30" s="1042">
        <v>997422</v>
      </c>
      <c r="P30" s="552">
        <v>1544715</v>
      </c>
      <c r="Q30" s="1043">
        <v>1373885</v>
      </c>
      <c r="R30" s="552">
        <v>1852111</v>
      </c>
      <c r="S30" s="1043">
        <v>418600</v>
      </c>
    </row>
    <row r="31" spans="1:19">
      <c r="A31" s="569">
        <f>Eingabedaten!A32</f>
        <v>7.3</v>
      </c>
      <c r="B31" s="562" t="str">
        <f>Eingabedaten!C32</f>
        <v>Ausstellungshalle</v>
      </c>
      <c r="C31" s="552">
        <v>46</v>
      </c>
      <c r="D31" s="1042">
        <v>26.652925</v>
      </c>
      <c r="E31" s="552">
        <v>36</v>
      </c>
      <c r="F31" s="1043">
        <v>34.124850000000002</v>
      </c>
      <c r="G31" s="552">
        <v>60</v>
      </c>
      <c r="H31" s="1043">
        <v>12.175750000000001</v>
      </c>
      <c r="J31" s="552">
        <v>105.8</v>
      </c>
      <c r="M31" s="535">
        <f>Eingabedaten!G32*100</f>
        <v>40000</v>
      </c>
      <c r="N31" s="552">
        <v>1780193</v>
      </c>
      <c r="O31" s="1042">
        <v>1140511</v>
      </c>
      <c r="P31" s="552">
        <v>1634245</v>
      </c>
      <c r="Q31" s="1043">
        <v>1576350</v>
      </c>
      <c r="R31" s="552">
        <v>1937213</v>
      </c>
      <c r="S31" s="1043">
        <v>489890</v>
      </c>
    </row>
    <row r="32" spans="1:19">
      <c r="A32" s="563">
        <f>Eingabedaten!A33</f>
        <v>8.1</v>
      </c>
      <c r="B32" s="564" t="str">
        <f>Eingabedaten!C33</f>
        <v xml:space="preserve">Bettenzimmer </v>
      </c>
      <c r="C32" s="553">
        <v>23</v>
      </c>
      <c r="D32" s="1044">
        <v>17.403611111111111</v>
      </c>
      <c r="E32" s="553">
        <v>19</v>
      </c>
      <c r="F32" s="1045">
        <v>17.298333333333332</v>
      </c>
      <c r="G32" s="553">
        <v>30</v>
      </c>
      <c r="H32" s="1045">
        <v>6.9675000000000002</v>
      </c>
      <c r="J32" s="553">
        <v>106.7</v>
      </c>
      <c r="M32" s="535">
        <f>Eingabedaten!G33*100</f>
        <v>3600</v>
      </c>
      <c r="N32" s="553">
        <v>83444</v>
      </c>
      <c r="O32" s="1044">
        <v>58446</v>
      </c>
      <c r="P32" s="553">
        <v>70844</v>
      </c>
      <c r="Q32" s="1045">
        <v>62830</v>
      </c>
      <c r="R32" s="553">
        <v>101547</v>
      </c>
      <c r="S32" s="1045">
        <v>21240</v>
      </c>
    </row>
    <row r="33" spans="1:19">
      <c r="A33" s="569">
        <f>Eingabedaten!A34</f>
        <v>8.1999999999999993</v>
      </c>
      <c r="B33" s="562" t="str">
        <f>Eingabedaten!C34</f>
        <v xml:space="preserve">Stationszimmer </v>
      </c>
      <c r="C33" s="552">
        <v>49</v>
      </c>
      <c r="D33" s="1042">
        <v>39.685833333333335</v>
      </c>
      <c r="E33" s="552">
        <v>39</v>
      </c>
      <c r="F33" s="1043">
        <v>53.893055555555556</v>
      </c>
      <c r="G33" s="552">
        <v>65</v>
      </c>
      <c r="H33" s="1043">
        <v>25.998333333333335</v>
      </c>
      <c r="J33" s="552">
        <v>107.4</v>
      </c>
      <c r="M33" s="535">
        <f>Eingabedaten!G34*100</f>
        <v>3600</v>
      </c>
      <c r="N33" s="552">
        <v>172626</v>
      </c>
      <c r="O33" s="1042">
        <v>155896</v>
      </c>
      <c r="P33" s="552">
        <v>154541</v>
      </c>
      <c r="Q33" s="1043">
        <v>229714</v>
      </c>
      <c r="R33" s="552">
        <v>191068</v>
      </c>
      <c r="S33" s="1043">
        <v>106783</v>
      </c>
    </row>
    <row r="34" spans="1:19">
      <c r="A34" s="571">
        <f>Eingabedaten!A35</f>
        <v>8.3000000000000007</v>
      </c>
      <c r="B34" s="566" t="str">
        <f>Eingabedaten!C35</f>
        <v>Behandlungsraum</v>
      </c>
      <c r="C34" s="554">
        <v>44</v>
      </c>
      <c r="D34" s="1046">
        <v>30.210833333333333</v>
      </c>
      <c r="E34" s="554">
        <v>32</v>
      </c>
      <c r="F34" s="1047">
        <v>24.073055555555555</v>
      </c>
      <c r="G34" s="554">
        <v>57</v>
      </c>
      <c r="H34" s="1047">
        <v>18.392499999999998</v>
      </c>
      <c r="J34" s="554">
        <v>111.9</v>
      </c>
      <c r="M34" s="535">
        <f>Eingabedaten!G35*100</f>
        <v>3600</v>
      </c>
      <c r="N34" s="554">
        <v>157172</v>
      </c>
      <c r="O34" s="1046">
        <v>105200</v>
      </c>
      <c r="P34" s="554">
        <v>142581</v>
      </c>
      <c r="Q34" s="1047">
        <v>124684</v>
      </c>
      <c r="R34" s="554">
        <v>172812</v>
      </c>
      <c r="S34" s="1047">
        <v>45275</v>
      </c>
    </row>
    <row r="35" spans="1:19">
      <c r="A35" s="570">
        <f>Eingabedaten!A36</f>
        <v>9.1</v>
      </c>
      <c r="B35" s="568" t="str">
        <f>Eingabedaten!C36</f>
        <v>Produktion (grobe Arbeit)</v>
      </c>
      <c r="C35" s="552">
        <v>19</v>
      </c>
      <c r="D35" s="1042">
        <v>3.3576250000000001</v>
      </c>
      <c r="E35" s="855">
        <v>4</v>
      </c>
      <c r="F35" s="1043">
        <v>4.3327749999999998</v>
      </c>
      <c r="G35" s="552">
        <v>28</v>
      </c>
      <c r="H35" s="1043">
        <v>0.12565000000000001</v>
      </c>
      <c r="J35" s="552">
        <v>105.8</v>
      </c>
      <c r="M35" s="535">
        <f>Eingabedaten!G36*100</f>
        <v>40000</v>
      </c>
      <c r="N35" s="552">
        <v>748659</v>
      </c>
      <c r="O35" s="1042">
        <v>131491</v>
      </c>
      <c r="P35" s="855">
        <v>591722</v>
      </c>
      <c r="Q35" s="1043">
        <v>276688</v>
      </c>
      <c r="R35" s="552">
        <v>970703</v>
      </c>
      <c r="S35" s="1043">
        <v>2291</v>
      </c>
    </row>
    <row r="36" spans="1:19">
      <c r="A36" s="569">
        <f>Eingabedaten!A37</f>
        <v>9.1999999999999993</v>
      </c>
      <c r="B36" s="562" t="str">
        <f>Eingabedaten!C37</f>
        <v>Produktion (feine Arbeit)</v>
      </c>
      <c r="C36" s="552">
        <v>31</v>
      </c>
      <c r="D36" s="1042">
        <v>8.7797999999999998</v>
      </c>
      <c r="E36" s="855">
        <v>22</v>
      </c>
      <c r="F36" s="1043">
        <v>8.7759499999999999</v>
      </c>
      <c r="G36" s="552">
        <v>42</v>
      </c>
      <c r="H36" s="1043">
        <v>3.2949000000000002</v>
      </c>
      <c r="J36" s="552">
        <v>105.8</v>
      </c>
      <c r="M36" s="535">
        <f>Eingabedaten!G37*100</f>
        <v>40000</v>
      </c>
      <c r="N36" s="552">
        <v>1183454</v>
      </c>
      <c r="O36" s="1042">
        <v>348284</v>
      </c>
      <c r="P36" s="855">
        <v>1075735</v>
      </c>
      <c r="Q36" s="1043">
        <v>449348</v>
      </c>
      <c r="R36" s="552">
        <v>1400967</v>
      </c>
      <c r="S36" s="1043">
        <v>125084</v>
      </c>
    </row>
    <row r="37" spans="1:19">
      <c r="A37" s="569">
        <v>9.3000000000000007</v>
      </c>
      <c r="B37" s="562" t="s">
        <v>634</v>
      </c>
      <c r="C37" s="552">
        <v>48</v>
      </c>
      <c r="D37" s="1042">
        <v>15.816428571428572</v>
      </c>
      <c r="E37" s="855">
        <v>37</v>
      </c>
      <c r="F37" s="1043">
        <v>17.501714285714286</v>
      </c>
      <c r="G37" s="552">
        <v>65</v>
      </c>
      <c r="H37" s="1043">
        <v>6.4029999999999996</v>
      </c>
      <c r="J37" s="552">
        <v>114.8</v>
      </c>
      <c r="M37" s="535">
        <f>Eingabedaten!G38*100</f>
        <v>7000</v>
      </c>
      <c r="N37" s="552">
        <v>280750</v>
      </c>
      <c r="O37" s="1042">
        <v>67954</v>
      </c>
      <c r="P37" s="855">
        <v>248772</v>
      </c>
      <c r="Q37" s="1043">
        <v>82281</v>
      </c>
      <c r="R37" s="552">
        <v>339146</v>
      </c>
      <c r="S37" s="1043">
        <v>21178</v>
      </c>
    </row>
    <row r="38" spans="1:19">
      <c r="A38" s="572">
        <f>Eingabedaten!A39</f>
        <v>10.1</v>
      </c>
      <c r="B38" s="573" t="str">
        <f>Eingabedaten!C39</f>
        <v>Lagerhalle</v>
      </c>
      <c r="C38" s="555">
        <v>13</v>
      </c>
      <c r="D38" s="1050">
        <v>7.2227750000000004</v>
      </c>
      <c r="E38" s="856">
        <v>5</v>
      </c>
      <c r="F38" s="1051">
        <v>6.5371750000000004</v>
      </c>
      <c r="G38" s="555">
        <v>20</v>
      </c>
      <c r="H38" s="1051">
        <v>2.6207250000000002</v>
      </c>
      <c r="J38" s="555">
        <v>105.8</v>
      </c>
      <c r="M38" s="535">
        <f>Eingabedaten!G39*100</f>
        <v>40000</v>
      </c>
      <c r="N38" s="555">
        <v>477600</v>
      </c>
      <c r="O38" s="1050">
        <v>222350</v>
      </c>
      <c r="P38" s="856">
        <v>237333</v>
      </c>
      <c r="Q38" s="1051">
        <v>244037</v>
      </c>
      <c r="R38" s="555">
        <v>764161</v>
      </c>
      <c r="S38" s="1051">
        <v>54080</v>
      </c>
    </row>
    <row r="39" spans="1:19">
      <c r="A39" s="570">
        <f>Eingabedaten!A40</f>
        <v>11.1</v>
      </c>
      <c r="B39" s="568" t="str">
        <f>Eingabedaten!C40</f>
        <v>Turnhalle</v>
      </c>
      <c r="C39" s="552">
        <v>16</v>
      </c>
      <c r="D39" s="1042">
        <v>3.5807333333333333</v>
      </c>
      <c r="E39" s="855">
        <v>6</v>
      </c>
      <c r="F39" s="1043">
        <v>4.4196333333333335</v>
      </c>
      <c r="G39" s="552">
        <v>25</v>
      </c>
      <c r="H39" s="1043">
        <v>4.6850000000000003E-2</v>
      </c>
      <c r="J39" s="552">
        <v>101.2</v>
      </c>
      <c r="M39" s="535">
        <f>Eingabedaten!G40*100</f>
        <v>60000</v>
      </c>
      <c r="N39" s="552">
        <v>880995</v>
      </c>
      <c r="O39" s="1042">
        <v>153991</v>
      </c>
      <c r="P39" s="855">
        <v>487841</v>
      </c>
      <c r="Q39" s="1043">
        <v>234020</v>
      </c>
      <c r="R39" s="552">
        <v>1338614</v>
      </c>
      <c r="S39" s="1043">
        <v>229</v>
      </c>
    </row>
    <row r="40" spans="1:19">
      <c r="A40" s="569">
        <f>Eingabedaten!A41</f>
        <v>11.2</v>
      </c>
      <c r="B40" s="562" t="str">
        <f>Eingabedaten!C41</f>
        <v>Fitnessraum</v>
      </c>
      <c r="C40" s="552">
        <v>25</v>
      </c>
      <c r="D40" s="1042">
        <v>8.5770138888888887</v>
      </c>
      <c r="E40" s="855">
        <v>15</v>
      </c>
      <c r="F40" s="1043">
        <v>12.987430555555555</v>
      </c>
      <c r="G40" s="552">
        <v>32</v>
      </c>
      <c r="H40" s="1043">
        <v>0.91506944444444449</v>
      </c>
      <c r="J40" s="552">
        <v>98.7</v>
      </c>
      <c r="M40" s="535">
        <f>Eingabedaten!G41*100</f>
        <v>14400</v>
      </c>
      <c r="N40" s="552">
        <v>336949</v>
      </c>
      <c r="O40" s="1042">
        <v>119471</v>
      </c>
      <c r="P40" s="855">
        <v>282139</v>
      </c>
      <c r="Q40" s="1043">
        <v>198273</v>
      </c>
      <c r="R40" s="552">
        <v>394323</v>
      </c>
      <c r="S40" s="1043">
        <v>19773</v>
      </c>
    </row>
    <row r="41" spans="1:19">
      <c r="A41" s="569">
        <f>Eingabedaten!A42</f>
        <v>11.3</v>
      </c>
      <c r="B41" s="562" t="str">
        <f>Eingabedaten!C42</f>
        <v>Schwimmhalle</v>
      </c>
      <c r="C41" s="1124">
        <v>0</v>
      </c>
      <c r="D41" s="1125">
        <v>0.27065</v>
      </c>
      <c r="E41" s="1124">
        <v>0</v>
      </c>
      <c r="F41" s="1126">
        <v>1.536675</v>
      </c>
      <c r="G41" s="1127">
        <v>0</v>
      </c>
      <c r="H41" s="1126">
        <v>2.0125000000000001E-2</v>
      </c>
      <c r="J41" s="552">
        <v>105.8</v>
      </c>
      <c r="M41" s="535">
        <f>Eingabedaten!G42*100</f>
        <v>40000</v>
      </c>
      <c r="N41" s="552">
        <v>702156</v>
      </c>
      <c r="O41" s="1042">
        <v>5464</v>
      </c>
      <c r="P41" s="855">
        <v>545220</v>
      </c>
      <c r="Q41" s="1043">
        <v>57759</v>
      </c>
      <c r="R41" s="554">
        <v>796272</v>
      </c>
      <c r="S41" s="1043">
        <v>29</v>
      </c>
    </row>
    <row r="42" spans="1:19">
      <c r="A42" s="860">
        <f>Eingabedaten!A43</f>
        <v>12.1</v>
      </c>
      <c r="B42" s="568" t="str">
        <f>Eingabedaten!C43</f>
        <v>Verkehrsfläche</v>
      </c>
      <c r="C42" s="1128">
        <v>0</v>
      </c>
      <c r="D42" s="1128">
        <v>0</v>
      </c>
      <c r="E42" s="1128">
        <v>0</v>
      </c>
      <c r="F42" s="1128">
        <v>0</v>
      </c>
      <c r="G42" s="1128">
        <v>0</v>
      </c>
      <c r="H42" s="1129">
        <v>0</v>
      </c>
      <c r="J42" s="1052">
        <v>125.8</v>
      </c>
      <c r="M42" s="535">
        <f>Eingabedaten!G43*100</f>
        <v>2000</v>
      </c>
      <c r="N42" s="865">
        <v>15896</v>
      </c>
      <c r="O42" s="865">
        <v>12882</v>
      </c>
      <c r="P42" s="865">
        <v>10097</v>
      </c>
      <c r="Q42" s="865">
        <v>12041</v>
      </c>
      <c r="R42" s="865">
        <v>24825</v>
      </c>
      <c r="S42" s="1052">
        <v>6470</v>
      </c>
    </row>
    <row r="43" spans="1:19">
      <c r="A43" s="861">
        <f>Eingabedaten!A44</f>
        <v>12.2</v>
      </c>
      <c r="B43" s="862" t="str">
        <f>Eingabedaten!C44</f>
        <v>Verkehrsfläche 24 h</v>
      </c>
      <c r="C43" s="866">
        <v>15</v>
      </c>
      <c r="D43" s="866">
        <v>31.49</v>
      </c>
      <c r="E43" s="866">
        <v>7</v>
      </c>
      <c r="F43" s="866">
        <v>21.311499999999999</v>
      </c>
      <c r="G43" s="866">
        <v>20</v>
      </c>
      <c r="H43" s="1053">
        <v>16.142499999999998</v>
      </c>
      <c r="J43" s="1053">
        <v>125.8</v>
      </c>
      <c r="M43" s="535">
        <f>Eingabedaten!G44*100</f>
        <v>2000</v>
      </c>
      <c r="N43" s="866">
        <v>0</v>
      </c>
      <c r="O43" s="866">
        <v>0</v>
      </c>
      <c r="P43" s="866">
        <v>0</v>
      </c>
      <c r="Q43" s="866">
        <v>0</v>
      </c>
      <c r="R43" s="866">
        <v>0</v>
      </c>
      <c r="S43" s="1053">
        <v>0</v>
      </c>
    </row>
    <row r="44" spans="1:19">
      <c r="A44" s="861">
        <f>Eingabedaten!A45</f>
        <v>12.3</v>
      </c>
      <c r="B44" s="862" t="str">
        <f>Eingabedaten!C45</f>
        <v>Treppenhaus</v>
      </c>
      <c r="C44" s="1130">
        <v>0</v>
      </c>
      <c r="D44" s="1130">
        <v>0</v>
      </c>
      <c r="E44" s="1130">
        <v>0</v>
      </c>
      <c r="F44" s="1130">
        <v>0</v>
      </c>
      <c r="G44" s="1130">
        <v>0</v>
      </c>
      <c r="H44" s="1131">
        <v>0</v>
      </c>
      <c r="J44" s="1053">
        <v>125.8</v>
      </c>
      <c r="M44" s="535">
        <f>Eingabedaten!G45*100</f>
        <v>2000</v>
      </c>
      <c r="N44" s="866">
        <v>15351</v>
      </c>
      <c r="O44" s="866">
        <v>12560</v>
      </c>
      <c r="P44" s="866">
        <v>9568</v>
      </c>
      <c r="Q44" s="866">
        <v>11678</v>
      </c>
      <c r="R44" s="866">
        <v>24509</v>
      </c>
      <c r="S44" s="1053">
        <v>6268</v>
      </c>
    </row>
    <row r="45" spans="1:19">
      <c r="A45" s="861">
        <f>Eingabedaten!A46</f>
        <v>12.4</v>
      </c>
      <c r="B45" s="862" t="str">
        <f>Eingabedaten!C46</f>
        <v>Nebenraum</v>
      </c>
      <c r="C45" s="1130">
        <v>0</v>
      </c>
      <c r="D45" s="1130">
        <v>0</v>
      </c>
      <c r="E45" s="1130">
        <v>0</v>
      </c>
      <c r="F45" s="1130">
        <v>0</v>
      </c>
      <c r="G45" s="1130">
        <v>0</v>
      </c>
      <c r="H45" s="1131">
        <v>0</v>
      </c>
      <c r="J45" s="1053">
        <v>114.4</v>
      </c>
      <c r="M45" s="535">
        <f>Eingabedaten!G46*100</f>
        <v>2000</v>
      </c>
      <c r="N45" s="866">
        <v>21845</v>
      </c>
      <c r="O45" s="866">
        <v>7817</v>
      </c>
      <c r="P45" s="866">
        <v>17497</v>
      </c>
      <c r="Q45" s="866">
        <v>7618</v>
      </c>
      <c r="R45" s="866">
        <v>36192</v>
      </c>
      <c r="S45" s="1053">
        <v>2270</v>
      </c>
    </row>
    <row r="46" spans="1:19">
      <c r="A46" s="861">
        <f>Eingabedaten!A47</f>
        <v>12.5</v>
      </c>
      <c r="B46" s="862" t="str">
        <f>Eingabedaten!C47</f>
        <v>Küche, Teeküche</v>
      </c>
      <c r="C46" s="1130">
        <v>61</v>
      </c>
      <c r="D46" s="1130">
        <v>31.423500000000001</v>
      </c>
      <c r="E46" s="1130">
        <v>53</v>
      </c>
      <c r="F46" s="1130">
        <v>40.646500000000003</v>
      </c>
      <c r="G46" s="1130">
        <v>74</v>
      </c>
      <c r="H46" s="1131">
        <v>20.326000000000001</v>
      </c>
      <c r="J46" s="1053">
        <v>114.4</v>
      </c>
      <c r="M46" s="535">
        <f>Eingabedaten!G47*100</f>
        <v>2000</v>
      </c>
      <c r="N46" s="866">
        <v>121121</v>
      </c>
      <c r="O46" s="866">
        <v>66258</v>
      </c>
      <c r="P46" s="866">
        <v>120566</v>
      </c>
      <c r="Q46" s="866">
        <v>94712</v>
      </c>
      <c r="R46" s="866">
        <v>128450</v>
      </c>
      <c r="S46" s="1053">
        <v>40885</v>
      </c>
    </row>
    <row r="47" spans="1:19">
      <c r="A47" s="861">
        <f>Eingabedaten!A48</f>
        <v>12.6</v>
      </c>
      <c r="B47" s="862" t="str">
        <f>Eingabedaten!C48</f>
        <v xml:space="preserve">WC, Bad, Dusche </v>
      </c>
      <c r="C47" s="1130">
        <v>0</v>
      </c>
      <c r="D47" s="1130">
        <v>0</v>
      </c>
      <c r="E47" s="1130">
        <v>0</v>
      </c>
      <c r="F47" s="1130">
        <v>0</v>
      </c>
      <c r="G47" s="1130">
        <v>0</v>
      </c>
      <c r="H47" s="1131">
        <v>0</v>
      </c>
      <c r="J47" s="1053">
        <v>114.4</v>
      </c>
      <c r="M47" s="535">
        <f>Eingabedaten!G48*100</f>
        <v>2000</v>
      </c>
      <c r="N47" s="866">
        <v>0</v>
      </c>
      <c r="O47" s="866">
        <v>0</v>
      </c>
      <c r="P47" s="866">
        <v>0</v>
      </c>
      <c r="Q47" s="866">
        <v>0</v>
      </c>
      <c r="R47" s="866">
        <v>0</v>
      </c>
      <c r="S47" s="1053">
        <v>0</v>
      </c>
    </row>
    <row r="48" spans="1:19">
      <c r="A48" s="861">
        <f>Eingabedaten!A49</f>
        <v>12.7</v>
      </c>
      <c r="B48" s="862" t="str">
        <f>Eingabedaten!C49</f>
        <v>WC</v>
      </c>
      <c r="C48" s="1130">
        <v>0</v>
      </c>
      <c r="D48" s="1130">
        <v>0</v>
      </c>
      <c r="E48" s="1130">
        <v>0</v>
      </c>
      <c r="F48" s="1130">
        <v>0</v>
      </c>
      <c r="G48" s="1130">
        <v>0</v>
      </c>
      <c r="H48" s="1131">
        <v>0</v>
      </c>
      <c r="J48" s="1053">
        <v>154.69999999999999</v>
      </c>
      <c r="M48" s="535">
        <f>Eingabedaten!G49*100</f>
        <v>400</v>
      </c>
      <c r="N48" s="866">
        <v>0</v>
      </c>
      <c r="O48" s="866">
        <v>0</v>
      </c>
      <c r="P48" s="866">
        <v>0</v>
      </c>
      <c r="Q48" s="866">
        <v>0</v>
      </c>
      <c r="R48" s="866">
        <v>0</v>
      </c>
      <c r="S48" s="1053">
        <v>0</v>
      </c>
    </row>
    <row r="49" spans="1:19">
      <c r="A49" s="861">
        <f>Eingabedaten!A50</f>
        <v>12.8</v>
      </c>
      <c r="B49" s="862" t="str">
        <f>Eingabedaten!C50</f>
        <v>Garderobe, Dusche</v>
      </c>
      <c r="C49" s="1130">
        <v>0</v>
      </c>
      <c r="D49" s="1130">
        <v>0</v>
      </c>
      <c r="E49" s="1130">
        <v>0</v>
      </c>
      <c r="F49" s="1130">
        <v>0</v>
      </c>
      <c r="G49" s="1130">
        <v>0</v>
      </c>
      <c r="H49" s="1131">
        <v>0</v>
      </c>
      <c r="J49" s="1053">
        <v>110.7</v>
      </c>
      <c r="M49" s="535">
        <f>Eingabedaten!G50*100</f>
        <v>3600</v>
      </c>
      <c r="N49" s="866">
        <v>0</v>
      </c>
      <c r="O49" s="866">
        <v>0</v>
      </c>
      <c r="P49" s="866">
        <v>0</v>
      </c>
      <c r="Q49" s="866">
        <v>0</v>
      </c>
      <c r="R49" s="866">
        <v>0</v>
      </c>
      <c r="S49" s="1053">
        <v>0</v>
      </c>
    </row>
    <row r="50" spans="1:19">
      <c r="A50" s="861">
        <f>Eingabedaten!A51</f>
        <v>12.9</v>
      </c>
      <c r="B50" s="862" t="str">
        <f>Eingabedaten!C51</f>
        <v>Parkhaus</v>
      </c>
      <c r="C50" s="1130" t="s">
        <v>18</v>
      </c>
      <c r="D50" s="1130">
        <v>0</v>
      </c>
      <c r="E50" s="1130">
        <v>0</v>
      </c>
      <c r="F50" s="1130">
        <v>0</v>
      </c>
      <c r="G50" s="1130">
        <v>0</v>
      </c>
      <c r="H50" s="1131">
        <v>0</v>
      </c>
      <c r="J50" s="1053">
        <v>90</v>
      </c>
      <c r="M50" s="535">
        <f>Eingabedaten!G51*100</f>
        <v>40000</v>
      </c>
      <c r="N50" s="866">
        <v>0</v>
      </c>
      <c r="O50" s="866">
        <v>0</v>
      </c>
      <c r="P50" s="866">
        <v>0</v>
      </c>
      <c r="Q50" s="866">
        <v>0</v>
      </c>
      <c r="R50" s="866">
        <v>0</v>
      </c>
      <c r="S50" s="1053">
        <v>0</v>
      </c>
    </row>
    <row r="51" spans="1:19">
      <c r="A51" s="861" t="str">
        <f>Eingabedaten!A52</f>
        <v>12.10</v>
      </c>
      <c r="B51" s="862" t="str">
        <f>Eingabedaten!C52</f>
        <v>Wasch- und Trockenraum</v>
      </c>
      <c r="C51" s="1130">
        <v>0</v>
      </c>
      <c r="D51" s="1130">
        <v>0</v>
      </c>
      <c r="E51" s="1130">
        <v>0</v>
      </c>
      <c r="F51" s="1130">
        <v>0</v>
      </c>
      <c r="G51" s="1130">
        <v>0</v>
      </c>
      <c r="H51" s="1131">
        <v>0</v>
      </c>
      <c r="J51" s="1053">
        <v>110.7</v>
      </c>
      <c r="M51" s="535">
        <f>Eingabedaten!G52*100</f>
        <v>3600</v>
      </c>
      <c r="N51" s="866">
        <v>0</v>
      </c>
      <c r="O51" s="866">
        <v>0</v>
      </c>
      <c r="P51" s="866">
        <v>0</v>
      </c>
      <c r="Q51" s="866">
        <v>0</v>
      </c>
      <c r="R51" s="866">
        <v>0</v>
      </c>
      <c r="S51" s="1053">
        <v>0</v>
      </c>
    </row>
    <row r="52" spans="1:19">
      <c r="A52" s="861">
        <f>Eingabedaten!A53</f>
        <v>12.11</v>
      </c>
      <c r="B52" s="862" t="str">
        <f>Eingabedaten!C53</f>
        <v>Kühlraum</v>
      </c>
      <c r="C52" s="1130">
        <v>0</v>
      </c>
      <c r="D52" s="1130">
        <v>0</v>
      </c>
      <c r="E52" s="1130">
        <v>0</v>
      </c>
      <c r="F52" s="1130">
        <v>0</v>
      </c>
      <c r="G52" s="1130">
        <v>0</v>
      </c>
      <c r="H52" s="1131">
        <v>0</v>
      </c>
      <c r="J52" s="1053">
        <v>121.3</v>
      </c>
      <c r="M52" s="535">
        <f>Eingabedaten!G53*100</f>
        <v>3600</v>
      </c>
      <c r="N52" s="866">
        <v>2348</v>
      </c>
      <c r="O52" s="866">
        <v>7968</v>
      </c>
      <c r="P52" s="866">
        <v>2348</v>
      </c>
      <c r="Q52" s="866">
        <v>7968</v>
      </c>
      <c r="R52" s="866">
        <v>2348</v>
      </c>
      <c r="S52" s="1053">
        <v>7968</v>
      </c>
    </row>
    <row r="53" spans="1:19">
      <c r="A53" s="863">
        <f>Eingabedaten!A54</f>
        <v>12.12</v>
      </c>
      <c r="B53" s="864" t="str">
        <f>Eingabedaten!C54</f>
        <v>Serverraum</v>
      </c>
      <c r="C53" s="867">
        <v>101</v>
      </c>
      <c r="D53" s="867">
        <v>679.8415</v>
      </c>
      <c r="E53" s="867">
        <v>51</v>
      </c>
      <c r="F53" s="867">
        <v>335.5675</v>
      </c>
      <c r="G53" s="867">
        <v>152</v>
      </c>
      <c r="H53" s="1054">
        <v>876</v>
      </c>
      <c r="J53" s="1054">
        <v>121.3</v>
      </c>
      <c r="M53" s="535">
        <f>Eingabedaten!G54*100</f>
        <v>2000</v>
      </c>
      <c r="N53" s="867">
        <v>202571</v>
      </c>
      <c r="O53" s="867">
        <v>1365764</v>
      </c>
      <c r="P53" s="867">
        <v>1002594</v>
      </c>
      <c r="Q53" s="867">
        <v>1752000</v>
      </c>
      <c r="R53" s="867">
        <v>1002594</v>
      </c>
      <c r="S53" s="1054">
        <v>1752000</v>
      </c>
    </row>
  </sheetData>
  <pageMargins left="0.78740157480314965" right="0.78740157480314965" top="0.78740157480314965" bottom="0.78740157480314965" header="0.31496062992125984" footer="0.31496062992125984"/>
  <pageSetup paperSize="9" orientation="portrait" verticalDpi="0" r:id="rId1"/>
  <headerFooter>
    <oddHeader>&amp;LLemon Consult&amp;R&amp;D</oddHeader>
    <oddFooter>&amp;C&amp;P/&amp;N&amp;R&amp;F</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15</vt:i4>
      </vt:variant>
      <vt:variant>
        <vt:lpstr>Benannte Bereiche</vt:lpstr>
      </vt:variant>
      <vt:variant>
        <vt:i4>54</vt:i4>
      </vt:variant>
    </vt:vector>
  </HeadingPairs>
  <TitlesOfParts>
    <vt:vector size="69" baseType="lpstr">
      <vt:lpstr>Internal heat load</vt:lpstr>
      <vt:lpstr>Anleitung</vt:lpstr>
      <vt:lpstr>Begriffe</vt:lpstr>
      <vt:lpstr>Eingabedaten</vt:lpstr>
      <vt:lpstr>Datenblatt</vt:lpstr>
      <vt:lpstr>Raumnutzung_1</vt:lpstr>
      <vt:lpstr>Res_Std</vt:lpstr>
      <vt:lpstr>Res_Zw</vt:lpstr>
      <vt:lpstr>Res_Best</vt:lpstr>
      <vt:lpstr>KZ_Raum_2024</vt:lpstr>
      <vt:lpstr>Int_Wärmelasten</vt:lpstr>
      <vt:lpstr>Profile</vt:lpstr>
      <vt:lpstr>Hüllzahl</vt:lpstr>
      <vt:lpstr>SIA 380-1</vt:lpstr>
      <vt:lpstr>Kälte_TEC-Tool</vt:lpstr>
      <vt:lpstr>'SIA 380-1'!a0</vt:lpstr>
      <vt:lpstr>'SIA 380-1'!AE</vt:lpstr>
      <vt:lpstr>'SIA 380-1'!AP</vt:lpstr>
      <vt:lpstr>'SIA 380-1'!bGF</vt:lpstr>
      <vt:lpstr>'SIA 380-1'!bGW</vt:lpstr>
      <vt:lpstr>'SIA 380-1'!BodenErdeF</vt:lpstr>
      <vt:lpstr>'SIA 380-1'!BodenUnb</vt:lpstr>
      <vt:lpstr>'SIA 380-1'!CEBF</vt:lpstr>
      <vt:lpstr>'SIA 380-1'!deltaThetahmax</vt:lpstr>
      <vt:lpstr>Datenblatt!Druckbereich</vt:lpstr>
      <vt:lpstr>Eingabedaten!Druckbereich</vt:lpstr>
      <vt:lpstr>Raumnutzung_1!Druckbereich</vt:lpstr>
      <vt:lpstr>Res_Best!Druckbereich</vt:lpstr>
      <vt:lpstr>Res_Zw!Druckbereich</vt:lpstr>
      <vt:lpstr>'SIA 380-1'!Druckbereich</vt:lpstr>
      <vt:lpstr>Eingabedaten!Drucktitel</vt:lpstr>
      <vt:lpstr>Hüllzahl!Drucktitel</vt:lpstr>
      <vt:lpstr>Res_Best!Drucktitel</vt:lpstr>
      <vt:lpstr>Res_Std!Drucktitel</vt:lpstr>
      <vt:lpstr>Res_Zw!Drucktitel</vt:lpstr>
      <vt:lpstr>'SIA 380-1'!E4beheizt</vt:lpstr>
      <vt:lpstr>'SIA 380-1'!EBF</vt:lpstr>
      <vt:lpstr>'SIA 380-1'!fE</vt:lpstr>
      <vt:lpstr>'SIA 380-1'!FF</vt:lpstr>
      <vt:lpstr>'SIA 380-1'!G_E5</vt:lpstr>
      <vt:lpstr>'SIA 380-1'!GebKat</vt:lpstr>
      <vt:lpstr>'SIA 380-1'!HueM</vt:lpstr>
      <vt:lpstr>'SIA 380-1'!MinergieKennzahl</vt:lpstr>
      <vt:lpstr>Profile!nutzid</vt:lpstr>
      <vt:lpstr>Raumnutzung_1!nutzid</vt:lpstr>
      <vt:lpstr>nutzid</vt:lpstr>
      <vt:lpstr>'SIA 380-1'!Primaer</vt:lpstr>
      <vt:lpstr>'SIA 380-1'!QE</vt:lpstr>
      <vt:lpstr>'SIA 380-1'!Qh</vt:lpstr>
      <vt:lpstr>'SIA 380-1'!QhmitWB</vt:lpstr>
      <vt:lpstr>'SIA 380-1'!QhzuHg</vt:lpstr>
      <vt:lpstr>'SIA 380-1'!QhzuHgAlt</vt:lpstr>
      <vt:lpstr>'SIA 380-1'!QP</vt:lpstr>
      <vt:lpstr>'SIA 380-1'!QWW</vt:lpstr>
      <vt:lpstr>'SIA 380-1'!Standard</vt:lpstr>
      <vt:lpstr>'SIA 380-1'!tau0</vt:lpstr>
      <vt:lpstr>'SIA 380-1'!Thetai</vt:lpstr>
      <vt:lpstr>'SIA 380-1'!Thetaig</vt:lpstr>
      <vt:lpstr>'SIA 380-1'!tP</vt:lpstr>
      <vt:lpstr>'SIA 380-1'!U_Boden</vt:lpstr>
      <vt:lpstr>'SIA 380-1'!U_DAFbeheizt</vt:lpstr>
      <vt:lpstr>'SIA 380-1'!U_E3</vt:lpstr>
      <vt:lpstr>'SIA 380-1'!U_E4</vt:lpstr>
      <vt:lpstr>'SIA 380-1'!U_E5</vt:lpstr>
      <vt:lpstr>'SIA 380-1'!U_gedaemmteDecken</vt:lpstr>
      <vt:lpstr>'SIA 380-1'!VStandard</vt:lpstr>
      <vt:lpstr>'SIA 380-1'!Vth</vt:lpstr>
      <vt:lpstr>'SIA 380-1'!WBZuschlag</vt:lpstr>
      <vt:lpstr>'SIA 380-1'!WW</vt:lpstr>
    </vt:vector>
  </TitlesOfParts>
  <Company>Lemon Consult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Fabio Creti</dc:creator>
  <cp:lastModifiedBy>Gregor Jeker</cp:lastModifiedBy>
  <cp:lastPrinted>2015-11-03T15:08:11Z</cp:lastPrinted>
  <dcterms:created xsi:type="dcterms:W3CDTF">2003-10-02T08:36:16Z</dcterms:created>
  <dcterms:modified xsi:type="dcterms:W3CDTF">2021-10-28T09:11:27Z</dcterms:modified>
</cp:coreProperties>
</file>