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frafr\Documents\"/>
    </mc:Choice>
  </mc:AlternateContent>
  <xr:revisionPtr revIDLastSave="0" documentId="13_ncr:1_{DEE0D95C-5854-4E59-A906-7131E9825FDC}" xr6:coauthVersionLast="47" xr6:coauthVersionMax="47" xr10:uidLastSave="{00000000-0000-0000-0000-000000000000}"/>
  <bookViews>
    <workbookView xWindow="28680" yWindow="-120" windowWidth="29040" windowHeight="15720" activeTab="1" xr2:uid="{1A603054-14B9-49B3-B377-F544B41FA49F}"/>
  </bookViews>
  <sheets>
    <sheet name="activities_finale" sheetId="1" r:id="rId1"/>
    <sheet name="exchanges_finale"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3" i="4" l="1"/>
  <c r="E54" i="4"/>
  <c r="E55" i="4"/>
  <c r="E56" i="4"/>
  <c r="E57" i="4"/>
  <c r="E58" i="4"/>
  <c r="E59" i="4"/>
  <c r="E60" i="4"/>
  <c r="E2" i="4"/>
  <c r="E3" i="4"/>
  <c r="E4" i="4"/>
  <c r="E10" i="4"/>
  <c r="E9" i="4"/>
  <c r="E50" i="4" l="1"/>
  <c r="E14" i="4"/>
  <c r="E11" i="4"/>
  <c r="E31" i="4"/>
  <c r="E12" i="4"/>
  <c r="E22" i="4"/>
  <c r="E43" i="4"/>
  <c r="E52" i="4"/>
  <c r="E51" i="4"/>
  <c r="E44" i="4"/>
  <c r="E39" i="4"/>
  <c r="E38" i="4"/>
  <c r="E37" i="4"/>
  <c r="E27" i="4"/>
  <c r="E26" i="4"/>
  <c r="E25" i="4"/>
  <c r="E24" i="4"/>
  <c r="E23" i="4"/>
  <c r="E18" i="4"/>
  <c r="E8" i="4"/>
  <c r="E21" i="4"/>
  <c r="E17" i="4"/>
  <c r="E16" i="4"/>
  <c r="E20" i="4"/>
  <c r="E19" i="4"/>
  <c r="E13" i="4"/>
  <c r="E15" i="4"/>
  <c r="E7" i="4"/>
  <c r="E6" i="4"/>
  <c r="E5" i="4"/>
  <c r="E42" i="4" l="1"/>
</calcChain>
</file>

<file path=xl/sharedStrings.xml><?xml version="1.0" encoding="utf-8"?>
<sst xmlns="http://schemas.openxmlformats.org/spreadsheetml/2006/main" count="527" uniqueCount="181">
  <si>
    <t>name_act</t>
  </si>
  <si>
    <t>unit_act</t>
  </si>
  <si>
    <t>reference_product</t>
  </si>
  <si>
    <t>product_amount</t>
  </si>
  <si>
    <t>MATERIALS</t>
  </si>
  <si>
    <t>materials production</t>
  </si>
  <si>
    <t>kg</t>
  </si>
  <si>
    <t>playground materials</t>
  </si>
  <si>
    <t>TTFIND</t>
  </si>
  <si>
    <t>transport to final dest</t>
  </si>
  <si>
    <t>playground transported to final dest</t>
  </si>
  <si>
    <t>ASSEMBLING</t>
  </si>
  <si>
    <t>playground assembling</t>
  </si>
  <si>
    <t>playground assembled</t>
  </si>
  <si>
    <t>MAINTENANCE</t>
  </si>
  <si>
    <t>playground maintenance</t>
  </si>
  <si>
    <t>playground maintained</t>
  </si>
  <si>
    <t>DISMANTLING</t>
  </si>
  <si>
    <t>playground dismantling</t>
  </si>
  <si>
    <t>playground dismantled</t>
  </si>
  <si>
    <t>TTDISM</t>
  </si>
  <si>
    <t>transport to dismission</t>
  </si>
  <si>
    <t>playground transported to dismission</t>
  </si>
  <si>
    <t>provider</t>
  </si>
  <si>
    <t>'wire drawing, steel' (kilogram, RER, None)</t>
  </si>
  <si>
    <t xml:space="preserve">'market for polypropylene, granulate' </t>
  </si>
  <si>
    <t>'metal working, average for steel product manufacturing' (kilogram, RER, None)</t>
  </si>
  <si>
    <t>'transport, freight, lorry &gt;32 metric ton, EURO6' (ton kilometer, RER, None)</t>
  </si>
  <si>
    <t>'market for electricity, low voltage' (kilowatt hour, IT, None)</t>
  </si>
  <si>
    <t>'transport, freight, light commercial vehicle' (ton kilometer, Europe without Switzerland, None)</t>
  </si>
  <si>
    <t>'transport, freight, lorry 16-32 metric ton, EURO6' (ton kilometer, RER, None)</t>
  </si>
  <si>
    <t>'excavation, hydraulic digger' (cubic meter, RER, None)</t>
  </si>
  <si>
    <t>diesel, burned in diesel-electric generating set, 18.5kW' (megajoule, GLO, None)</t>
  </si>
  <si>
    <t>'extrusion, plastic film' (kilogram, RER, None)</t>
  </si>
  <si>
    <t xml:space="preserve">'market for gravel, crushed' (kilogram, CH, None) </t>
  </si>
  <si>
    <t>'concrete, all types to generic market for concrete, normal strength' (cubic meter, CH, None)</t>
  </si>
  <si>
    <t xml:space="preserve"> 'market for metal working, average for steel product manufacturing' (kilogram, GLO, None)</t>
  </si>
  <si>
    <t>'wood chipping, mobile chipper, at forest road' (hour, RER, None)</t>
  </si>
  <si>
    <t>id_number</t>
  </si>
  <si>
    <t>amount_provider</t>
  </si>
  <si>
    <t>type_provider</t>
  </si>
  <si>
    <t>cubic meter</t>
  </si>
  <si>
    <t>technosphere</t>
  </si>
  <si>
    <t>km*ton</t>
  </si>
  <si>
    <t>kWh</t>
  </si>
  <si>
    <t>hour</t>
  </si>
  <si>
    <t>megajoule</t>
  </si>
  <si>
    <t>walk ropes</t>
  </si>
  <si>
    <t>transportRD</t>
  </si>
  <si>
    <t>forkliftD</t>
  </si>
  <si>
    <t>camion</t>
  </si>
  <si>
    <t>ford</t>
  </si>
  <si>
    <t>volk</t>
  </si>
  <si>
    <t>iveco</t>
  </si>
  <si>
    <t>gravelFIND</t>
  </si>
  <si>
    <t>concreteFIND</t>
  </si>
  <si>
    <t>excavator</t>
  </si>
  <si>
    <t>drills</t>
  </si>
  <si>
    <t>worksite net</t>
  </si>
  <si>
    <t>gravel</t>
  </si>
  <si>
    <t xml:space="preserve">concrete </t>
  </si>
  <si>
    <t>screws</t>
  </si>
  <si>
    <t>non-woven fabric</t>
  </si>
  <si>
    <t>grinder</t>
  </si>
  <si>
    <t>screwdriver</t>
  </si>
  <si>
    <t>nissan</t>
  </si>
  <si>
    <t>demolition hammer</t>
  </si>
  <si>
    <t>chainsaw</t>
  </si>
  <si>
    <t>chipper and tractor</t>
  </si>
  <si>
    <t>name_product</t>
  </si>
  <si>
    <t>unit_of_measure</t>
  </si>
  <si>
    <t>code_exc</t>
  </si>
  <si>
    <t>code_act</t>
  </si>
  <si>
    <t>temporal_distribution</t>
  </si>
  <si>
    <t>[0]</t>
  </si>
  <si>
    <t>timedelta64[D]</t>
  </si>
  <si>
    <t>temporal_type</t>
  </si>
  <si>
    <t>[1]</t>
  </si>
  <si>
    <t>[9, 12]</t>
  </si>
  <si>
    <t>[9]</t>
  </si>
  <si>
    <t>[11]</t>
  </si>
  <si>
    <t>[10]</t>
  </si>
  <si>
    <t>[10, 11, 12]</t>
  </si>
  <si>
    <t>[7202]</t>
  </si>
  <si>
    <t>market for textile, nonwoven polyester' (kilogram, GLO, None)</t>
  </si>
  <si>
    <t>[9,10,11,12]</t>
  </si>
  <si>
    <t>[7200,7201,7202]</t>
  </si>
  <si>
    <t>[ 360,  720, 1080, 1440, 1800, 2160, 2520, 2880, 3240, 3600, 3960,  4320, 4680, 5040, 5400, 5760, 6120, 6480, 6840]</t>
  </si>
  <si>
    <t xml:space="preserve">unit </t>
  </si>
  <si>
    <t>metal working, average for aluminium product manufacturing' (kilogram, RER, None)</t>
  </si>
  <si>
    <t>kilograms</t>
  </si>
  <si>
    <t>TTRICH</t>
  </si>
  <si>
    <t>wood</t>
  </si>
  <si>
    <t>wood transport</t>
  </si>
  <si>
    <t>ropes transport</t>
  </si>
  <si>
    <t>handrail ropes transport</t>
  </si>
  <si>
    <t>aluminum swag transport</t>
  </si>
  <si>
    <t>galv steel feets transport</t>
  </si>
  <si>
    <t>abbiamo scelto truck 16-32 per questioni di peso</t>
  </si>
  <si>
    <t>abbiamo inserito i pesi dei packaging delle righe 19-22 pagina materials di richter</t>
  </si>
  <si>
    <t>abbiamo usato come peso totale trasportato la somma delle righe 3-7 della pagina Richter factory e poi abbiamo sommato i pesi di swages e steel feets</t>
  </si>
  <si>
    <t>RICHTERFACTORY</t>
  </si>
  <si>
    <t>forklift</t>
  </si>
  <si>
    <t>'market for electricity, low voltage' (kilowatt hour, DE, None)</t>
  </si>
  <si>
    <t>'market for electricity, medium voltage' (kilowatt hour, CH, None)</t>
  </si>
  <si>
    <t>handrail ropes</t>
  </si>
  <si>
    <t>aluminium swages</t>
  </si>
  <si>
    <t>steel feets</t>
  </si>
  <si>
    <t>TTDEMETRA</t>
  </si>
  <si>
    <t>[-8]</t>
  </si>
  <si>
    <t>thermal energy for heating</t>
  </si>
  <si>
    <t>abbiamo calcolato il potere calorifico tramite il report "l'energia del legno, lezioni concetti ecc" (chat teams)</t>
  </si>
  <si>
    <t>electrical energy for planing</t>
  </si>
  <si>
    <t>calcolo energia elettrica con exchange di "planing beam softwood" moltiplicato per i metri cubi di legno, esclusi gli scarti perché non entrano nella piallatrice</t>
  </si>
  <si>
    <t>air drying raw wood</t>
  </si>
  <si>
    <t>planing mill production</t>
  </si>
  <si>
    <t>'planing mill production' (unit, RER, None)</t>
  </si>
  <si>
    <t>unit</t>
  </si>
  <si>
    <t>"heat production, wood chips from industry, at furnace 300kW, without wood chips"</t>
  </si>
  <si>
    <t>controllare id del processo ogni volta che viene importato ei</t>
  </si>
  <si>
    <t>EOL</t>
  </si>
  <si>
    <t>'treatment of waste concrete, inert material landfill' (kilogram, Europe without Switzerland, None)</t>
  </si>
  <si>
    <t>landfill concrete</t>
  </si>
  <si>
    <t>abbiamo considerato la percentuale di 31% di cemento che viene mandata in discarica, da report di Federbeton 2022, la ghiaia non viene considerata perché viene completamente riciclata a cemento  https://www.federbeton.it/Portals/0/PubDoc/Pubblicazioni/Rapporti/Rapporto_di_Sostenibilità_Federbeton_2022.pdf?ver=vYljb-NFw4rwRo1jD72z5Q%3d%3d</t>
  </si>
  <si>
    <t>in end of life non vengono considerati i trattamenti di riciclo dei materiali perché escono dai confini del sistema</t>
  </si>
  <si>
    <t xml:space="preserve">wood </t>
  </si>
  <si>
    <t>market for polyethylene, high density, granulate' (kilogram, GLO, None)</t>
  </si>
  <si>
    <t>cemento e ghiaia vengono portati nella discarica più vicina perché non ha senso portarli fino a demetra, troppo impatto, i materiali del playground invece vengono smaltiti da demetra</t>
  </si>
  <si>
    <t>rope plastic mix incenerimento</t>
  </si>
  <si>
    <t>rope plastic mix landfilling</t>
  </si>
  <si>
    <t>rope metal incenerimento</t>
  </si>
  <si>
    <t>rope metal landifilling</t>
  </si>
  <si>
    <t>https://www.isprambiente.gov.it/files2022/area-stampa/comunicati-stampa/sintesi-dati-1.pdf</t>
  </si>
  <si>
    <t>da questo report abbiamo tratto le percentuali di incenerimento al 2022 dei rifiuti solidi urbani (raccolta indifferenziata), il 18,3% ad incenerimento. Per la plastica abbiamo considerato tutto RSU mentre per il metallo abbiamo considerato RSU solo la parte che non viene riciclata.</t>
  </si>
  <si>
    <t>'treatment of municipal solid waste, incineration' (kilogram, IT, None)</t>
  </si>
  <si>
    <t>'treatment of municipal solid waste, unsanitary landfill, wet infiltration class (500mm)' (kilogram, GLO, None)</t>
  </si>
  <si>
    <t>abbiamo considerato la corda di ricambio nel peso totale</t>
  </si>
  <si>
    <t>steel incenerimento</t>
  </si>
  <si>
    <t>steel landfilling</t>
  </si>
  <si>
    <t xml:space="preserve">https://federacciai.it/acciaio-ed-economia-circolare/        </t>
  </si>
  <si>
    <t>da questo report abbiamo ricavato la percentuale di acciaio riciclato nel 2021 in italia</t>
  </si>
  <si>
    <t>landfill wet infiltration class: pensiamo sia la quantità di pioggia annua, in italia sono circa 700 mm all'anno ma variabile</t>
  </si>
  <si>
    <t>treatment of waste wood, untreated, municipal incineration with fly ash extraction' (kilogram, CH, None)</t>
  </si>
  <si>
    <t>somma di air drying e kiln drying</t>
  </si>
  <si>
    <t>provider per il legno: abbiamo preso il provider 22777 (plaining beam perchè è quello che più si avvicina ad un palo) e abbiamo guardato gli exchanges, da qui abbiamo preso l'exchange su energia elettrica e relativa quantità per produrre un metro cubo di legno piallato e stessa cosa per il provider di asciugatura del legno. dentro a quest'ultimo è presente l'attività di sawing e la quantità di acqua usata. abbiamo escluso kiln driyng perchè richter dice che asciuga il legno in modo naturale (vedi link). abbiamo sommato le quantità di legno per i provider di air drying e kiln drying. Diesel e lubricating oil sono dentro al provider 5236 (sawing). NOTA BENE: NON PRENDIAMO L'EXCHANGE CARBON DIOXIDE IN PLANING BEAM PERCHE' LA CONSIDERIAMO NELLA SUSTAINABLE FOREST.</t>
  </si>
  <si>
    <t>alluminio 100% reciclato</t>
  </si>
  <si>
    <t>sustainable forest</t>
  </si>
  <si>
    <t>"softwood forestry, pine, sustainable forest management, without CO2"</t>
  </si>
  <si>
    <t>biosphere</t>
  </si>
  <si>
    <t>La distribuzione temporale di sustainable forest è divisa in modo costante per ogni anno poiché è sempre uguale il modo in cui viene gestita la foresta. Gli amount della CO2 cambiano ogni anno fino a raggiungere lo stazionario. La distribuzione temporale del legno parte dal giorno del taglio [-9] (che coincide con il giorno in cui la pianta viene ripiantata) e prosegue per 80 anni.</t>
  </si>
  <si>
    <t xml:space="preserve">-8 nella distribuzione temporale significa una settimana di trasporto più un giorno di permanenza in deposito </t>
  </si>
  <si>
    <t>[-9]</t>
  </si>
  <si>
    <t>materials processing</t>
  </si>
  <si>
    <t>transport to Richter</t>
  </si>
  <si>
    <t>transport to Demetra</t>
  </si>
  <si>
    <t>wood harvesting</t>
  </si>
  <si>
    <t>end of life</t>
  </si>
  <si>
    <t>playground wood</t>
  </si>
  <si>
    <t>playground transported to Richter</t>
  </si>
  <si>
    <t>playground processed</t>
  </si>
  <si>
    <t>playground transported to Demetra</t>
  </si>
  <si>
    <t>playground end of life</t>
  </si>
  <si>
    <t>temporal_distribution_simplified</t>
  </si>
  <si>
    <t>beam, softwood, raw, air drying to u=20%, modified</t>
  </si>
  <si>
    <t>SUSTAINABLE FOREST</t>
  </si>
  <si>
    <t>RAW WOOD</t>
  </si>
  <si>
    <t>playground forest management</t>
  </si>
  <si>
    <t>Sustainable forest: abbiamo creato un'activity che non contenga CO2 assorbita dalla crescità dell'albero e raw material wood(nell'LCA è vuoto). Abbiamo diviso i metri cubi di legno per 120 (rotation period del provider 19509) e moltiplicato per 80 (rotation period di Richter) perchè il risultato dell'LCA è lo stesso rispetto a lavorare sugli impatti calcolati. Per il wood abbiamo scelto Carbon Dioxide resource in air e presa positiva perchè viene sequestrata dall'ambiente per far crescere la pianta (nell'LCA ha impatti negativi). L'amount totale della CO2 è stato calcolato come somma dei valori del vettore MassCO2abs_integral_vector perchè somma della quantità di CO2 assorbita in ogni anno dall'albero per 80 anni di crescita, moltiplicando poi per il volume di legno che abbiamo per trovare la CO2 totale assorbita. 80 anni è il worst case scenario nel range proposto da Richter (80-100)</t>
  </si>
  <si>
    <t>forest management playground</t>
  </si>
  <si>
    <t>Carbon dioxide, to soil or biomass stock' (kilogram, None, ('soil', 'forestry'))</t>
  </si>
  <si>
    <t>[-9,   351,   711,  1071,  1431,  1791,  2151,  2511,  2871,  3231,  3591,  3951, 4311,  4671,  5031,  5391,  5751,  6111,  6471,  6831,  7191,  7551,  7911,  8271, 8631,  8991,  9351,  9711, 10071, 10431, 10791, 11151, 11511, 11871, 12231, 12591, 12951, 13311, 13671, 14031, 14391, 14751, 15111, 15471, 15831, 16191, 16551, 16911, 17271, 17631, 17991, 18351, 18711, 19071, 19431, 19791, 20151, 20511, 20871, 21231, 21591, 21951, 22311, 22671, 23031, 23391, 23751, 24111, 24471, 24831, 25191, 25551, 25911, 26271, 26631, 26991, 27351, 27711, 28071, 28431]</t>
  </si>
  <si>
    <t>[-9, 356, 721, 1086, 1451, 1816, 2181, 2546, 2911, 3276, 3641, 4006, 4371, 4736, 5101, 5466, 5831, 6196, 6561, 6926, 7291, 7656, 8021, 8386, 8751, 9116, 9481, 9846, 10211, 10576, 10941, 11306, 11671, 12036, 12401, 12766, 13131, 13496, 13861, 14226, 14591, 14956, 15321, 15686, 16051, 16416, 16781, 17146, 17511, 17876, 18241, 18606, 18971, 19336, 19701, 20066, 20431, 20796, 21161, 21526, 21891, 22256, 22621, 22986, 23351, 23716, 24081, 24446, 24811, 25176, 25541, 25906, 26271, 26636, 27001, 27366, 27731, 28096, 28461, 28826]</t>
  </si>
  <si>
    <t>[365, 730, 1095, 1460, 1825, 2190, 2555, 2920, 3285, 3650, 4015, 4380, 4745, 5110, 5475, 5840, 6205, 6570, 6935]</t>
  </si>
  <si>
    <t>[365, 730, 1095, 1460, 1825, 2190, 2555, 2920, 3285, 4010, 4375, 4740, 5105, 5470, 5835, 6200, 6565, 6930]</t>
  </si>
  <si>
    <t>[3650]</t>
  </si>
  <si>
    <t>[7300, 7302]</t>
  </si>
  <si>
    <t>[7300, 7301]</t>
  </si>
  <si>
    <t>[7301]</t>
  </si>
  <si>
    <t>[7302]</t>
  </si>
  <si>
    <t>SE USIAMO CAMBIAMO VALORI</t>
  </si>
  <si>
    <t>https://www.rilegno.org/rapporto-2023/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</si>
</sst>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2"/>
      <color rgb="FFFFFFFF"/>
      <name val="Calibri"/>
      <family val="2"/>
    </font>
    <font>
      <sz val="11"/>
      <name val="Calibri"/>
      <family val="2"/>
      <scheme val="minor"/>
    </font>
    <font>
      <sz val="11"/>
      <color rgb="FF000000"/>
      <name val="Consolas"/>
      <family val="3"/>
    </font>
    <font>
      <sz val="11"/>
      <color rgb="FFA31515"/>
      <name val="Consolas"/>
      <family val="3"/>
    </font>
    <font>
      <b/>
      <sz val="11"/>
      <color rgb="FFFFFFFF"/>
      <name val="Calibri Light"/>
      <family val="2"/>
      <scheme val="major"/>
    </font>
    <font>
      <sz val="11"/>
      <color rgb="FF000000"/>
      <name val="Calibri"/>
      <family val="2"/>
      <scheme val="minor"/>
    </font>
    <font>
      <u/>
      <sz val="11"/>
      <color theme="10"/>
      <name val="Calibri"/>
      <family val="2"/>
      <scheme val="minor"/>
    </font>
  </fonts>
  <fills count="17">
    <fill>
      <patternFill patternType="none"/>
    </fill>
    <fill>
      <patternFill patternType="gray125"/>
    </fill>
    <fill>
      <patternFill patternType="solid">
        <fgColor theme="5" tint="0.39997558519241921"/>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EBFF"/>
        <bgColor indexed="64"/>
      </patternFill>
    </fill>
    <fill>
      <patternFill patternType="solid">
        <fgColor rgb="FFDDFFDD"/>
        <bgColor indexed="64"/>
      </patternFill>
    </fill>
    <fill>
      <patternFill patternType="solid">
        <fgColor rgb="FFFFDDDD"/>
        <bgColor indexed="64"/>
      </patternFill>
    </fill>
    <fill>
      <patternFill patternType="solid">
        <fgColor rgb="FFFFFFE1"/>
        <bgColor indexed="64"/>
      </patternFill>
    </fill>
    <fill>
      <patternFill patternType="solid">
        <fgColor rgb="FFE1E1FF"/>
        <bgColor indexed="64"/>
      </patternFill>
    </fill>
    <fill>
      <patternFill patternType="solid">
        <fgColor rgb="FFDECDFF"/>
        <bgColor indexed="64"/>
      </patternFill>
    </fill>
    <fill>
      <patternFill patternType="solid">
        <fgColor rgb="FFFF0000"/>
        <bgColor indexed="64"/>
      </patternFill>
    </fill>
    <fill>
      <patternFill patternType="solid">
        <fgColor rgb="FFFFDDE8"/>
        <bgColor indexed="64"/>
      </patternFill>
    </fill>
    <fill>
      <patternFill patternType="solid">
        <fgColor theme="3" tint="0.59999389629810485"/>
        <bgColor indexed="64"/>
      </patternFill>
    </fill>
  </fills>
  <borders count="11">
    <border>
      <left/>
      <right/>
      <top/>
      <bottom/>
      <diagonal/>
    </border>
    <border>
      <left/>
      <right/>
      <top/>
      <bottom style="double">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double">
        <color indexed="64"/>
      </top>
      <bottom/>
      <diagonal/>
    </border>
    <border>
      <left/>
      <right/>
      <top style="double">
        <color indexed="64"/>
      </top>
      <bottom style="double">
        <color indexed="64"/>
      </bottom>
      <diagonal/>
    </border>
  </borders>
  <cellStyleXfs count="2">
    <xf numFmtId="0" fontId="0" fillId="0" borderId="0"/>
    <xf numFmtId="0" fontId="8" fillId="0" borderId="0" applyNumberFormat="0" applyFill="0" applyBorder="0" applyAlignment="0" applyProtection="0"/>
  </cellStyleXfs>
  <cellXfs count="113">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center" wrapText="1"/>
    </xf>
    <xf numFmtId="0" fontId="0" fillId="0" borderId="2" xfId="0" applyBorder="1"/>
    <xf numFmtId="0" fontId="0" fillId="0" borderId="4" xfId="0" applyBorder="1"/>
    <xf numFmtId="0" fontId="0" fillId="0" borderId="5" xfId="0" applyBorder="1"/>
    <xf numFmtId="0" fontId="2" fillId="2" borderId="7" xfId="0" applyFont="1" applyFill="1" applyBorder="1" applyAlignment="1">
      <alignment vertical="center" wrapText="1"/>
    </xf>
    <xf numFmtId="0" fontId="1" fillId="2" borderId="7" xfId="0" applyFont="1" applyFill="1" applyBorder="1" applyAlignment="1">
      <alignment horizontal="center" vertical="center"/>
    </xf>
    <xf numFmtId="0" fontId="2" fillId="2" borderId="8"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5" fillId="0" borderId="0" xfId="0" applyFont="1" applyAlignment="1">
      <alignment horizontal="center" vertical="center"/>
    </xf>
    <xf numFmtId="0" fontId="4" fillId="0" borderId="0" xfId="0" applyFont="1" applyAlignment="1">
      <alignment horizontal="center"/>
    </xf>
    <xf numFmtId="0" fontId="6" fillId="2" borderId="7" xfId="0" applyFont="1" applyFill="1" applyBorder="1" applyAlignment="1">
      <alignment horizontal="left" vertical="center"/>
    </xf>
    <xf numFmtId="0" fontId="0" fillId="3" borderId="0" xfId="0" applyFill="1" applyAlignment="1">
      <alignment horizontal="center"/>
    </xf>
    <xf numFmtId="0" fontId="5" fillId="3" borderId="0" xfId="0" applyFont="1" applyFill="1" applyAlignment="1">
      <alignment horizontal="center" vertical="center"/>
    </xf>
    <xf numFmtId="0" fontId="0" fillId="0" borderId="0" xfId="0" quotePrefix="1"/>
    <xf numFmtId="0" fontId="0" fillId="3" borderId="0" xfId="0" quotePrefix="1" applyFill="1" applyAlignment="1">
      <alignment horizontal="center"/>
    </xf>
    <xf numFmtId="0" fontId="0" fillId="3" borderId="0" xfId="0" applyFill="1" applyAlignment="1">
      <alignment horizontal="center" wrapText="1"/>
    </xf>
    <xf numFmtId="11" fontId="0" fillId="3" borderId="0" xfId="0" applyNumberFormat="1" applyFill="1" applyAlignment="1">
      <alignment horizontal="center"/>
    </xf>
    <xf numFmtId="0" fontId="0" fillId="3" borderId="1" xfId="0" applyFill="1" applyBorder="1" applyAlignment="1">
      <alignment horizontal="center"/>
    </xf>
    <xf numFmtId="0" fontId="3" fillId="3" borderId="1" xfId="0" applyFont="1" applyFill="1" applyBorder="1" applyAlignment="1">
      <alignment horizontal="center"/>
    </xf>
    <xf numFmtId="0" fontId="3" fillId="3" borderId="1" xfId="0" applyFont="1" applyFill="1" applyBorder="1" applyAlignment="1">
      <alignment horizontal="center" wrapText="1"/>
    </xf>
    <xf numFmtId="0" fontId="5" fillId="3" borderId="1" xfId="0" applyFont="1" applyFill="1" applyBorder="1" applyAlignment="1">
      <alignment horizontal="center" vertical="center"/>
    </xf>
    <xf numFmtId="0" fontId="0" fillId="5" borderId="0" xfId="0" applyFill="1" applyAlignment="1">
      <alignment horizontal="center"/>
    </xf>
    <xf numFmtId="0" fontId="0" fillId="5" borderId="0" xfId="0" applyFill="1" applyAlignment="1">
      <alignment horizontal="center" wrapText="1"/>
    </xf>
    <xf numFmtId="0" fontId="5" fillId="5" borderId="0" xfId="0" applyFont="1" applyFill="1" applyAlignment="1">
      <alignment horizontal="center" vertical="center"/>
    </xf>
    <xf numFmtId="0" fontId="0" fillId="5" borderId="1" xfId="0" applyFill="1" applyBorder="1" applyAlignment="1">
      <alignment horizontal="center"/>
    </xf>
    <xf numFmtId="0" fontId="5" fillId="5" borderId="1" xfId="0" applyFont="1" applyFill="1" applyBorder="1" applyAlignment="1">
      <alignment horizontal="center" vertical="center"/>
    </xf>
    <xf numFmtId="0" fontId="0" fillId="6" borderId="0" xfId="0" applyFill="1" applyAlignment="1">
      <alignment horizontal="center"/>
    </xf>
    <xf numFmtId="0" fontId="0" fillId="6" borderId="0" xfId="0" applyFill="1" applyAlignment="1">
      <alignment horizontal="center" wrapText="1"/>
    </xf>
    <xf numFmtId="0" fontId="5" fillId="6" borderId="0" xfId="0" applyFont="1" applyFill="1" applyAlignment="1">
      <alignment horizontal="center" vertical="center"/>
    </xf>
    <xf numFmtId="0" fontId="0" fillId="6" borderId="1" xfId="0" applyFill="1" applyBorder="1" applyAlignment="1">
      <alignment horizontal="center"/>
    </xf>
    <xf numFmtId="0" fontId="3" fillId="6" borderId="1" xfId="0" applyFont="1" applyFill="1" applyBorder="1" applyAlignment="1">
      <alignment horizontal="center"/>
    </xf>
    <xf numFmtId="0" fontId="3" fillId="6" borderId="1" xfId="0" applyFont="1" applyFill="1" applyBorder="1" applyAlignment="1">
      <alignment horizontal="center" wrapText="1"/>
    </xf>
    <xf numFmtId="0" fontId="5" fillId="6" borderId="1" xfId="0" applyFont="1" applyFill="1" applyBorder="1" applyAlignment="1">
      <alignment horizontal="center" vertical="center"/>
    </xf>
    <xf numFmtId="0" fontId="0" fillId="7" borderId="0" xfId="0" applyFill="1" applyAlignment="1">
      <alignment horizontal="center"/>
    </xf>
    <xf numFmtId="0" fontId="7" fillId="7" borderId="0" xfId="0" applyFont="1" applyFill="1" applyAlignment="1">
      <alignment horizontal="center"/>
    </xf>
    <xf numFmtId="0" fontId="0" fillId="7" borderId="0" xfId="0" applyFill="1" applyAlignment="1">
      <alignment horizontal="center" wrapText="1"/>
    </xf>
    <xf numFmtId="0" fontId="5" fillId="7" borderId="0" xfId="0" applyFont="1" applyFill="1" applyAlignment="1">
      <alignment horizontal="center" vertical="center"/>
    </xf>
    <xf numFmtId="0" fontId="0" fillId="7" borderId="0" xfId="0" quotePrefix="1" applyFill="1" applyAlignment="1">
      <alignment horizontal="center"/>
    </xf>
    <xf numFmtId="0" fontId="0" fillId="7" borderId="1" xfId="0" applyFill="1" applyBorder="1" applyAlignment="1">
      <alignment horizontal="center"/>
    </xf>
    <xf numFmtId="0" fontId="0" fillId="7" borderId="1" xfId="0" applyFill="1" applyBorder="1" applyAlignment="1">
      <alignment horizontal="center" wrapText="1"/>
    </xf>
    <xf numFmtId="0" fontId="5" fillId="7" borderId="1" xfId="0" applyFont="1" applyFill="1" applyBorder="1" applyAlignment="1">
      <alignment horizontal="center" vertical="center"/>
    </xf>
    <xf numFmtId="0" fontId="0" fillId="8" borderId="0" xfId="0" applyFill="1" applyAlignment="1">
      <alignment horizontal="center"/>
    </xf>
    <xf numFmtId="0" fontId="0" fillId="8" borderId="0" xfId="0" applyFill="1" applyAlignment="1">
      <alignment horizontal="center" wrapText="1"/>
    </xf>
    <xf numFmtId="0" fontId="5" fillId="8" borderId="0" xfId="0" applyFont="1" applyFill="1" applyAlignment="1">
      <alignment horizontal="center" vertical="center"/>
    </xf>
    <xf numFmtId="0" fontId="0" fillId="8" borderId="1" xfId="0" applyFill="1" applyBorder="1" applyAlignment="1">
      <alignment horizontal="center"/>
    </xf>
    <xf numFmtId="0" fontId="0" fillId="8" borderId="1" xfId="0" applyFill="1" applyBorder="1" applyAlignment="1">
      <alignment horizontal="center" wrapText="1"/>
    </xf>
    <xf numFmtId="0" fontId="5" fillId="8" borderId="1" xfId="0" applyFont="1" applyFill="1" applyBorder="1" applyAlignment="1">
      <alignment horizontal="center" vertical="center"/>
    </xf>
    <xf numFmtId="0" fontId="0" fillId="9" borderId="0" xfId="0" applyFill="1" applyAlignment="1">
      <alignment horizontal="center"/>
    </xf>
    <xf numFmtId="0" fontId="0" fillId="9" borderId="0" xfId="0" applyFill="1" applyAlignment="1">
      <alignment horizontal="center" wrapText="1"/>
    </xf>
    <xf numFmtId="0" fontId="5" fillId="9" borderId="0" xfId="0" applyFont="1" applyFill="1" applyAlignment="1">
      <alignment horizontal="center" vertical="center"/>
    </xf>
    <xf numFmtId="0" fontId="0" fillId="9" borderId="1" xfId="0" applyFill="1" applyBorder="1" applyAlignment="1">
      <alignment horizontal="center"/>
    </xf>
    <xf numFmtId="0" fontId="0" fillId="9" borderId="1" xfId="0" quotePrefix="1" applyFill="1" applyBorder="1" applyAlignment="1">
      <alignment horizontal="center"/>
    </xf>
    <xf numFmtId="0" fontId="0" fillId="9" borderId="1" xfId="0" applyFill="1" applyBorder="1" applyAlignment="1">
      <alignment horizontal="center" wrapText="1"/>
    </xf>
    <xf numFmtId="0" fontId="5" fillId="9" borderId="1" xfId="0" applyFont="1" applyFill="1" applyBorder="1" applyAlignment="1">
      <alignment horizontal="center" vertical="center"/>
    </xf>
    <xf numFmtId="0" fontId="0" fillId="10" borderId="0" xfId="0" applyFill="1" applyAlignment="1">
      <alignment horizontal="center"/>
    </xf>
    <xf numFmtId="0" fontId="0" fillId="10" borderId="0" xfId="0" applyFill="1" applyAlignment="1">
      <alignment horizontal="center" wrapText="1"/>
    </xf>
    <xf numFmtId="0" fontId="5" fillId="10" borderId="0" xfId="0" applyFont="1" applyFill="1" applyAlignment="1">
      <alignment horizontal="center" vertical="center"/>
    </xf>
    <xf numFmtId="0" fontId="0" fillId="10" borderId="0" xfId="0" quotePrefix="1" applyFill="1" applyAlignment="1">
      <alignment horizontal="center"/>
    </xf>
    <xf numFmtId="0" fontId="0" fillId="10" borderId="1" xfId="0" applyFill="1" applyBorder="1" applyAlignment="1">
      <alignment horizontal="center"/>
    </xf>
    <xf numFmtId="0" fontId="0" fillId="10" borderId="1" xfId="0" quotePrefix="1" applyFill="1" applyBorder="1" applyAlignment="1">
      <alignment horizontal="center"/>
    </xf>
    <xf numFmtId="0" fontId="0" fillId="10" borderId="1" xfId="0" applyFill="1" applyBorder="1" applyAlignment="1">
      <alignment horizontal="center" wrapText="1"/>
    </xf>
    <xf numFmtId="0" fontId="5" fillId="10" borderId="1" xfId="0" applyFont="1" applyFill="1" applyBorder="1" applyAlignment="1">
      <alignment horizontal="center" vertical="center"/>
    </xf>
    <xf numFmtId="0" fontId="0" fillId="11" borderId="0" xfId="0" applyFill="1" applyAlignment="1">
      <alignment horizontal="center"/>
    </xf>
    <xf numFmtId="0" fontId="0" fillId="11" borderId="0" xfId="0" applyFill="1" applyAlignment="1">
      <alignment horizontal="center" wrapText="1"/>
    </xf>
    <xf numFmtId="0" fontId="4" fillId="11" borderId="0" xfId="0" applyFont="1" applyFill="1" applyAlignment="1">
      <alignment horizontal="center" wrapText="1"/>
    </xf>
    <xf numFmtId="0" fontId="5" fillId="11" borderId="0" xfId="0" applyFont="1" applyFill="1" applyAlignment="1">
      <alignment horizontal="center" vertical="center"/>
    </xf>
    <xf numFmtId="0" fontId="4" fillId="11" borderId="0" xfId="0" applyFont="1" applyFill="1" applyAlignment="1">
      <alignment horizontal="center"/>
    </xf>
    <xf numFmtId="0" fontId="7" fillId="11" borderId="0" xfId="0" applyFont="1" applyFill="1" applyAlignment="1">
      <alignment horizontal="center"/>
    </xf>
    <xf numFmtId="0" fontId="0" fillId="11" borderId="1" xfId="0" applyFill="1" applyBorder="1" applyAlignment="1">
      <alignment horizontal="center"/>
    </xf>
    <xf numFmtId="0" fontId="0" fillId="11" borderId="1" xfId="0" applyFill="1" applyBorder="1" applyAlignment="1">
      <alignment horizontal="center" wrapText="1"/>
    </xf>
    <xf numFmtId="0" fontId="4" fillId="11" borderId="1" xfId="0" applyFont="1" applyFill="1" applyBorder="1" applyAlignment="1">
      <alignment horizontal="center"/>
    </xf>
    <xf numFmtId="0" fontId="5" fillId="11" borderId="1" xfId="0" applyFont="1" applyFill="1" applyBorder="1" applyAlignment="1">
      <alignment horizontal="center" vertical="center"/>
    </xf>
    <xf numFmtId="0" fontId="0" fillId="12" borderId="0" xfId="0" applyFill="1" applyAlignment="1">
      <alignment horizontal="center"/>
    </xf>
    <xf numFmtId="0" fontId="0" fillId="12" borderId="0" xfId="0" applyFill="1" applyAlignment="1">
      <alignment horizontal="center" wrapText="1"/>
    </xf>
    <xf numFmtId="0" fontId="5" fillId="12" borderId="0" xfId="0" applyFont="1" applyFill="1" applyAlignment="1">
      <alignment horizontal="center" vertical="center"/>
    </xf>
    <xf numFmtId="0" fontId="0" fillId="12" borderId="0" xfId="0" quotePrefix="1" applyFill="1" applyAlignment="1">
      <alignment horizontal="center"/>
    </xf>
    <xf numFmtId="0" fontId="0" fillId="12" borderId="1" xfId="0" applyFill="1" applyBorder="1" applyAlignment="1">
      <alignment horizontal="center"/>
    </xf>
    <xf numFmtId="0" fontId="7" fillId="12" borderId="1" xfId="0" applyFont="1" applyFill="1" applyBorder="1" applyAlignment="1">
      <alignment horizontal="center"/>
    </xf>
    <xf numFmtId="0" fontId="5" fillId="12" borderId="1" xfId="0" applyFont="1" applyFill="1" applyBorder="1" applyAlignment="1">
      <alignment horizontal="center" vertical="center"/>
    </xf>
    <xf numFmtId="0" fontId="0" fillId="14" borderId="0" xfId="0" applyFill="1" applyAlignment="1">
      <alignment horizontal="center"/>
    </xf>
    <xf numFmtId="0" fontId="0" fillId="14" borderId="0" xfId="0" applyFill="1"/>
    <xf numFmtId="0" fontId="7" fillId="7" borderId="0" xfId="0" quotePrefix="1" applyFont="1" applyFill="1" applyAlignment="1">
      <alignment horizontal="center"/>
    </xf>
    <xf numFmtId="0" fontId="0" fillId="13" borderId="9" xfId="0" applyFill="1" applyBorder="1" applyAlignment="1">
      <alignment horizontal="center"/>
    </xf>
    <xf numFmtId="0" fontId="0" fillId="13" borderId="9" xfId="0" applyFill="1" applyBorder="1" applyAlignment="1">
      <alignment horizontal="center" wrapText="1"/>
    </xf>
    <xf numFmtId="0" fontId="5" fillId="13" borderId="9" xfId="0" applyFont="1" applyFill="1" applyBorder="1" applyAlignment="1">
      <alignment horizontal="center" vertical="center"/>
    </xf>
    <xf numFmtId="0" fontId="0" fillId="13" borderId="0" xfId="0" applyFill="1" applyAlignment="1">
      <alignment horizontal="center"/>
    </xf>
    <xf numFmtId="0" fontId="0" fillId="13" borderId="0" xfId="0" applyFill="1" applyAlignment="1">
      <alignment horizontal="center" wrapText="1"/>
    </xf>
    <xf numFmtId="0" fontId="5" fillId="13" borderId="0" xfId="0" applyFont="1" applyFill="1" applyAlignment="1">
      <alignment horizontal="center" vertical="center"/>
    </xf>
    <xf numFmtId="0" fontId="0" fillId="13" borderId="1" xfId="0" applyFill="1" applyBorder="1" applyAlignment="1">
      <alignment horizontal="center"/>
    </xf>
    <xf numFmtId="0" fontId="0" fillId="13" borderId="1" xfId="0" applyFill="1" applyBorder="1" applyAlignment="1">
      <alignment horizontal="center" wrapText="1"/>
    </xf>
    <xf numFmtId="0" fontId="5" fillId="13" borderId="1" xfId="0" applyFont="1" applyFill="1" applyBorder="1" applyAlignment="1">
      <alignment horizontal="center" vertical="center"/>
    </xf>
    <xf numFmtId="0" fontId="8" fillId="0" borderId="0" xfId="1"/>
    <xf numFmtId="0" fontId="0" fillId="15" borderId="0" xfId="0" applyFill="1" applyAlignment="1">
      <alignment horizontal="center"/>
    </xf>
    <xf numFmtId="0" fontId="0" fillId="15" borderId="0" xfId="0" applyFill="1" applyAlignment="1">
      <alignment horizontal="center" wrapText="1"/>
    </xf>
    <xf numFmtId="0" fontId="5" fillId="15" borderId="0" xfId="0" applyFont="1" applyFill="1" applyAlignment="1">
      <alignment horizontal="center" vertical="center"/>
    </xf>
    <xf numFmtId="0" fontId="0" fillId="15" borderId="0" xfId="0" quotePrefix="1" applyFill="1" applyAlignment="1">
      <alignment horizontal="center"/>
    </xf>
    <xf numFmtId="0" fontId="0" fillId="15" borderId="0" xfId="0" applyFill="1" applyAlignment="1">
      <alignment horizontal="center" vertical="center"/>
    </xf>
    <xf numFmtId="0" fontId="0" fillId="4" borderId="1" xfId="0" applyFill="1" applyBorder="1" applyAlignment="1">
      <alignment horizontal="center"/>
    </xf>
    <xf numFmtId="0" fontId="5" fillId="4" borderId="1" xfId="0" applyFont="1" applyFill="1" applyBorder="1" applyAlignment="1">
      <alignment horizontal="center" vertical="center"/>
    </xf>
    <xf numFmtId="0" fontId="5" fillId="0" borderId="3" xfId="0" applyFont="1" applyBorder="1" applyAlignment="1">
      <alignment vertical="center"/>
    </xf>
    <xf numFmtId="0" fontId="0" fillId="0" borderId="5" xfId="0" applyBorder="1" applyAlignment="1">
      <alignment horizontal="center"/>
    </xf>
    <xf numFmtId="0" fontId="5" fillId="0" borderId="6" xfId="0" applyFont="1" applyBorder="1" applyAlignment="1">
      <alignment vertical="center"/>
    </xf>
    <xf numFmtId="0" fontId="0" fillId="14" borderId="0" xfId="0" applyFill="1" applyAlignment="1">
      <alignment horizontal="center" wrapText="1"/>
    </xf>
    <xf numFmtId="0" fontId="0" fillId="14" borderId="10" xfId="0" applyFill="1" applyBorder="1" applyAlignment="1">
      <alignment horizontal="center"/>
    </xf>
    <xf numFmtId="0" fontId="0" fillId="16" borderId="10" xfId="0" applyFill="1" applyBorder="1" applyAlignment="1">
      <alignment horizontal="center"/>
    </xf>
    <xf numFmtId="0" fontId="5" fillId="16" borderId="10" xfId="0" applyFont="1" applyFill="1" applyBorder="1" applyAlignment="1">
      <alignment horizontal="center" vertical="center"/>
    </xf>
    <xf numFmtId="0" fontId="0" fillId="4" borderId="1" xfId="0" quotePrefix="1" applyFill="1" applyBorder="1" applyAlignment="1">
      <alignment horizontal="center"/>
    </xf>
    <xf numFmtId="0" fontId="0" fillId="0" borderId="0" xfId="0" applyAlignment="1">
      <alignment horizontal="center" vertical="center" wrapText="1"/>
    </xf>
    <xf numFmtId="0" fontId="0" fillId="0" borderId="0" xfId="0" quotePrefix="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DDE8"/>
      <color rgb="FFDECDFF"/>
      <color rgb="FFF6D1FF"/>
      <color rgb="FFE1E1FF"/>
      <color rgb="FFFFFFE1"/>
      <color rgb="FFFFDDDD"/>
      <color rgb="FFDDFFDD"/>
      <color rgb="FFFFEB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rilegno.org/rapporto-2023/" TargetMode="External"/><Relationship Id="rId2" Type="http://schemas.openxmlformats.org/officeDocument/2006/relationships/hyperlink" Target="https://federacciai.it/acciaio-ed-economia-circolare/" TargetMode="External"/><Relationship Id="rId1" Type="http://schemas.openxmlformats.org/officeDocument/2006/relationships/hyperlink" Target="https://www.isprambiente.gov.it/files2022/area-stampa/comunicati-stampa/sintesi-dati-1.pdf"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472A0-ED15-487D-B4C1-5F2160E638A6}">
  <dimension ref="A1:G15"/>
  <sheetViews>
    <sheetView topLeftCell="B1" workbookViewId="0">
      <selection activeCell="B1" sqref="B1:C13"/>
    </sheetView>
  </sheetViews>
  <sheetFormatPr defaultRowHeight="15" x14ac:dyDescent="0.25"/>
  <cols>
    <col min="1" max="1" width="21.140625" customWidth="1"/>
    <col min="2" max="2" width="22" customWidth="1"/>
    <col min="3" max="3" width="12.85546875" customWidth="1"/>
    <col min="4" max="4" width="35.28515625" bestFit="1" customWidth="1"/>
    <col min="5" max="5" width="19.140625" customWidth="1"/>
    <col min="6" max="6" width="36.42578125" customWidth="1"/>
    <col min="7" max="7" width="17.28515625" bestFit="1" customWidth="1"/>
    <col min="10" max="14" width="11" customWidth="1"/>
  </cols>
  <sheetData>
    <row r="1" spans="1:7" ht="31.5" customHeight="1" x14ac:dyDescent="0.25">
      <c r="A1" s="8" t="s">
        <v>72</v>
      </c>
      <c r="B1" s="8" t="s">
        <v>0</v>
      </c>
      <c r="C1" s="8" t="s">
        <v>1</v>
      </c>
      <c r="D1" s="8" t="s">
        <v>2</v>
      </c>
      <c r="E1" s="8" t="s">
        <v>3</v>
      </c>
      <c r="F1" s="9" t="s">
        <v>162</v>
      </c>
      <c r="G1" s="7" t="s">
        <v>76</v>
      </c>
    </row>
    <row r="2" spans="1:7" x14ac:dyDescent="0.25">
      <c r="A2" s="4" t="s">
        <v>165</v>
      </c>
      <c r="B2" t="s">
        <v>155</v>
      </c>
      <c r="C2" t="s">
        <v>88</v>
      </c>
      <c r="D2" t="s">
        <v>157</v>
      </c>
      <c r="E2" s="1">
        <v>1</v>
      </c>
      <c r="F2" t="s">
        <v>170</v>
      </c>
      <c r="G2" s="103" t="s">
        <v>75</v>
      </c>
    </row>
    <row r="3" spans="1:7" x14ac:dyDescent="0.25">
      <c r="A3" s="4" t="s">
        <v>164</v>
      </c>
      <c r="B3" t="s">
        <v>168</v>
      </c>
      <c r="C3" t="s">
        <v>88</v>
      </c>
      <c r="D3" t="s">
        <v>166</v>
      </c>
      <c r="E3" s="1">
        <v>1</v>
      </c>
      <c r="F3" t="s">
        <v>170</v>
      </c>
      <c r="G3" s="103" t="s">
        <v>75</v>
      </c>
    </row>
    <row r="4" spans="1:7" x14ac:dyDescent="0.25">
      <c r="A4" s="4" t="s">
        <v>91</v>
      </c>
      <c r="B4" t="s">
        <v>153</v>
      </c>
      <c r="C4" t="s">
        <v>88</v>
      </c>
      <c r="D4" t="s">
        <v>158</v>
      </c>
      <c r="E4" s="1">
        <v>1</v>
      </c>
      <c r="F4" s="1" t="s">
        <v>109</v>
      </c>
      <c r="G4" s="103" t="s">
        <v>75</v>
      </c>
    </row>
    <row r="5" spans="1:7" x14ac:dyDescent="0.25">
      <c r="A5" s="4" t="s">
        <v>101</v>
      </c>
      <c r="B5" t="s">
        <v>152</v>
      </c>
      <c r="C5" t="s">
        <v>88</v>
      </c>
      <c r="D5" t="s">
        <v>159</v>
      </c>
      <c r="E5" s="1">
        <v>1</v>
      </c>
      <c r="F5" s="1" t="s">
        <v>74</v>
      </c>
      <c r="G5" s="103" t="s">
        <v>75</v>
      </c>
    </row>
    <row r="6" spans="1:7" x14ac:dyDescent="0.25">
      <c r="A6" s="4" t="s">
        <v>4</v>
      </c>
      <c r="B6" t="s">
        <v>5</v>
      </c>
      <c r="C6" t="s">
        <v>88</v>
      </c>
      <c r="D6" t="s">
        <v>7</v>
      </c>
      <c r="E6" s="1">
        <v>1</v>
      </c>
      <c r="F6" s="3" t="s">
        <v>151</v>
      </c>
      <c r="G6" s="103" t="s">
        <v>75</v>
      </c>
    </row>
    <row r="7" spans="1:7" ht="17.25" customHeight="1" x14ac:dyDescent="0.25">
      <c r="A7" s="4" t="s">
        <v>108</v>
      </c>
      <c r="B7" t="s">
        <v>154</v>
      </c>
      <c r="C7" t="s">
        <v>88</v>
      </c>
      <c r="D7" t="s">
        <v>160</v>
      </c>
      <c r="E7" s="1">
        <v>1</v>
      </c>
      <c r="F7" s="3" t="s">
        <v>77</v>
      </c>
      <c r="G7" s="103" t="s">
        <v>75</v>
      </c>
    </row>
    <row r="8" spans="1:7" x14ac:dyDescent="0.25">
      <c r="A8" s="4" t="s">
        <v>8</v>
      </c>
      <c r="B8" t="s">
        <v>9</v>
      </c>
      <c r="C8" t="s">
        <v>88</v>
      </c>
      <c r="D8" t="s">
        <v>10</v>
      </c>
      <c r="E8" s="1">
        <v>1</v>
      </c>
      <c r="F8" s="1" t="s">
        <v>85</v>
      </c>
      <c r="G8" s="103" t="s">
        <v>75</v>
      </c>
    </row>
    <row r="9" spans="1:7" x14ac:dyDescent="0.25">
      <c r="A9" s="4" t="s">
        <v>11</v>
      </c>
      <c r="B9" t="s">
        <v>12</v>
      </c>
      <c r="C9" t="s">
        <v>88</v>
      </c>
      <c r="D9" t="s">
        <v>13</v>
      </c>
      <c r="E9" s="1">
        <v>1</v>
      </c>
      <c r="F9" s="1" t="s">
        <v>85</v>
      </c>
      <c r="G9" s="103" t="s">
        <v>75</v>
      </c>
    </row>
    <row r="10" spans="1:7" x14ac:dyDescent="0.25">
      <c r="A10" s="4" t="s">
        <v>14</v>
      </c>
      <c r="B10" t="s">
        <v>15</v>
      </c>
      <c r="C10" t="s">
        <v>88</v>
      </c>
      <c r="D10" t="s">
        <v>16</v>
      </c>
      <c r="E10" s="1">
        <v>1</v>
      </c>
      <c r="F10" s="13" t="s">
        <v>87</v>
      </c>
      <c r="G10" s="103" t="s">
        <v>75</v>
      </c>
    </row>
    <row r="11" spans="1:7" x14ac:dyDescent="0.25">
      <c r="A11" s="4" t="s">
        <v>17</v>
      </c>
      <c r="B11" t="s">
        <v>18</v>
      </c>
      <c r="C11" t="s">
        <v>88</v>
      </c>
      <c r="D11" t="s">
        <v>19</v>
      </c>
      <c r="E11" s="1">
        <v>1</v>
      </c>
      <c r="F11" s="1" t="s">
        <v>86</v>
      </c>
      <c r="G11" s="103" t="s">
        <v>75</v>
      </c>
    </row>
    <row r="12" spans="1:7" x14ac:dyDescent="0.25">
      <c r="A12" s="4" t="s">
        <v>20</v>
      </c>
      <c r="B12" t="s">
        <v>21</v>
      </c>
      <c r="C12" t="s">
        <v>88</v>
      </c>
      <c r="D12" t="s">
        <v>22</v>
      </c>
      <c r="E12" s="1">
        <v>1</v>
      </c>
      <c r="F12" s="1" t="s">
        <v>83</v>
      </c>
      <c r="G12" s="103" t="s">
        <v>75</v>
      </c>
    </row>
    <row r="13" spans="1:7" x14ac:dyDescent="0.25">
      <c r="A13" s="5" t="s">
        <v>120</v>
      </c>
      <c r="B13" s="6" t="s">
        <v>156</v>
      </c>
      <c r="C13" s="6" t="s">
        <v>88</v>
      </c>
      <c r="D13" s="6" t="s">
        <v>161</v>
      </c>
      <c r="E13" s="104">
        <v>1</v>
      </c>
      <c r="F13" s="104" t="s">
        <v>83</v>
      </c>
      <c r="G13" s="105" t="s">
        <v>75</v>
      </c>
    </row>
    <row r="15" spans="1:7" x14ac:dyDescent="0.25">
      <c r="F15" s="1" t="s">
        <v>179</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E04E9-7054-4AE1-964C-C0CE10BBF312}">
  <dimension ref="A1:AM64"/>
  <sheetViews>
    <sheetView tabSelected="1" zoomScaleNormal="70" workbookViewId="0">
      <selection activeCell="L16" sqref="L16"/>
    </sheetView>
  </sheetViews>
  <sheetFormatPr defaultRowHeight="15" x14ac:dyDescent="0.25"/>
  <cols>
    <col min="1" max="1" width="19" customWidth="1"/>
    <col min="2" max="2" width="29.5703125" customWidth="1"/>
    <col min="3" max="3" width="81.85546875" customWidth="1"/>
    <col min="4" max="4" width="24.5703125" customWidth="1"/>
    <col min="5" max="5" width="22.28515625" customWidth="1"/>
    <col min="6" max="6" width="27.7109375" customWidth="1"/>
    <col min="7" max="7" width="23.85546875" customWidth="1"/>
    <col min="8" max="8" width="33.140625" customWidth="1"/>
    <col min="9" max="9" width="25.85546875" customWidth="1"/>
  </cols>
  <sheetData>
    <row r="1" spans="1:39" ht="18.95" customHeight="1" x14ac:dyDescent="0.25">
      <c r="A1" s="10" t="s">
        <v>71</v>
      </c>
      <c r="B1" s="10" t="s">
        <v>69</v>
      </c>
      <c r="C1" s="14" t="s">
        <v>23</v>
      </c>
      <c r="D1" s="10" t="s">
        <v>38</v>
      </c>
      <c r="E1" s="10" t="s">
        <v>39</v>
      </c>
      <c r="F1" s="10" t="s">
        <v>70</v>
      </c>
      <c r="G1" s="10" t="s">
        <v>40</v>
      </c>
      <c r="H1" s="11" t="s">
        <v>73</v>
      </c>
      <c r="I1" s="11" t="s">
        <v>76</v>
      </c>
      <c r="K1" s="111" t="s">
        <v>167</v>
      </c>
      <c r="L1" s="111"/>
      <c r="M1" s="111"/>
      <c r="N1" s="111"/>
      <c r="O1" s="111"/>
      <c r="P1" s="111"/>
      <c r="Q1" s="111"/>
      <c r="R1" s="111"/>
      <c r="S1" s="111"/>
      <c r="T1" s="111"/>
      <c r="U1" s="111"/>
      <c r="V1" s="111"/>
      <c r="W1" s="111"/>
      <c r="X1" s="111"/>
      <c r="Y1" s="111"/>
      <c r="Z1" s="111"/>
      <c r="AA1" s="111"/>
      <c r="AB1" s="111"/>
      <c r="AC1" s="111"/>
      <c r="AD1" s="111"/>
      <c r="AE1" s="111"/>
      <c r="AF1" s="111" t="s">
        <v>149</v>
      </c>
      <c r="AG1" s="111"/>
      <c r="AH1" s="111"/>
      <c r="AI1" s="111"/>
      <c r="AJ1" s="111"/>
      <c r="AK1" s="111"/>
      <c r="AL1" s="111"/>
      <c r="AM1" s="111"/>
    </row>
    <row r="2" spans="1:39" ht="18.95" customHeight="1" thickBot="1" x14ac:dyDescent="0.3">
      <c r="A2" s="101" t="s">
        <v>165</v>
      </c>
      <c r="B2" s="101" t="s">
        <v>92</v>
      </c>
      <c r="C2" s="110" t="s">
        <v>169</v>
      </c>
      <c r="D2" s="101">
        <v>3745</v>
      </c>
      <c r="E2" s="101">
        <f>806.666672349754*(1137/550)</f>
        <v>1667.6000117484914</v>
      </c>
      <c r="F2" s="101" t="s">
        <v>90</v>
      </c>
      <c r="G2" s="101" t="s">
        <v>148</v>
      </c>
      <c r="H2" s="101" t="s">
        <v>171</v>
      </c>
      <c r="I2" s="102" t="s">
        <v>75</v>
      </c>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c r="AJ2" s="111"/>
      <c r="AK2" s="111"/>
      <c r="AL2" s="111"/>
      <c r="AM2" s="111"/>
    </row>
    <row r="3" spans="1:39" ht="16.5" thickTop="1" thickBot="1" x14ac:dyDescent="0.3">
      <c r="A3" s="108" t="s">
        <v>164</v>
      </c>
      <c r="B3" s="108" t="s">
        <v>146</v>
      </c>
      <c r="C3" s="108" t="s">
        <v>147</v>
      </c>
      <c r="D3" s="107">
        <v>25949</v>
      </c>
      <c r="E3" s="108">
        <f>1137/550/120*80</f>
        <v>1.3781818181818182</v>
      </c>
      <c r="F3" s="108" t="s">
        <v>41</v>
      </c>
      <c r="G3" s="108" t="s">
        <v>42</v>
      </c>
      <c r="H3" s="108" t="s">
        <v>171</v>
      </c>
      <c r="I3" s="109" t="s">
        <v>75</v>
      </c>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1"/>
      <c r="AL3" s="111"/>
      <c r="AM3" s="111"/>
    </row>
    <row r="4" spans="1:39" ht="15.75" thickTop="1" x14ac:dyDescent="0.25">
      <c r="A4" s="25" t="s">
        <v>91</v>
      </c>
      <c r="B4" s="25" t="s">
        <v>93</v>
      </c>
      <c r="C4" s="25" t="s">
        <v>30</v>
      </c>
      <c r="D4" s="26">
        <v>10392</v>
      </c>
      <c r="E4" s="25">
        <f>(45*6+275*3+3*14)/1000*175</f>
        <v>198.97499999999999</v>
      </c>
      <c r="F4" s="25" t="s">
        <v>43</v>
      </c>
      <c r="G4" s="25" t="s">
        <v>42</v>
      </c>
      <c r="H4" s="25" t="s">
        <v>109</v>
      </c>
      <c r="I4" s="27" t="s">
        <v>75</v>
      </c>
      <c r="K4" t="s">
        <v>98</v>
      </c>
      <c r="AF4" s="111"/>
      <c r="AG4" s="111"/>
      <c r="AH4" s="111"/>
      <c r="AI4" s="111"/>
      <c r="AJ4" s="111"/>
      <c r="AK4" s="111"/>
      <c r="AL4" s="111"/>
      <c r="AM4" s="111"/>
    </row>
    <row r="5" spans="1:39" x14ac:dyDescent="0.25">
      <c r="A5" s="25" t="s">
        <v>91</v>
      </c>
      <c r="B5" s="25" t="s">
        <v>94</v>
      </c>
      <c r="C5" s="25" t="s">
        <v>29</v>
      </c>
      <c r="D5" s="25">
        <v>24681</v>
      </c>
      <c r="E5" s="25">
        <f>850*(((0.4+27)*2+25)/1000)</f>
        <v>67.83</v>
      </c>
      <c r="F5" s="25" t="s">
        <v>43</v>
      </c>
      <c r="G5" s="25" t="s">
        <v>42</v>
      </c>
      <c r="H5" s="25" t="s">
        <v>109</v>
      </c>
      <c r="I5" s="27" t="s">
        <v>75</v>
      </c>
      <c r="K5" t="s">
        <v>99</v>
      </c>
      <c r="T5" s="112" t="s">
        <v>150</v>
      </c>
      <c r="U5" s="111"/>
      <c r="V5" s="111"/>
      <c r="AF5" s="111"/>
      <c r="AG5" s="111"/>
      <c r="AH5" s="111"/>
      <c r="AI5" s="111"/>
      <c r="AJ5" s="111"/>
      <c r="AK5" s="111"/>
      <c r="AL5" s="111"/>
      <c r="AM5" s="111"/>
    </row>
    <row r="6" spans="1:39" x14ac:dyDescent="0.25">
      <c r="A6" s="25" t="s">
        <v>91</v>
      </c>
      <c r="B6" s="25" t="s">
        <v>95</v>
      </c>
      <c r="C6" s="25" t="s">
        <v>29</v>
      </c>
      <c r="D6" s="25">
        <v>24681</v>
      </c>
      <c r="E6" s="25">
        <f>851*(((0.2+4)*16+25)/1000)</f>
        <v>78.46220000000001</v>
      </c>
      <c r="F6" s="25" t="s">
        <v>43</v>
      </c>
      <c r="G6" s="25" t="s">
        <v>42</v>
      </c>
      <c r="H6" s="25" t="s">
        <v>109</v>
      </c>
      <c r="I6" s="27" t="s">
        <v>75</v>
      </c>
      <c r="K6" t="s">
        <v>99</v>
      </c>
      <c r="T6" s="111"/>
      <c r="U6" s="111"/>
      <c r="V6" s="111"/>
    </row>
    <row r="7" spans="1:39" x14ac:dyDescent="0.25">
      <c r="A7" s="25" t="s">
        <v>91</v>
      </c>
      <c r="B7" s="25" t="s">
        <v>96</v>
      </c>
      <c r="C7" s="25" t="s">
        <v>29</v>
      </c>
      <c r="D7" s="25">
        <v>24681</v>
      </c>
      <c r="E7" s="25">
        <f>882*((0.125*20+25)/1000)</f>
        <v>24.254999999999999</v>
      </c>
      <c r="F7" s="25" t="s">
        <v>43</v>
      </c>
      <c r="G7" s="25" t="s">
        <v>42</v>
      </c>
      <c r="H7" s="25" t="s">
        <v>109</v>
      </c>
      <c r="I7" s="27" t="s">
        <v>75</v>
      </c>
      <c r="K7" t="s">
        <v>99</v>
      </c>
      <c r="T7" s="111"/>
      <c r="U7" s="111"/>
      <c r="V7" s="111"/>
    </row>
    <row r="8" spans="1:39" ht="15.75" thickBot="1" x14ac:dyDescent="0.3">
      <c r="A8" s="28" t="s">
        <v>91</v>
      </c>
      <c r="B8" s="28" t="s">
        <v>97</v>
      </c>
      <c r="C8" s="28" t="s">
        <v>29</v>
      </c>
      <c r="D8" s="28">
        <v>24681</v>
      </c>
      <c r="E8" s="28">
        <f>10*(((65*3+22*6)+70)/1000)</f>
        <v>3.97</v>
      </c>
      <c r="F8" s="28" t="s">
        <v>43</v>
      </c>
      <c r="G8" s="28" t="s">
        <v>42</v>
      </c>
      <c r="H8" s="28" t="s">
        <v>109</v>
      </c>
      <c r="I8" s="29" t="s">
        <v>75</v>
      </c>
      <c r="K8" t="s">
        <v>99</v>
      </c>
      <c r="T8" s="111"/>
      <c r="U8" s="111"/>
      <c r="V8" s="111"/>
    </row>
    <row r="9" spans="1:39" ht="15.75" thickTop="1" x14ac:dyDescent="0.25">
      <c r="A9" s="15" t="s">
        <v>101</v>
      </c>
      <c r="B9" s="15" t="s">
        <v>115</v>
      </c>
      <c r="C9" s="18" t="s">
        <v>116</v>
      </c>
      <c r="D9" s="19">
        <v>11709</v>
      </c>
      <c r="E9" s="20">
        <f>6.958132*10^(-7)*(40*6+250*3+2.3*14)/550</f>
        <v>1.2932004600727272E-6</v>
      </c>
      <c r="F9" s="15" t="s">
        <v>117</v>
      </c>
      <c r="G9" s="15" t="s">
        <v>42</v>
      </c>
      <c r="H9" s="15" t="s">
        <v>74</v>
      </c>
      <c r="I9" s="16" t="s">
        <v>75</v>
      </c>
    </row>
    <row r="10" spans="1:39" x14ac:dyDescent="0.25">
      <c r="A10" s="15" t="s">
        <v>101</v>
      </c>
      <c r="B10" s="15" t="s">
        <v>114</v>
      </c>
      <c r="C10" s="18" t="s">
        <v>163</v>
      </c>
      <c r="D10" s="106">
        <v>25950</v>
      </c>
      <c r="E10" s="15">
        <f>(0.2089529+0.8358117)*1137/550</f>
        <v>2.1598133640000001</v>
      </c>
      <c r="F10" s="15" t="s">
        <v>41</v>
      </c>
      <c r="G10" s="15" t="s">
        <v>42</v>
      </c>
      <c r="H10" s="15" t="s">
        <v>74</v>
      </c>
      <c r="I10" s="16" t="s">
        <v>75</v>
      </c>
      <c r="K10" s="2" t="s">
        <v>143</v>
      </c>
    </row>
    <row r="11" spans="1:39" x14ac:dyDescent="0.25">
      <c r="A11" s="15" t="s">
        <v>101</v>
      </c>
      <c r="B11" s="15" t="s">
        <v>112</v>
      </c>
      <c r="C11" s="15" t="s">
        <v>104</v>
      </c>
      <c r="D11" s="15">
        <v>9067</v>
      </c>
      <c r="E11" s="15">
        <f xml:space="preserve"> 8.6708*(40*6+250*3+2.3*14)/550</f>
        <v>16.115075927272727</v>
      </c>
      <c r="F11" s="15" t="s">
        <v>44</v>
      </c>
      <c r="G11" s="15" t="s">
        <v>42</v>
      </c>
      <c r="H11" s="15" t="s">
        <v>74</v>
      </c>
      <c r="I11" s="16" t="s">
        <v>75</v>
      </c>
      <c r="K11" t="s">
        <v>113</v>
      </c>
      <c r="U11" s="17"/>
    </row>
    <row r="12" spans="1:39" x14ac:dyDescent="0.25">
      <c r="A12" s="15" t="s">
        <v>101</v>
      </c>
      <c r="B12" s="15" t="s">
        <v>110</v>
      </c>
      <c r="C12" s="15" t="s">
        <v>118</v>
      </c>
      <c r="D12" s="83">
        <v>25948</v>
      </c>
      <c r="E12" s="15">
        <f>(5*6+0.7*14+25*3)*14.943</f>
        <v>1715.4563999999998</v>
      </c>
      <c r="F12" s="15" t="s">
        <v>46</v>
      </c>
      <c r="G12" s="15" t="s">
        <v>42</v>
      </c>
      <c r="H12" s="15" t="s">
        <v>74</v>
      </c>
      <c r="I12" s="16" t="s">
        <v>75</v>
      </c>
      <c r="K12" s="2" t="s">
        <v>111</v>
      </c>
    </row>
    <row r="13" spans="1:39" ht="15.75" thickBot="1" x14ac:dyDescent="0.3">
      <c r="A13" s="21" t="s">
        <v>101</v>
      </c>
      <c r="B13" s="21" t="s">
        <v>102</v>
      </c>
      <c r="C13" s="22" t="s">
        <v>103</v>
      </c>
      <c r="D13" s="23">
        <v>6683</v>
      </c>
      <c r="E13" s="23">
        <f>4.2*0.25</f>
        <v>1.05</v>
      </c>
      <c r="F13" s="23" t="s">
        <v>44</v>
      </c>
      <c r="G13" s="21" t="s">
        <v>42</v>
      </c>
      <c r="H13" s="21" t="s">
        <v>74</v>
      </c>
      <c r="I13" s="24" t="s">
        <v>75</v>
      </c>
    </row>
    <row r="14" spans="1:39" ht="15.75" thickTop="1" x14ac:dyDescent="0.25">
      <c r="A14" s="30" t="s">
        <v>108</v>
      </c>
      <c r="B14" s="30" t="s">
        <v>48</v>
      </c>
      <c r="C14" s="30" t="s">
        <v>27</v>
      </c>
      <c r="D14" s="30">
        <v>24824</v>
      </c>
      <c r="E14" s="30">
        <f>(40*6+27+250*3+20*2+30*2+20+(22*6+65*3)+0.125*20)/1000*502.7</f>
        <v>737.20954999999992</v>
      </c>
      <c r="F14" s="31" t="s">
        <v>43</v>
      </c>
      <c r="G14" s="30" t="s">
        <v>42</v>
      </c>
      <c r="H14" s="30" t="s">
        <v>77</v>
      </c>
      <c r="I14" s="32" t="s">
        <v>75</v>
      </c>
      <c r="K14" t="s">
        <v>100</v>
      </c>
    </row>
    <row r="15" spans="1:39" ht="15.75" thickBot="1" x14ac:dyDescent="0.3">
      <c r="A15" s="33" t="s">
        <v>108</v>
      </c>
      <c r="B15" s="34" t="s">
        <v>49</v>
      </c>
      <c r="C15" s="34" t="s">
        <v>28</v>
      </c>
      <c r="D15" s="35">
        <v>24312</v>
      </c>
      <c r="E15" s="35">
        <f>4.2*1.5</f>
        <v>6.3000000000000007</v>
      </c>
      <c r="F15" s="35" t="s">
        <v>44</v>
      </c>
      <c r="G15" s="34" t="s">
        <v>42</v>
      </c>
      <c r="H15" s="33" t="s">
        <v>77</v>
      </c>
      <c r="I15" s="36" t="s">
        <v>75</v>
      </c>
    </row>
    <row r="16" spans="1:39" ht="15.75" thickTop="1" x14ac:dyDescent="0.25">
      <c r="A16" s="37" t="s">
        <v>4</v>
      </c>
      <c r="B16" s="37" t="s">
        <v>105</v>
      </c>
      <c r="C16" s="85" t="s">
        <v>126</v>
      </c>
      <c r="D16" s="39">
        <v>21570</v>
      </c>
      <c r="E16" s="39">
        <f>4*16</f>
        <v>64</v>
      </c>
      <c r="F16" s="39" t="s">
        <v>6</v>
      </c>
      <c r="G16" s="37" t="s">
        <v>42</v>
      </c>
      <c r="H16" s="37" t="s">
        <v>151</v>
      </c>
      <c r="I16" s="40" t="s">
        <v>75</v>
      </c>
      <c r="K16" s="84"/>
      <c r="L16" t="s">
        <v>119</v>
      </c>
    </row>
    <row r="17" spans="1:24" x14ac:dyDescent="0.25">
      <c r="A17" s="37" t="s">
        <v>4</v>
      </c>
      <c r="B17" s="37" t="s">
        <v>105</v>
      </c>
      <c r="C17" s="37" t="s">
        <v>24</v>
      </c>
      <c r="D17" s="39">
        <v>25698</v>
      </c>
      <c r="E17" s="39">
        <f>0.2*16</f>
        <v>3.2</v>
      </c>
      <c r="F17" s="39" t="s">
        <v>6</v>
      </c>
      <c r="G17" s="37" t="s">
        <v>42</v>
      </c>
      <c r="H17" s="37" t="s">
        <v>151</v>
      </c>
      <c r="I17" s="40" t="s">
        <v>75</v>
      </c>
    </row>
    <row r="18" spans="1:24" x14ac:dyDescent="0.25">
      <c r="A18" s="37" t="s">
        <v>4</v>
      </c>
      <c r="B18" s="37" t="s">
        <v>106</v>
      </c>
      <c r="C18" s="41" t="s">
        <v>89</v>
      </c>
      <c r="D18" s="39">
        <v>5496</v>
      </c>
      <c r="E18" s="39">
        <f>0.125*20</f>
        <v>2.5</v>
      </c>
      <c r="F18" s="39" t="s">
        <v>6</v>
      </c>
      <c r="G18" s="37" t="s">
        <v>42</v>
      </c>
      <c r="H18" s="37" t="s">
        <v>151</v>
      </c>
      <c r="I18" s="40" t="s">
        <v>75</v>
      </c>
    </row>
    <row r="19" spans="1:24" ht="14.45" customHeight="1" x14ac:dyDescent="0.25">
      <c r="A19" s="37" t="s">
        <v>4</v>
      </c>
      <c r="B19" s="37" t="s">
        <v>47</v>
      </c>
      <c r="C19" s="38" t="s">
        <v>25</v>
      </c>
      <c r="D19" s="39">
        <v>12900</v>
      </c>
      <c r="E19" s="39">
        <f>27*2</f>
        <v>54</v>
      </c>
      <c r="F19" s="39" t="s">
        <v>6</v>
      </c>
      <c r="G19" s="37" t="s">
        <v>42</v>
      </c>
      <c r="H19" s="37" t="s">
        <v>151</v>
      </c>
      <c r="I19" s="40" t="s">
        <v>75</v>
      </c>
      <c r="L19" s="111" t="s">
        <v>144</v>
      </c>
      <c r="M19" s="111"/>
      <c r="N19" s="111"/>
      <c r="O19" s="111"/>
      <c r="P19" s="111"/>
      <c r="Q19" s="111"/>
      <c r="R19" s="111"/>
      <c r="S19" s="111"/>
      <c r="T19" s="111"/>
      <c r="U19" s="111"/>
      <c r="V19" s="111"/>
      <c r="W19" s="111"/>
      <c r="X19" s="111"/>
    </row>
    <row r="20" spans="1:24" x14ac:dyDescent="0.25">
      <c r="A20" s="37" t="s">
        <v>4</v>
      </c>
      <c r="B20" s="37" t="s">
        <v>47</v>
      </c>
      <c r="C20" s="37" t="s">
        <v>24</v>
      </c>
      <c r="D20" s="39">
        <v>25698</v>
      </c>
      <c r="E20" s="39">
        <f>0.4*2</f>
        <v>0.8</v>
      </c>
      <c r="F20" s="39" t="s">
        <v>6</v>
      </c>
      <c r="G20" s="37" t="s">
        <v>42</v>
      </c>
      <c r="H20" s="37" t="s">
        <v>151</v>
      </c>
      <c r="I20" s="40" t="s">
        <v>75</v>
      </c>
      <c r="L20" s="111"/>
      <c r="M20" s="111"/>
      <c r="N20" s="111"/>
      <c r="O20" s="111"/>
      <c r="P20" s="111"/>
      <c r="Q20" s="111"/>
      <c r="R20" s="111"/>
      <c r="S20" s="111"/>
      <c r="T20" s="111"/>
      <c r="U20" s="111"/>
      <c r="V20" s="111"/>
      <c r="W20" s="111"/>
      <c r="X20" s="111"/>
    </row>
    <row r="21" spans="1:24" ht="15.75" thickBot="1" x14ac:dyDescent="0.3">
      <c r="A21" s="42" t="s">
        <v>4</v>
      </c>
      <c r="B21" s="42" t="s">
        <v>107</v>
      </c>
      <c r="C21" s="42" t="s">
        <v>26</v>
      </c>
      <c r="D21" s="43">
        <v>21290</v>
      </c>
      <c r="E21" s="43">
        <f>22*6+65*3</f>
        <v>327</v>
      </c>
      <c r="F21" s="43" t="s">
        <v>6</v>
      </c>
      <c r="G21" s="42" t="s">
        <v>42</v>
      </c>
      <c r="H21" s="42" t="s">
        <v>151</v>
      </c>
      <c r="I21" s="44" t="s">
        <v>75</v>
      </c>
      <c r="L21" s="111"/>
      <c r="M21" s="111"/>
      <c r="N21" s="111"/>
      <c r="O21" s="111"/>
      <c r="P21" s="111"/>
      <c r="Q21" s="111"/>
      <c r="R21" s="111"/>
      <c r="S21" s="111"/>
      <c r="T21" s="111"/>
      <c r="U21" s="111"/>
      <c r="V21" s="111"/>
      <c r="W21" s="111"/>
      <c r="X21" s="111"/>
    </row>
    <row r="22" spans="1:24" ht="15.75" thickTop="1" x14ac:dyDescent="0.25">
      <c r="A22" s="45" t="s">
        <v>8</v>
      </c>
      <c r="B22" s="45" t="s">
        <v>50</v>
      </c>
      <c r="C22" s="45" t="s">
        <v>30</v>
      </c>
      <c r="D22" s="46">
        <v>10392</v>
      </c>
      <c r="E22" s="45">
        <f>(40*6+27+250*3+20*2+30*2+20+(22*6+65*3)+0.125*20)/1000*287.5</f>
        <v>421.61874999999998</v>
      </c>
      <c r="F22" s="46" t="s">
        <v>43</v>
      </c>
      <c r="G22" s="45" t="s">
        <v>42</v>
      </c>
      <c r="H22" s="45" t="s">
        <v>79</v>
      </c>
      <c r="I22" s="47" t="s">
        <v>75</v>
      </c>
      <c r="L22" s="111"/>
      <c r="M22" s="111"/>
      <c r="N22" s="111"/>
      <c r="O22" s="111"/>
      <c r="P22" s="111"/>
      <c r="Q22" s="111"/>
      <c r="R22" s="111"/>
      <c r="S22" s="111"/>
      <c r="T22" s="111"/>
      <c r="U22" s="111"/>
      <c r="V22" s="111"/>
      <c r="W22" s="111"/>
      <c r="X22" s="111"/>
    </row>
    <row r="23" spans="1:24" x14ac:dyDescent="0.25">
      <c r="A23" s="45" t="s">
        <v>8</v>
      </c>
      <c r="B23" s="45" t="s">
        <v>51</v>
      </c>
      <c r="C23" s="45" t="s">
        <v>29</v>
      </c>
      <c r="D23" s="45">
        <v>24681</v>
      </c>
      <c r="E23" s="46">
        <f>500/1000*287.5*2</f>
        <v>287.5</v>
      </c>
      <c r="F23" s="46" t="s">
        <v>43</v>
      </c>
      <c r="G23" s="45" t="s">
        <v>42</v>
      </c>
      <c r="H23" s="45" t="s">
        <v>78</v>
      </c>
      <c r="I23" s="47" t="s">
        <v>75</v>
      </c>
      <c r="L23" s="111"/>
      <c r="M23" s="111"/>
      <c r="N23" s="111"/>
      <c r="O23" s="111"/>
      <c r="P23" s="111"/>
      <c r="Q23" s="111"/>
      <c r="R23" s="111"/>
      <c r="S23" s="111"/>
      <c r="T23" s="111"/>
      <c r="U23" s="111"/>
      <c r="V23" s="111"/>
      <c r="W23" s="111"/>
      <c r="X23" s="111"/>
    </row>
    <row r="24" spans="1:24" x14ac:dyDescent="0.25">
      <c r="A24" s="45" t="s">
        <v>8</v>
      </c>
      <c r="B24" s="45" t="s">
        <v>52</v>
      </c>
      <c r="C24" s="45" t="s">
        <v>29</v>
      </c>
      <c r="D24" s="45">
        <v>24681</v>
      </c>
      <c r="E24" s="45">
        <f>200/1000*287.5*2</f>
        <v>115</v>
      </c>
      <c r="F24" s="46" t="s">
        <v>43</v>
      </c>
      <c r="G24" s="45" t="s">
        <v>42</v>
      </c>
      <c r="H24" s="45" t="s">
        <v>78</v>
      </c>
      <c r="I24" s="47" t="s">
        <v>75</v>
      </c>
      <c r="L24" s="111"/>
      <c r="M24" s="111"/>
      <c r="N24" s="111"/>
      <c r="O24" s="111"/>
      <c r="P24" s="111"/>
      <c r="Q24" s="111"/>
      <c r="R24" s="111"/>
      <c r="S24" s="111"/>
      <c r="T24" s="111"/>
      <c r="U24" s="111"/>
      <c r="V24" s="111"/>
      <c r="W24" s="111"/>
      <c r="X24" s="111"/>
    </row>
    <row r="25" spans="1:24" x14ac:dyDescent="0.25">
      <c r="A25" s="45" t="s">
        <v>8</v>
      </c>
      <c r="B25" s="45" t="s">
        <v>53</v>
      </c>
      <c r="C25" s="45" t="s">
        <v>30</v>
      </c>
      <c r="D25" s="46">
        <v>10392</v>
      </c>
      <c r="E25" s="45">
        <f>5000/1000*287.5*2</f>
        <v>2875</v>
      </c>
      <c r="F25" s="46" t="s">
        <v>43</v>
      </c>
      <c r="G25" s="45" t="s">
        <v>42</v>
      </c>
      <c r="H25" s="45" t="s">
        <v>78</v>
      </c>
      <c r="I25" s="47" t="s">
        <v>75</v>
      </c>
      <c r="L25" s="111"/>
      <c r="M25" s="111"/>
      <c r="N25" s="111"/>
      <c r="O25" s="111"/>
      <c r="P25" s="111"/>
      <c r="Q25" s="111"/>
      <c r="R25" s="111"/>
      <c r="S25" s="111"/>
      <c r="T25" s="111"/>
      <c r="U25" s="111"/>
      <c r="V25" s="111"/>
      <c r="W25" s="111"/>
      <c r="X25" s="111"/>
    </row>
    <row r="26" spans="1:24" x14ac:dyDescent="0.25">
      <c r="A26" s="45" t="s">
        <v>8</v>
      </c>
      <c r="B26" s="45" t="s">
        <v>54</v>
      </c>
      <c r="C26" s="45" t="s">
        <v>27</v>
      </c>
      <c r="D26" s="45">
        <v>24824</v>
      </c>
      <c r="E26" s="45">
        <f>35000/1000*89</f>
        <v>3115</v>
      </c>
      <c r="F26" s="46" t="s">
        <v>43</v>
      </c>
      <c r="G26" s="45" t="s">
        <v>42</v>
      </c>
      <c r="H26" s="45" t="s">
        <v>80</v>
      </c>
      <c r="I26" s="47" t="s">
        <v>75</v>
      </c>
      <c r="L26" s="111"/>
      <c r="M26" s="111"/>
      <c r="N26" s="111"/>
      <c r="O26" s="111"/>
      <c r="P26" s="111"/>
      <c r="Q26" s="111"/>
      <c r="R26" s="111"/>
      <c r="S26" s="111"/>
      <c r="T26" s="111"/>
      <c r="U26" s="111"/>
      <c r="V26" s="111"/>
      <c r="W26" s="111"/>
      <c r="X26" s="111"/>
    </row>
    <row r="27" spans="1:24" ht="15.75" thickBot="1" x14ac:dyDescent="0.3">
      <c r="A27" s="48" t="s">
        <v>8</v>
      </c>
      <c r="B27" s="48" t="s">
        <v>55</v>
      </c>
      <c r="C27" s="48" t="s">
        <v>27</v>
      </c>
      <c r="D27" s="48">
        <v>24824</v>
      </c>
      <c r="E27" s="48">
        <f>16000/1000*9</f>
        <v>144</v>
      </c>
      <c r="F27" s="49" t="s">
        <v>43</v>
      </c>
      <c r="G27" s="48" t="s">
        <v>42</v>
      </c>
      <c r="H27" s="48" t="s">
        <v>81</v>
      </c>
      <c r="I27" s="50" t="s">
        <v>75</v>
      </c>
    </row>
    <row r="28" spans="1:24" ht="15.75" thickTop="1" x14ac:dyDescent="0.25">
      <c r="A28" s="51" t="s">
        <v>11</v>
      </c>
      <c r="B28" s="51" t="s">
        <v>56</v>
      </c>
      <c r="C28" s="51" t="s">
        <v>31</v>
      </c>
      <c r="D28" s="52">
        <v>10535</v>
      </c>
      <c r="E28" s="51">
        <v>25</v>
      </c>
      <c r="F28" s="52" t="s">
        <v>41</v>
      </c>
      <c r="G28" s="51" t="s">
        <v>42</v>
      </c>
      <c r="H28" s="51" t="s">
        <v>79</v>
      </c>
      <c r="I28" s="53" t="s">
        <v>75</v>
      </c>
    </row>
    <row r="29" spans="1:24" x14ac:dyDescent="0.25">
      <c r="A29" s="51" t="s">
        <v>11</v>
      </c>
      <c r="B29" s="51" t="s">
        <v>56</v>
      </c>
      <c r="C29" s="51" t="s">
        <v>31</v>
      </c>
      <c r="D29" s="52">
        <v>10535</v>
      </c>
      <c r="E29" s="51">
        <v>25</v>
      </c>
      <c r="F29" s="52" t="s">
        <v>41</v>
      </c>
      <c r="G29" s="51" t="s">
        <v>42</v>
      </c>
      <c r="H29" s="51" t="s">
        <v>79</v>
      </c>
      <c r="I29" s="53" t="s">
        <v>75</v>
      </c>
    </row>
    <row r="30" spans="1:24" x14ac:dyDescent="0.25">
      <c r="A30" s="51" t="s">
        <v>11</v>
      </c>
      <c r="B30" s="51" t="s">
        <v>56</v>
      </c>
      <c r="C30" s="51" t="s">
        <v>31</v>
      </c>
      <c r="D30" s="52">
        <v>10535</v>
      </c>
      <c r="E30" s="51">
        <v>25</v>
      </c>
      <c r="F30" s="52" t="s">
        <v>41</v>
      </c>
      <c r="G30" s="51" t="s">
        <v>42</v>
      </c>
      <c r="H30" s="51" t="s">
        <v>79</v>
      </c>
      <c r="I30" s="53" t="s">
        <v>75</v>
      </c>
    </row>
    <row r="31" spans="1:24" ht="15.75" thickBot="1" x14ac:dyDescent="0.3">
      <c r="A31" s="54" t="s">
        <v>11</v>
      </c>
      <c r="B31" s="54" t="s">
        <v>57</v>
      </c>
      <c r="C31" s="55" t="s">
        <v>32</v>
      </c>
      <c r="D31" s="56">
        <v>19375</v>
      </c>
      <c r="E31" s="54">
        <f>E45/12/1500*1000*10</f>
        <v>168.59481582537512</v>
      </c>
      <c r="F31" s="56" t="s">
        <v>46</v>
      </c>
      <c r="G31" s="54" t="s">
        <v>42</v>
      </c>
      <c r="H31" s="54" t="s">
        <v>82</v>
      </c>
      <c r="I31" s="57" t="s">
        <v>75</v>
      </c>
    </row>
    <row r="32" spans="1:24" ht="15.75" thickTop="1" x14ac:dyDescent="0.25">
      <c r="A32" s="58" t="s">
        <v>4</v>
      </c>
      <c r="B32" s="58" t="s">
        <v>58</v>
      </c>
      <c r="C32" s="58" t="s">
        <v>33</v>
      </c>
      <c r="D32" s="59">
        <v>20275</v>
      </c>
      <c r="E32" s="58">
        <v>30</v>
      </c>
      <c r="F32" s="59" t="s">
        <v>6</v>
      </c>
      <c r="G32" s="58" t="s">
        <v>42</v>
      </c>
      <c r="H32" s="58" t="s">
        <v>79</v>
      </c>
      <c r="I32" s="60" t="s">
        <v>75</v>
      </c>
    </row>
    <row r="33" spans="1:9" x14ac:dyDescent="0.25">
      <c r="A33" s="58" t="s">
        <v>4</v>
      </c>
      <c r="B33" s="58" t="s">
        <v>59</v>
      </c>
      <c r="C33" s="58" t="s">
        <v>34</v>
      </c>
      <c r="D33" s="59">
        <v>7329</v>
      </c>
      <c r="E33" s="58">
        <v>35000</v>
      </c>
      <c r="F33" s="59" t="s">
        <v>6</v>
      </c>
      <c r="G33" s="58" t="s">
        <v>42</v>
      </c>
      <c r="H33" s="58" t="s">
        <v>79</v>
      </c>
      <c r="I33" s="60" t="s">
        <v>75</v>
      </c>
    </row>
    <row r="34" spans="1:9" x14ac:dyDescent="0.25">
      <c r="A34" s="58" t="s">
        <v>4</v>
      </c>
      <c r="B34" s="58" t="s">
        <v>60</v>
      </c>
      <c r="C34" s="58" t="s">
        <v>35</v>
      </c>
      <c r="D34" s="59">
        <v>24957</v>
      </c>
      <c r="E34" s="58">
        <v>7</v>
      </c>
      <c r="F34" s="59" t="s">
        <v>41</v>
      </c>
      <c r="G34" s="58" t="s">
        <v>42</v>
      </c>
      <c r="H34" s="58" t="s">
        <v>79</v>
      </c>
      <c r="I34" s="60" t="s">
        <v>75</v>
      </c>
    </row>
    <row r="35" spans="1:9" x14ac:dyDescent="0.25">
      <c r="A35" s="58" t="s">
        <v>4</v>
      </c>
      <c r="B35" s="58" t="s">
        <v>61</v>
      </c>
      <c r="C35" s="61" t="s">
        <v>36</v>
      </c>
      <c r="D35" s="59">
        <v>7301</v>
      </c>
      <c r="E35" s="58">
        <v>5</v>
      </c>
      <c r="F35" s="58" t="s">
        <v>6</v>
      </c>
      <c r="G35" s="58" t="s">
        <v>42</v>
      </c>
      <c r="H35" s="58" t="s">
        <v>79</v>
      </c>
      <c r="I35" s="60" t="s">
        <v>75</v>
      </c>
    </row>
    <row r="36" spans="1:9" ht="15.75" thickBot="1" x14ac:dyDescent="0.3">
      <c r="A36" s="62" t="s">
        <v>4</v>
      </c>
      <c r="B36" s="62" t="s">
        <v>62</v>
      </c>
      <c r="C36" s="63" t="s">
        <v>84</v>
      </c>
      <c r="D36" s="64">
        <v>12314</v>
      </c>
      <c r="E36" s="62">
        <v>100</v>
      </c>
      <c r="F36" s="64" t="s">
        <v>6</v>
      </c>
      <c r="G36" s="62" t="s">
        <v>42</v>
      </c>
      <c r="H36" s="62" t="s">
        <v>79</v>
      </c>
      <c r="I36" s="65" t="s">
        <v>75</v>
      </c>
    </row>
    <row r="37" spans="1:9" ht="17.100000000000001" customHeight="1" thickTop="1" x14ac:dyDescent="0.25">
      <c r="A37" s="66" t="s">
        <v>14</v>
      </c>
      <c r="B37" s="66" t="s">
        <v>63</v>
      </c>
      <c r="C37" s="66" t="s">
        <v>28</v>
      </c>
      <c r="D37" s="67">
        <v>24312</v>
      </c>
      <c r="E37" s="66">
        <f>800/1000*4*19</f>
        <v>60.800000000000004</v>
      </c>
      <c r="F37" s="67" t="s">
        <v>44</v>
      </c>
      <c r="G37" s="66" t="s">
        <v>42</v>
      </c>
      <c r="H37" s="68" t="s">
        <v>172</v>
      </c>
      <c r="I37" s="69" t="s">
        <v>75</v>
      </c>
    </row>
    <row r="38" spans="1:9" x14ac:dyDescent="0.25">
      <c r="A38" s="66" t="s">
        <v>14</v>
      </c>
      <c r="B38" s="66" t="s">
        <v>64</v>
      </c>
      <c r="C38" s="66" t="s">
        <v>28</v>
      </c>
      <c r="D38" s="67">
        <v>24312</v>
      </c>
      <c r="E38" s="66">
        <f>165/1000*3*19</f>
        <v>9.4049999999999994</v>
      </c>
      <c r="F38" s="67" t="s">
        <v>44</v>
      </c>
      <c r="G38" s="66" t="s">
        <v>42</v>
      </c>
      <c r="H38" s="70" t="s">
        <v>172</v>
      </c>
      <c r="I38" s="69" t="s">
        <v>75</v>
      </c>
    </row>
    <row r="39" spans="1:9" ht="15.6" customHeight="1" x14ac:dyDescent="0.25">
      <c r="A39" s="66" t="s">
        <v>14</v>
      </c>
      <c r="B39" s="66" t="s">
        <v>65</v>
      </c>
      <c r="C39" s="66" t="s">
        <v>29</v>
      </c>
      <c r="D39" s="66">
        <v>24681</v>
      </c>
      <c r="E39" s="66">
        <f>154/1000*(165+187)/2*2*18</f>
        <v>975.74399999999991</v>
      </c>
      <c r="F39" s="67" t="s">
        <v>43</v>
      </c>
      <c r="G39" s="66" t="s">
        <v>42</v>
      </c>
      <c r="H39" s="68" t="s">
        <v>173</v>
      </c>
      <c r="I39" s="69" t="s">
        <v>75</v>
      </c>
    </row>
    <row r="40" spans="1:9" x14ac:dyDescent="0.25">
      <c r="A40" s="66" t="s">
        <v>4</v>
      </c>
      <c r="B40" s="66" t="s">
        <v>47</v>
      </c>
      <c r="C40" s="71" t="s">
        <v>25</v>
      </c>
      <c r="D40" s="67">
        <v>12900</v>
      </c>
      <c r="E40" s="67">
        <v>54</v>
      </c>
      <c r="F40" s="67" t="s">
        <v>6</v>
      </c>
      <c r="G40" s="66" t="s">
        <v>42</v>
      </c>
      <c r="H40" s="70" t="s">
        <v>174</v>
      </c>
      <c r="I40" s="69" t="s">
        <v>75</v>
      </c>
    </row>
    <row r="41" spans="1:9" x14ac:dyDescent="0.25">
      <c r="A41" s="66" t="s">
        <v>4</v>
      </c>
      <c r="B41" s="66" t="s">
        <v>47</v>
      </c>
      <c r="C41" s="66" t="s">
        <v>24</v>
      </c>
      <c r="D41" s="67">
        <v>25698</v>
      </c>
      <c r="E41" s="67">
        <v>0.8</v>
      </c>
      <c r="F41" s="67" t="s">
        <v>6</v>
      </c>
      <c r="G41" s="66" t="s">
        <v>42</v>
      </c>
      <c r="H41" s="70" t="s">
        <v>174</v>
      </c>
      <c r="I41" s="69" t="s">
        <v>75</v>
      </c>
    </row>
    <row r="42" spans="1:9" ht="15.75" thickBot="1" x14ac:dyDescent="0.3">
      <c r="A42" s="72" t="s">
        <v>14</v>
      </c>
      <c r="B42" s="72" t="s">
        <v>65</v>
      </c>
      <c r="C42" s="72" t="s">
        <v>29</v>
      </c>
      <c r="D42" s="72">
        <v>24681</v>
      </c>
      <c r="E42" s="72">
        <f>((154+E19+E20)/1000*(313+262)/2*2)</f>
        <v>120.06</v>
      </c>
      <c r="F42" s="73" t="s">
        <v>43</v>
      </c>
      <c r="G42" s="72" t="s">
        <v>42</v>
      </c>
      <c r="H42" s="74" t="s">
        <v>174</v>
      </c>
      <c r="I42" s="75" t="s">
        <v>75</v>
      </c>
    </row>
    <row r="43" spans="1:9" ht="15.75" thickTop="1" x14ac:dyDescent="0.25">
      <c r="A43" s="76" t="s">
        <v>17</v>
      </c>
      <c r="B43" s="76" t="s">
        <v>53</v>
      </c>
      <c r="C43" s="76" t="s">
        <v>30</v>
      </c>
      <c r="D43" s="77">
        <v>10392</v>
      </c>
      <c r="E43" s="76">
        <f>5603/1000*(313+262)/2*2</f>
        <v>3221.7249999999999</v>
      </c>
      <c r="F43" s="77" t="s">
        <v>43</v>
      </c>
      <c r="G43" s="76" t="s">
        <v>42</v>
      </c>
      <c r="H43" s="76" t="s">
        <v>175</v>
      </c>
      <c r="I43" s="78" t="s">
        <v>75</v>
      </c>
    </row>
    <row r="44" spans="1:9" x14ac:dyDescent="0.25">
      <c r="A44" s="76" t="s">
        <v>17</v>
      </c>
      <c r="B44" s="76" t="s">
        <v>52</v>
      </c>
      <c r="C44" s="76" t="s">
        <v>29</v>
      </c>
      <c r="D44" s="76">
        <v>24681</v>
      </c>
      <c r="E44" s="76">
        <f>258/1000*(313+262)/2*2</f>
        <v>148.35</v>
      </c>
      <c r="F44" s="77" t="s">
        <v>43</v>
      </c>
      <c r="G44" s="76" t="s">
        <v>42</v>
      </c>
      <c r="H44" s="76" t="s">
        <v>175</v>
      </c>
      <c r="I44" s="78" t="s">
        <v>75</v>
      </c>
    </row>
    <row r="45" spans="1:9" x14ac:dyDescent="0.25">
      <c r="A45" s="76" t="s">
        <v>17</v>
      </c>
      <c r="B45" s="76" t="s">
        <v>66</v>
      </c>
      <c r="C45" s="79" t="s">
        <v>32</v>
      </c>
      <c r="D45" s="77">
        <v>19375</v>
      </c>
      <c r="E45" s="76">
        <v>303.47066848567528</v>
      </c>
      <c r="F45" s="77" t="s">
        <v>46</v>
      </c>
      <c r="G45" s="76" t="s">
        <v>42</v>
      </c>
      <c r="H45" s="76" t="s">
        <v>176</v>
      </c>
      <c r="I45" s="78" t="s">
        <v>75</v>
      </c>
    </row>
    <row r="46" spans="1:9" x14ac:dyDescent="0.25">
      <c r="A46" s="76" t="s">
        <v>17</v>
      </c>
      <c r="B46" s="76" t="s">
        <v>56</v>
      </c>
      <c r="C46" s="76" t="s">
        <v>31</v>
      </c>
      <c r="D46" s="77">
        <v>10535</v>
      </c>
      <c r="E46" s="76">
        <v>25</v>
      </c>
      <c r="F46" s="77" t="s">
        <v>41</v>
      </c>
      <c r="G46" s="76" t="s">
        <v>42</v>
      </c>
      <c r="H46" s="76" t="s">
        <v>176</v>
      </c>
      <c r="I46" s="78" t="s">
        <v>75</v>
      </c>
    </row>
    <row r="47" spans="1:9" x14ac:dyDescent="0.25">
      <c r="A47" s="76" t="s">
        <v>17</v>
      </c>
      <c r="B47" s="76" t="s">
        <v>64</v>
      </c>
      <c r="C47" s="79" t="s">
        <v>32</v>
      </c>
      <c r="D47" s="77">
        <v>19375</v>
      </c>
      <c r="E47" s="76">
        <v>33.38177353342428</v>
      </c>
      <c r="F47" s="77" t="s">
        <v>46</v>
      </c>
      <c r="G47" s="76" t="s">
        <v>42</v>
      </c>
      <c r="H47" s="76" t="s">
        <v>176</v>
      </c>
      <c r="I47" s="78" t="s">
        <v>75</v>
      </c>
    </row>
    <row r="48" spans="1:9" x14ac:dyDescent="0.25">
      <c r="A48" s="76" t="s">
        <v>17</v>
      </c>
      <c r="B48" s="76" t="s">
        <v>67</v>
      </c>
      <c r="C48" s="79" t="s">
        <v>32</v>
      </c>
      <c r="D48" s="77">
        <v>19375</v>
      </c>
      <c r="E48" s="76">
        <v>404.62755798090041</v>
      </c>
      <c r="F48" s="77" t="s">
        <v>46</v>
      </c>
      <c r="G48" s="76" t="s">
        <v>42</v>
      </c>
      <c r="H48" s="76" t="s">
        <v>177</v>
      </c>
      <c r="I48" s="78" t="s">
        <v>75</v>
      </c>
    </row>
    <row r="49" spans="1:12" ht="15.75" thickBot="1" x14ac:dyDescent="0.3">
      <c r="A49" s="80" t="s">
        <v>17</v>
      </c>
      <c r="B49" s="80" t="s">
        <v>68</v>
      </c>
      <c r="C49" s="81" t="s">
        <v>37</v>
      </c>
      <c r="D49" s="80">
        <v>20279</v>
      </c>
      <c r="E49" s="80">
        <v>5</v>
      </c>
      <c r="F49" s="80" t="s">
        <v>45</v>
      </c>
      <c r="G49" s="80" t="s">
        <v>42</v>
      </c>
      <c r="H49" s="80" t="s">
        <v>177</v>
      </c>
      <c r="I49" s="82" t="s">
        <v>75</v>
      </c>
    </row>
    <row r="50" spans="1:12" ht="15.75" thickTop="1" x14ac:dyDescent="0.25">
      <c r="A50" s="86" t="s">
        <v>20</v>
      </c>
      <c r="B50" s="86" t="s">
        <v>50</v>
      </c>
      <c r="C50" s="86" t="s">
        <v>30</v>
      </c>
      <c r="D50" s="87">
        <v>10392</v>
      </c>
      <c r="E50" s="86">
        <f>(40*6+27+250*3+20*2+30*2+20+(22*6+65*3)+0.125*20)/1000*287.5</f>
        <v>421.61874999999998</v>
      </c>
      <c r="F50" s="87" t="s">
        <v>43</v>
      </c>
      <c r="G50" s="86" t="s">
        <v>42</v>
      </c>
      <c r="H50" s="86" t="s">
        <v>178</v>
      </c>
      <c r="I50" s="88" t="s">
        <v>75</v>
      </c>
      <c r="K50" t="s">
        <v>127</v>
      </c>
    </row>
    <row r="51" spans="1:12" x14ac:dyDescent="0.25">
      <c r="A51" s="89" t="s">
        <v>20</v>
      </c>
      <c r="B51" s="89" t="s">
        <v>50</v>
      </c>
      <c r="C51" s="89" t="s">
        <v>27</v>
      </c>
      <c r="D51" s="89">
        <v>24824</v>
      </c>
      <c r="E51" s="89">
        <f>(2.2+3.2)/2*16</f>
        <v>43.2</v>
      </c>
      <c r="F51" s="90" t="s">
        <v>43</v>
      </c>
      <c r="G51" s="89" t="s">
        <v>42</v>
      </c>
      <c r="H51" s="89" t="s">
        <v>178</v>
      </c>
      <c r="I51" s="91" t="s">
        <v>75</v>
      </c>
    </row>
    <row r="52" spans="1:12" ht="15.75" thickBot="1" x14ac:dyDescent="0.3">
      <c r="A52" s="92" t="s">
        <v>20</v>
      </c>
      <c r="B52" s="92" t="s">
        <v>50</v>
      </c>
      <c r="C52" s="92" t="s">
        <v>27</v>
      </c>
      <c r="D52" s="92">
        <v>24824</v>
      </c>
      <c r="E52" s="92">
        <f>(2.2+3.2)/2*35</f>
        <v>94.5</v>
      </c>
      <c r="F52" s="93" t="s">
        <v>43</v>
      </c>
      <c r="G52" s="92" t="s">
        <v>42</v>
      </c>
      <c r="H52" s="92" t="s">
        <v>178</v>
      </c>
      <c r="I52" s="94" t="s">
        <v>75</v>
      </c>
    </row>
    <row r="53" spans="1:12" ht="15.75" thickTop="1" x14ac:dyDescent="0.25">
      <c r="A53" s="96" t="s">
        <v>120</v>
      </c>
      <c r="B53" s="96" t="s">
        <v>122</v>
      </c>
      <c r="C53" s="96" t="s">
        <v>121</v>
      </c>
      <c r="D53" s="96">
        <v>23108</v>
      </c>
      <c r="E53" s="96">
        <f>-16000*31/100</f>
        <v>-4960</v>
      </c>
      <c r="F53" s="97" t="s">
        <v>6</v>
      </c>
      <c r="G53" s="96" t="s">
        <v>42</v>
      </c>
      <c r="H53" s="96" t="s">
        <v>178</v>
      </c>
      <c r="I53" s="98" t="s">
        <v>75</v>
      </c>
      <c r="K53" t="s">
        <v>123</v>
      </c>
    </row>
    <row r="54" spans="1:12" x14ac:dyDescent="0.25">
      <c r="A54" s="96" t="s">
        <v>120</v>
      </c>
      <c r="B54" s="96" t="s">
        <v>125</v>
      </c>
      <c r="C54" s="99" t="s">
        <v>142</v>
      </c>
      <c r="D54" s="96">
        <v>23630</v>
      </c>
      <c r="E54" s="100">
        <f>-(40*6+250*3+2.3*14)*5/100</f>
        <v>-51.11</v>
      </c>
      <c r="F54" s="97" t="s">
        <v>6</v>
      </c>
      <c r="G54" s="96" t="s">
        <v>42</v>
      </c>
      <c r="H54" s="96" t="s">
        <v>178</v>
      </c>
      <c r="I54" s="98" t="s">
        <v>75</v>
      </c>
      <c r="K54" t="s">
        <v>124</v>
      </c>
    </row>
    <row r="55" spans="1:12" x14ac:dyDescent="0.25">
      <c r="A55" s="96" t="s">
        <v>120</v>
      </c>
      <c r="B55" s="96" t="s">
        <v>128</v>
      </c>
      <c r="C55" s="96" t="s">
        <v>134</v>
      </c>
      <c r="D55" s="96">
        <v>25674</v>
      </c>
      <c r="E55" s="96">
        <f>-(64+54+54)*18.3/100</f>
        <v>-31.475999999999999</v>
      </c>
      <c r="F55" s="97" t="s">
        <v>6</v>
      </c>
      <c r="G55" s="96" t="s">
        <v>42</v>
      </c>
      <c r="H55" s="96" t="s">
        <v>178</v>
      </c>
      <c r="I55" s="98" t="s">
        <v>75</v>
      </c>
      <c r="K55" s="95" t="s">
        <v>180</v>
      </c>
    </row>
    <row r="56" spans="1:12" x14ac:dyDescent="0.25">
      <c r="A56" s="96" t="s">
        <v>120</v>
      </c>
      <c r="B56" s="96" t="s">
        <v>129</v>
      </c>
      <c r="C56" s="96" t="s">
        <v>135</v>
      </c>
      <c r="D56" s="96">
        <v>5975</v>
      </c>
      <c r="E56" s="96">
        <f>-(64+54+54)*81.7/100</f>
        <v>-140.524</v>
      </c>
      <c r="F56" s="97" t="s">
        <v>6</v>
      </c>
      <c r="G56" s="96" t="s">
        <v>42</v>
      </c>
      <c r="H56" s="96" t="s">
        <v>178</v>
      </c>
      <c r="I56" s="98" t="s">
        <v>75</v>
      </c>
      <c r="K56" s="95" t="s">
        <v>132</v>
      </c>
    </row>
    <row r="57" spans="1:12" x14ac:dyDescent="0.25">
      <c r="A57" s="96" t="s">
        <v>120</v>
      </c>
      <c r="B57" s="96" t="s">
        <v>130</v>
      </c>
      <c r="C57" s="96" t="s">
        <v>134</v>
      </c>
      <c r="D57" s="96">
        <v>25674</v>
      </c>
      <c r="E57" s="96">
        <f>-((3.2+0.8+0.8)*20/100)*18.3/100</f>
        <v>-0.17568</v>
      </c>
      <c r="F57" s="97" t="s">
        <v>6</v>
      </c>
      <c r="G57" s="96" t="s">
        <v>42</v>
      </c>
      <c r="H57" s="96" t="s">
        <v>178</v>
      </c>
      <c r="I57" s="98" t="s">
        <v>75</v>
      </c>
      <c r="K57" t="s">
        <v>133</v>
      </c>
    </row>
    <row r="58" spans="1:12" x14ac:dyDescent="0.25">
      <c r="A58" s="96" t="s">
        <v>120</v>
      </c>
      <c r="B58" s="96" t="s">
        <v>131</v>
      </c>
      <c r="C58" s="96" t="s">
        <v>135</v>
      </c>
      <c r="D58" s="96">
        <v>5975</v>
      </c>
      <c r="E58" s="96">
        <f>-((3.2+0.8+0.8)*20/100)*81.7/100</f>
        <v>-0.78432000000000002</v>
      </c>
      <c r="F58" s="97" t="s">
        <v>6</v>
      </c>
      <c r="G58" s="96" t="s">
        <v>42</v>
      </c>
      <c r="H58" s="96" t="s">
        <v>178</v>
      </c>
      <c r="I58" s="98" t="s">
        <v>75</v>
      </c>
      <c r="K58" t="s">
        <v>136</v>
      </c>
    </row>
    <row r="59" spans="1:12" x14ac:dyDescent="0.25">
      <c r="A59" s="96" t="s">
        <v>120</v>
      </c>
      <c r="B59" s="96" t="s">
        <v>137</v>
      </c>
      <c r="C59" s="96" t="s">
        <v>134</v>
      </c>
      <c r="D59" s="96">
        <v>25674</v>
      </c>
      <c r="E59" s="96">
        <f>-((327+5)*20/100)*18.3/100</f>
        <v>-12.151200000000001</v>
      </c>
      <c r="F59" s="97" t="s">
        <v>6</v>
      </c>
      <c r="G59" s="96" t="s">
        <v>42</v>
      </c>
      <c r="H59" s="96" t="s">
        <v>178</v>
      </c>
      <c r="I59" s="98" t="s">
        <v>75</v>
      </c>
      <c r="K59" s="95" t="s">
        <v>139</v>
      </c>
      <c r="L59" t="s">
        <v>140</v>
      </c>
    </row>
    <row r="60" spans="1:12" x14ac:dyDescent="0.25">
      <c r="A60" s="96" t="s">
        <v>120</v>
      </c>
      <c r="B60" s="96" t="s">
        <v>138</v>
      </c>
      <c r="C60" s="96" t="s">
        <v>135</v>
      </c>
      <c r="D60" s="96">
        <v>5975</v>
      </c>
      <c r="E60" s="96">
        <f>-((327+5)*20/100)*81.7/100</f>
        <v>-54.24880000000001</v>
      </c>
      <c r="F60" s="97" t="s">
        <v>6</v>
      </c>
      <c r="G60" s="96" t="s">
        <v>42</v>
      </c>
      <c r="H60" s="96" t="s">
        <v>178</v>
      </c>
      <c r="I60" s="98" t="s">
        <v>75</v>
      </c>
      <c r="K60" t="s">
        <v>141</v>
      </c>
    </row>
    <row r="61" spans="1:12" x14ac:dyDescent="0.25">
      <c r="A61" s="1"/>
      <c r="B61" s="1"/>
      <c r="C61" s="1"/>
      <c r="D61" s="1"/>
      <c r="E61" s="1"/>
      <c r="F61" s="3"/>
      <c r="G61" s="1"/>
      <c r="H61" s="1"/>
      <c r="I61" s="12"/>
      <c r="K61" t="s">
        <v>145</v>
      </c>
    </row>
    <row r="62" spans="1:12" x14ac:dyDescent="0.25">
      <c r="A62" s="1"/>
      <c r="B62" s="1"/>
      <c r="C62" s="1"/>
      <c r="D62" s="1"/>
      <c r="E62" s="1"/>
      <c r="F62" s="3"/>
      <c r="G62" s="1"/>
      <c r="H62" s="1"/>
      <c r="I62" s="12"/>
    </row>
    <row r="63" spans="1:12" x14ac:dyDescent="0.25">
      <c r="A63" s="1"/>
      <c r="B63" s="1"/>
      <c r="C63" s="1"/>
      <c r="D63" s="1"/>
      <c r="E63" s="1"/>
      <c r="F63" s="3"/>
      <c r="G63" s="1"/>
      <c r="H63" s="1"/>
      <c r="I63" s="12"/>
    </row>
    <row r="64" spans="1:12" x14ac:dyDescent="0.25">
      <c r="A64" s="1"/>
      <c r="B64" s="1"/>
      <c r="C64" s="1"/>
      <c r="D64" s="1"/>
      <c r="E64" s="1"/>
      <c r="F64" s="3"/>
      <c r="G64" s="1"/>
      <c r="H64" s="1"/>
      <c r="I64" s="12"/>
    </row>
  </sheetData>
  <mergeCells count="4">
    <mergeCell ref="L19:X26"/>
    <mergeCell ref="K1:AE3"/>
    <mergeCell ref="AF1:AM5"/>
    <mergeCell ref="T5:V8"/>
  </mergeCells>
  <hyperlinks>
    <hyperlink ref="K56" r:id="rId1" xr:uid="{068A5C98-868B-41C6-A0D3-0F40E5441C8C}"/>
    <hyperlink ref="K59" r:id="rId2" xr:uid="{9AF070D5-6D74-4BE6-9CFF-2543F85D47B7}"/>
    <hyperlink ref="K55" r:id="rId3" xr:uid="{FBFF0251-6BDF-4CAB-AA9A-47676433A155}"/>
  </hyperlinks>
  <pageMargins left="0.7" right="0.7" top="0.75" bottom="0.75" header="0.3" footer="0.3"/>
  <pageSetup paperSize="9" orientation="portrait" horizontalDpi="360" verticalDpi="36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activities_finale</vt:lpstr>
      <vt:lpstr>exchanges_finale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Frigerio</dc:creator>
  <cp:lastModifiedBy>Francesco Frigerio</cp:lastModifiedBy>
  <dcterms:created xsi:type="dcterms:W3CDTF">2023-11-09T09:03:18Z</dcterms:created>
  <dcterms:modified xsi:type="dcterms:W3CDTF">2024-04-07T13:25:06Z</dcterms:modified>
</cp:coreProperties>
</file>