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Fragolan Soporte\Inventario Diario\"/>
    </mc:Choice>
  </mc:AlternateContent>
  <xr:revisionPtr revIDLastSave="0" documentId="13_ncr:1_{F332576E-F390-4BAE-87C3-584D54DC55C0}" xr6:coauthVersionLast="47" xr6:coauthVersionMax="47" xr10:uidLastSave="{00000000-0000-0000-0000-000000000000}"/>
  <bookViews>
    <workbookView xWindow="7650" yWindow="0" windowWidth="50160" windowHeight="15405" xr2:uid="{188015EC-A2F2-408F-9B9A-13FA5D06200B}"/>
  </bookViews>
  <sheets>
    <sheet name="INVENTARIO" sheetId="1" r:id="rId1"/>
    <sheet name="SFV ISLA 2.2kWh" sheetId="3" r:id="rId2"/>
    <sheet name="CALCUL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2" i="1" l="1"/>
  <c r="AB42" i="1"/>
  <c r="W42" i="1"/>
  <c r="X42" i="1" s="1"/>
  <c r="Y42" i="1" s="1"/>
  <c r="S42" i="1"/>
  <c r="J42" i="1"/>
  <c r="J35" i="1"/>
  <c r="J34" i="1"/>
  <c r="J33" i="1"/>
  <c r="AI35" i="1"/>
  <c r="AB35" i="1"/>
  <c r="W35" i="1"/>
  <c r="X35" i="1" s="1"/>
  <c r="Y35" i="1" s="1"/>
  <c r="S35" i="1"/>
  <c r="AI34" i="1"/>
  <c r="AB34" i="1"/>
  <c r="W34" i="1"/>
  <c r="X34" i="1" s="1"/>
  <c r="Y34" i="1" s="1"/>
  <c r="S34" i="1"/>
  <c r="AI33" i="1"/>
  <c r="AB33" i="1"/>
  <c r="W33" i="1"/>
  <c r="X33" i="1" s="1"/>
  <c r="Y33" i="1" s="1"/>
  <c r="S33" i="1"/>
  <c r="S152" i="1"/>
  <c r="S151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06" i="1"/>
  <c r="S105" i="1"/>
  <c r="S104" i="1"/>
  <c r="S103" i="1"/>
  <c r="S102" i="1"/>
  <c r="S101" i="1"/>
  <c r="S100" i="1"/>
  <c r="S99" i="1"/>
  <c r="S97" i="1"/>
  <c r="S96" i="1"/>
  <c r="S95" i="1"/>
  <c r="S94" i="1"/>
  <c r="S93" i="1"/>
  <c r="S90" i="1"/>
  <c r="S89" i="1"/>
  <c r="S88" i="1"/>
  <c r="S87" i="1"/>
  <c r="S86" i="1"/>
  <c r="S85" i="1"/>
  <c r="S84" i="1"/>
  <c r="S91" i="1"/>
  <c r="S92" i="1"/>
  <c r="S98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81" i="1"/>
  <c r="S80" i="1"/>
  <c r="S79" i="1"/>
  <c r="S78" i="1"/>
  <c r="S77" i="1"/>
  <c r="S76" i="1"/>
  <c r="S75" i="1"/>
  <c r="S74" i="1"/>
  <c r="S73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3" i="1"/>
  <c r="S41" i="1"/>
  <c r="S40" i="1"/>
  <c r="S39" i="1"/>
  <c r="S38" i="1"/>
  <c r="S37" i="1"/>
  <c r="S36" i="1"/>
  <c r="S32" i="1"/>
  <c r="S31" i="1"/>
  <c r="S30" i="1"/>
  <c r="S29" i="1"/>
  <c r="S28" i="1"/>
  <c r="S27" i="1"/>
  <c r="S26" i="1"/>
  <c r="S25" i="1"/>
  <c r="S24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AI28" i="1"/>
  <c r="AB28" i="1"/>
  <c r="AG28" i="1" s="1"/>
  <c r="W28" i="1"/>
  <c r="X28" i="1" s="1"/>
  <c r="Y28" i="1" s="1"/>
  <c r="J28" i="1"/>
  <c r="AI29" i="1"/>
  <c r="AB29" i="1"/>
  <c r="AG29" i="1" s="1"/>
  <c r="W29" i="1"/>
  <c r="X29" i="1" s="1"/>
  <c r="Y29" i="1" s="1"/>
  <c r="AI27" i="1"/>
  <c r="AB27" i="1"/>
  <c r="AG27" i="1" s="1"/>
  <c r="W27" i="1"/>
  <c r="X27" i="1" s="1"/>
  <c r="Y27" i="1" s="1"/>
  <c r="AI26" i="1"/>
  <c r="AB26" i="1"/>
  <c r="AD26" i="1" s="1"/>
  <c r="W26" i="1"/>
  <c r="X26" i="1" s="1"/>
  <c r="Y26" i="1" s="1"/>
  <c r="AI25" i="1"/>
  <c r="AB25" i="1"/>
  <c r="AD25" i="1" s="1"/>
  <c r="W25" i="1"/>
  <c r="X25" i="1" s="1"/>
  <c r="Y25" i="1" s="1"/>
  <c r="A21" i="3"/>
  <c r="I21" i="3" s="1"/>
  <c r="A20" i="3"/>
  <c r="I20" i="3" s="1"/>
  <c r="J20" i="3" s="1"/>
  <c r="K20" i="3" s="1"/>
  <c r="A19" i="3"/>
  <c r="I19" i="3" s="1"/>
  <c r="J19" i="3" s="1"/>
  <c r="K19" i="3" s="1"/>
  <c r="A10" i="3"/>
  <c r="AI70" i="1"/>
  <c r="AB70" i="1"/>
  <c r="AG70" i="1" s="1"/>
  <c r="W70" i="1"/>
  <c r="X70" i="1" s="1"/>
  <c r="Y70" i="1" s="1"/>
  <c r="J70" i="1"/>
  <c r="AI69" i="1"/>
  <c r="AB69" i="1"/>
  <c r="W69" i="1"/>
  <c r="X69" i="1" s="1"/>
  <c r="Y69" i="1" s="1"/>
  <c r="J69" i="1"/>
  <c r="J55" i="1"/>
  <c r="J56" i="1"/>
  <c r="T55" i="1"/>
  <c r="T56" i="1"/>
  <c r="W55" i="1"/>
  <c r="X55" i="1" s="1"/>
  <c r="Y55" i="1" s="1"/>
  <c r="W56" i="1"/>
  <c r="X56" i="1" s="1"/>
  <c r="Y56" i="1" s="1"/>
  <c r="AG55" i="1"/>
  <c r="AH55" i="1" s="1"/>
  <c r="AG56" i="1"/>
  <c r="AH56" i="1" s="1"/>
  <c r="AI55" i="1"/>
  <c r="AI56" i="1"/>
  <c r="I98" i="1"/>
  <c r="H98" i="1"/>
  <c r="AI98" i="1"/>
  <c r="AB98" i="1"/>
  <c r="J6" i="1"/>
  <c r="A18" i="3"/>
  <c r="I18" i="3" s="1"/>
  <c r="A17" i="3"/>
  <c r="I17" i="3" s="1"/>
  <c r="J97" i="1"/>
  <c r="J96" i="1"/>
  <c r="AI95" i="1"/>
  <c r="AB95" i="1"/>
  <c r="AD95" i="1" s="1"/>
  <c r="H95" i="1"/>
  <c r="I95" i="1"/>
  <c r="H86" i="1"/>
  <c r="J94" i="1"/>
  <c r="J93" i="1"/>
  <c r="A14" i="3"/>
  <c r="I14" i="3" s="1"/>
  <c r="N14" i="3"/>
  <c r="O14" i="3" s="1"/>
  <c r="A15" i="3"/>
  <c r="I15" i="3" s="1"/>
  <c r="N15" i="3"/>
  <c r="O15" i="3" s="1"/>
  <c r="N24" i="3"/>
  <c r="O24" i="3" s="1"/>
  <c r="I24" i="3"/>
  <c r="N23" i="3"/>
  <c r="O23" i="3" s="1"/>
  <c r="I23" i="3"/>
  <c r="P22" i="3"/>
  <c r="O22" i="3"/>
  <c r="N22" i="3"/>
  <c r="L22" i="3"/>
  <c r="K22" i="3"/>
  <c r="J22" i="3"/>
  <c r="I22" i="3"/>
  <c r="A16" i="3"/>
  <c r="I16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P28" i="3"/>
  <c r="O28" i="3"/>
  <c r="N28" i="3"/>
  <c r="L28" i="3"/>
  <c r="K28" i="3"/>
  <c r="J28" i="3"/>
  <c r="I28" i="3"/>
  <c r="P27" i="3"/>
  <c r="O27" i="3"/>
  <c r="N27" i="3"/>
  <c r="L27" i="3"/>
  <c r="K27" i="3"/>
  <c r="J27" i="3"/>
  <c r="I27" i="3"/>
  <c r="P26" i="3"/>
  <c r="O26" i="3"/>
  <c r="N26" i="3"/>
  <c r="L26" i="3"/>
  <c r="K26" i="3"/>
  <c r="J26" i="3"/>
  <c r="I26" i="3"/>
  <c r="P25" i="3"/>
  <c r="O25" i="3"/>
  <c r="N25" i="3"/>
  <c r="L25" i="3"/>
  <c r="K25" i="3"/>
  <c r="J25" i="3"/>
  <c r="I25" i="3"/>
  <c r="A9" i="3"/>
  <c r="I9" i="3" s="1"/>
  <c r="A12" i="3"/>
  <c r="I12" i="3" s="1"/>
  <c r="N12" i="3"/>
  <c r="O12" i="3" s="1"/>
  <c r="N11" i="3"/>
  <c r="O11" i="3" s="1"/>
  <c r="I11" i="3"/>
  <c r="N9" i="3"/>
  <c r="O9" i="3" s="1"/>
  <c r="I13" i="3"/>
  <c r="J13" i="3"/>
  <c r="K13" i="3"/>
  <c r="L13" i="3"/>
  <c r="N13" i="3"/>
  <c r="O13" i="3"/>
  <c r="P13" i="3"/>
  <c r="A35" i="3"/>
  <c r="I35" i="3" s="1"/>
  <c r="J35" i="3" s="1"/>
  <c r="A34" i="3"/>
  <c r="I34" i="3" s="1"/>
  <c r="P46" i="3"/>
  <c r="O46" i="3"/>
  <c r="N46" i="3"/>
  <c r="L46" i="3"/>
  <c r="K46" i="3"/>
  <c r="J46" i="3"/>
  <c r="I46" i="3"/>
  <c r="P45" i="3"/>
  <c r="O45" i="3"/>
  <c r="N45" i="3"/>
  <c r="L45" i="3"/>
  <c r="K45" i="3"/>
  <c r="J45" i="3"/>
  <c r="I45" i="3"/>
  <c r="P44" i="3"/>
  <c r="O44" i="3"/>
  <c r="N44" i="3"/>
  <c r="L44" i="3"/>
  <c r="K44" i="3"/>
  <c r="J44" i="3"/>
  <c r="I44" i="3"/>
  <c r="P43" i="3"/>
  <c r="O43" i="3"/>
  <c r="N43" i="3"/>
  <c r="L43" i="3"/>
  <c r="K43" i="3"/>
  <c r="J43" i="3"/>
  <c r="I43" i="3"/>
  <c r="P42" i="3"/>
  <c r="O42" i="3"/>
  <c r="N42" i="3"/>
  <c r="L42" i="3"/>
  <c r="K42" i="3"/>
  <c r="J42" i="3"/>
  <c r="I42" i="3"/>
  <c r="P41" i="3"/>
  <c r="O41" i="3"/>
  <c r="N41" i="3"/>
  <c r="L41" i="3"/>
  <c r="K41" i="3"/>
  <c r="J41" i="3"/>
  <c r="I41" i="3"/>
  <c r="P40" i="3"/>
  <c r="O40" i="3"/>
  <c r="N40" i="3"/>
  <c r="L40" i="3"/>
  <c r="K40" i="3"/>
  <c r="J40" i="3"/>
  <c r="I40" i="3"/>
  <c r="P39" i="3"/>
  <c r="O39" i="3"/>
  <c r="N39" i="3"/>
  <c r="L39" i="3"/>
  <c r="K39" i="3"/>
  <c r="J39" i="3"/>
  <c r="I39" i="3"/>
  <c r="P38" i="3"/>
  <c r="O38" i="3"/>
  <c r="N38" i="3"/>
  <c r="L38" i="3"/>
  <c r="K38" i="3"/>
  <c r="J38" i="3"/>
  <c r="I38" i="3"/>
  <c r="P37" i="3"/>
  <c r="O37" i="3"/>
  <c r="N37" i="3"/>
  <c r="L37" i="3"/>
  <c r="K37" i="3"/>
  <c r="J37" i="3"/>
  <c r="I37" i="3"/>
  <c r="P36" i="3"/>
  <c r="O36" i="3"/>
  <c r="N36" i="3"/>
  <c r="L36" i="3"/>
  <c r="K36" i="3"/>
  <c r="J36" i="3"/>
  <c r="I36" i="3"/>
  <c r="N35" i="3"/>
  <c r="O35" i="3" s="1"/>
  <c r="N34" i="3"/>
  <c r="O34" i="3" s="1"/>
  <c r="P33" i="3"/>
  <c r="O33" i="3"/>
  <c r="N33" i="3"/>
  <c r="L33" i="3"/>
  <c r="K33" i="3"/>
  <c r="J33" i="3"/>
  <c r="I33" i="3"/>
  <c r="J137" i="1"/>
  <c r="W137" i="1"/>
  <c r="X137" i="1" s="1"/>
  <c r="Y137" i="1" s="1"/>
  <c r="AB137" i="1"/>
  <c r="AG137" i="1" s="1"/>
  <c r="AI137" i="1"/>
  <c r="J138" i="1"/>
  <c r="W138" i="1"/>
  <c r="X138" i="1" s="1"/>
  <c r="Y138" i="1" s="1"/>
  <c r="AB138" i="1"/>
  <c r="AD138" i="1" s="1"/>
  <c r="J139" i="1"/>
  <c r="W139" i="1"/>
  <c r="X139" i="1" s="1"/>
  <c r="Y139" i="1" s="1"/>
  <c r="AB139" i="1"/>
  <c r="AD139" i="1" s="1"/>
  <c r="J140" i="1"/>
  <c r="W140" i="1"/>
  <c r="X140" i="1" s="1"/>
  <c r="Y140" i="1" s="1"/>
  <c r="AB140" i="1"/>
  <c r="AG140" i="1" s="1"/>
  <c r="J141" i="1"/>
  <c r="W141" i="1"/>
  <c r="X141" i="1" s="1"/>
  <c r="Y141" i="1" s="1"/>
  <c r="AB141" i="1"/>
  <c r="AD141" i="1" s="1"/>
  <c r="J142" i="1"/>
  <c r="W142" i="1"/>
  <c r="X142" i="1" s="1"/>
  <c r="Y142" i="1" s="1"/>
  <c r="AB142" i="1"/>
  <c r="AD142" i="1" s="1"/>
  <c r="J143" i="1"/>
  <c r="W143" i="1"/>
  <c r="X143" i="1" s="1"/>
  <c r="Y143" i="1" s="1"/>
  <c r="AB143" i="1"/>
  <c r="AD143" i="1" s="1"/>
  <c r="J144" i="1"/>
  <c r="W144" i="1"/>
  <c r="X144" i="1" s="1"/>
  <c r="Y144" i="1" s="1"/>
  <c r="AB144" i="1"/>
  <c r="AG144" i="1" s="1"/>
  <c r="J145" i="1"/>
  <c r="W145" i="1"/>
  <c r="X145" i="1" s="1"/>
  <c r="Y145" i="1" s="1"/>
  <c r="AB145" i="1"/>
  <c r="AD145" i="1" s="1"/>
  <c r="J146" i="1"/>
  <c r="W146" i="1"/>
  <c r="X146" i="1" s="1"/>
  <c r="Y146" i="1" s="1"/>
  <c r="AB146" i="1"/>
  <c r="AD146" i="1" s="1"/>
  <c r="J147" i="1"/>
  <c r="W147" i="1"/>
  <c r="X147" i="1" s="1"/>
  <c r="Y147" i="1" s="1"/>
  <c r="AB147" i="1"/>
  <c r="AG147" i="1" s="1"/>
  <c r="J148" i="1"/>
  <c r="W148" i="1"/>
  <c r="X148" i="1" s="1"/>
  <c r="Y148" i="1" s="1"/>
  <c r="AB148" i="1"/>
  <c r="AG148" i="1" s="1"/>
  <c r="J149" i="1"/>
  <c r="W149" i="1"/>
  <c r="X149" i="1" s="1"/>
  <c r="Y149" i="1" s="1"/>
  <c r="AB149" i="1"/>
  <c r="H92" i="1"/>
  <c r="I8" i="3"/>
  <c r="J8" i="3" s="1"/>
  <c r="K8" i="3" s="1"/>
  <c r="L3" i="3"/>
  <c r="N32" i="3"/>
  <c r="O32" i="3" s="1"/>
  <c r="I32" i="3"/>
  <c r="N30" i="3"/>
  <c r="O30" i="3" s="1"/>
  <c r="I30" i="3"/>
  <c r="J30" i="3" s="1"/>
  <c r="N29" i="3"/>
  <c r="O29" i="3" s="1"/>
  <c r="I29" i="3"/>
  <c r="N10" i="3"/>
  <c r="O10" i="3" s="1"/>
  <c r="I10" i="3"/>
  <c r="N8" i="3"/>
  <c r="O8" i="3" s="1"/>
  <c r="H2" i="3"/>
  <c r="AI7" i="1"/>
  <c r="AB7" i="1"/>
  <c r="AG7" i="1" s="1"/>
  <c r="W7" i="1"/>
  <c r="X7" i="1" s="1"/>
  <c r="Y7" i="1" s="1"/>
  <c r="J7" i="1"/>
  <c r="AD42" i="1" l="1"/>
  <c r="AG42" i="1"/>
  <c r="AD35" i="1"/>
  <c r="AG35" i="1"/>
  <c r="AD34" i="1"/>
  <c r="AG34" i="1"/>
  <c r="AD33" i="1"/>
  <c r="AG33" i="1"/>
  <c r="AD28" i="1"/>
  <c r="AH28" i="1" s="1"/>
  <c r="AJ28" i="1" s="1"/>
  <c r="V28" i="1" s="1"/>
  <c r="T28" i="1" s="1"/>
  <c r="AG25" i="1"/>
  <c r="J95" i="1"/>
  <c r="AD27" i="1"/>
  <c r="AH27" i="1" s="1"/>
  <c r="AJ27" i="1" s="1"/>
  <c r="V27" i="1" s="1"/>
  <c r="AG26" i="1"/>
  <c r="AH26" i="1" s="1"/>
  <c r="AJ26" i="1" s="1"/>
  <c r="V26" i="1" s="1"/>
  <c r="AH25" i="1"/>
  <c r="AJ25" i="1" s="1"/>
  <c r="V25" i="1" s="1"/>
  <c r="AD29" i="1"/>
  <c r="AH29" i="1" s="1"/>
  <c r="AJ29" i="1" s="1"/>
  <c r="V29" i="1" s="1"/>
  <c r="J98" i="1"/>
  <c r="W98" i="1"/>
  <c r="X98" i="1" s="1"/>
  <c r="Y98" i="1" s="1"/>
  <c r="AD70" i="1"/>
  <c r="AH70" i="1" s="1"/>
  <c r="AJ70" i="1" s="1"/>
  <c r="V70" i="1" s="1"/>
  <c r="T70" i="1" s="1"/>
  <c r="AD69" i="1"/>
  <c r="AG69" i="1"/>
  <c r="AD98" i="1"/>
  <c r="AG98" i="1"/>
  <c r="AD144" i="1"/>
  <c r="AH144" i="1" s="1"/>
  <c r="AJ144" i="1" s="1"/>
  <c r="V144" i="1" s="1"/>
  <c r="T144" i="1" s="1"/>
  <c r="AG95" i="1"/>
  <c r="AH95" i="1" s="1"/>
  <c r="AJ95" i="1" s="1"/>
  <c r="AD140" i="1"/>
  <c r="AH140" i="1" s="1"/>
  <c r="AJ140" i="1" s="1"/>
  <c r="V140" i="1" s="1"/>
  <c r="T140" i="1" s="1"/>
  <c r="W95" i="1"/>
  <c r="X95" i="1" s="1"/>
  <c r="Y95" i="1" s="1"/>
  <c r="AD147" i="1"/>
  <c r="AH147" i="1" s="1"/>
  <c r="AJ147" i="1" s="1"/>
  <c r="V147" i="1" s="1"/>
  <c r="T147" i="1" s="1"/>
  <c r="AG139" i="1"/>
  <c r="AH139" i="1" s="1"/>
  <c r="AJ139" i="1" s="1"/>
  <c r="V139" i="1" s="1"/>
  <c r="T139" i="1" s="1"/>
  <c r="AG146" i="1"/>
  <c r="AH146" i="1" s="1"/>
  <c r="AJ146" i="1" s="1"/>
  <c r="V146" i="1" s="1"/>
  <c r="T146" i="1" s="1"/>
  <c r="J14" i="3"/>
  <c r="K14" i="3" s="1"/>
  <c r="L14" i="3" s="1"/>
  <c r="P14" i="3" s="1"/>
  <c r="J15" i="3"/>
  <c r="K15" i="3" s="1"/>
  <c r="L15" i="3" s="1"/>
  <c r="P15" i="3" s="1"/>
  <c r="J24" i="3"/>
  <c r="K24" i="3" s="1"/>
  <c r="L24" i="3" s="1"/>
  <c r="P24" i="3" s="1"/>
  <c r="J23" i="3"/>
  <c r="K23" i="3" s="1"/>
  <c r="L23" i="3" s="1"/>
  <c r="P23" i="3" s="1"/>
  <c r="L19" i="3"/>
  <c r="P19" i="3" s="1"/>
  <c r="L20" i="3"/>
  <c r="P20" i="3" s="1"/>
  <c r="J17" i="3"/>
  <c r="K17" i="3" s="1"/>
  <c r="L17" i="3" s="1"/>
  <c r="P17" i="3" s="1"/>
  <c r="J16" i="3"/>
  <c r="K16" i="3" s="1"/>
  <c r="L16" i="3" s="1"/>
  <c r="P16" i="3" s="1"/>
  <c r="J21" i="3"/>
  <c r="K21" i="3" s="1"/>
  <c r="L21" i="3" s="1"/>
  <c r="P21" i="3" s="1"/>
  <c r="J18" i="3"/>
  <c r="K18" i="3" s="1"/>
  <c r="L18" i="3" s="1"/>
  <c r="P18" i="3" s="1"/>
  <c r="J12" i="3"/>
  <c r="K12" i="3" s="1"/>
  <c r="L12" i="3" s="1"/>
  <c r="P12" i="3" s="1"/>
  <c r="J11" i="3"/>
  <c r="K11" i="3" s="1"/>
  <c r="L11" i="3" s="1"/>
  <c r="P11" i="3" s="1"/>
  <c r="J9" i="3"/>
  <c r="K9" i="3" s="1"/>
  <c r="L9" i="3" s="1"/>
  <c r="P9" i="3" s="1"/>
  <c r="K35" i="3"/>
  <c r="L35" i="3" s="1"/>
  <c r="P35" i="3" s="1"/>
  <c r="J34" i="3"/>
  <c r="K34" i="3" s="1"/>
  <c r="L34" i="3" s="1"/>
  <c r="P34" i="3" s="1"/>
  <c r="K30" i="3"/>
  <c r="L30" i="3" s="1"/>
  <c r="P30" i="3" s="1"/>
  <c r="AD148" i="1"/>
  <c r="AH148" i="1" s="1"/>
  <c r="AJ148" i="1" s="1"/>
  <c r="V148" i="1" s="1"/>
  <c r="T148" i="1" s="1"/>
  <c r="AG142" i="1"/>
  <c r="AH142" i="1" s="1"/>
  <c r="AJ142" i="1" s="1"/>
  <c r="V142" i="1" s="1"/>
  <c r="T142" i="1" s="1"/>
  <c r="AG143" i="1"/>
  <c r="AH143" i="1" s="1"/>
  <c r="AJ143" i="1" s="1"/>
  <c r="V143" i="1" s="1"/>
  <c r="T143" i="1" s="1"/>
  <c r="AG138" i="1"/>
  <c r="AH138" i="1" s="1"/>
  <c r="AJ138" i="1" s="1"/>
  <c r="V138" i="1" s="1"/>
  <c r="T138" i="1" s="1"/>
  <c r="AG149" i="1"/>
  <c r="AD149" i="1"/>
  <c r="AD137" i="1"/>
  <c r="AH137" i="1" s="1"/>
  <c r="AJ137" i="1" s="1"/>
  <c r="V137" i="1" s="1"/>
  <c r="T137" i="1" s="1"/>
  <c r="AG145" i="1"/>
  <c r="AH145" i="1" s="1"/>
  <c r="AJ145" i="1" s="1"/>
  <c r="V145" i="1" s="1"/>
  <c r="T145" i="1" s="1"/>
  <c r="AG141" i="1"/>
  <c r="AH141" i="1" s="1"/>
  <c r="AJ141" i="1" s="1"/>
  <c r="V141" i="1" s="1"/>
  <c r="T141" i="1" s="1"/>
  <c r="L8" i="3"/>
  <c r="P8" i="3" s="1"/>
  <c r="J10" i="3"/>
  <c r="K10" i="3" s="1"/>
  <c r="L10" i="3" s="1"/>
  <c r="P10" i="3" s="1"/>
  <c r="J29" i="3"/>
  <c r="K29" i="3" s="1"/>
  <c r="L29" i="3" s="1"/>
  <c r="P29" i="3" s="1"/>
  <c r="J32" i="3"/>
  <c r="K32" i="3" s="1"/>
  <c r="L32" i="3" s="1"/>
  <c r="P32" i="3" s="1"/>
  <c r="AD7" i="1"/>
  <c r="AH7" i="1" s="1"/>
  <c r="AJ7" i="1" s="1"/>
  <c r="V7" i="1" s="1"/>
  <c r="T7" i="1" s="1"/>
  <c r="AH42" i="1" l="1"/>
  <c r="AJ42" i="1" s="1"/>
  <c r="V42" i="1" s="1"/>
  <c r="T42" i="1" s="1"/>
  <c r="AH33" i="1"/>
  <c r="AJ33" i="1" s="1"/>
  <c r="V33" i="1" s="1"/>
  <c r="T33" i="1" s="1"/>
  <c r="AH34" i="1"/>
  <c r="AJ34" i="1" s="1"/>
  <c r="V34" i="1" s="1"/>
  <c r="T34" i="1" s="1"/>
  <c r="AH35" i="1"/>
  <c r="AJ35" i="1" s="1"/>
  <c r="V35" i="1" s="1"/>
  <c r="T35" i="1" s="1"/>
  <c r="AH69" i="1"/>
  <c r="AJ69" i="1" s="1"/>
  <c r="V69" i="1" s="1"/>
  <c r="T69" i="1" s="1"/>
  <c r="AH98" i="1"/>
  <c r="AJ98" i="1" s="1"/>
  <c r="V98" i="1" s="1"/>
  <c r="T98" i="1" s="1"/>
  <c r="AH149" i="1"/>
  <c r="AJ149" i="1" s="1"/>
  <c r="V149" i="1" s="1"/>
  <c r="T149" i="1" s="1"/>
  <c r="V95" i="1"/>
  <c r="T95" i="1" s="1"/>
  <c r="P2" i="3"/>
  <c r="J90" i="1"/>
  <c r="AI38" i="1" l="1"/>
  <c r="AB38" i="1"/>
  <c r="AG38" i="1" s="1"/>
  <c r="W38" i="1"/>
  <c r="X38" i="1" s="1"/>
  <c r="Y38" i="1" s="1"/>
  <c r="AI37" i="1"/>
  <c r="AB37" i="1"/>
  <c r="W37" i="1"/>
  <c r="X37" i="1" s="1"/>
  <c r="Y37" i="1" s="1"/>
  <c r="AI36" i="1"/>
  <c r="AB36" i="1"/>
  <c r="W36" i="1"/>
  <c r="X36" i="1" s="1"/>
  <c r="Y36" i="1" s="1"/>
  <c r="P32" i="1"/>
  <c r="P31" i="1"/>
  <c r="P30" i="1"/>
  <c r="AD38" i="1" l="1"/>
  <c r="AH38" i="1" s="1"/>
  <c r="AJ38" i="1" s="1"/>
  <c r="V38" i="1" s="1"/>
  <c r="T38" i="1" s="1"/>
  <c r="AD37" i="1"/>
  <c r="AG37" i="1"/>
  <c r="AD36" i="1"/>
  <c r="AG36" i="1"/>
  <c r="AH37" i="1" l="1"/>
  <c r="AJ37" i="1" s="1"/>
  <c r="V37" i="1" s="1"/>
  <c r="T37" i="1" s="1"/>
  <c r="AH36" i="1"/>
  <c r="AJ36" i="1" s="1"/>
  <c r="V36" i="1" l="1"/>
  <c r="T36" i="1" s="1"/>
  <c r="D13" i="2" l="1"/>
  <c r="AI75" i="1"/>
  <c r="AB75" i="1"/>
  <c r="AD75" i="1" s="1"/>
  <c r="W75" i="1"/>
  <c r="X75" i="1" s="1"/>
  <c r="Y75" i="1" s="1"/>
  <c r="J75" i="1"/>
  <c r="AI74" i="1"/>
  <c r="AB74" i="1"/>
  <c r="AD74" i="1" s="1"/>
  <c r="W74" i="1"/>
  <c r="X74" i="1" s="1"/>
  <c r="Y74" i="1" s="1"/>
  <c r="J74" i="1"/>
  <c r="AI76" i="1"/>
  <c r="AB76" i="1"/>
  <c r="W76" i="1"/>
  <c r="X76" i="1" s="1"/>
  <c r="Y76" i="1" s="1"/>
  <c r="J76" i="1"/>
  <c r="AI64" i="1"/>
  <c r="AI63" i="1"/>
  <c r="AI62" i="1"/>
  <c r="AI61" i="1"/>
  <c r="AI60" i="1"/>
  <c r="AI68" i="1"/>
  <c r="AB68" i="1"/>
  <c r="AG68" i="1" s="1"/>
  <c r="W68" i="1"/>
  <c r="X68" i="1" s="1"/>
  <c r="Y68" i="1" s="1"/>
  <c r="J68" i="1"/>
  <c r="AI59" i="1"/>
  <c r="AI58" i="1"/>
  <c r="AI57" i="1"/>
  <c r="AI54" i="1"/>
  <c r="AI52" i="1"/>
  <c r="AB52" i="1"/>
  <c r="AG52" i="1" s="1"/>
  <c r="W52" i="1"/>
  <c r="X52" i="1" s="1"/>
  <c r="Y52" i="1" s="1"/>
  <c r="J52" i="1"/>
  <c r="AI47" i="1"/>
  <c r="AB47" i="1"/>
  <c r="W47" i="1"/>
  <c r="X47" i="1" s="1"/>
  <c r="Y47" i="1" s="1"/>
  <c r="J47" i="1"/>
  <c r="AI48" i="1"/>
  <c r="AB48" i="1"/>
  <c r="J48" i="1"/>
  <c r="W48" i="1"/>
  <c r="X48" i="1" s="1"/>
  <c r="Y48" i="1" s="1"/>
  <c r="J25" i="1"/>
  <c r="J26" i="1"/>
  <c r="T25" i="1"/>
  <c r="T26" i="1"/>
  <c r="AB32" i="1"/>
  <c r="AB31" i="1"/>
  <c r="AG31" i="1" s="1"/>
  <c r="AB30" i="1"/>
  <c r="J27" i="1"/>
  <c r="J29" i="1"/>
  <c r="T27" i="1"/>
  <c r="T29" i="1"/>
  <c r="J36" i="1"/>
  <c r="J37" i="1"/>
  <c r="J38" i="1"/>
  <c r="AI49" i="1"/>
  <c r="AB49" i="1"/>
  <c r="W49" i="1"/>
  <c r="X49" i="1" s="1"/>
  <c r="Y49" i="1" s="1"/>
  <c r="J49" i="1"/>
  <c r="AI53" i="1"/>
  <c r="AI51" i="1"/>
  <c r="AB51" i="1"/>
  <c r="W51" i="1"/>
  <c r="X51" i="1" s="1"/>
  <c r="Y51" i="1" s="1"/>
  <c r="J51" i="1"/>
  <c r="AB64" i="1"/>
  <c r="AD64" i="1" s="1"/>
  <c r="W64" i="1"/>
  <c r="X64" i="1" s="1"/>
  <c r="Y64" i="1" s="1"/>
  <c r="J64" i="1"/>
  <c r="AB63" i="1"/>
  <c r="AG63" i="1" s="1"/>
  <c r="W63" i="1"/>
  <c r="X63" i="1" s="1"/>
  <c r="Y63" i="1" s="1"/>
  <c r="J63" i="1"/>
  <c r="AB62" i="1"/>
  <c r="AD62" i="1" s="1"/>
  <c r="W62" i="1"/>
  <c r="X62" i="1" s="1"/>
  <c r="Y62" i="1" s="1"/>
  <c r="J62" i="1"/>
  <c r="AB61" i="1"/>
  <c r="AG61" i="1" s="1"/>
  <c r="W61" i="1"/>
  <c r="X61" i="1" s="1"/>
  <c r="Y61" i="1" s="1"/>
  <c r="J61" i="1"/>
  <c r="AB60" i="1"/>
  <c r="AG60" i="1" s="1"/>
  <c r="W60" i="1"/>
  <c r="X60" i="1" s="1"/>
  <c r="Y60" i="1" s="1"/>
  <c r="J60" i="1"/>
  <c r="AB59" i="1"/>
  <c r="AG59" i="1" s="1"/>
  <c r="W59" i="1"/>
  <c r="X59" i="1" s="1"/>
  <c r="Y59" i="1" s="1"/>
  <c r="J59" i="1"/>
  <c r="AB58" i="1"/>
  <c r="AG58" i="1" s="1"/>
  <c r="W58" i="1"/>
  <c r="X58" i="1" s="1"/>
  <c r="Y58" i="1" s="1"/>
  <c r="J58" i="1"/>
  <c r="AB57" i="1"/>
  <c r="AG57" i="1" s="1"/>
  <c r="W57" i="1"/>
  <c r="X57" i="1" s="1"/>
  <c r="Y57" i="1" s="1"/>
  <c r="J57" i="1"/>
  <c r="AB54" i="1"/>
  <c r="AG54" i="1" s="1"/>
  <c r="W54" i="1"/>
  <c r="X54" i="1" s="1"/>
  <c r="Y54" i="1" s="1"/>
  <c r="J54" i="1"/>
  <c r="AB53" i="1"/>
  <c r="AG53" i="1" s="1"/>
  <c r="W53" i="1"/>
  <c r="X53" i="1" s="1"/>
  <c r="Y53" i="1" s="1"/>
  <c r="J53" i="1"/>
  <c r="AI50" i="1"/>
  <c r="J50" i="1"/>
  <c r="J46" i="1"/>
  <c r="AI46" i="1"/>
  <c r="AB50" i="1"/>
  <c r="AG50" i="1" s="1"/>
  <c r="W50" i="1"/>
  <c r="X50" i="1" s="1"/>
  <c r="Y50" i="1" s="1"/>
  <c r="AB46" i="1"/>
  <c r="W46" i="1"/>
  <c r="X46" i="1" s="1"/>
  <c r="Y46" i="1" s="1"/>
  <c r="AI152" i="1"/>
  <c r="AI151" i="1"/>
  <c r="W84" i="1"/>
  <c r="X84" i="1" s="1"/>
  <c r="Y84" i="1" s="1"/>
  <c r="W133" i="1"/>
  <c r="X133" i="1" s="1"/>
  <c r="Y133" i="1" s="1"/>
  <c r="W6" i="1"/>
  <c r="X6" i="1" s="1"/>
  <c r="Y6" i="1" s="1"/>
  <c r="AI130" i="1"/>
  <c r="AB130" i="1"/>
  <c r="AG130" i="1" s="1"/>
  <c r="AI129" i="1"/>
  <c r="AB129" i="1"/>
  <c r="AG129" i="1" s="1"/>
  <c r="AI128" i="1"/>
  <c r="AB128" i="1"/>
  <c r="AG128" i="1" s="1"/>
  <c r="AI127" i="1"/>
  <c r="AB127" i="1"/>
  <c r="AI126" i="1"/>
  <c r="AB126" i="1"/>
  <c r="AI125" i="1"/>
  <c r="AB125" i="1"/>
  <c r="AI124" i="1"/>
  <c r="AB124" i="1"/>
  <c r="AG124" i="1" s="1"/>
  <c r="AI123" i="1"/>
  <c r="AB123" i="1"/>
  <c r="AG123" i="1" s="1"/>
  <c r="AI122" i="1"/>
  <c r="AB122" i="1"/>
  <c r="AD122" i="1" s="1"/>
  <c r="AI121" i="1"/>
  <c r="AB121" i="1"/>
  <c r="AD121" i="1" s="1"/>
  <c r="AI120" i="1"/>
  <c r="AB120" i="1"/>
  <c r="AI119" i="1"/>
  <c r="AB119" i="1"/>
  <c r="AI118" i="1"/>
  <c r="AB118" i="1"/>
  <c r="AG118" i="1" s="1"/>
  <c r="AI117" i="1"/>
  <c r="AB117" i="1"/>
  <c r="AG117" i="1" s="1"/>
  <c r="AI116" i="1"/>
  <c r="AB116" i="1"/>
  <c r="AD116" i="1" s="1"/>
  <c r="AI115" i="1"/>
  <c r="AB115" i="1"/>
  <c r="AD115" i="1" s="1"/>
  <c r="AI114" i="1"/>
  <c r="AB114" i="1"/>
  <c r="AI113" i="1"/>
  <c r="AB113" i="1"/>
  <c r="AG113" i="1" s="1"/>
  <c r="AI112" i="1"/>
  <c r="AB112" i="1"/>
  <c r="AG112" i="1" s="1"/>
  <c r="AI111" i="1"/>
  <c r="AB111" i="1"/>
  <c r="AG111" i="1" s="1"/>
  <c r="AI110" i="1"/>
  <c r="AB110" i="1"/>
  <c r="AD110" i="1" s="1"/>
  <c r="AI109" i="1"/>
  <c r="AB109" i="1"/>
  <c r="AD109" i="1" s="1"/>
  <c r="AI108" i="1"/>
  <c r="AB108" i="1"/>
  <c r="AI107" i="1"/>
  <c r="AB107" i="1"/>
  <c r="AG107" i="1" s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AI92" i="1"/>
  <c r="AB92" i="1"/>
  <c r="I92" i="1"/>
  <c r="AI91" i="1"/>
  <c r="AB91" i="1"/>
  <c r="H91" i="1"/>
  <c r="I91" i="1"/>
  <c r="I86" i="1"/>
  <c r="W86" i="1" s="1"/>
  <c r="X86" i="1" s="1"/>
  <c r="Y86" i="1" s="1"/>
  <c r="AI86" i="1"/>
  <c r="AB86" i="1"/>
  <c r="AI80" i="1"/>
  <c r="AB80" i="1"/>
  <c r="AD80" i="1" s="1"/>
  <c r="W80" i="1"/>
  <c r="X80" i="1" s="1"/>
  <c r="Y80" i="1" s="1"/>
  <c r="J80" i="1"/>
  <c r="AI81" i="1"/>
  <c r="AI79" i="1"/>
  <c r="AI78" i="1"/>
  <c r="AI77" i="1"/>
  <c r="AI73" i="1"/>
  <c r="AI67" i="1"/>
  <c r="AI66" i="1"/>
  <c r="AI65" i="1"/>
  <c r="AB24" i="1"/>
  <c r="AG24" i="1" s="1"/>
  <c r="AI21" i="1"/>
  <c r="AI20" i="1"/>
  <c r="AI19" i="1"/>
  <c r="AI18" i="1"/>
  <c r="AI17" i="1"/>
  <c r="AI16" i="1"/>
  <c r="AI15" i="1"/>
  <c r="AI14" i="1"/>
  <c r="T150" i="1"/>
  <c r="T132" i="1"/>
  <c r="T131" i="1"/>
  <c r="T83" i="1"/>
  <c r="T82" i="1"/>
  <c r="T72" i="1"/>
  <c r="T71" i="1"/>
  <c r="T45" i="1"/>
  <c r="T44" i="1"/>
  <c r="T23" i="1"/>
  <c r="T22" i="1"/>
  <c r="AI6" i="1"/>
  <c r="AI8" i="1"/>
  <c r="AI9" i="1"/>
  <c r="AI10" i="1"/>
  <c r="AI11" i="1"/>
  <c r="AI12" i="1"/>
  <c r="AI13" i="1"/>
  <c r="AI24" i="1"/>
  <c r="AI39" i="1"/>
  <c r="AI40" i="1"/>
  <c r="AI41" i="1"/>
  <c r="AI43" i="1"/>
  <c r="AI84" i="1"/>
  <c r="AI85" i="1"/>
  <c r="AI87" i="1"/>
  <c r="AI88" i="1"/>
  <c r="AI99" i="1"/>
  <c r="AI100" i="1"/>
  <c r="AI101" i="1"/>
  <c r="AI102" i="1"/>
  <c r="AI103" i="1"/>
  <c r="AI104" i="1"/>
  <c r="AI133" i="1"/>
  <c r="AI134" i="1"/>
  <c r="AI135" i="1"/>
  <c r="AI136" i="1"/>
  <c r="W152" i="1"/>
  <c r="X152" i="1" s="1"/>
  <c r="Y152" i="1" s="1"/>
  <c r="W151" i="1"/>
  <c r="X151" i="1" s="1"/>
  <c r="Y151" i="1" s="1"/>
  <c r="W136" i="1"/>
  <c r="X136" i="1" s="1"/>
  <c r="Y136" i="1" s="1"/>
  <c r="W135" i="1"/>
  <c r="X135" i="1" s="1"/>
  <c r="Y135" i="1" s="1"/>
  <c r="W134" i="1"/>
  <c r="X134" i="1" s="1"/>
  <c r="Y134" i="1" s="1"/>
  <c r="W104" i="1"/>
  <c r="X104" i="1" s="1"/>
  <c r="Y104" i="1" s="1"/>
  <c r="W103" i="1"/>
  <c r="X103" i="1" s="1"/>
  <c r="Y103" i="1" s="1"/>
  <c r="W102" i="1"/>
  <c r="X102" i="1" s="1"/>
  <c r="Y102" i="1" s="1"/>
  <c r="W101" i="1"/>
  <c r="X101" i="1" s="1"/>
  <c r="Y101" i="1" s="1"/>
  <c r="W100" i="1"/>
  <c r="X100" i="1" s="1"/>
  <c r="Y100" i="1" s="1"/>
  <c r="W99" i="1"/>
  <c r="X99" i="1" s="1"/>
  <c r="Y99" i="1" s="1"/>
  <c r="W88" i="1"/>
  <c r="X88" i="1" s="1"/>
  <c r="Y88" i="1" s="1"/>
  <c r="W87" i="1"/>
  <c r="X87" i="1" s="1"/>
  <c r="Y87" i="1" s="1"/>
  <c r="W85" i="1"/>
  <c r="X85" i="1" s="1"/>
  <c r="Y85" i="1" s="1"/>
  <c r="W81" i="1"/>
  <c r="X81" i="1" s="1"/>
  <c r="Y81" i="1" s="1"/>
  <c r="W79" i="1"/>
  <c r="X79" i="1" s="1"/>
  <c r="Y79" i="1" s="1"/>
  <c r="W78" i="1"/>
  <c r="X78" i="1" s="1"/>
  <c r="Y78" i="1" s="1"/>
  <c r="W77" i="1"/>
  <c r="X77" i="1" s="1"/>
  <c r="Y77" i="1" s="1"/>
  <c r="W73" i="1"/>
  <c r="X73" i="1" s="1"/>
  <c r="Y73" i="1" s="1"/>
  <c r="W67" i="1"/>
  <c r="X67" i="1" s="1"/>
  <c r="Y67" i="1" s="1"/>
  <c r="W66" i="1"/>
  <c r="X66" i="1" s="1"/>
  <c r="Y66" i="1" s="1"/>
  <c r="W65" i="1"/>
  <c r="X65" i="1" s="1"/>
  <c r="Y65" i="1" s="1"/>
  <c r="W43" i="1"/>
  <c r="X43" i="1" s="1"/>
  <c r="Y43" i="1" s="1"/>
  <c r="W41" i="1"/>
  <c r="X41" i="1" s="1"/>
  <c r="Y41" i="1" s="1"/>
  <c r="W40" i="1"/>
  <c r="X40" i="1" s="1"/>
  <c r="Y40" i="1" s="1"/>
  <c r="W39" i="1"/>
  <c r="X39" i="1" s="1"/>
  <c r="Y39" i="1" s="1"/>
  <c r="W24" i="1"/>
  <c r="X24" i="1" s="1"/>
  <c r="Y24" i="1" s="1"/>
  <c r="W21" i="1"/>
  <c r="X21" i="1" s="1"/>
  <c r="Y21" i="1" s="1"/>
  <c r="W20" i="1"/>
  <c r="X20" i="1" s="1"/>
  <c r="Y20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Y16" i="1" s="1"/>
  <c r="W15" i="1"/>
  <c r="X15" i="1" s="1"/>
  <c r="Y15" i="1" s="1"/>
  <c r="W14" i="1"/>
  <c r="X14" i="1" s="1"/>
  <c r="Y14" i="1" s="1"/>
  <c r="W13" i="1"/>
  <c r="X13" i="1" s="1"/>
  <c r="Y13" i="1" s="1"/>
  <c r="W12" i="1"/>
  <c r="X12" i="1" s="1"/>
  <c r="Y12" i="1" s="1"/>
  <c r="W11" i="1"/>
  <c r="X11" i="1" s="1"/>
  <c r="Y11" i="1" s="1"/>
  <c r="W10" i="1"/>
  <c r="X10" i="1" s="1"/>
  <c r="Y10" i="1" s="1"/>
  <c r="W9" i="1"/>
  <c r="X9" i="1" s="1"/>
  <c r="Y9" i="1" s="1"/>
  <c r="W8" i="1"/>
  <c r="X8" i="1" s="1"/>
  <c r="Y8" i="1" s="1"/>
  <c r="AB152" i="1"/>
  <c r="AG152" i="1" s="1"/>
  <c r="AB151" i="1"/>
  <c r="AB136" i="1"/>
  <c r="AD136" i="1" s="1"/>
  <c r="AB135" i="1"/>
  <c r="AG135" i="1" s="1"/>
  <c r="AB134" i="1"/>
  <c r="AG134" i="1" s="1"/>
  <c r="AB133" i="1"/>
  <c r="AG133" i="1" s="1"/>
  <c r="AB104" i="1"/>
  <c r="AB103" i="1"/>
  <c r="AG103" i="1" s="1"/>
  <c r="AB102" i="1"/>
  <c r="AG102" i="1" s="1"/>
  <c r="AB101" i="1"/>
  <c r="AG101" i="1" s="1"/>
  <c r="AB100" i="1"/>
  <c r="AD100" i="1" s="1"/>
  <c r="AB99" i="1"/>
  <c r="AD99" i="1" s="1"/>
  <c r="AB88" i="1"/>
  <c r="AG88" i="1" s="1"/>
  <c r="AB87" i="1"/>
  <c r="AG87" i="1" s="1"/>
  <c r="AB85" i="1"/>
  <c r="AB84" i="1"/>
  <c r="AB81" i="1"/>
  <c r="AG81" i="1" s="1"/>
  <c r="AB79" i="1"/>
  <c r="AG79" i="1" s="1"/>
  <c r="AB78" i="1"/>
  <c r="AG78" i="1" s="1"/>
  <c r="AB77" i="1"/>
  <c r="AG77" i="1" s="1"/>
  <c r="AB73" i="1"/>
  <c r="AD73" i="1" s="1"/>
  <c r="AB67" i="1"/>
  <c r="AB66" i="1"/>
  <c r="AG66" i="1" s="1"/>
  <c r="AB65" i="1"/>
  <c r="AB43" i="1"/>
  <c r="AG43" i="1" s="1"/>
  <c r="AB41" i="1"/>
  <c r="AG41" i="1" s="1"/>
  <c r="AB40" i="1"/>
  <c r="AG40" i="1" s="1"/>
  <c r="AB39" i="1"/>
  <c r="AG39" i="1" s="1"/>
  <c r="AB8" i="1"/>
  <c r="AG8" i="1" s="1"/>
  <c r="AB9" i="1"/>
  <c r="AG9" i="1" s="1"/>
  <c r="AB10" i="1"/>
  <c r="AG10" i="1" s="1"/>
  <c r="AB11" i="1"/>
  <c r="AG11" i="1" s="1"/>
  <c r="AB12" i="1"/>
  <c r="AG12" i="1" s="1"/>
  <c r="AB13" i="1"/>
  <c r="AG13" i="1" s="1"/>
  <c r="AB14" i="1"/>
  <c r="AG14" i="1" s="1"/>
  <c r="AB15" i="1"/>
  <c r="AD15" i="1" s="1"/>
  <c r="AB16" i="1"/>
  <c r="AD16" i="1" s="1"/>
  <c r="AB17" i="1"/>
  <c r="AD17" i="1" s="1"/>
  <c r="AB18" i="1"/>
  <c r="AG18" i="1" s="1"/>
  <c r="AB19" i="1"/>
  <c r="AB20" i="1"/>
  <c r="AG20" i="1" s="1"/>
  <c r="AB21" i="1"/>
  <c r="AG21" i="1" s="1"/>
  <c r="AB6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152" i="1"/>
  <c r="J151" i="1"/>
  <c r="J136" i="1"/>
  <c r="J135" i="1"/>
  <c r="J134" i="1"/>
  <c r="J133" i="1"/>
  <c r="J106" i="1"/>
  <c r="J105" i="1"/>
  <c r="J104" i="1"/>
  <c r="J103" i="1"/>
  <c r="J102" i="1"/>
  <c r="J101" i="1"/>
  <c r="J100" i="1"/>
  <c r="J99" i="1"/>
  <c r="J89" i="1"/>
  <c r="J88" i="1"/>
  <c r="J87" i="1"/>
  <c r="J85" i="1"/>
  <c r="J84" i="1"/>
  <c r="J81" i="1"/>
  <c r="J79" i="1"/>
  <c r="J78" i="1"/>
  <c r="J77" i="1"/>
  <c r="J73" i="1"/>
  <c r="J67" i="1"/>
  <c r="J66" i="1"/>
  <c r="J65" i="1"/>
  <c r="J41" i="1"/>
  <c r="J40" i="1"/>
  <c r="J39" i="1"/>
  <c r="J24" i="1"/>
  <c r="J109" i="1" l="1"/>
  <c r="J92" i="1"/>
  <c r="J110" i="1"/>
  <c r="J122" i="1"/>
  <c r="W112" i="1"/>
  <c r="X112" i="1" s="1"/>
  <c r="Y112" i="1" s="1"/>
  <c r="J112" i="1"/>
  <c r="J124" i="1"/>
  <c r="W113" i="1"/>
  <c r="X113" i="1" s="1"/>
  <c r="Y113" i="1" s="1"/>
  <c r="J113" i="1"/>
  <c r="W125" i="1"/>
  <c r="X125" i="1" s="1"/>
  <c r="Y125" i="1" s="1"/>
  <c r="J125" i="1"/>
  <c r="W91" i="1"/>
  <c r="X91" i="1" s="1"/>
  <c r="Y91" i="1" s="1"/>
  <c r="J91" i="1"/>
  <c r="W111" i="1"/>
  <c r="X111" i="1" s="1"/>
  <c r="Y111" i="1" s="1"/>
  <c r="J111" i="1"/>
  <c r="J114" i="1"/>
  <c r="J126" i="1"/>
  <c r="W115" i="1"/>
  <c r="X115" i="1" s="1"/>
  <c r="Y115" i="1" s="1"/>
  <c r="J115" i="1"/>
  <c r="W127" i="1"/>
  <c r="X127" i="1" s="1"/>
  <c r="Y127" i="1" s="1"/>
  <c r="J127" i="1"/>
  <c r="W121" i="1"/>
  <c r="X121" i="1" s="1"/>
  <c r="Y121" i="1" s="1"/>
  <c r="J121" i="1"/>
  <c r="J116" i="1"/>
  <c r="W128" i="1"/>
  <c r="X128" i="1" s="1"/>
  <c r="Y128" i="1" s="1"/>
  <c r="J128" i="1"/>
  <c r="J117" i="1"/>
  <c r="W129" i="1"/>
  <c r="X129" i="1" s="1"/>
  <c r="Y129" i="1" s="1"/>
  <c r="J129" i="1"/>
  <c r="J118" i="1"/>
  <c r="W130" i="1"/>
  <c r="X130" i="1" s="1"/>
  <c r="Y130" i="1" s="1"/>
  <c r="J130" i="1"/>
  <c r="W107" i="1"/>
  <c r="X107" i="1" s="1"/>
  <c r="Y107" i="1" s="1"/>
  <c r="J107" i="1"/>
  <c r="J119" i="1"/>
  <c r="W123" i="1"/>
  <c r="X123" i="1" s="1"/>
  <c r="Y123" i="1" s="1"/>
  <c r="J123" i="1"/>
  <c r="J108" i="1"/>
  <c r="J120" i="1"/>
  <c r="AG75" i="1"/>
  <c r="AH75" i="1" s="1"/>
  <c r="AJ75" i="1" s="1"/>
  <c r="V75" i="1" s="1"/>
  <c r="T75" i="1" s="1"/>
  <c r="AG74" i="1"/>
  <c r="AH74" i="1" s="1"/>
  <c r="AJ74" i="1" s="1"/>
  <c r="V74" i="1" s="1"/>
  <c r="T74" i="1" s="1"/>
  <c r="AD76" i="1"/>
  <c r="AG76" i="1"/>
  <c r="AD68" i="1"/>
  <c r="AH68" i="1" s="1"/>
  <c r="AJ68" i="1" s="1"/>
  <c r="V68" i="1" s="1"/>
  <c r="T68" i="1" s="1"/>
  <c r="AD52" i="1"/>
  <c r="AH52" i="1" s="1"/>
  <c r="AJ52" i="1" s="1"/>
  <c r="V52" i="1" s="1"/>
  <c r="T52" i="1" s="1"/>
  <c r="AD47" i="1"/>
  <c r="AG47" i="1"/>
  <c r="AD48" i="1"/>
  <c r="AG48" i="1"/>
  <c r="AD31" i="1"/>
  <c r="AH31" i="1" s="1"/>
  <c r="AJ31" i="1" s="1"/>
  <c r="V31" i="1" s="1"/>
  <c r="T31" i="1" s="1"/>
  <c r="AD32" i="1"/>
  <c r="AG32" i="1"/>
  <c r="AD30" i="1"/>
  <c r="AG30" i="1"/>
  <c r="AD60" i="1"/>
  <c r="AH60" i="1" s="1"/>
  <c r="AJ60" i="1" s="1"/>
  <c r="V60" i="1" s="1"/>
  <c r="T60" i="1" s="1"/>
  <c r="AG64" i="1"/>
  <c r="AH64" i="1" s="1"/>
  <c r="AJ64" i="1" s="1"/>
  <c r="V64" i="1" s="1"/>
  <c r="T64" i="1" s="1"/>
  <c r="AD58" i="1"/>
  <c r="AH58" i="1" s="1"/>
  <c r="AJ58" i="1" s="1"/>
  <c r="V58" i="1" s="1"/>
  <c r="T58" i="1" s="1"/>
  <c r="AG62" i="1"/>
  <c r="AH62" i="1" s="1"/>
  <c r="AJ62" i="1" s="1"/>
  <c r="V62" i="1" s="1"/>
  <c r="T62" i="1" s="1"/>
  <c r="AD49" i="1"/>
  <c r="AG49" i="1"/>
  <c r="AD57" i="1"/>
  <c r="AH57" i="1" s="1"/>
  <c r="AJ57" i="1" s="1"/>
  <c r="V57" i="1" s="1"/>
  <c r="T57" i="1" s="1"/>
  <c r="AD59" i="1"/>
  <c r="AH59" i="1" s="1"/>
  <c r="AJ59" i="1" s="1"/>
  <c r="V59" i="1" s="1"/>
  <c r="T59" i="1" s="1"/>
  <c r="AD61" i="1"/>
  <c r="AH61" i="1" s="1"/>
  <c r="AJ61" i="1" s="1"/>
  <c r="V61" i="1" s="1"/>
  <c r="T61" i="1" s="1"/>
  <c r="AD63" i="1"/>
  <c r="AH63" i="1" s="1"/>
  <c r="AJ63" i="1" s="1"/>
  <c r="V63" i="1" s="1"/>
  <c r="T63" i="1" s="1"/>
  <c r="AD53" i="1"/>
  <c r="AH53" i="1" s="1"/>
  <c r="AJ53" i="1" s="1"/>
  <c r="V53" i="1" s="1"/>
  <c r="T53" i="1" s="1"/>
  <c r="AD51" i="1"/>
  <c r="AG51" i="1"/>
  <c r="AD54" i="1"/>
  <c r="AH54" i="1" s="1"/>
  <c r="AJ54" i="1" s="1"/>
  <c r="V54" i="1" s="1"/>
  <c r="T54" i="1" s="1"/>
  <c r="AD50" i="1"/>
  <c r="AH50" i="1" s="1"/>
  <c r="AJ50" i="1" s="1"/>
  <c r="V50" i="1" s="1"/>
  <c r="T50" i="1" s="1"/>
  <c r="AD46" i="1"/>
  <c r="AG46" i="1"/>
  <c r="W118" i="1"/>
  <c r="X118" i="1" s="1"/>
  <c r="Y118" i="1" s="1"/>
  <c r="W124" i="1"/>
  <c r="X124" i="1" s="1"/>
  <c r="Y124" i="1" s="1"/>
  <c r="W120" i="1"/>
  <c r="X120" i="1" s="1"/>
  <c r="Y120" i="1" s="1"/>
  <c r="W122" i="1"/>
  <c r="X122" i="1" s="1"/>
  <c r="Y122" i="1" s="1"/>
  <c r="W108" i="1"/>
  <c r="X108" i="1" s="1"/>
  <c r="Y108" i="1" s="1"/>
  <c r="W116" i="1"/>
  <c r="X116" i="1" s="1"/>
  <c r="Y116" i="1" s="1"/>
  <c r="W126" i="1"/>
  <c r="X126" i="1" s="1"/>
  <c r="Y126" i="1" s="1"/>
  <c r="W110" i="1"/>
  <c r="X110" i="1" s="1"/>
  <c r="Y110" i="1" s="1"/>
  <c r="W114" i="1"/>
  <c r="X114" i="1" s="1"/>
  <c r="Y114" i="1" s="1"/>
  <c r="W109" i="1"/>
  <c r="X109" i="1" s="1"/>
  <c r="Y109" i="1" s="1"/>
  <c r="W119" i="1"/>
  <c r="X119" i="1" s="1"/>
  <c r="Y119" i="1" s="1"/>
  <c r="W117" i="1"/>
  <c r="X117" i="1" s="1"/>
  <c r="Y117" i="1" s="1"/>
  <c r="AG110" i="1"/>
  <c r="AH110" i="1" s="1"/>
  <c r="AJ110" i="1" s="1"/>
  <c r="AD128" i="1"/>
  <c r="AH128" i="1" s="1"/>
  <c r="AJ128" i="1" s="1"/>
  <c r="AG122" i="1"/>
  <c r="AH122" i="1" s="1"/>
  <c r="AJ122" i="1" s="1"/>
  <c r="AG116" i="1"/>
  <c r="AH116" i="1" s="1"/>
  <c r="AJ116" i="1" s="1"/>
  <c r="AD127" i="1"/>
  <c r="AG109" i="1"/>
  <c r="AH109" i="1" s="1"/>
  <c r="AJ109" i="1" s="1"/>
  <c r="AG115" i="1"/>
  <c r="AH115" i="1" s="1"/>
  <c r="AJ115" i="1" s="1"/>
  <c r="V115" i="1" s="1"/>
  <c r="T115" i="1" s="1"/>
  <c r="AG121" i="1"/>
  <c r="AH121" i="1" s="1"/>
  <c r="AJ121" i="1" s="1"/>
  <c r="AG127" i="1"/>
  <c r="AD108" i="1"/>
  <c r="AD114" i="1"/>
  <c r="AD120" i="1"/>
  <c r="AD126" i="1"/>
  <c r="AG108" i="1"/>
  <c r="AG114" i="1"/>
  <c r="AG120" i="1"/>
  <c r="AG126" i="1"/>
  <c r="AD107" i="1"/>
  <c r="AH107" i="1" s="1"/>
  <c r="AJ107" i="1" s="1"/>
  <c r="AD113" i="1"/>
  <c r="AH113" i="1" s="1"/>
  <c r="AJ113" i="1" s="1"/>
  <c r="AD119" i="1"/>
  <c r="AD125" i="1"/>
  <c r="AG119" i="1"/>
  <c r="AG125" i="1"/>
  <c r="AD112" i="1"/>
  <c r="AH112" i="1" s="1"/>
  <c r="AJ112" i="1" s="1"/>
  <c r="V112" i="1" s="1"/>
  <c r="T112" i="1" s="1"/>
  <c r="AD118" i="1"/>
  <c r="AH118" i="1" s="1"/>
  <c r="AJ118" i="1" s="1"/>
  <c r="AD124" i="1"/>
  <c r="AH124" i="1" s="1"/>
  <c r="AJ124" i="1" s="1"/>
  <c r="AD130" i="1"/>
  <c r="AH130" i="1" s="1"/>
  <c r="AJ130" i="1" s="1"/>
  <c r="AD111" i="1"/>
  <c r="AH111" i="1" s="1"/>
  <c r="AJ111" i="1" s="1"/>
  <c r="AD117" i="1"/>
  <c r="AH117" i="1" s="1"/>
  <c r="AJ117" i="1" s="1"/>
  <c r="AD123" i="1"/>
  <c r="AH123" i="1" s="1"/>
  <c r="AJ123" i="1" s="1"/>
  <c r="AD129" i="1"/>
  <c r="AH129" i="1" s="1"/>
  <c r="AJ129" i="1" s="1"/>
  <c r="V129" i="1" s="1"/>
  <c r="T129" i="1" s="1"/>
  <c r="J86" i="1"/>
  <c r="W92" i="1"/>
  <c r="X92" i="1" s="1"/>
  <c r="Y92" i="1" s="1"/>
  <c r="AD92" i="1"/>
  <c r="AG92" i="1"/>
  <c r="AD91" i="1"/>
  <c r="AG91" i="1"/>
  <c r="AD86" i="1"/>
  <c r="AG86" i="1"/>
  <c r="AG80" i="1"/>
  <c r="AH80" i="1" s="1"/>
  <c r="AJ80" i="1" s="1"/>
  <c r="V80" i="1" s="1"/>
  <c r="T80" i="1" s="1"/>
  <c r="AD10" i="1"/>
  <c r="AH10" i="1" s="1"/>
  <c r="AJ10" i="1" s="1"/>
  <c r="AG84" i="1"/>
  <c r="AD8" i="1"/>
  <c r="AH8" i="1" s="1"/>
  <c r="AJ8" i="1" s="1"/>
  <c r="AD20" i="1"/>
  <c r="AH20" i="1" s="1"/>
  <c r="AJ20" i="1" s="1"/>
  <c r="AD24" i="1"/>
  <c r="AH24" i="1" s="1"/>
  <c r="AJ24" i="1" s="1"/>
  <c r="AD77" i="1"/>
  <c r="AH77" i="1" s="1"/>
  <c r="AJ77" i="1" s="1"/>
  <c r="AD79" i="1"/>
  <c r="AH79" i="1" s="1"/>
  <c r="AJ79" i="1" s="1"/>
  <c r="AD101" i="1"/>
  <c r="AH101" i="1" s="1"/>
  <c r="AJ101" i="1" s="1"/>
  <c r="AD103" i="1"/>
  <c r="AH103" i="1" s="1"/>
  <c r="AJ103" i="1" s="1"/>
  <c r="AD152" i="1"/>
  <c r="AH152" i="1" s="1"/>
  <c r="AJ152" i="1" s="1"/>
  <c r="AD9" i="1"/>
  <c r="AH9" i="1" s="1"/>
  <c r="AJ9" i="1" s="1"/>
  <c r="AD21" i="1"/>
  <c r="AH21" i="1" s="1"/>
  <c r="AJ21" i="1" s="1"/>
  <c r="AD78" i="1"/>
  <c r="AH78" i="1" s="1"/>
  <c r="AJ78" i="1" s="1"/>
  <c r="AD102" i="1"/>
  <c r="AH102" i="1" s="1"/>
  <c r="AJ102" i="1" s="1"/>
  <c r="AG85" i="1"/>
  <c r="AG67" i="1"/>
  <c r="AG19" i="1"/>
  <c r="AG6" i="1"/>
  <c r="AD11" i="1"/>
  <c r="AH11" i="1" s="1"/>
  <c r="AJ11" i="1" s="1"/>
  <c r="AD39" i="1"/>
  <c r="AH39" i="1" s="1"/>
  <c r="AJ39" i="1" s="1"/>
  <c r="AD81" i="1"/>
  <c r="AH81" i="1" s="1"/>
  <c r="AJ81" i="1" s="1"/>
  <c r="AD104" i="1"/>
  <c r="AG151" i="1"/>
  <c r="AG104" i="1"/>
  <c r="AG65" i="1"/>
  <c r="AG17" i="1"/>
  <c r="AH17" i="1" s="1"/>
  <c r="AJ17" i="1" s="1"/>
  <c r="AD12" i="1"/>
  <c r="AH12" i="1" s="1"/>
  <c r="AJ12" i="1" s="1"/>
  <c r="AD40" i="1"/>
  <c r="AH40" i="1" s="1"/>
  <c r="AJ40" i="1" s="1"/>
  <c r="AD84" i="1"/>
  <c r="AG16" i="1"/>
  <c r="AH16" i="1" s="1"/>
  <c r="AJ16" i="1" s="1"/>
  <c r="AD13" i="1"/>
  <c r="AH13" i="1" s="1"/>
  <c r="AJ13" i="1" s="1"/>
  <c r="AD41" i="1"/>
  <c r="AH41" i="1" s="1"/>
  <c r="AJ41" i="1" s="1"/>
  <c r="AD85" i="1"/>
  <c r="AG15" i="1"/>
  <c r="AH15" i="1" s="1"/>
  <c r="AJ15" i="1" s="1"/>
  <c r="AD14" i="1"/>
  <c r="AH14" i="1" s="1"/>
  <c r="AJ14" i="1" s="1"/>
  <c r="AD43" i="1"/>
  <c r="AH43" i="1" s="1"/>
  <c r="AJ43" i="1" s="1"/>
  <c r="AD87" i="1"/>
  <c r="AH87" i="1" s="1"/>
  <c r="AJ87" i="1" s="1"/>
  <c r="AD133" i="1"/>
  <c r="AH133" i="1" s="1"/>
  <c r="AJ133" i="1" s="1"/>
  <c r="AD65" i="1"/>
  <c r="AD88" i="1"/>
  <c r="AH88" i="1" s="1"/>
  <c r="AJ88" i="1" s="1"/>
  <c r="AD134" i="1"/>
  <c r="AH134" i="1" s="1"/>
  <c r="AJ134" i="1" s="1"/>
  <c r="AG136" i="1"/>
  <c r="AH136" i="1" s="1"/>
  <c r="AJ136" i="1" s="1"/>
  <c r="AG100" i="1"/>
  <c r="AH100" i="1" s="1"/>
  <c r="AJ100" i="1" s="1"/>
  <c r="AD66" i="1"/>
  <c r="AH66" i="1" s="1"/>
  <c r="AJ66" i="1" s="1"/>
  <c r="AD135" i="1"/>
  <c r="AH135" i="1" s="1"/>
  <c r="AJ135" i="1" s="1"/>
  <c r="AG99" i="1"/>
  <c r="AH99" i="1" s="1"/>
  <c r="AJ99" i="1" s="1"/>
  <c r="AD67" i="1"/>
  <c r="AG73" i="1"/>
  <c r="AH73" i="1" s="1"/>
  <c r="AJ73" i="1" s="1"/>
  <c r="AD18" i="1"/>
  <c r="AH18" i="1" s="1"/>
  <c r="AJ18" i="1" s="1"/>
  <c r="AD6" i="1"/>
  <c r="AD19" i="1"/>
  <c r="AD151" i="1"/>
  <c r="V113" i="1" l="1"/>
  <c r="T113" i="1" s="1"/>
  <c r="V130" i="1"/>
  <c r="T130" i="1" s="1"/>
  <c r="V121" i="1"/>
  <c r="T121" i="1" s="1"/>
  <c r="V123" i="1"/>
  <c r="T123" i="1" s="1"/>
  <c r="V111" i="1"/>
  <c r="T111" i="1" s="1"/>
  <c r="AH76" i="1"/>
  <c r="AJ76" i="1" s="1"/>
  <c r="V76" i="1" s="1"/>
  <c r="T76" i="1" s="1"/>
  <c r="AH47" i="1"/>
  <c r="AJ47" i="1" s="1"/>
  <c r="V47" i="1" s="1"/>
  <c r="T47" i="1" s="1"/>
  <c r="AH48" i="1"/>
  <c r="AJ48" i="1" s="1"/>
  <c r="V48" i="1" s="1"/>
  <c r="T48" i="1" s="1"/>
  <c r="AH30" i="1"/>
  <c r="AJ30" i="1" s="1"/>
  <c r="V30" i="1" s="1"/>
  <c r="T30" i="1" s="1"/>
  <c r="AH32" i="1"/>
  <c r="AJ32" i="1" s="1"/>
  <c r="V32" i="1" s="1"/>
  <c r="T32" i="1" s="1"/>
  <c r="AH49" i="1"/>
  <c r="AJ49" i="1" s="1"/>
  <c r="V49" i="1" s="1"/>
  <c r="T49" i="1" s="1"/>
  <c r="AH51" i="1"/>
  <c r="AJ51" i="1" s="1"/>
  <c r="V51" i="1" s="1"/>
  <c r="T51" i="1" s="1"/>
  <c r="V128" i="1"/>
  <c r="T128" i="1" s="1"/>
  <c r="AH46" i="1"/>
  <c r="AJ46" i="1" s="1"/>
  <c r="V46" i="1" s="1"/>
  <c r="T46" i="1" s="1"/>
  <c r="V118" i="1"/>
  <c r="T118" i="1" s="1"/>
  <c r="V124" i="1"/>
  <c r="T124" i="1" s="1"/>
  <c r="V116" i="1"/>
  <c r="T116" i="1" s="1"/>
  <c r="V122" i="1"/>
  <c r="T122" i="1" s="1"/>
  <c r="V110" i="1"/>
  <c r="T110" i="1" s="1"/>
  <c r="V107" i="1"/>
  <c r="T107" i="1" s="1"/>
  <c r="V109" i="1"/>
  <c r="T109" i="1" s="1"/>
  <c r="V117" i="1"/>
  <c r="T117" i="1" s="1"/>
  <c r="AH120" i="1"/>
  <c r="AJ120" i="1" s="1"/>
  <c r="V120" i="1" s="1"/>
  <c r="T120" i="1" s="1"/>
  <c r="AH125" i="1"/>
  <c r="AJ125" i="1" s="1"/>
  <c r="V125" i="1" s="1"/>
  <c r="T125" i="1" s="1"/>
  <c r="AH127" i="1"/>
  <c r="AJ127" i="1" s="1"/>
  <c r="V127" i="1" s="1"/>
  <c r="T127" i="1" s="1"/>
  <c r="AH126" i="1"/>
  <c r="AJ126" i="1" s="1"/>
  <c r="V126" i="1" s="1"/>
  <c r="T126" i="1" s="1"/>
  <c r="AH114" i="1"/>
  <c r="AJ114" i="1" s="1"/>
  <c r="V114" i="1" s="1"/>
  <c r="T114" i="1" s="1"/>
  <c r="AH119" i="1"/>
  <c r="AJ119" i="1" s="1"/>
  <c r="V119" i="1" s="1"/>
  <c r="T119" i="1" s="1"/>
  <c r="AH108" i="1"/>
  <c r="AJ108" i="1" s="1"/>
  <c r="V108" i="1" s="1"/>
  <c r="T108" i="1" s="1"/>
  <c r="AH92" i="1"/>
  <c r="AJ92" i="1" s="1"/>
  <c r="V92" i="1" s="1"/>
  <c r="T92" i="1" s="1"/>
  <c r="AH91" i="1"/>
  <c r="AJ91" i="1" s="1"/>
  <c r="V91" i="1" s="1"/>
  <c r="T91" i="1" s="1"/>
  <c r="AH86" i="1"/>
  <c r="AJ86" i="1" s="1"/>
  <c r="V86" i="1" s="1"/>
  <c r="T86" i="1" s="1"/>
  <c r="AH67" i="1"/>
  <c r="AJ67" i="1" s="1"/>
  <c r="V67" i="1" s="1"/>
  <c r="T67" i="1" s="1"/>
  <c r="AH151" i="1"/>
  <c r="AJ151" i="1" s="1"/>
  <c r="V151" i="1" s="1"/>
  <c r="T151" i="1" s="1"/>
  <c r="V20" i="1"/>
  <c r="T20" i="1" s="1"/>
  <c r="V12" i="1"/>
  <c r="T12" i="1" s="1"/>
  <c r="V43" i="1"/>
  <c r="T43" i="1" s="1"/>
  <c r="V133" i="1"/>
  <c r="T133" i="1" s="1"/>
  <c r="V24" i="1"/>
  <c r="T24" i="1" s="1"/>
  <c r="V87" i="1"/>
  <c r="T87" i="1" s="1"/>
  <c r="V11" i="1"/>
  <c r="T11" i="1" s="1"/>
  <c r="V18" i="1"/>
  <c r="T18" i="1" s="1"/>
  <c r="V88" i="1"/>
  <c r="T88" i="1" s="1"/>
  <c r="V16" i="1"/>
  <c r="T16" i="1" s="1"/>
  <c r="V21" i="1"/>
  <c r="T21" i="1" s="1"/>
  <c r="V134" i="1"/>
  <c r="T134" i="1" s="1"/>
  <c r="V77" i="1"/>
  <c r="T77" i="1" s="1"/>
  <c r="V73" i="1"/>
  <c r="T73" i="1" s="1"/>
  <c r="V101" i="1"/>
  <c r="T101" i="1" s="1"/>
  <c r="V103" i="1"/>
  <c r="T103" i="1" s="1"/>
  <c r="V40" i="1"/>
  <c r="T40" i="1" s="1"/>
  <c r="V79" i="1"/>
  <c r="T79" i="1" s="1"/>
  <c r="V8" i="1"/>
  <c r="T8" i="1" s="1"/>
  <c r="V39" i="1"/>
  <c r="T39" i="1" s="1"/>
  <c r="V10" i="1"/>
  <c r="T10" i="1" s="1"/>
  <c r="V13" i="1"/>
  <c r="T13" i="1" s="1"/>
  <c r="V99" i="1"/>
  <c r="T99" i="1" s="1"/>
  <c r="V17" i="1"/>
  <c r="T17" i="1" s="1"/>
  <c r="V152" i="1"/>
  <c r="T152" i="1" s="1"/>
  <c r="V135" i="1"/>
  <c r="T135" i="1" s="1"/>
  <c r="V14" i="1"/>
  <c r="T14" i="1" s="1"/>
  <c r="V102" i="1"/>
  <c r="T102" i="1" s="1"/>
  <c r="V15" i="1"/>
  <c r="T15" i="1" s="1"/>
  <c r="V78" i="1"/>
  <c r="T78" i="1" s="1"/>
  <c r="V66" i="1"/>
  <c r="T66" i="1" s="1"/>
  <c r="V100" i="1"/>
  <c r="T100" i="1" s="1"/>
  <c r="V9" i="1"/>
  <c r="T9" i="1" s="1"/>
  <c r="V136" i="1"/>
  <c r="T136" i="1" s="1"/>
  <c r="V41" i="1"/>
  <c r="T41" i="1" s="1"/>
  <c r="V81" i="1"/>
  <c r="T81" i="1" s="1"/>
  <c r="AH84" i="1"/>
  <c r="AJ84" i="1" s="1"/>
  <c r="AH65" i="1"/>
  <c r="AJ65" i="1" s="1"/>
  <c r="AH85" i="1"/>
  <c r="AJ85" i="1" s="1"/>
  <c r="AH19" i="1"/>
  <c r="AJ19" i="1" s="1"/>
  <c r="AH104" i="1"/>
  <c r="AJ104" i="1" s="1"/>
  <c r="AH6" i="1"/>
  <c r="AJ6" i="1" s="1"/>
  <c r="V104" i="1" l="1"/>
  <c r="T104" i="1" s="1"/>
  <c r="V85" i="1"/>
  <c r="T85" i="1" s="1"/>
  <c r="V6" i="1"/>
  <c r="T6" i="1" s="1"/>
  <c r="V65" i="1"/>
  <c r="T65" i="1" s="1"/>
  <c r="V19" i="1"/>
  <c r="T19" i="1" s="1"/>
  <c r="V84" i="1"/>
  <c r="T84" i="1" s="1"/>
</calcChain>
</file>

<file path=xl/sharedStrings.xml><?xml version="1.0" encoding="utf-8"?>
<sst xmlns="http://schemas.openxmlformats.org/spreadsheetml/2006/main" count="980" uniqueCount="532">
  <si>
    <t>Batería Epcom Panel Solar 12v 40ah Agm-vrla Ciclo Profundo</t>
  </si>
  <si>
    <t>https://articulo.mercadolibre.com.mx/MLM-1915783441-bateria-epcom-panel-solar-12v-40ah-agm-vrla-ciclo-profundo-_JM</t>
  </si>
  <si>
    <t>https://www.syscom.mx/producto/PL-40-12-EPCOM-POWERLINE-67207.html</t>
  </si>
  <si>
    <t>PRODUCTO</t>
  </si>
  <si>
    <t>STOCK</t>
  </si>
  <si>
    <t>Modulo Panel Solar 100w 12 V Policristalino 36 Celdas Grad A</t>
  </si>
  <si>
    <t>https://articulo.mercadolibre.com.mx/MLM-1904701497-modulo-panel-solar-100w-12-v-policristalino-36-celdas-grad-a-_JM</t>
  </si>
  <si>
    <t>Modulo Panel Solar 555w 50v Monocristalino 144 Celdas Gdo A</t>
  </si>
  <si>
    <t>https://articulo.mercadolibre.com.mx/MLM-2592843626-modulo-panel-solar-555w-50v-monocristalino-144-celdas-gdo-a-_JM</t>
  </si>
  <si>
    <t>https://articulo.mercadolibre.com.mx/MLM-2302382820-juego-de-herramientas-y-accesorios-instalacion-panel-solar-_JM</t>
  </si>
  <si>
    <t>Inversor Para Interconexión Cfe 10kw Salida 220 Vca Wifi</t>
  </si>
  <si>
    <t>https://www.syscom.mx/producto/MIN10000TLX-GROWATT-204497.html</t>
  </si>
  <si>
    <t>https://articulo.mercadolibre.com.mx/MLM-1918887279-inversor-para-interconexion-cfe-10kw-salida-220-vca-wifi-_JM</t>
  </si>
  <si>
    <t>https://www.syscom.mx/producto/EPMC42-EPCOM-POWERLINE-174515.html</t>
  </si>
  <si>
    <t xml:space="preserve"> </t>
  </si>
  <si>
    <t>N/A</t>
  </si>
  <si>
    <t>Juego De Herramientas Y Accesorios Instalación Panel Solar</t>
  </si>
  <si>
    <t>Batería Epcom Panel Solar 12v 75ah Agm-vrla Ciclo Profundo</t>
  </si>
  <si>
    <t>https://articulo.mercadolibre.com.mx/MLM-2321866110-bateria-epcom-panel-solar-12v-75ah-agm-vrla-ciclo-profundo-_JM</t>
  </si>
  <si>
    <t>https://www.syscom.mx/producto/PL7512-FR-EPCOM-POWERLINE-196341.html</t>
  </si>
  <si>
    <t>Batería Epcom Panel Solar 12v 110ah Agm-vrla Ciclo Profundo</t>
  </si>
  <si>
    <t>https://articulo.mercadolibre.com.mx/MLM-2321867290-bateria-epcom-panel-solar-12v-110ah-agm-vrla-ciclo-profundo-_JM</t>
  </si>
  <si>
    <t>https://www.syscom.mx/producto/PL-110-D12-EPCOM-POWERLINE-71055.html</t>
  </si>
  <si>
    <t>Inversor Para Interconexión Cfe 6kw Salida 220 Vca Wifi</t>
  </si>
  <si>
    <t>https://www.syscom.mx/producto/MIN6000TLX2-GROWATT-222680.html</t>
  </si>
  <si>
    <t>MODELO ESPECIFICADO EN ML ES: MIN6000TLX / MODELO EN SYSCOM ES: MIN6000TLX2 / CUENTAN CON LAS MISMAS ESPECIFICACIONES</t>
  </si>
  <si>
    <t>https://articulo.mercadolibre.com.mx/MLM-2334726154-inversor-para-interconexion-cfe-6kw-salida-220-vca-wifi-_JM</t>
  </si>
  <si>
    <t>Carrete De 500m Cable Fotovoltaico Negro 6mm2 (10awg) 2000v</t>
  </si>
  <si>
    <t>https://www.syscom.mx/producto/CBL-PV-10B/500-EPCOM-POWERLINE-213893.html</t>
  </si>
  <si>
    <t>https://articulo.mercadolibre.com.mx/MLM-1912462573-carrete-de-500m-cable-fotovoltaico-negro-6mm2-10awg-2000v-_JM</t>
  </si>
  <si>
    <t>https://www.syscom.mx/producto/EPMC4-EPCOM-POWERLINE-160268.html</t>
  </si>
  <si>
    <t>https://articulo.mercadolibre.com.mx/MLM-1914161279-pinza-epcom-terminado-de-conectores-mc4-de-paneles-solares-_JM</t>
  </si>
  <si>
    <t>Pinza Epcom Terminado De Conectores Mc4 De Paneles Solares (azul)</t>
  </si>
  <si>
    <t>https://articulo.mercadolibre.com.mx/MLM-2315160458-2-cables-fotovoltaicos-25m-rojo-calibre-10-awg-2-terminales-_JM</t>
  </si>
  <si>
    <t>https://www.syscom.mx/producto/CBLMC42P5MREDV2-EPCOM-POWERLINE-222978.html</t>
  </si>
  <si>
    <t>MODELO ESPECIFICADO EN ML ES: CBLMC42P5MRED / MODELO EN SYSCOM ES: CBLMC42P5MREDV2 / CUENTAN CON LAS MISMAS ESPECIFICACIONES</t>
  </si>
  <si>
    <t>https://articulo.mercadolibre.com.mx/MLM-2315322482-2-cables-fotovoltaico-25m-negro-calibre-10-awg-2-terminales-_JM</t>
  </si>
  <si>
    <t>MODELO ESPECIFICADO EN ML ES: CBLMC42P5MBLK / MODELO EN SYSCOM ES: CBLMC42P5MBLKV2 / CUENTAN CON LAS MISMAS ESPECIFICACIONES</t>
  </si>
  <si>
    <t>Panel Solar Ecogreen 550w 50v Monocristal 144 Cdas Gd A 10bb</t>
  </si>
  <si>
    <t>https://articulo.mercadolibre.com.mx/MLM-1959731379-panel-solar-ecogreen-550w-50v-monocristal-144-cdas-gd-a-10bb-_JM</t>
  </si>
  <si>
    <t>https://www.syscom.mx/producto/EGE550W144M(M10)-ECO-GREEN-ENERGY-209383.html</t>
  </si>
  <si>
    <t>Modulo Panel Solar 665 W 46.18v Monocristalino 132 Celdas</t>
  </si>
  <si>
    <t>https://www.syscom.mx/producto/LP210*210M66MH665W-LEAPTON-211334.html</t>
  </si>
  <si>
    <t>https://articulo.mercadolibre.com.mx/MLM-2302510068-modulo-panel-solar-665-w-4618v-monocristalino-132-celdas-_JM</t>
  </si>
  <si>
    <t>Carrete De 500m Cable Fotovoltaico Negro 4mm2 (12awg) 1800v</t>
  </si>
  <si>
    <t>https://articulo.mercadolibre.com.mx/MLM-2318299478-carrete-de-500m-cable-fotovoltaico-negro-4mm2-12awg-1800v-_JM</t>
  </si>
  <si>
    <t>https://www.syscom.mx/producto/FJ66/500-VIAKON-213431.html</t>
  </si>
  <si>
    <t>https://www.syscom.mx/producto/FJ69/500-VIAKON-213435.html</t>
  </si>
  <si>
    <t>Carrete De 500m Cable Fotovoltaico Rojo 4mm2 (12awg) 1800v</t>
  </si>
  <si>
    <t>https://articulo.mercadolibre.com.mx/MLM-2318299484-carrete-de-500m-cable-fotovoltaico-rojo-4mm2-12awg-1800v-_JM</t>
  </si>
  <si>
    <t>Inversor Para Interconexión Cfe 36kw Sal 220 Trifasico Wifi</t>
  </si>
  <si>
    <t>https://articulo.mercadolibre.com.mx/MLM-2334739056-inversor-para-interconexion-cfe-36kw-sal-220-trifasico-wifi-_JM</t>
  </si>
  <si>
    <t>https://www.syscom.mx/producto/MAC36KTL3-XL-GROWATT-194827.html</t>
  </si>
  <si>
    <t>Inversor Para Interconexión Cfe 60kw Sal 480 Trifasico Wifi</t>
  </si>
  <si>
    <t>https://articulo.mercadolibre.com.mx/MLM-2334882606-inversor-para-interconexion-cfe-60kw-sal-480-trifasico-wifi-_JM</t>
  </si>
  <si>
    <t>https://www.syscom.mx/producto/MAC60KTL3-XMV-GROWATT-194839.html</t>
  </si>
  <si>
    <t>Inversor Para Interconexión Cfe 3kw Salida 220 Vca Wifi</t>
  </si>
  <si>
    <t>https://articulo.mercadolibre.com.mx/MLM-2334937376-inversor-para-interconexion-cfe-3kw-salida-220-vca-wifi-_JM</t>
  </si>
  <si>
    <t>https://www.syscom.mx/producto/MIC3000TLX-GROWATT-210325.html</t>
  </si>
  <si>
    <t>https://www.syscom.mx/producto/LR572HPH555M-LONGI-219865.html</t>
  </si>
  <si>
    <t>https://www.syscom.mx/producto/PRO10012-EPCOM-POWERLINE-194937.html</t>
  </si>
  <si>
    <t>ESTATUS</t>
  </si>
  <si>
    <t>PAUSADO</t>
  </si>
  <si>
    <t>FECHA LLEGADA</t>
  </si>
  <si>
    <t>Modulo Solar EPCOM POWER LINE, 10W, 12 Vcc , Policristalino</t>
  </si>
  <si>
    <t>https://www.syscom.mx/producto/PRO1012-EPCOM-POWERLINE-93452.html</t>
  </si>
  <si>
    <t>Modulo Panel Solar Epcom Power Line 25w 12 V Policristalino</t>
  </si>
  <si>
    <t>https://www.syscom.mx/producto/PRO2512-EPCOM-POWERLINE-205624.html</t>
  </si>
  <si>
    <t>Modulo Panel Solar Epcom Power Line 50w 12 V Policristalino</t>
  </si>
  <si>
    <t>https://www.syscom.mx/producto/PRO5012-EPCOM-POWERLINE-170087.html</t>
  </si>
  <si>
    <t>Modulo Solar EPCOM POWER LINE, 85 W, 12 Vcc , Policristalino</t>
  </si>
  <si>
    <t>https://www.syscom.mx/producto/PRO8512-EPCOM-POWERLINE-166480.html</t>
  </si>
  <si>
    <t>Modulo Panel Solar Epcom Power Line 125w 12 V Policristalino</t>
  </si>
  <si>
    <t>https://www.syscom.mx/producto/PRO12512-EPCOM-POWERLINE-170112.html</t>
  </si>
  <si>
    <t>Modulo Panel Solar Epcom Power Line 150w 12 V Policristalino</t>
  </si>
  <si>
    <t>https://www.syscom.mx/producto/PRO-150-12-EPCOM-POWERLINE-167894.html</t>
  </si>
  <si>
    <t>Modulo Panel Solar Epcom 330w 24 V Policristalino 72 Celdas</t>
  </si>
  <si>
    <t>https://www.syscom.mx/producto/EPL330-24-EPCOM-POWERLINE-165067.html</t>
  </si>
  <si>
    <t>Modulo Solar Elite Plus 450w 50v Monocristalino 144 Celdas</t>
  </si>
  <si>
    <t>https://www.syscom.mx/producto/ETM760BH450WW/WB-ETSOLAR-220698.html</t>
  </si>
  <si>
    <t>Modulo Solar RISEN, 550W, 50 Vcc, Monocristalino, 144 Celdas</t>
  </si>
  <si>
    <t>https://www.syscom.mx/producto/RSM1449550M-RISEN-217337.html</t>
  </si>
  <si>
    <t>Modulo Solar ETSOLAR, 550W, 50 Vcc, Monocristalino</t>
  </si>
  <si>
    <t>https://www.syscom.mx/producto/ETM772BH550WW/WB-ETSOLAR-207706.html</t>
  </si>
  <si>
    <t>Modulo Solar TITAN, 660 W, 50 Vcc, Monocristalino</t>
  </si>
  <si>
    <t>https://www.syscom.mx/producto/RSM1328660M-RISEN-217338.html</t>
  </si>
  <si>
    <t>Controlador Solar PWM 12/24 V 10 A, Salida USB</t>
  </si>
  <si>
    <t>https://www.syscom.mx/producto/LS-1024-EU-EPEVER-144592.html</t>
  </si>
  <si>
    <t>Batería Epcom Panel Solar 12v 100ah Agm-vrla Ciclo Profundo</t>
  </si>
  <si>
    <t>https://www.syscom.mx/producto/PL-100-12-EPCOM-POWERLINE-67206.html</t>
  </si>
  <si>
    <t>Cable Fotovoltaico Negro 6mm2 (10awg) 1800v por metro</t>
  </si>
  <si>
    <t>https://www.syscom.mx/producto/FJ-81-VIAKON-213099.html</t>
  </si>
  <si>
    <t>Cable Fotovoltaico Rojo 6mm2 (10awg) 1800v por metro</t>
  </si>
  <si>
    <t>https://www.syscom.mx/producto/FJ-86-VIAKON-213123.html</t>
  </si>
  <si>
    <t>https://www.syscom.mx/producto/CBL-MC4-1.5BLK-EPCOM-POWERLINE-161221.html</t>
  </si>
  <si>
    <t>https://www.syscom.mx/producto/CBL-MC4-1.5R-EPCOM-POWERLINE-161220.html</t>
  </si>
  <si>
    <t>https://www.syscom.mx/producto/CBL-8AWG-3R-EPCOM-POWERLINE-161222.html</t>
  </si>
  <si>
    <t>https://www.syscom.mx/producto/CBL-8AWG-3BLK-EPCOM-POWERLINE-161223.html</t>
  </si>
  <si>
    <t>Rollo De 100m Cable Fotovoltaico Negro 6mm2 (10awg) 2000v</t>
  </si>
  <si>
    <t>https://www.syscom.mx/producto/CBL-PV-10B/100-EPCOM-POWERLINE-213894.html</t>
  </si>
  <si>
    <t>Rollo De 100m Cable Fotovoltaico Rojo 6mm2 (10awg) 2000v</t>
  </si>
  <si>
    <t>https://www.syscom.mx/producto/CBL-PV-10R-100-EPCOM-POWERLINE-213895.html</t>
  </si>
  <si>
    <t>Carrete De 500m Cable Fotovoltaico Rojo 6mm2 (10awg) 2000v</t>
  </si>
  <si>
    <t>https://www.syscom.mx/producto/CBL-PV-10R-500-EPCOM-POWERLINE-213892.html</t>
  </si>
  <si>
    <t>Pinza Precision Terminado De Conectores Mc4 De Paneles Solares (roja)</t>
  </si>
  <si>
    <t>https://www.syscom.mx/producto/PST-H010-06-PRECISION-201075.html</t>
  </si>
  <si>
    <t>Pares De Conectores Macho-hembra Mc-4 Módulo Fotovoltaico</t>
  </si>
  <si>
    <t>https://www.syscom.mx/producto/PROSECA-01-EPCOM-POWERLINE-72413.html</t>
  </si>
  <si>
    <t>https://www.syscom.mx/producto/PROSECB-02-EPCOM-POWERLINE-72414.html</t>
  </si>
  <si>
    <t>Calentador Boiler Solar 90L con 9 tubos de vacío inoxidable alta y baja presión</t>
  </si>
  <si>
    <t>https://www.syscom.mx/producto/STE-LPWH90-EPCOM-176064.html</t>
  </si>
  <si>
    <t>Calentador Boiler Solar 180L con 18 tubos de vacío inoxidable alta y baja presión</t>
  </si>
  <si>
    <t>https://www.syscom.mx/producto/STELPWH180-EPCOM-176065.html</t>
  </si>
  <si>
    <t>https://articulo.mercadolibre.com.mx/MLM-1959030721-modulo-panel-solar-epcom-power-line-10w-12-v-policristalino-_JM</t>
  </si>
  <si>
    <t>https://articulo.mercadolibre.com.mx/MLM-2585843198-modulo-panel-solar-epcom-power-line-25w-12-v-policristalino-_JM</t>
  </si>
  <si>
    <t>https://articulo.mercadolibre.com.mx/MLM-2255983486-modulo-panel-solar-epcom-power-line-50w-12-v-policristalino-_JM</t>
  </si>
  <si>
    <t>https://articulo.mercadolibre.com.mx/MLM-1910565597-modulo-panel-solar-epcom-power-line-125w-12-v-policristalino-_JM</t>
  </si>
  <si>
    <t>https://articulo.mercadolibre.com.mx/MLM-2329807582-modulo-panel-solar-epcom-power-line-150w-12-v-policristalino-_JM</t>
  </si>
  <si>
    <t>https://articulo.mercadolibre.com.mx/MLM-2329799938-modulo-panel-solar-epcom-330w-24-v-policristalino-72-celdas-_JM</t>
  </si>
  <si>
    <t>https://articulo.mercadolibre.com.mx/MLM-2302517936-modulo-solar-elite-plus-450w-50v-monocristalino-144-celdas-_JM</t>
  </si>
  <si>
    <t>https://articulo.mercadolibre.com.mx/MLM-1912380077-modulo-solar-risen-550w-50v-monocristalino-144-celdas-_JM</t>
  </si>
  <si>
    <t>https://articulo.mercadolibre.com.mx/MLM-2611113722-controlador-solar-pwm-1224-v-10-a-salida-usb-_JM</t>
  </si>
  <si>
    <t>https://articulo.mercadolibre.com.mx/MLM-1915859193-bateria-epcom-panel-solar-12v-100ah-agm-vrla-ciclo-profundo-_JM</t>
  </si>
  <si>
    <t>https://articulo.mercadolibre.com.mx/MLM-1916123141-rollo-de-20m-cable-fotovoltaico-negro-6mm2-10awg-1800v-_JM</t>
  </si>
  <si>
    <t>https://articulo.mercadolibre.com.mx/MLM-2319233160-rollo-de-20m-cable-fotovoltaico-rojo-6mm2-10awg-1800v-_JM</t>
  </si>
  <si>
    <t>https://articulo.mercadolibre.com.mx/MLM-1918158441-4-cables-fotovoltaico-15m-negro-calibre-10-awg-1-terminal-h-_JM</t>
  </si>
  <si>
    <t>https://articulo.mercadolibre.com.mx/MLM-1918170687-4-cables-fotovoltaico-15m-rojo-calibre-10-awg-1-terminal-h-_JM</t>
  </si>
  <si>
    <t>https://articulo.mercadolibre.com.mx/MLM-2318323818-rollo-de-100m-cable-fotovoltaico-negro-6mm2-10awg-2000v-_JM</t>
  </si>
  <si>
    <t>https://articulo.mercadolibre.com.mx/MLM-2318297878-rollo-de-100m-cable-fotovoltaico-rojo-6mm2-10awg-2000v-_JM</t>
  </si>
  <si>
    <t>https://articulo.mercadolibre.com.mx/MLM-1912437333-carrete-de-500m-cable-fotovoltaico-rojo-6mm2-10awg-2000v-_JM</t>
  </si>
  <si>
    <t>https://articulo.mercadolibre.com.mx/MLM-1959403553-4-pares-de-conectores-dobles-mc-4-modulo-fotovoltaico-_JM</t>
  </si>
  <si>
    <t>CATEGORIA</t>
  </si>
  <si>
    <t>ACTIVO</t>
  </si>
  <si>
    <t>MODULOS
FOTOVOLTAICOS</t>
  </si>
  <si>
    <t>INVERSORES</t>
  </si>
  <si>
    <t>BATERIAS</t>
  </si>
  <si>
    <t>CALENTADORES</t>
  </si>
  <si>
    <t>ACCESORIOS</t>
  </si>
  <si>
    <t>CABLES
FOTOVOLTAICOS</t>
  </si>
  <si>
    <t>Cable Fotovoltaico 1.5 M Rojo Calibre 10 Awg - 1 Terminal H</t>
  </si>
  <si>
    <t>Cable Fotovoltaico 1.5 M Negro Calibre 10 Awg - 1 Terminal H</t>
  </si>
  <si>
    <t>Cable de 3m de Controlador a Batería Rojo 8AWG</t>
  </si>
  <si>
    <t>Cable de 3m de Controlador a Batería Negro 8AWG</t>
  </si>
  <si>
    <t>Cables Fotovoltaicos 2.5m Rojo Calibre 10 Awg 2 Terminales</t>
  </si>
  <si>
    <t>Cables Fotovoltaico 2.5m Negro Calibre 10 Awg 2 Terminales</t>
  </si>
  <si>
    <t>https://www.syscom.mx/producto/CBLMC42P5MBLKV2-EPCOM-POWERLINE-222979.html</t>
  </si>
  <si>
    <t>Pares de Conectores DOBLES MC-4 Módulos Fotovoltaicos</t>
  </si>
  <si>
    <t>DIF.</t>
  </si>
  <si>
    <t>Controlador Mppt 12,24,36,48v 60a</t>
  </si>
  <si>
    <t>Controlador Mppt 12,24,36,48v 80a</t>
  </si>
  <si>
    <t xml:space="preserve">https://articulo.mercadolibre.com.mx/MLM-2002492825-controlador-mppt-12243648v-80a-_JM </t>
  </si>
  <si>
    <t>https://www.syscom.mx/producto/TRACER-8415-AN-EPEVER-163033.html</t>
  </si>
  <si>
    <t>https://articulo.mercadolibre.com.mx/MLM-2792767226-controlador-mppt-12243648v-60a-_JM</t>
  </si>
  <si>
    <t>https://www.syscom.mx/producto/TRACER-6415-AN-EPEVER-163032.html</t>
  </si>
  <si>
    <t>INV MIN</t>
  </si>
  <si>
    <t>https://www.syscom.mx/producto/CC-USB-485-150U-EPEVER-78229.html</t>
  </si>
  <si>
    <t>Medidor Remoto Controlador Epever Puerto Rs-485</t>
  </si>
  <si>
    <t>https://www.syscom.mx/producto/MT-50-EPEVER-81070.html</t>
  </si>
  <si>
    <t>https://articulo.mercadolibre.com.mx/MLM-2792970126-medidor-remoto-controlador-epever-puerto-rs-485-_JM</t>
  </si>
  <si>
    <t>Cable De Comunicación Usb-rs485 Controlador Epever</t>
  </si>
  <si>
    <t>https://articulo.mercadolibre.com.mx/MLM-2792996522-cable-de-comunicacion-usb-rs485-controladores-epever-_JM</t>
  </si>
  <si>
    <t>Columna1</t>
  </si>
  <si>
    <t>PAUSAR</t>
  </si>
  <si>
    <t>CONTROLADORES DE CARGA</t>
  </si>
  <si>
    <t>Tipo de Cambio USD</t>
  </si>
  <si>
    <t>USD ANTES DE IVA</t>
  </si>
  <si>
    <t>AYER</t>
  </si>
  <si>
    <t>HOY</t>
  </si>
  <si>
    <t>FALTA INV</t>
  </si>
  <si>
    <t>PÉRDIDA</t>
  </si>
  <si>
    <t>IVA</t>
  </si>
  <si>
    <t>USD</t>
  </si>
  <si>
    <t>TOTAL</t>
  </si>
  <si>
    <t>COSTO</t>
  </si>
  <si>
    <t>MXN</t>
  </si>
  <si>
    <t>DESCUENTO</t>
  </si>
  <si>
    <t>PRECIO ML</t>
  </si>
  <si>
    <t>PRECIO FINAL ML</t>
  </si>
  <si>
    <t>COMISIÓN ML</t>
  </si>
  <si>
    <t>TOT COMISIÓN</t>
  </si>
  <si>
    <t>FIJO ML</t>
  </si>
  <si>
    <t>% ACOS</t>
  </si>
  <si>
    <t>ACOS</t>
  </si>
  <si>
    <t>DESCUENTO TOT</t>
  </si>
  <si>
    <t>ENVÍO</t>
  </si>
  <si>
    <t>TOT VENTA</t>
  </si>
  <si>
    <t>UTILIDAD</t>
  </si>
  <si>
    <t>Envío Simple</t>
  </si>
  <si>
    <t>Envío Medio</t>
  </si>
  <si>
    <t>Envío Completo</t>
  </si>
  <si>
    <t>Controlador De Carga Solar 12v/24v 10a Pwm</t>
  </si>
  <si>
    <t>Controlador De Carga Solar 12v/24v 20a Pwm</t>
  </si>
  <si>
    <t>Controlador De Carga Solar 12v/24v 30a Pwm</t>
  </si>
  <si>
    <t>EMPRESA</t>
  </si>
  <si>
    <t>SYSCOM</t>
  </si>
  <si>
    <t>ECOSOLARIX</t>
  </si>
  <si>
    <t>OBS</t>
  </si>
  <si>
    <t>LINK ML</t>
  </si>
  <si>
    <t>https://articulo.mercadolibre.com.mx/MLM-1917768467-modulo-panel-solar-epcom-power-line-85w-12-v-policristalino-_JM</t>
  </si>
  <si>
    <t>https://articulo.mercadolibre.com.mx/MLM-2386675656-modulo-panel-solar-550w-50v-monocristalino-144-celdas-gdo-a-_JM</t>
  </si>
  <si>
    <t>https://articulo.mercadolibre.com.mx/MLM-2302387572-modulo-solar-risen-660w-50v-monocristalino-144-celdas-_JM</t>
  </si>
  <si>
    <t>https://articulo.mercadolibre.com.mx/MLM-2784843496-controlador-de-carga-solar-12v24v-10a-pwm-_JM</t>
  </si>
  <si>
    <t>https://articulo.mercadolibre.com.mx/MLM-2784831990-controlador-de-carga-solar-12v24v-20a-pwm-_JM</t>
  </si>
  <si>
    <t>https://articulo.mercadolibre.com.mx/MLM-2784844266-controlador-de-carga-solar-12v24v-30a-pwm-_JM</t>
  </si>
  <si>
    <t>Inversor Para Interconexión Cfe 70kw Sal 480 Trifasico Wifi</t>
  </si>
  <si>
    <t>https://www.syscom.mx/producto/MAC70KTL3-XMV-GROWATT-194840.html</t>
  </si>
  <si>
    <t>https://articulo.mercadolibre.com.mx/MLM-2334950084-inversor-para-interconexion-cfe-70kw-sal-480-trifasico-wifi-_JM</t>
  </si>
  <si>
    <t>https://articulo.mercadolibre.com.mx/MLM-2755646522-4-cables-mixtos-controlador-a-bateria-3m-8awg-terminal-ojo-_JM</t>
  </si>
  <si>
    <t>https://articulo.mercadolibre.com.mx/MLM-1916110323-rollo-de-5m-cable-fotovoltaico-negro-6mm2-10awg-1800v-_JM</t>
  </si>
  <si>
    <t>https://articulo.mercadolibre.com.mx/MLM-2318966008-rollo-de-5m-cable-fotovoltaico-rojo-6mm2-10awg-1800v-_JM</t>
  </si>
  <si>
    <t>PACK</t>
  </si>
  <si>
    <t>4 Cables Fotovoltaico 1.5m MIXTOS Calibre 10 Awg Term MC-4</t>
  </si>
  <si>
    <t>https://articulo.mercadolibre.com.mx/MLM-2755417784-4-cables-fotovoltaico-15m-mixtos-calibre-10-awg-term-mc-4-_JM</t>
  </si>
  <si>
    <t>Avisar de Inmediato a Paco si se vende</t>
  </si>
  <si>
    <t>4 Cables MIXTOS Controlador a Batería 3m, 8AWG, Terminal Ojo</t>
  </si>
  <si>
    <t>Cables Fotovoltaicos Panel a Controlador de Carga y Baterías</t>
  </si>
  <si>
    <t>https://articulo.mercadolibre.com.mx/MLM-1993598003-cables-fotovoltaicos-panel-a-controlador-de-carga-y-baterias-_JM</t>
  </si>
  <si>
    <t>https://articulo.mercadolibre.com.mx/MLM-1916123127-rollo-de-10m-cable-fotovoltaico-negro-6mm2-10awg-1800v-_JM</t>
  </si>
  <si>
    <t>https://articulo.mercadolibre.com.mx/MLM-2319245466-rollo-de-15m-cable-fotovoltaico-negro-6mm2-10awg-1800v-_JM</t>
  </si>
  <si>
    <t>https://articulo.mercadolibre.com.mx/MLM-2319400174-rollo-de-25m-cable-fotovoltaico-negro-6mm2-10awg-1800v-_JM</t>
  </si>
  <si>
    <t>https://articulo.mercadolibre.com.mx/MLM-1916123147-rollo-de-30m-cable-fotovoltaico-negro-6mm2-10awg-1800v-_JM</t>
  </si>
  <si>
    <t>https://articulo.mercadolibre.com.mx/MLM-2319094488-rollo-de-35m-cable-fotovoltaico-negro-6mm2-10awg-1800v-_JM</t>
  </si>
  <si>
    <t>https://articulo.mercadolibre.com.mx/MLM-2319094490-rollo-de-40m-cable-fotovoltaico-negro-6mm2-10awg-1800v-_JM</t>
  </si>
  <si>
    <t>https://articulo.mercadolibre.com.mx/MLM-1916099999-rollo-de-45m-cable-fotovoltaico-negro-6mm2-10awg-1800v-_JM</t>
  </si>
  <si>
    <t>https://articulo.mercadolibre.com.mx/MLM-2319094500-rollo-de-50m-cable-fotovoltaico-negro-6mm2-10awg-1800v-_JM</t>
  </si>
  <si>
    <t>https://articulo.mercadolibre.com.mx/MLM-2318965580-rollo-de-60m-cable-fotovoltaico-negro-6mm2-10awg-1800v-_JM</t>
  </si>
  <si>
    <t>https://articulo.mercadolibre.com.mx/MLM-2319232760-rollo-de-70m-cable-fotovoltaico-negro-6mm2-10awg-1800v-_JM</t>
  </si>
  <si>
    <t>https://articulo.mercadolibre.com.mx/MLM-2319095014-rollo-de-10m-cable-fotovoltaico-rojo-6mm2-10awg-1800v-_JM</t>
  </si>
  <si>
    <t>https://articulo.mercadolibre.com.mx/MLM-2319233146-rollo-de-15m-cable-fotovoltaico-rojo-6mm2-10awg-1800v-_JM</t>
  </si>
  <si>
    <t>https://articulo.mercadolibre.com.mx/MLM-1916100681-rollo-de-25m-cable-fotovoltaico-rojo-6mm2-10awg-1800v-_JM</t>
  </si>
  <si>
    <t>https://articulo.mercadolibre.com.mx/MLM-1916123911-rollo-de-30m-cable-fotovoltaico-rojo-6mm2-10awg-1800v-_JM</t>
  </si>
  <si>
    <t>https://articulo.mercadolibre.com.mx/MLM-2319233188-rollo-de-35m-cable-fotovoltaico-rojo-6mm2-10awg-1800v-_JM</t>
  </si>
  <si>
    <t>https://articulo.mercadolibre.com.mx/MLM-1916134157-rollo-de-40m-cable-fotovoltaico-rojo-6mm2-10awg-1800v-_JM</t>
  </si>
  <si>
    <t>https://articulo.mercadolibre.com.mx/MLM-2319246392-rollo-de-45m-cable-fotovoltaico-rojo-6mm2-10awg-1800v-_JM</t>
  </si>
  <si>
    <t>https://articulo.mercadolibre.com.mx/MLM-1916134189-rollo-de-50m-cable-fotovoltaico-rojo-6mm2-10awg-1800v-_JM</t>
  </si>
  <si>
    <t>https://articulo.mercadolibre.com.mx/MLM-2319095098-rollo-de-60m-cable-fotovoltaico-rojo-6mm2-10awg-1800v-_JM</t>
  </si>
  <si>
    <t>https://articulo.mercadolibre.com.mx/MLM-2319401096-rollo-de-70m-cable-fotovoltaico-rojo-6mm2-10awg-1800v-_JM</t>
  </si>
  <si>
    <t>Batería Sellada Recargable 12v 4.5ah Agm-vrla</t>
  </si>
  <si>
    <t>https://www.syscom.mx/producto/PL-4.5-12-EPCOM-POWERLINE-67464.html</t>
  </si>
  <si>
    <t>https://articulo.mercadolibre.com.mx/MLM-2004639653-bateria-sellada-recargable-12v-45ah-agm-vrla-_JM</t>
  </si>
  <si>
    <t>https://www.syscom.mx/producto/PS-1270-F1-POWER-SONIC-183408.html</t>
  </si>
  <si>
    <t>https://articulo.mercadolibre.com.mx/MLM-2803316258-bateria-sellada-recargable-12v-7ah-agm-vrla-_JM</t>
  </si>
  <si>
    <t>https://www.syscom.mx/producto/PS-1250-F2-POWER-SONIC-196541.html</t>
  </si>
  <si>
    <t>https://www.syscom.mx/producto/PL912-EPCOM-POWERLINE-158305.html</t>
  </si>
  <si>
    <t>https://articulo.mercadolibre.com.mx/MLM-2803471308-bateria-sellada-recargable-12v-9ah-agm-vrla-_JM</t>
  </si>
  <si>
    <t>Batería Sellada Recargable 12v 5ah Agm-vrla F2</t>
  </si>
  <si>
    <t>Batería Sellada Recargable 12v 5ah Agm-vrla F1</t>
  </si>
  <si>
    <t>https://www.syscom.mx/producto/PS-1250-F1-POWER-SONIC-183407.html</t>
  </si>
  <si>
    <t>https://articulo.mercadolibre.com.mx/MLM-2302499064-10-pares-de-conectores-macho-hembra-mc-4-modulo-fotovoltaico-_JM</t>
  </si>
  <si>
    <t>https://articulo.mercadolibre.com.mx/MLM-2388777134-pinza-precision-terminado-de-conectores-mc4-de-panel-solar-_JM</t>
  </si>
  <si>
    <t>https://articulo.mercadolibre.com.mx/MLM-2410848342-calentador-boiler-solar-90lt-9-tubos-inoxi-altabaja-anodo-_JM</t>
  </si>
  <si>
    <t>https://articulo.mercadolibre.com.mx/MLM-2411715856-calentador-boiler-solar-180lt-18-tubos-inoxi-altabaja-anodo-_JM</t>
  </si>
  <si>
    <t>https://articulo.mercadolibre.com.mx/MLM-2803372266-bateria-sellada-recargable-12v-5ah-agm-vrla-f1-_JM</t>
  </si>
  <si>
    <t>https://articulo.mercadolibre.com.mx/MLM-2803378762-bateria-sellada-recargable-12v-5ah-agm-vrla-f2-_JM</t>
  </si>
  <si>
    <t>MODELO</t>
  </si>
  <si>
    <t>MARCA</t>
  </si>
  <si>
    <t>EPCOM</t>
  </si>
  <si>
    <t>ETSOLAR</t>
  </si>
  <si>
    <t>RISEN</t>
  </si>
  <si>
    <t>PRO10012</t>
  </si>
  <si>
    <t>PRO1012</t>
  </si>
  <si>
    <t>PRO2512</t>
  </si>
  <si>
    <t>PRO5012</t>
  </si>
  <si>
    <t>PRO8512</t>
  </si>
  <si>
    <t>PRO12512</t>
  </si>
  <si>
    <t>PRO15012</t>
  </si>
  <si>
    <t>EPL33024</t>
  </si>
  <si>
    <t>ETM760BH450WW/WB</t>
  </si>
  <si>
    <t>ETM772BH550WW/WB</t>
  </si>
  <si>
    <t>RSM1449550M</t>
  </si>
  <si>
    <t>LR572HPH555M</t>
  </si>
  <si>
    <t>LONGI</t>
  </si>
  <si>
    <t>RSM1328660M</t>
  </si>
  <si>
    <t>Descontinuado</t>
  </si>
  <si>
    <t>LS1024EU</t>
  </si>
  <si>
    <t>EPEVER</t>
  </si>
  <si>
    <t>TRACER6415AN</t>
  </si>
  <si>
    <t>TRACER8415AN</t>
  </si>
  <si>
    <t>MT50</t>
  </si>
  <si>
    <t>CCUSB485150U</t>
  </si>
  <si>
    <t>GENERICO</t>
  </si>
  <si>
    <t>GEN122410A</t>
  </si>
  <si>
    <t>GEN122420A</t>
  </si>
  <si>
    <t>GEN122430A</t>
  </si>
  <si>
    <t>Batería Sellada Recargable 12v 5ah Agm-vrla</t>
  </si>
  <si>
    <t>PL512</t>
  </si>
  <si>
    <t>https://www.syscom.mx/producto/PL512-EPCOM-POWERLINE-158976.html</t>
  </si>
  <si>
    <t>https://articulo.mercadolibre.com.mx/MLM-2006361365-bateria-sellada-recargable-12v-5ah-agm-vrla-_JM</t>
  </si>
  <si>
    <t>POWER SONIC</t>
  </si>
  <si>
    <t>PL4.512</t>
  </si>
  <si>
    <t>PS1250F1</t>
  </si>
  <si>
    <t>PS1250F2</t>
  </si>
  <si>
    <t>PS1270F1</t>
  </si>
  <si>
    <t>PL912</t>
  </si>
  <si>
    <t>PL4.56</t>
  </si>
  <si>
    <t>Batería Sellada Recargable 6v 4.5ah Agm-vrla</t>
  </si>
  <si>
    <t>https://www.syscom.mx/producto/PL-4.56-EPCOM-POWERLINE-67463.html</t>
  </si>
  <si>
    <t>https://articulo.mercadolibre.com.mx/MLM-2006310313-bateria-sellada-recargable-6v-45ah-agm-vrla-_JM</t>
  </si>
  <si>
    <t>Batería Sellada Recargable 12v 7ah Agm-vrla F1</t>
  </si>
  <si>
    <t>Batería Sellada Recargable 12v 7ah Agm-vrla F2</t>
  </si>
  <si>
    <t>https://www.syscom.mx/producto/PS-1270-F2-POWER-SONIC-196543.html</t>
  </si>
  <si>
    <t>https://articulo.mercadolibre.com.mx/MLM-2006336479-bateria-sellada-recargable-12v-7ah-agm-vrla-f2-_JM</t>
  </si>
  <si>
    <t>Batería Sellada Recargable 12v 9ah Agm-vrla F1</t>
  </si>
  <si>
    <t>Batería Sellada Recargable 12v 9ah Agm-vrla F1 FR</t>
  </si>
  <si>
    <t>PL912FR</t>
  </si>
  <si>
    <t>https://www.syscom.mx/producto/PL-9-12FR-EPCOM-POWERLINE-195489.html</t>
  </si>
  <si>
    <t>https://articulo.mercadolibre.com.mx/MLM-2006453565-bateria-sellada-recargable-12v-9ah-agm-vrla-f1-fr-_JM</t>
  </si>
  <si>
    <t>PS12120F2</t>
  </si>
  <si>
    <t>https://www.syscom.mx/producto/PS-12120-F2-POWER-SONIC-183409.html</t>
  </si>
  <si>
    <t>Batería Sellada Recargable 12v 12ah Agm-vrla F2 PS</t>
  </si>
  <si>
    <t>https://articulo.mercadolibre.com.mx/MLM-2006403219-bateria-sellada-recargable-12v-12ah-agm-vrla-f2-_JM</t>
  </si>
  <si>
    <t>Batería Sellada Recargable 12v 12ah Agm-vrla F2 EPC</t>
  </si>
  <si>
    <t>PL1212</t>
  </si>
  <si>
    <t>PL1212FR</t>
  </si>
  <si>
    <t>https://www.syscom.mx/producto/PL-12-12-EPCOM-POWERLINE-88103.html</t>
  </si>
  <si>
    <t>https://www.syscom.mx/producto/PL-12-12-FR-EPCOM-POWERLINE-195490.html</t>
  </si>
  <si>
    <t>Batería Sellada Recargable 12v 12ah Agm-vrla F2 FR EPC</t>
  </si>
  <si>
    <t>https://articulo.mercadolibre.com.mx/MLM-2812108760-bateria-sellada-recargable-12v-12ah-agm-vrla-f2-epc-_JM</t>
  </si>
  <si>
    <t>https://articulo.mercadolibre.com.mx/MLM-2812057018-bateria-sellada-recargable-12v-12ah-agm-vrla-f2-epc-fr-_JM</t>
  </si>
  <si>
    <t>LI100A12C</t>
  </si>
  <si>
    <t>https://www.syscom.mx/producto/LI100A12C-EPCOM-POWERLINE-205630.html</t>
  </si>
  <si>
    <t>Batería Epcom Panel Solar 12.8v 100ah Litio Ciclo Profundo</t>
  </si>
  <si>
    <t>https://articulo.mercadolibre.com.mx/MLM-2812162474-bateria-epcom-panel-solar-128v-100ah-litio-ciclo-profundo-_JM</t>
  </si>
  <si>
    <t>Batería Sellada Recargable 12v 18ah Agm-vrla F2 PS</t>
  </si>
  <si>
    <t>Batería Sellada Recargable 12v 18ah Agm-vrla NB PS</t>
  </si>
  <si>
    <t>PS12180F2</t>
  </si>
  <si>
    <t>PS12180NB</t>
  </si>
  <si>
    <t>https://www.syscom.mx/producto/PS-12180-F2-POWER-SONIC-183410.html</t>
  </si>
  <si>
    <t>https://www.syscom.mx/producto/PS-12180-NB-POWER-SONIC-196546.html</t>
  </si>
  <si>
    <t>Batería Sellada Recargable 12v 18ah Agm-vrla M5 HEX EPC</t>
  </si>
  <si>
    <t>Batería Sellada Recargable 12v 18ah Agm-vrla M5 HEX FR EPC</t>
  </si>
  <si>
    <t>presiónOM</t>
  </si>
  <si>
    <t>PL1812</t>
  </si>
  <si>
    <t>PL1812FR</t>
  </si>
  <si>
    <t>https://www.syscom.mx/producto/PL-18-12-EPCOM-POWERLINE-67468.html</t>
  </si>
  <si>
    <t>https://www.syscom.mx/producto/PL-18-12-FR-EPCOM-POWERLINE-195488.html</t>
  </si>
  <si>
    <t>https://articulo.mercadolibre.com.mx/MLM-2813088926-bateria-sellada-recargable-12v-18ah-agm-vrla-f2-ps-_JM</t>
  </si>
  <si>
    <t>https://articulo.mercadolibre.com.mx/MLM-2813140164-bateria-sellada-recargable-12v-18ah-agm-vrla-nb-ps-_JM</t>
  </si>
  <si>
    <t>https://articulo.mercadolibre.com.mx/MLM-2813179252-bateria-sellada-recargable-12v-18ah-agm-vrla-m5-hex-epc-_JM</t>
  </si>
  <si>
    <t>https://articulo.mercadolibre.com.mx/MLM-2813102322-bateria-sellada-recargable-12v-18ah-agm-vrla-m5-hex-fr-epc-_JM</t>
  </si>
  <si>
    <t>Batería Sellada Recargable 12v 33ah Agm-vrla NB Ps</t>
  </si>
  <si>
    <t>PS12330NB</t>
  </si>
  <si>
    <t>https://www.syscom.mx/producto/PS-12330-NB-POWER-SONIC-183413.html</t>
  </si>
  <si>
    <t>https://articulo.mercadolibre.com.mx/MLM-2813130022-bateria-sellada-recargable-12v-33ah-agm-vrla-nb-ps-_JM</t>
  </si>
  <si>
    <t>PL4012</t>
  </si>
  <si>
    <t>PL7512FR</t>
  </si>
  <si>
    <t>PL10012</t>
  </si>
  <si>
    <t>PL110D12</t>
  </si>
  <si>
    <t>PS1270F2</t>
  </si>
  <si>
    <t>Precio de Venta</t>
  </si>
  <si>
    <t>Precio de Venta Final</t>
  </si>
  <si>
    <t>Descuento</t>
  </si>
  <si>
    <t>Microinversor 800W 127V Interconexión para Cable Troncal</t>
  </si>
  <si>
    <t>HOYMILES</t>
  </si>
  <si>
    <t>HMS8002TLV</t>
  </si>
  <si>
    <t>https://www.syscom.mx/producto/HMS8002TLV-HOYMILES-212075.html</t>
  </si>
  <si>
    <t>INV ML</t>
  </si>
  <si>
    <t>.</t>
  </si>
  <si>
    <t>Controlador de Carga Solar Mppt 12,24v 20a</t>
  </si>
  <si>
    <t>Controlador de Carga Solar Mppt 12,24v 30a</t>
  </si>
  <si>
    <t>Controlador de Carga Solar Mppt 12,24v 40a</t>
  </si>
  <si>
    <t>XTRA2210N</t>
  </si>
  <si>
    <t>XTRA3210N</t>
  </si>
  <si>
    <t>XTRA4210N</t>
  </si>
  <si>
    <t>https://www.syscom.mx/producto/XTRA-2210-N-EPEVER-163430.html</t>
  </si>
  <si>
    <t>https://www.syscom.mx/producto/XTRA-3210-N-EPEVER-144597.html</t>
  </si>
  <si>
    <t>https://www.syscom.mx/producto/XTRA-4210-N-EPEVER-144598.html</t>
  </si>
  <si>
    <t>https://articulo.mercadolibre.com.mx/MLM-2006801275-controlador-de-carga-solar-mppt-1224v-20a-_JM</t>
  </si>
  <si>
    <t>https://articulo.mercadolibre.com.mx/MLM-2006878087-controlador-de-carga-solar-mppt-1224v-30a-_JM</t>
  </si>
  <si>
    <t>https://articulo.mercadolibre.com.mx/MLM-2006893123-controlador-de-carga-solar-mppt-1224v-40a-_JM</t>
  </si>
  <si>
    <t>https://articulo.mercadolibre.com.mx/MLM-2815169416-microinversor-800w-127v-interconexion-para-cable-troncal-_JM</t>
  </si>
  <si>
    <t>Microinversor 1Kw 220v Interconexión Para Cable Troncal</t>
  </si>
  <si>
    <t>Microinversor 2Kw 220v Interconexión Para Cable Troncal</t>
  </si>
  <si>
    <t>HMS10002T</t>
  </si>
  <si>
    <t>HMS20004TA</t>
  </si>
  <si>
    <t>https://www.syscom.mx/producto/HMS10002T-HOYMILES-212085.html</t>
  </si>
  <si>
    <t>https://www.syscom.mx/producto/HMS20004TA-HOYMILES-215988.html</t>
  </si>
  <si>
    <t>https://articulo.mercadolibre.com.mx/MLM-2816469746-microinversor-1kw-220v-interconexion-para-cable-troncal-_JM</t>
  </si>
  <si>
    <t>https://articulo.mercadolibre.com.mx/MLM-2007157153-microinversor-2kw-220v-interconexion-para-cable-troncal-_JM</t>
  </si>
  <si>
    <t>PROSECA01 y PVBN101B</t>
  </si>
  <si>
    <t>LINK SYSCOM 2</t>
  </si>
  <si>
    <t>LINK SYSCOM 1</t>
  </si>
  <si>
    <t>https://www.syscom.mx/producto/PVBN101B-EPCOM-POWERLINE-220837.html</t>
  </si>
  <si>
    <t>Panel Solar 6w Para Recargar Cámara De Batería Mod. Csbc1c</t>
  </si>
  <si>
    <t>EZVIZ</t>
  </si>
  <si>
    <t>CSCMTSOLARPANELC</t>
  </si>
  <si>
    <t>https://www.syscom.mx/producto/CS-CMT-SOLARPANEL-C-EZVIZ-204626.html</t>
  </si>
  <si>
    <t>https://articulo.mercadolibre.com.mx/MLM-2007744843-panel-solar-6w-para-recargar-camara-de-bateria-mod-csbc1c-_JM</t>
  </si>
  <si>
    <t>Fecha:</t>
  </si>
  <si>
    <t>TOTAL PEDIDO:</t>
  </si>
  <si>
    <t>Cliente:</t>
  </si>
  <si>
    <t>MXN / USD</t>
  </si>
  <si>
    <t>Factor de Utilidad</t>
  </si>
  <si>
    <t>Cotización:</t>
  </si>
  <si>
    <t>SFV ISLA 2.2kW/h día</t>
  </si>
  <si>
    <t>%</t>
  </si>
  <si>
    <t>IVA Inc, ENV Inc</t>
  </si>
  <si>
    <t>Costo Proveedor</t>
  </si>
  <si>
    <t>Precio Unitario</t>
  </si>
  <si>
    <t>IVA Precio</t>
  </si>
  <si>
    <t>Total Precio</t>
  </si>
  <si>
    <t>Envío</t>
  </si>
  <si>
    <t>IVA Envío</t>
  </si>
  <si>
    <t>Total Envío</t>
  </si>
  <si>
    <t>Total Producto</t>
  </si>
  <si>
    <t>Bodega</t>
  </si>
  <si>
    <t>Marca</t>
  </si>
  <si>
    <t>Código</t>
  </si>
  <si>
    <t>Descripción</t>
  </si>
  <si>
    <t>Cantidad</t>
  </si>
  <si>
    <t>Modulo Solar ETSOLAR, 550W, 50 Vcc, Monocristalino, 144 Celdas grado A</t>
  </si>
  <si>
    <t>EPL-SR8-2700</t>
  </si>
  <si>
    <t>Riel 8 para montaje de módulos fotovoltaicos de aluminio anodizado de 2700mm.</t>
  </si>
  <si>
    <t>EPL-AMO01-1X4ST</t>
  </si>
  <si>
    <t>Caja de accesorios de aluminio anodizado para montaje VEKTOR8R , arreglo 1X4 para techo</t>
  </si>
  <si>
    <t>XTRA-3210-N</t>
  </si>
  <si>
    <t>Controlador Solar MPPT 30A 12/24V, Máximo Voltaje de Circuito Abierto Voc 100Vcc, Configurable para Baterías de Litio</t>
  </si>
  <si>
    <t>DELTA</t>
  </si>
  <si>
    <t>LA302DC</t>
  </si>
  <si>
    <t>Protector de Descargas Atmosféricas, Diseñado Para Sistemas Fotovoltaicos, Uso en Corriente Directa, 0-500 Vcc</t>
  </si>
  <si>
    <t>F56CB4N</t>
  </si>
  <si>
    <t>Gabinete Plástico para Exterior IP66 para Riel Din</t>
  </si>
  <si>
    <t>FPV632PC20</t>
  </si>
  <si>
    <t>Protección Térmica 2P, 20 A, Corriente Directa 800 Vcc para Aplicación Fotovoltaica Montaje Riel DIN</t>
  </si>
  <si>
    <t>SYG-180-CH</t>
  </si>
  <si>
    <t>Estante Galvanizado de 3 Niveles para 9 Baterías Similares a PL110D12. Compatible SYG180V2G.</t>
  </si>
  <si>
    <t>PL-110-D12</t>
  </si>
  <si>
    <t>Batería 12 Vcc / 110 Ah / Ciclo Profundo / AGM-VRLA / Uso en Aplicación Fotovoltaica /Terminales Tipo Tornillo HEX M6</t>
  </si>
  <si>
    <t>CBL-8AWG-3BLK</t>
  </si>
  <si>
    <t>Cable para Controlador, 3.0 m, Negro, Calibre 8 AWG con Terminal de Ojo en un Extremo</t>
  </si>
  <si>
    <t>CBL-8AWG-3R</t>
  </si>
  <si>
    <t>Cable para Controlador 3.0 m, Rojo, Calibre 8 AWG con Terminal de Ojo en un Extremo</t>
  </si>
  <si>
    <t>CBL-AWG2-1B</t>
  </si>
  <si>
    <t>Cable para Baterías, 1 m, Negro, Calibre 2 AWG con Terminales de Ojo en Ambos Extremos</t>
  </si>
  <si>
    <t>CBL-AWG2-1R</t>
  </si>
  <si>
    <t>Cable para Baterías 1 m, Rojo, Calibre 2 AWG con Terminales de Ojo en Ambos Extremos</t>
  </si>
  <si>
    <t>CBL-AWG2-0.2B</t>
  </si>
  <si>
    <t>Cable para Baterías, 0.2m, Negro, Calibre 2 AWG con Terminales de Ojo en Ambos Extremos</t>
  </si>
  <si>
    <t>VIAKON</t>
  </si>
  <si>
    <t>FJ-81</t>
  </si>
  <si>
    <t>( VENTA POR METRO ) Cable Fotovoltaico / Negro / Recubrimiento XLPE / 6 mm² / 10 AWG / Hasta 1,800 Vcc</t>
  </si>
  <si>
    <t>FJ-86</t>
  </si>
  <si>
    <t>( VENTA POR METRO ) Cable Fotovoltaico / Rojo / Recubrimiento XLPE / 6mm² / 10 AWG / Hasta 1,800 Vcc</t>
  </si>
  <si>
    <t>IP-1500-21</t>
  </si>
  <si>
    <t>Inversor Ipower 1200 W, Ent: 24 V, Salida: 120 Vca</t>
  </si>
  <si>
    <t>TOTAL GROUND</t>
  </si>
  <si>
    <t>VARI-GROUND/SINT</t>
  </si>
  <si>
    <t>Electrodo Para Tierra Física para Aplicaciones Residenciales y Antenas de Baja Potencia.</t>
  </si>
  <si>
    <t>PROSECA-01</t>
  </si>
  <si>
    <t>Par de Conectores Macho-Hembra para Módulos Fotovoltaicos tipo MC-4</t>
  </si>
  <si>
    <t>CBLMC41.5R</t>
  </si>
  <si>
    <t>CBLMC41.5BLK</t>
  </si>
  <si>
    <t>CBLMC42P5MREDV2</t>
  </si>
  <si>
    <t>CBL8AWG3R</t>
  </si>
  <si>
    <t>CBL8AWG3BLK</t>
  </si>
  <si>
    <t>CBLMC42P5MBLKV2</t>
  </si>
  <si>
    <t>GROWATT</t>
  </si>
  <si>
    <t>MIC3000TLX</t>
  </si>
  <si>
    <t>MIN6000TLX2</t>
  </si>
  <si>
    <t>MIN10000TLX</t>
  </si>
  <si>
    <t>MAC36KTL3XL</t>
  </si>
  <si>
    <t>MAC60KTL3XMV</t>
  </si>
  <si>
    <t>MAC70KTL3XMV</t>
  </si>
  <si>
    <t>Riel 8 para montaje de módulos fotovoltaicos de aluminio anodizado de 2700mm</t>
  </si>
  <si>
    <t>EPLSR82700</t>
  </si>
  <si>
    <t>https://www.syscom.mx/producto/EPL-SR8-2700-SYSCOM-210382.html</t>
  </si>
  <si>
    <t>EPLAMO011X4ST</t>
  </si>
  <si>
    <t>https://www.syscom.mx/producto/EPL-AMO01-1X4ST-EPCOM-POWERLINE-210383.html</t>
  </si>
  <si>
    <t>EQUIPOS:</t>
  </si>
  <si>
    <t>MONTAJE:</t>
  </si>
  <si>
    <t>CABLES y CONECTORES:</t>
  </si>
  <si>
    <t>ACCESORIOS:</t>
  </si>
  <si>
    <t>4 Cables Jumper Para Batería 20 Cm, 2 Awg, 2 Terminales Ojo</t>
  </si>
  <si>
    <t>Cable Jumper Para Batería 20 Cm, 2 Awg, 2 Terminales Ojo Negro</t>
  </si>
  <si>
    <t>Cable Jumper Para Batería 20 Cm, 2 Awg, 2 Terminales Ojo Rojo</t>
  </si>
  <si>
    <t>CBLAWG20.2B</t>
  </si>
  <si>
    <t>https://www.syscom.mx/producto/CBL-AWG2-0.2B-EPCOM-POWERLINE-161228.html</t>
  </si>
  <si>
    <t>CBLAWG20.2R</t>
  </si>
  <si>
    <t>https://articulo.mercadolibre.com.mx/MLM-2755575188-4-cables-jumper-para-bateria-20-cm-2-awg-2-terminales-ojo-_JM</t>
  </si>
  <si>
    <t>Cable para Baterías 1m Negro 2AWG Terminales Ojo Ambos Extremos</t>
  </si>
  <si>
    <t>Cable para Baterías 1m Rojo 2AWG Terminales Ojo Ambos Extremos</t>
  </si>
  <si>
    <t>CBLAWG21B</t>
  </si>
  <si>
    <t>https://www.syscom.mx/producto/CBL-AWG2-0.2R-EPCOM-POWERLINE-161227.html</t>
  </si>
  <si>
    <t>https://www.syscom.mx/producto/CBL-AWG2-1B-EPCOM-POWERLINE-161226.html</t>
  </si>
  <si>
    <t>https://www.syscom.mx/producto/CBL-AWG2-1R-EPCOM-POWERLINE-161225.html</t>
  </si>
  <si>
    <t>CBLAWG21R</t>
  </si>
  <si>
    <t>2 Cables para Baterías 1m 2AWG Terminales OJO Extremos</t>
  </si>
  <si>
    <t>https://articulo.mercadolibre.com.mx/MLM-2826632886-2-cables-para-bateria-1-m-2-awg-2-terminales-ojo-_JM</t>
  </si>
  <si>
    <t>Cargador Inteligente Baterías 12V o 24V de 2, 4 o 6A Display</t>
  </si>
  <si>
    <t>CHR80</t>
  </si>
  <si>
    <t>https://www.syscom.mx/producto/CHR-80-EPCOM-POWERLINE-202463.html</t>
  </si>
  <si>
    <t>https://articulo.mercadolibre.com.mx/MLM-2010226619-cargador-inteligente-baterias-12v-o-24v-de-2-4-o-6a-display-_JM</t>
  </si>
  <si>
    <t>CBLPV10R100</t>
  </si>
  <si>
    <t>CBLPV10B100</t>
  </si>
  <si>
    <t>FJ69500</t>
  </si>
  <si>
    <t>FJ66500</t>
  </si>
  <si>
    <t>CBLPV10B500</t>
  </si>
  <si>
    <t>CBLPV10R500</t>
  </si>
  <si>
    <t>FJ81</t>
  </si>
  <si>
    <t>FJ86</t>
  </si>
  <si>
    <t>Controlador Solar PWM 12/24 V 20 A, Salida USB</t>
  </si>
  <si>
    <t>Controlador Solar PWM 12/24 V 30 A, Salida USB</t>
  </si>
  <si>
    <t>LS2024EU</t>
  </si>
  <si>
    <t>LS3024EU</t>
  </si>
  <si>
    <t>https://www.syscom.mx/producto/LS-2024-EU-EPEVER-144593.html</t>
  </si>
  <si>
    <t>https://www.syscom.mx/producto/LS-3024-EU-EPEVER-144594.html</t>
  </si>
  <si>
    <t>https://articulo.mercadolibre.com.mx/MLM-2010176907-controlador-solar-pwm-1224-v-20-a-salida-usb-_JM</t>
  </si>
  <si>
    <t>https://articulo.mercadolibre.com.mx/MLM-2010189695-controlador-solar-pwm-1224-v-30-a-salida-usb-_JM</t>
  </si>
  <si>
    <t>Controlador Solar Pwm 12/24 V 10 A, Parámetros Configurables</t>
  </si>
  <si>
    <t>Controlador Solar Pwm 12/24 V 20 A, Parámetros Configurables</t>
  </si>
  <si>
    <t>Controlador Solar Pwm 12/24 V 30 A, Parámetros Configurables</t>
  </si>
  <si>
    <t>LS1024B</t>
  </si>
  <si>
    <t>LS2024B</t>
  </si>
  <si>
    <t>LS3024B</t>
  </si>
  <si>
    <t>https://www.syscom.mx/producto/LS-1024-B-EPEVER-78223.html</t>
  </si>
  <si>
    <t>https://www.syscom.mx/producto/LS-2024-B-EPEVER-78224.html</t>
  </si>
  <si>
    <t>https://www.syscom.mx/producto/LS-3024-B-EPEVER-78225.html</t>
  </si>
  <si>
    <t>https://articulo.mercadolibre.com.mx/MLM-2010178287-controlador-solar-pwm-1224-v-10-a-parametros-configurables-_JM</t>
  </si>
  <si>
    <t>https://articulo.mercadolibre.com.mx/MLM-2010267621-controlador-solar-pwm-1224-v-20-a-parametros-configurables-_JM</t>
  </si>
  <si>
    <t>https://articulo.mercadolibre.com.mx/MLM-2010267623-controlador-solar-pwm-1224-v-30-a-parametros-configurables-_JM</t>
  </si>
  <si>
    <t>Controlador Solar Pwm 12/24/36/48 V 30 A, Salida Usb Display</t>
  </si>
  <si>
    <t>VS3048AU</t>
  </si>
  <si>
    <t>https://www.syscom.mx/producto/VS-3048-AU-EPEVER-190733.html</t>
  </si>
  <si>
    <t>VS4548AU</t>
  </si>
  <si>
    <t>Controlador Solar Pwm 12/24/36/48 V 45 A, Salida Usb Display</t>
  </si>
  <si>
    <t>https://www.syscom.mx/producto/VS-4548-AU-EPEVER-190734.html</t>
  </si>
  <si>
    <t>Controlador Solar Pwm 12/24/36/48 V 60 A, Salida Usb Display</t>
  </si>
  <si>
    <t>VS6024AU</t>
  </si>
  <si>
    <t>https://www.syscom.mx/producto/VS-6024-AU-EPEVER-144596.html</t>
  </si>
  <si>
    <t>https://articulo.mercadolibre.com.mx/MLM-2010812297-controlador-solar-pwm-12243648-v-30-a-salida-usb-display-_JM</t>
  </si>
  <si>
    <t>https://articulo.mercadolibre.com.mx/MLM-2010712025-controlador-solar-pwm-12243648-v-45-a-salida-usb-display-_JM</t>
  </si>
  <si>
    <t>https://articulo.mercadolibre.com.mx/MLM-2010812307-controlador-solar-pwm-12243648-v-60-a-salida-usb-display-_JM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</si>
</sst>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name val="Calibri"/>
      <family val="2"/>
    </font>
    <font>
      <sz val="8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b/>
      <sz val="18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4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8" fontId="2" fillId="3" borderId="0" xfId="0" applyNumberFormat="1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8" fontId="2" fillId="3" borderId="0" xfId="0" applyNumberFormat="1" applyFont="1" applyFill="1" applyAlignment="1">
      <alignment vertical="center"/>
    </xf>
    <xf numFmtId="14" fontId="5" fillId="2" borderId="1" xfId="1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/>
    </xf>
    <xf numFmtId="44" fontId="3" fillId="2" borderId="5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4" fontId="6" fillId="2" borderId="1" xfId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44" fontId="2" fillId="3" borderId="0" xfId="0" applyNumberFormat="1" applyFont="1" applyFill="1" applyAlignment="1">
      <alignment horizontal="center" vertical="center"/>
    </xf>
    <xf numFmtId="44" fontId="3" fillId="2" borderId="5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2" fillId="3" borderId="0" xfId="0" applyNumberFormat="1" applyFont="1" applyFill="1" applyAlignment="1">
      <alignment vertical="center"/>
    </xf>
    <xf numFmtId="44" fontId="5" fillId="2" borderId="5" xfId="0" applyNumberFormat="1" applyFont="1" applyFill="1" applyBorder="1" applyAlignment="1">
      <alignment horizontal="center" vertical="center"/>
    </xf>
    <xf numFmtId="44" fontId="6" fillId="3" borderId="0" xfId="0" applyNumberFormat="1" applyFont="1" applyFill="1" applyAlignment="1">
      <alignment vertical="center"/>
    </xf>
    <xf numFmtId="44" fontId="6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vertical="center"/>
    </xf>
    <xf numFmtId="4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8" fontId="6" fillId="0" borderId="1" xfId="0" applyNumberFormat="1" applyFont="1" applyBorder="1" applyAlignment="1">
      <alignment horizontal="center" vertical="center"/>
    </xf>
    <xf numFmtId="8" fontId="6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4" fontId="6" fillId="2" borderId="1" xfId="0" applyNumberFormat="1" applyFont="1" applyFill="1" applyBorder="1" applyAlignment="1">
      <alignment horizontal="left" vertical="center"/>
    </xf>
    <xf numFmtId="44" fontId="2" fillId="0" borderId="6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8" fontId="2" fillId="12" borderId="1" xfId="0" applyNumberFormat="1" applyFont="1" applyFill="1" applyBorder="1" applyAlignment="1">
      <alignment horizontal="center" vertical="center"/>
    </xf>
    <xf numFmtId="8" fontId="2" fillId="12" borderId="6" xfId="0" applyNumberFormat="1" applyFont="1" applyFill="1" applyBorder="1" applyAlignment="1">
      <alignment horizontal="center" vertical="center"/>
    </xf>
    <xf numFmtId="8" fontId="2" fillId="12" borderId="2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11" fillId="0" borderId="1" xfId="2" applyBorder="1" applyAlignment="1">
      <alignment horizontal="left" vertical="center"/>
    </xf>
    <xf numFmtId="0" fontId="11" fillId="0" borderId="1" xfId="2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8" fontId="6" fillId="12" borderId="1" xfId="0" applyNumberFormat="1" applyFont="1" applyFill="1" applyBorder="1" applyAlignment="1">
      <alignment horizontal="center" vertical="center"/>
    </xf>
    <xf numFmtId="8" fontId="9" fillId="12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2" applyFont="1" applyFill="1" applyBorder="1" applyAlignment="1">
      <alignment vertical="center"/>
    </xf>
    <xf numFmtId="44" fontId="6" fillId="12" borderId="1" xfId="0" applyNumberFormat="1" applyFont="1" applyFill="1" applyBorder="1" applyAlignment="1">
      <alignment horizontal="center" vertical="center"/>
    </xf>
    <xf numFmtId="44" fontId="2" fillId="12" borderId="1" xfId="0" applyNumberFormat="1" applyFont="1" applyFill="1" applyBorder="1" applyAlignment="1">
      <alignment horizontal="center" vertical="center"/>
    </xf>
    <xf numFmtId="10" fontId="2" fillId="12" borderId="1" xfId="0" applyNumberFormat="1" applyFont="1" applyFill="1" applyBorder="1" applyAlignment="1">
      <alignment horizontal="center" vertical="center"/>
    </xf>
    <xf numFmtId="0" fontId="11" fillId="0" borderId="1" xfId="2" applyFill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center" vertical="center"/>
    </xf>
    <xf numFmtId="8" fontId="2" fillId="13" borderId="1" xfId="0" applyNumberFormat="1" applyFont="1" applyFill="1" applyBorder="1" applyAlignment="1">
      <alignment horizontal="center" vertical="center"/>
    </xf>
    <xf numFmtId="0" fontId="11" fillId="13" borderId="1" xfId="2" applyFill="1" applyBorder="1" applyAlignment="1">
      <alignment vertical="center"/>
    </xf>
    <xf numFmtId="0" fontId="11" fillId="13" borderId="1" xfId="2" applyFill="1" applyBorder="1" applyAlignment="1">
      <alignment horizontal="left" vertical="center"/>
    </xf>
    <xf numFmtId="0" fontId="7" fillId="13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44" fontId="6" fillId="13" borderId="1" xfId="0" applyNumberFormat="1" applyFont="1" applyFill="1" applyBorder="1" applyAlignment="1">
      <alignment horizontal="center" vertical="center"/>
    </xf>
    <xf numFmtId="8" fontId="6" fillId="13" borderId="1" xfId="0" applyNumberFormat="1" applyFont="1" applyFill="1" applyBorder="1" applyAlignment="1">
      <alignment horizontal="center" vertical="center"/>
    </xf>
    <xf numFmtId="44" fontId="2" fillId="13" borderId="1" xfId="0" applyNumberFormat="1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left" vertical="center"/>
    </xf>
    <xf numFmtId="0" fontId="12" fillId="0" borderId="1" xfId="2" applyFont="1" applyBorder="1" applyAlignment="1">
      <alignment vertical="center"/>
    </xf>
    <xf numFmtId="44" fontId="7" fillId="0" borderId="1" xfId="0" applyNumberFormat="1" applyFont="1" applyBorder="1" applyAlignment="1">
      <alignment horizontal="center" vertical="center"/>
    </xf>
    <xf numFmtId="8" fontId="2" fillId="0" borderId="6" xfId="0" applyNumberFormat="1" applyFont="1" applyBorder="1" applyAlignment="1">
      <alignment horizontal="center" vertical="center"/>
    </xf>
    <xf numFmtId="8" fontId="2" fillId="0" borderId="2" xfId="0" applyNumberFormat="1" applyFont="1" applyBorder="1" applyAlignment="1">
      <alignment horizontal="center" vertical="center"/>
    </xf>
    <xf numFmtId="44" fontId="6" fillId="0" borderId="2" xfId="0" applyNumberFormat="1" applyFont="1" applyBorder="1" applyAlignment="1">
      <alignment horizontal="center" vertical="center"/>
    </xf>
    <xf numFmtId="44" fontId="2" fillId="0" borderId="9" xfId="0" applyNumberFormat="1" applyFont="1" applyBorder="1" applyAlignment="1">
      <alignment horizontal="center" vertical="center"/>
    </xf>
    <xf numFmtId="44" fontId="6" fillId="2" borderId="1" xfId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44" fontId="13" fillId="3" borderId="0" xfId="0" applyNumberFormat="1" applyFont="1" applyFill="1"/>
    <xf numFmtId="0" fontId="13" fillId="3" borderId="0" xfId="0" applyFont="1" applyFill="1"/>
    <xf numFmtId="44" fontId="0" fillId="3" borderId="0" xfId="0" applyNumberFormat="1" applyFill="1"/>
    <xf numFmtId="0" fontId="0" fillId="3" borderId="0" xfId="0" applyFill="1"/>
    <xf numFmtId="10" fontId="13" fillId="3" borderId="0" xfId="0" applyNumberFormat="1" applyFont="1" applyFill="1"/>
    <xf numFmtId="10" fontId="0" fillId="3" borderId="0" xfId="0" applyNumberFormat="1" applyFill="1"/>
    <xf numFmtId="0" fontId="2" fillId="12" borderId="1" xfId="0" applyFont="1" applyFill="1" applyBorder="1" applyAlignment="1">
      <alignment horizontal="center" vertical="center"/>
    </xf>
    <xf numFmtId="0" fontId="11" fillId="0" borderId="1" xfId="2" applyFill="1" applyBorder="1" applyAlignment="1">
      <alignment vertical="center"/>
    </xf>
    <xf numFmtId="44" fontId="0" fillId="3" borderId="0" xfId="0" applyNumberFormat="1" applyFill="1" applyAlignment="1">
      <alignment horizontal="center"/>
    </xf>
    <xf numFmtId="44" fontId="14" fillId="3" borderId="0" xfId="0" applyNumberFormat="1" applyFont="1" applyFill="1" applyAlignment="1">
      <alignment horizontal="center"/>
    </xf>
    <xf numFmtId="44" fontId="0" fillId="3" borderId="0" xfId="0" applyNumberFormat="1" applyFill="1" applyAlignment="1">
      <alignment horizontal="right"/>
    </xf>
    <xf numFmtId="2" fontId="0" fillId="3" borderId="0" xfId="0" applyNumberFormat="1" applyFill="1"/>
    <xf numFmtId="44" fontId="15" fillId="3" borderId="0" xfId="0" applyNumberFormat="1" applyFont="1" applyFill="1" applyAlignment="1">
      <alignment horizontal="right"/>
    </xf>
    <xf numFmtId="44" fontId="16" fillId="3" borderId="0" xfId="0" applyNumberFormat="1" applyFont="1" applyFill="1"/>
    <xf numFmtId="44" fontId="0" fillId="3" borderId="0" xfId="0" applyNumberFormat="1" applyFill="1" applyAlignment="1">
      <alignment horizontal="left"/>
    </xf>
    <xf numFmtId="44" fontId="13" fillId="3" borderId="0" xfId="0" applyNumberFormat="1" applyFont="1" applyFill="1" applyAlignment="1">
      <alignment horizontal="right"/>
    </xf>
    <xf numFmtId="44" fontId="13" fillId="3" borderId="0" xfId="0" applyNumberFormat="1" applyFont="1" applyFill="1" applyAlignment="1">
      <alignment horizontal="center"/>
    </xf>
    <xf numFmtId="44" fontId="17" fillId="3" borderId="0" xfId="0" applyNumberFormat="1" applyFont="1" applyFill="1" applyAlignment="1">
      <alignment horizontal="center"/>
    </xf>
    <xf numFmtId="2" fontId="13" fillId="3" borderId="0" xfId="0" applyNumberFormat="1" applyFont="1" applyFill="1" applyAlignment="1">
      <alignment horizontal="center"/>
    </xf>
    <xf numFmtId="44" fontId="0" fillId="3" borderId="1" xfId="0" applyNumberFormat="1" applyFill="1" applyBorder="1"/>
    <xf numFmtId="44" fontId="18" fillId="3" borderId="1" xfId="0" applyNumberFormat="1" applyFont="1" applyFill="1" applyBorder="1" applyAlignment="1">
      <alignment horizontal="center"/>
    </xf>
    <xf numFmtId="44" fontId="18" fillId="3" borderId="1" xfId="0" applyNumberFormat="1" applyFont="1" applyFill="1" applyBorder="1" applyAlignment="1">
      <alignment horizontal="right"/>
    </xf>
    <xf numFmtId="2" fontId="0" fillId="3" borderId="1" xfId="0" applyNumberFormat="1" applyFill="1" applyBorder="1"/>
    <xf numFmtId="44" fontId="0" fillId="3" borderId="1" xfId="0" applyNumberFormat="1" applyFill="1" applyBorder="1" applyAlignment="1">
      <alignment horizontal="right"/>
    </xf>
    <xf numFmtId="44" fontId="0" fillId="14" borderId="1" xfId="0" applyNumberFormat="1" applyFill="1" applyBorder="1"/>
    <xf numFmtId="44" fontId="2" fillId="6" borderId="1" xfId="0" applyNumberFormat="1" applyFont="1" applyFill="1" applyBorder="1" applyAlignment="1">
      <alignment horizontal="center" vertical="center"/>
    </xf>
    <xf numFmtId="0" fontId="11" fillId="6" borderId="1" xfId="2" applyFill="1" applyBorder="1" applyAlignment="1">
      <alignment horizontal="left" vertical="center"/>
    </xf>
    <xf numFmtId="44" fontId="8" fillId="12" borderId="1" xfId="0" applyNumberFormat="1" applyFont="1" applyFill="1" applyBorder="1" applyAlignment="1">
      <alignment horizontal="center" vertical="center"/>
    </xf>
    <xf numFmtId="44" fontId="13" fillId="3" borderId="1" xfId="0" applyNumberFormat="1" applyFont="1" applyFill="1" applyBorder="1" applyAlignment="1">
      <alignment horizontal="right"/>
    </xf>
    <xf numFmtId="44" fontId="0" fillId="7" borderId="1" xfId="0" applyNumberFormat="1" applyFill="1" applyBorder="1"/>
    <xf numFmtId="44" fontId="18" fillId="3" borderId="5" xfId="0" applyNumberFormat="1" applyFont="1" applyFill="1" applyBorder="1" applyAlignment="1">
      <alignment horizontal="center"/>
    </xf>
    <xf numFmtId="44" fontId="18" fillId="3" borderId="5" xfId="0" applyNumberFormat="1" applyFont="1" applyFill="1" applyBorder="1" applyAlignment="1">
      <alignment horizontal="right"/>
    </xf>
    <xf numFmtId="2" fontId="0" fillId="3" borderId="5" xfId="0" applyNumberFormat="1" applyFill="1" applyBorder="1"/>
    <xf numFmtId="44" fontId="18" fillId="3" borderId="0" xfId="0" applyNumberFormat="1" applyFont="1" applyFill="1" applyAlignment="1">
      <alignment horizontal="center"/>
    </xf>
    <xf numFmtId="44" fontId="18" fillId="3" borderId="3" xfId="0" applyNumberFormat="1" applyFont="1" applyFill="1" applyBorder="1" applyAlignment="1">
      <alignment horizontal="center"/>
    </xf>
    <xf numFmtId="2" fontId="0" fillId="3" borderId="3" xfId="0" applyNumberFormat="1" applyFill="1" applyBorder="1"/>
    <xf numFmtId="44" fontId="0" fillId="3" borderId="3" xfId="0" applyNumberFormat="1" applyFill="1" applyBorder="1"/>
    <xf numFmtId="44" fontId="0" fillId="15" borderId="1" xfId="0" applyNumberFormat="1" applyFill="1" applyBorder="1"/>
    <xf numFmtId="0" fontId="11" fillId="12" borderId="1" xfId="2" applyFill="1" applyBorder="1" applyAlignment="1">
      <alignment horizontal="left" vertical="center"/>
    </xf>
    <xf numFmtId="0" fontId="12" fillId="0" borderId="1" xfId="2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left"/>
    </xf>
    <xf numFmtId="44" fontId="16" fillId="3" borderId="0" xfId="0" applyNumberFormat="1" applyFont="1" applyFill="1" applyAlignment="1">
      <alignment horizontal="right"/>
    </xf>
    <xf numFmtId="44" fontId="0" fillId="3" borderId="0" xfId="0" applyNumberFormat="1" applyFill="1" applyAlignment="1">
      <alignment horizontal="left"/>
    </xf>
    <xf numFmtId="2" fontId="0" fillId="3" borderId="0" xfId="0" applyNumberFormat="1" applyFill="1" applyAlignment="1">
      <alignment horizontal="left"/>
    </xf>
  </cellXfs>
  <cellStyles count="3">
    <cellStyle name="Hipervínculo" xfId="2" builtinId="8"/>
    <cellStyle name="Moneda" xfId="1" builtinId="4"/>
    <cellStyle name="Normal" xfId="0" builtinId="0"/>
  </cellStyles>
  <dxfs count="77">
    <dxf>
      <font>
        <color rgb="FFFF0000"/>
      </font>
    </dxf>
    <dxf>
      <font>
        <color rgb="FFC00000"/>
      </font>
    </dxf>
    <dxf>
      <font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2" formatCode="&quot;$&quot;#,##0.00;[Red]\-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2" formatCode="&quot;$&quot;#,##0.00;[Red]\-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2" formatCode="&quot;$&quot;#,##0.00;[Red]\-&quot;$&quot;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fill>
        <patternFill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/>
      </font>
      <fill>
        <patternFill>
          <bgColor rgb="FF33A3FF"/>
        </patternFill>
      </fill>
    </dxf>
    <dxf>
      <font>
        <color theme="1"/>
      </font>
    </dxf>
    <dxf>
      <font>
        <color theme="0"/>
      </font>
      <fill>
        <patternFill>
          <bgColor rgb="FF0070C0"/>
        </patternFill>
      </fill>
    </dxf>
  </dxfs>
  <tableStyles count="2" defaultTableStyle="TableStyleMedium2" defaultPivotStyle="PivotStyleLight16">
    <tableStyle name="Estilo de tabla 1" pivot="0" count="1" xr9:uid="{E596B390-3D95-41D4-8A8B-76A5FCD835A7}">
      <tableStyleElement type="firstRowStripe" dxfId="76"/>
    </tableStyle>
    <tableStyle name="Estilo de tabla 2" pivot="0" count="2" xr9:uid="{419E9119-F48D-4741-B30B-B375598F887B}">
      <tableStyleElement type="wholeTable" dxfId="75"/>
      <tableStyleElement type="firstRowStripe" dxfId="74"/>
    </tableStyle>
  </tableStyles>
  <colors>
    <mruColors>
      <color rgb="FF33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5</xdr:col>
      <xdr:colOff>904875</xdr:colOff>
      <xdr:row>5</xdr:row>
      <xdr:rowOff>20332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C18F06-2750-49B7-BB14-8D9954884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0"/>
          <a:ext cx="2486025" cy="13538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6E006-A3DA-4A83-A02F-F3A514C18D9E}" name="Tabla1" displayName="Tabla1" ref="C5:AJ152" headerRowDxfId="73" dataDxfId="71" headerRowBorderDxfId="72" tableBorderDxfId="70">
  <tableColumns count="34">
    <tableColumn id="1" xr3:uid="{7783E990-F856-46D2-AB18-9A644FFC3DF5}" name="PRODUCTO" totalsRowLabel="Total" dataDxfId="69" totalsRowDxfId="68"/>
    <tableColumn id="34" xr3:uid="{AA421AA9-5507-4A46-B564-81F78C2CDF88}" name="EMPRESA" dataDxfId="67" totalsRowDxfId="66"/>
    <tableColumn id="12" xr3:uid="{2C92C84D-676B-4F5A-B297-5C6A6AA61ECC}" name="MARCA" dataDxfId="65" totalsRowDxfId="64"/>
    <tableColumn id="11" xr3:uid="{372A954F-5139-419A-820B-CBC574675B6A}" name="MODELO" dataDxfId="63" totalsRowDxfId="62"/>
    <tableColumn id="2" xr3:uid="{D99358F6-30A2-4AD6-A0C1-506FAABE4DB5}" name="STOCK" dataDxfId="61" totalsRowDxfId="60"/>
    <tableColumn id="3" xr3:uid="{36AC4B2F-5A58-4C35-B474-A58899F58700}" name="AYER" dataDxfId="59" totalsRowDxfId="58"/>
    <tableColumn id="8" xr3:uid="{C7CBA3F8-EF9A-481F-B8EB-28E0F9964411}" name="HOY" dataDxfId="57" totalsRowDxfId="56"/>
    <tableColumn id="9" xr3:uid="{DD95795A-1CCE-4586-9719-02D03051FD47}" name="DIF." dataDxfId="55" totalsRowDxfId="54">
      <calculatedColumnFormula>Tabla1[[#This Row],[AYER]]-Tabla1[[#This Row],[HOY]]</calculatedColumnFormula>
    </tableColumn>
    <tableColumn id="35" xr3:uid="{57E3483E-C0E3-4BCD-8C19-6421147A1024}" name="INV MIN" dataDxfId="53" totalsRowDxfId="52"/>
    <tableColumn id="4" xr3:uid="{B7C7EDA1-5B76-4391-AA7E-2A10613EDD5C}" name="LINK SYSCOM 1" dataDxfId="51" totalsRowDxfId="50"/>
    <tableColumn id="14" xr3:uid="{27A39396-991B-4510-85EC-2D282F735FDC}" name="LINK SYSCOM 2" totalsRowDxfId="49"/>
    <tableColumn id="5" xr3:uid="{8333DF32-28CD-4279-A4F3-990EF5E51F45}" name="LINK ML" dataDxfId="48" totalsRowDxfId="47"/>
    <tableColumn id="6" xr3:uid="{50C6996D-6DA7-48F7-8AFF-ED7EE92FE1CD}" name="ESTATUS" dataDxfId="46" totalsRowDxfId="45"/>
    <tableColumn id="13" xr3:uid="{B1801CB4-5839-4C7A-ABDF-C4AA223209E6}" name="INV ML" dataDxfId="44" totalsRowDxfId="43"/>
    <tableColumn id="7" xr3:uid="{0D6BADB7-E153-4E56-8CBC-9E4DB572A4EA}" name="FECHA LLEGADA" dataDxfId="42" totalsRowDxfId="41"/>
    <tableColumn id="10" xr3:uid="{74CE18D4-AAE2-4141-9114-5CDA43DE1AC1}" name="OBS" dataDxfId="40" totalsRowDxfId="39"/>
    <tableColumn id="15" xr3:uid="{C330F5C7-78F8-4A5B-833C-9B8B3E27A60C}" name="FALTA INV" dataDxfId="38" totalsRowDxfId="37"/>
    <tableColumn id="16" xr3:uid="{C4D3CEC2-6C21-4579-8DB0-01A60FCB961E}" name="PÉRDIDA" dataDxfId="36" totalsRowDxfId="35">
      <calculatedColumnFormula>IF(Tabla1[[#This Row],[UTILIDAD]]&lt;0,"PÉRDIDA!!!","")</calculatedColumnFormula>
    </tableColumn>
    <tableColumn id="36" xr3:uid="{FFBC7B43-794F-4BF4-8C8E-933F497B357C}" name="Columna1" dataDxfId="34" totalsRowDxfId="33"/>
    <tableColumn id="32" xr3:uid="{4C015A12-13F5-4A34-8F5A-ADE6A4AA6318}" name="UTILIDAD" dataDxfId="32" totalsRowDxfId="31"/>
    <tableColumn id="18" xr3:uid="{CDD4797E-FBD0-4479-A1C3-F06E77900526}" name="IVA" dataDxfId="30" totalsRowDxfId="29">
      <calculatedColumnFormula>Tabla1[[#This Row],[HOY]]*0.16</calculatedColumnFormula>
    </tableColumn>
    <tableColumn id="19" xr3:uid="{35B5F5FB-9C7B-4240-A282-5CE737432BEB}" name="TOTAL" dataDxfId="28" totalsRowDxfId="27">
      <calculatedColumnFormula>Tabla1[[#This Row],[HOY]]+Tabla1[[#This Row],[IVA]]</calculatedColumnFormula>
    </tableColumn>
    <tableColumn id="20" xr3:uid="{934807C4-8828-4E89-8E9B-64719ACFC380}" name="COSTO" dataDxfId="26" totalsRowDxfId="25">
      <calculatedColumnFormula>Tabla1[[#This Row],[TOTAL]]*$C$2</calculatedColumnFormula>
    </tableColumn>
    <tableColumn id="21" xr3:uid="{FFDFAF63-922B-4316-B8A1-21634A466515}" name="PRECIO ML" dataDxfId="24" totalsRowDxfId="23"/>
    <tableColumn id="22" xr3:uid="{374030C1-C333-4C4D-8074-632296C77A36}" name="DESCUENTO" dataDxfId="22" totalsRowDxfId="21"/>
    <tableColumn id="17" xr3:uid="{0B3E4D3B-7E84-41CA-A373-D94DE81D5304}" name="PRECIO FINAL ML" dataDxfId="20" totalsRowDxfId="19"/>
    <tableColumn id="24" xr3:uid="{B466F694-5A90-42EF-846F-6E0C7CF29537}" name="COMISIÓN ML" dataDxfId="18" totalsRowDxfId="17"/>
    <tableColumn id="27" xr3:uid="{221F3533-D5EB-4761-8605-F846DBAB7993}" name="TOT COMISIÓN" dataDxfId="16" totalsRowDxfId="15"/>
    <tableColumn id="28" xr3:uid="{00B30B60-A358-42AF-840F-FFDF98533638}" name="FIJO ML" dataDxfId="14" totalsRowDxfId="13"/>
    <tableColumn id="29" xr3:uid="{42DF6407-2AAF-4C24-A20F-C5E958A568FB}" name="% ACOS" dataDxfId="12" totalsRowDxfId="11"/>
    <tableColumn id="30" xr3:uid="{D02398CA-E9C8-4FA1-B10F-D5663CDD8B9A}" name="ACOS" dataDxfId="10" totalsRowDxfId="9">
      <calculatedColumnFormula>(Tabla1[[#This Row],[PRECIO FINAL ML]]*Tabla1[[#This Row],[% ACOS]])/2</calculatedColumnFormula>
    </tableColumn>
    <tableColumn id="25" xr3:uid="{70BFFEEE-96F9-41C3-B747-990432AC3247}" name="DESCUENTO TOT" dataDxfId="8" totalsRowDxfId="7">
      <calculatedColumnFormula>Tabla1[[#This Row],[TOT COMISIÓN]]+Tabla1[[#This Row],[FIJO ML]]+Tabla1[[#This Row],[ACOS]]</calculatedColumnFormula>
    </tableColumn>
    <tableColumn id="26" xr3:uid="{B754F045-DF91-4D60-AF57-04B6115950AA}" name="ENVÍO" dataDxfId="6" totalsRowDxfId="5">
      <calculatedColumnFormula>$AF$2*(1+$T$2)*$C$2</calculatedColumnFormula>
    </tableColumn>
    <tableColumn id="31" xr3:uid="{A77E90A3-1EE1-4704-9717-6C5972B15B31}" name="TOT VENTA" totalsRowFunction="sum" dataDxfId="4" totalsRow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yscom.mx/producto/PS-1250-F1-POWER-SONIC-183407.html" TargetMode="External"/><Relationship Id="rId21" Type="http://schemas.openxmlformats.org/officeDocument/2006/relationships/hyperlink" Target="https://www.syscom.mx/producto/ETM772BH550WW/WB-ETSOLAR-207706.html" TargetMode="External"/><Relationship Id="rId42" Type="http://schemas.openxmlformats.org/officeDocument/2006/relationships/hyperlink" Target="https://www.syscom.mx/producto/MIN6000TLX2-GROWATT-222680.html" TargetMode="External"/><Relationship Id="rId63" Type="http://schemas.openxmlformats.org/officeDocument/2006/relationships/hyperlink" Target="https://www.syscom.mx/producto/CBL-PV-10R-500-EPCOM-POWERLINE-213892.html" TargetMode="External"/><Relationship Id="rId84" Type="http://schemas.openxmlformats.org/officeDocument/2006/relationships/hyperlink" Target="https://articulo.mercadolibre.com.mx/MLM-2319245466-rollo-de-15m-cable-fotovoltaico-negro-6mm2-10awg-1800v-_JM" TargetMode="External"/><Relationship Id="rId138" Type="http://schemas.openxmlformats.org/officeDocument/2006/relationships/hyperlink" Target="https://www.syscom.mx/producto/PL-12-12-EPCOM-POWERLINE-88103.html" TargetMode="External"/><Relationship Id="rId159" Type="http://schemas.openxmlformats.org/officeDocument/2006/relationships/hyperlink" Target="https://articulo.mercadolibre.com.mx/MLM-2006893123-controlador-de-carga-solar-mppt-1224v-40a-_JM" TargetMode="External"/><Relationship Id="rId170" Type="http://schemas.openxmlformats.org/officeDocument/2006/relationships/hyperlink" Target="https://www.syscom.mx/producto/EPL-AMO01-1X4ST-EPCOM-POWERLINE-210383.html" TargetMode="External"/><Relationship Id="rId191" Type="http://schemas.openxmlformats.org/officeDocument/2006/relationships/hyperlink" Target="https://www.syscom.mx/producto/VS-3048-AU-EPEVER-190733.html" TargetMode="External"/><Relationship Id="rId196" Type="http://schemas.openxmlformats.org/officeDocument/2006/relationships/hyperlink" Target="https://articulo.mercadolibre.com.mx/MLM-2010812307-controlador-solar-pwm-12243648-v-60-a-salida-usb-display-_JM" TargetMode="External"/><Relationship Id="rId200" Type="http://schemas.openxmlformats.org/officeDocument/2006/relationships/table" Target="../tables/table1.xml"/><Relationship Id="rId16" Type="http://schemas.openxmlformats.org/officeDocument/2006/relationships/hyperlink" Target="https://www.syscom.mx/producto/PRO10012-EPCOM-POWERLINE-194937.html" TargetMode="External"/><Relationship Id="rId107" Type="http://schemas.openxmlformats.org/officeDocument/2006/relationships/hyperlink" Target="https://www.syscom.mx/producto/EPMC4-EPCOM-POWERLINE-160268.html" TargetMode="External"/><Relationship Id="rId11" Type="http://schemas.openxmlformats.org/officeDocument/2006/relationships/hyperlink" Target="https://articulo.mercadolibre.com.mx/MLM-1959731379-panel-solar-ecogreen-550w-50v-monocristal-144-cdas-gd-a-10bb-_JM" TargetMode="External"/><Relationship Id="rId32" Type="http://schemas.openxmlformats.org/officeDocument/2006/relationships/hyperlink" Target="https://articulo.mercadolibre.com.mx/MLM-2611113722-controlador-solar-pwm-1224-v-10-a-salida-usb-_JM" TargetMode="External"/><Relationship Id="rId37" Type="http://schemas.openxmlformats.org/officeDocument/2006/relationships/hyperlink" Target="https://www.syscom.mx/producto/PL7512-FR-EPCOM-POWERLINE-196341.html" TargetMode="External"/><Relationship Id="rId53" Type="http://schemas.openxmlformats.org/officeDocument/2006/relationships/hyperlink" Target="https://www.syscom.mx/producto/CBL-MC4-1.5BLK-EPCOM-POWERLINE-161221.html" TargetMode="External"/><Relationship Id="rId58" Type="http://schemas.openxmlformats.org/officeDocument/2006/relationships/hyperlink" Target="https://www.syscom.mx/producto/CBL-PV-10R-100-EPCOM-POWERLINE-213895.html" TargetMode="External"/><Relationship Id="rId74" Type="http://schemas.openxmlformats.org/officeDocument/2006/relationships/hyperlink" Target="https://articulo.mercadolibre.com.mx/MLM-1912462573-carrete-de-500m-cable-fotovoltaico-negro-6mm2-10awg-2000v-_JM" TargetMode="External"/><Relationship Id="rId79" Type="http://schemas.openxmlformats.org/officeDocument/2006/relationships/hyperlink" Target="https://articulo.mercadolibre.com.mx/MLM-2755646522-4-cables-mixtos-controlador-a-bateria-3m-8awg-terminal-ojo-_JM" TargetMode="External"/><Relationship Id="rId102" Type="http://schemas.openxmlformats.org/officeDocument/2006/relationships/hyperlink" Target="https://articulo.mercadolibre.com.mx/MLM-2319095098-rollo-de-60m-cable-fotovoltaico-rojo-6mm2-10awg-1800v-_JM" TargetMode="External"/><Relationship Id="rId123" Type="http://schemas.openxmlformats.org/officeDocument/2006/relationships/hyperlink" Target="https://articulo.mercadolibre.com.mx/MLM-2784843496-controlador-de-carga-solar-12v24v-10a-pwm-_JM" TargetMode="External"/><Relationship Id="rId128" Type="http://schemas.openxmlformats.org/officeDocument/2006/relationships/hyperlink" Target="https://www.syscom.mx/producto/PL-4.5-12-EPCOM-POWERLINE-67464.html" TargetMode="External"/><Relationship Id="rId144" Type="http://schemas.openxmlformats.org/officeDocument/2006/relationships/hyperlink" Target="https://www.syscom.mx/producto/PS-12180-F2-POWER-SONIC-183410.html" TargetMode="External"/><Relationship Id="rId149" Type="http://schemas.openxmlformats.org/officeDocument/2006/relationships/hyperlink" Target="https://articulo.mercadolibre.com.mx/MLM-2813179252-bateria-sellada-recargable-12v-18ah-agm-vrla-m5-hex-epc-_JM" TargetMode="External"/><Relationship Id="rId5" Type="http://schemas.openxmlformats.org/officeDocument/2006/relationships/hyperlink" Target="https://articulo.mercadolibre.com.mx/MLM-1910565597-modulo-panel-solar-epcom-power-line-125w-12-v-policristalino-_JM" TargetMode="External"/><Relationship Id="rId90" Type="http://schemas.openxmlformats.org/officeDocument/2006/relationships/hyperlink" Target="https://articulo.mercadolibre.com.mx/MLM-2319094490-rollo-de-40m-cable-fotovoltaico-negro-6mm2-10awg-1800v-_JM" TargetMode="External"/><Relationship Id="rId95" Type="http://schemas.openxmlformats.org/officeDocument/2006/relationships/hyperlink" Target="https://articulo.mercadolibre.com.mx/MLM-2319233146-rollo-de-15m-cable-fotovoltaico-rojo-6mm2-10awg-1800v-_JM" TargetMode="External"/><Relationship Id="rId160" Type="http://schemas.openxmlformats.org/officeDocument/2006/relationships/hyperlink" Target="https://articulo.mercadolibre.com.mx/MLM-2815169416-microinversor-800w-127v-interconexion-para-cable-troncal-_JM" TargetMode="External"/><Relationship Id="rId165" Type="http://schemas.openxmlformats.org/officeDocument/2006/relationships/hyperlink" Target="https://articulo.mercadolibre.com.mx/MLM-2007744843-panel-solar-6w-para-recargar-camara-de-bateria-mod-csbc1c-_JM" TargetMode="External"/><Relationship Id="rId181" Type="http://schemas.openxmlformats.org/officeDocument/2006/relationships/hyperlink" Target="https://www.syscom.mx/producto/LS-2024-EU-EPEVER-144593.html" TargetMode="External"/><Relationship Id="rId186" Type="http://schemas.openxmlformats.org/officeDocument/2006/relationships/hyperlink" Target="https://www.syscom.mx/producto/LS-2024-B-EPEVER-78224.html" TargetMode="External"/><Relationship Id="rId22" Type="http://schemas.openxmlformats.org/officeDocument/2006/relationships/hyperlink" Target="https://www.syscom.mx/producto/RSM1449550M-RISEN-217337.html" TargetMode="External"/><Relationship Id="rId27" Type="http://schemas.openxmlformats.org/officeDocument/2006/relationships/hyperlink" Target="https://www.syscom.mx/producto/LR572HPH555M-LONGI-219865.html" TargetMode="External"/><Relationship Id="rId43" Type="http://schemas.openxmlformats.org/officeDocument/2006/relationships/hyperlink" Target="https://www.syscom.mx/producto/MIN10000TLX-GROWATT-204497.html" TargetMode="External"/><Relationship Id="rId48" Type="http://schemas.openxmlformats.org/officeDocument/2006/relationships/hyperlink" Target="https://articulo.mercadolibre.com.mx/MLM-2334726154-inversor-para-interconexion-cfe-6kw-salida-220-vca-wifi-_JM" TargetMode="External"/><Relationship Id="rId64" Type="http://schemas.openxmlformats.org/officeDocument/2006/relationships/hyperlink" Target="https://www.syscom.mx/producto/FJ-81-VIAKON-213099.html" TargetMode="External"/><Relationship Id="rId69" Type="http://schemas.openxmlformats.org/officeDocument/2006/relationships/hyperlink" Target="https://articulo.mercadolibre.com.mx/MLM-2315322482-2-cables-fotovoltaico-25m-negro-calibre-10-awg-2-terminales-_JM" TargetMode="External"/><Relationship Id="rId113" Type="http://schemas.openxmlformats.org/officeDocument/2006/relationships/hyperlink" Target="https://www.syscom.mx/producto/PS-1250-F2-POWER-SONIC-196541.html" TargetMode="External"/><Relationship Id="rId118" Type="http://schemas.openxmlformats.org/officeDocument/2006/relationships/hyperlink" Target="https://articulo.mercadolibre.com.mx/MLM-2302499064-10-pares-de-conectores-macho-hembra-mc-4-modulo-fotovoltaico-_JM" TargetMode="External"/><Relationship Id="rId134" Type="http://schemas.openxmlformats.org/officeDocument/2006/relationships/hyperlink" Target="https://www.syscom.mx/producto/PL-9-12FR-EPCOM-POWERLINE-195489.html" TargetMode="External"/><Relationship Id="rId139" Type="http://schemas.openxmlformats.org/officeDocument/2006/relationships/hyperlink" Target="https://www.syscom.mx/producto/PL-12-12-FR-EPCOM-POWERLINE-195490.html" TargetMode="External"/><Relationship Id="rId80" Type="http://schemas.openxmlformats.org/officeDocument/2006/relationships/hyperlink" Target="https://articulo.mercadolibre.com.mx/MLM-1993598003-cables-fotovoltaicos-panel-a-controlador-de-carga-y-baterias-_JM" TargetMode="External"/><Relationship Id="rId85" Type="http://schemas.openxmlformats.org/officeDocument/2006/relationships/hyperlink" Target="https://articulo.mercadolibre.com.mx/MLM-1916123141-rollo-de-20m-cable-fotovoltaico-negro-6mm2-10awg-1800v-_JM" TargetMode="External"/><Relationship Id="rId150" Type="http://schemas.openxmlformats.org/officeDocument/2006/relationships/hyperlink" Target="https://www.syscom.mx/producto/PS-12330-NB-POWER-SONIC-183413.html" TargetMode="External"/><Relationship Id="rId155" Type="http://schemas.openxmlformats.org/officeDocument/2006/relationships/hyperlink" Target="https://www.syscom.mx/producto/XTRA-2210-N-EPEVER-163430.html" TargetMode="External"/><Relationship Id="rId171" Type="http://schemas.openxmlformats.org/officeDocument/2006/relationships/hyperlink" Target="https://www.syscom.mx/producto/CBL-AWG2-0.2B-EPCOM-POWERLINE-161228.html" TargetMode="External"/><Relationship Id="rId176" Type="http://schemas.openxmlformats.org/officeDocument/2006/relationships/hyperlink" Target="https://articulo.mercadolibre.com.mx/MLM-2826632886-2-cables-para-bateria-1-m-2-awg-2-terminales-ojo-_JM" TargetMode="External"/><Relationship Id="rId192" Type="http://schemas.openxmlformats.org/officeDocument/2006/relationships/hyperlink" Target="https://www.syscom.mx/producto/VS-4548-AU-EPEVER-190734.html" TargetMode="External"/><Relationship Id="rId197" Type="http://schemas.openxmlformats.org/officeDocument/2006/relationships/hyperlink" Target="https://www.syscom.mx/producto/CC-USB-485-150U-EPEVER-78229.html" TargetMode="External"/><Relationship Id="rId12" Type="http://schemas.openxmlformats.org/officeDocument/2006/relationships/hyperlink" Target="https://articulo.mercadolibre.com.mx/MLM-2592843626-modulo-panel-solar-555w-50v-monocristalino-144-celdas-gdo-a-_JM" TargetMode="External"/><Relationship Id="rId17" Type="http://schemas.openxmlformats.org/officeDocument/2006/relationships/hyperlink" Target="https://www.syscom.mx/producto/PRO12512-EPCOM-POWERLINE-170112.html" TargetMode="External"/><Relationship Id="rId33" Type="http://schemas.openxmlformats.org/officeDocument/2006/relationships/hyperlink" Target="https://articulo.mercadolibre.com.mx/MLM-2792767226-controlador-mppt-12243648v-60a-_JM" TargetMode="External"/><Relationship Id="rId38" Type="http://schemas.openxmlformats.org/officeDocument/2006/relationships/hyperlink" Target="https://www.syscom.mx/producto/PL-100-12-EPCOM-POWERLINE-67206.html" TargetMode="External"/><Relationship Id="rId59" Type="http://schemas.openxmlformats.org/officeDocument/2006/relationships/hyperlink" Target="https://www.syscom.mx/producto/CBL-PV-10B/100-EPCOM-POWERLINE-213894.html" TargetMode="External"/><Relationship Id="rId103" Type="http://schemas.openxmlformats.org/officeDocument/2006/relationships/hyperlink" Target="https://articulo.mercadolibre.com.mx/MLM-2319401096-rollo-de-70m-cable-fotovoltaico-rojo-6mm2-10awg-1800v-_JM" TargetMode="External"/><Relationship Id="rId108" Type="http://schemas.openxmlformats.org/officeDocument/2006/relationships/hyperlink" Target="https://www.syscom.mx/producto/PST-H010-06-PRECISION-201075.html" TargetMode="External"/><Relationship Id="rId124" Type="http://schemas.openxmlformats.org/officeDocument/2006/relationships/hyperlink" Target="https://articulo.mercadolibre.com.mx/MLM-2784831990-controlador-de-carga-solar-12v24v-20a-pwm-_JM" TargetMode="External"/><Relationship Id="rId129" Type="http://schemas.openxmlformats.org/officeDocument/2006/relationships/hyperlink" Target="https://articulo.mercadolibre.com.mx/MLM-2004639653-bateria-sellada-recargable-12v-45ah-agm-vrla-_JM" TargetMode="External"/><Relationship Id="rId54" Type="http://schemas.openxmlformats.org/officeDocument/2006/relationships/hyperlink" Target="https://www.syscom.mx/producto/CBLMC42P5MREDV2-EPCOM-POWERLINE-222978.html" TargetMode="External"/><Relationship Id="rId70" Type="http://schemas.openxmlformats.org/officeDocument/2006/relationships/hyperlink" Target="https://articulo.mercadolibre.com.mx/MLM-2318297878-rollo-de-100m-cable-fotovoltaico-rojo-6mm2-10awg-2000v-_JM" TargetMode="External"/><Relationship Id="rId75" Type="http://schemas.openxmlformats.org/officeDocument/2006/relationships/hyperlink" Target="https://articulo.mercadolibre.com.mx/MLM-1912437333-carrete-de-500m-cable-fotovoltaico-rojo-6mm2-10awg-2000v-_JM" TargetMode="External"/><Relationship Id="rId91" Type="http://schemas.openxmlformats.org/officeDocument/2006/relationships/hyperlink" Target="https://articulo.mercadolibre.com.mx/MLM-1916099999-rollo-de-45m-cable-fotovoltaico-negro-6mm2-10awg-1800v-_JM" TargetMode="External"/><Relationship Id="rId96" Type="http://schemas.openxmlformats.org/officeDocument/2006/relationships/hyperlink" Target="https://articulo.mercadolibre.com.mx/MLM-2319233160-rollo-de-20m-cable-fotovoltaico-rojo-6mm2-10awg-1800v-_JM" TargetMode="External"/><Relationship Id="rId140" Type="http://schemas.openxmlformats.org/officeDocument/2006/relationships/hyperlink" Target="https://articulo.mercadolibre.com.mx/MLM-2812108760-bateria-sellada-recargable-12v-12ah-agm-vrla-f2-epc-_JM" TargetMode="External"/><Relationship Id="rId145" Type="http://schemas.openxmlformats.org/officeDocument/2006/relationships/hyperlink" Target="https://www.syscom.mx/producto/PS-12180-NB-POWER-SONIC-196546.html" TargetMode="External"/><Relationship Id="rId161" Type="http://schemas.openxmlformats.org/officeDocument/2006/relationships/hyperlink" Target="https://www.syscom.mx/producto/HMS10002T-HOYMILES-212085.html" TargetMode="External"/><Relationship Id="rId166" Type="http://schemas.openxmlformats.org/officeDocument/2006/relationships/hyperlink" Target="https://www.syscom.mx/producto/CS-CMT-SOLARPANEL-C-EZVIZ-204626.html" TargetMode="External"/><Relationship Id="rId182" Type="http://schemas.openxmlformats.org/officeDocument/2006/relationships/hyperlink" Target="https://www.syscom.mx/producto/LS-3024-EU-EPEVER-144594.html" TargetMode="External"/><Relationship Id="rId187" Type="http://schemas.openxmlformats.org/officeDocument/2006/relationships/hyperlink" Target="https://www.syscom.mx/producto/LS-3024-B-EPEVER-78225.html" TargetMode="External"/><Relationship Id="rId1" Type="http://schemas.openxmlformats.org/officeDocument/2006/relationships/hyperlink" Target="https://articulo.mercadolibre.com.mx/MLM-1917768467-modulo-panel-solar-epcom-power-line-85w-12-v-policristalino-_JM" TargetMode="External"/><Relationship Id="rId6" Type="http://schemas.openxmlformats.org/officeDocument/2006/relationships/hyperlink" Target="https://articulo.mercadolibre.com.mx/MLM-2329807582-modulo-panel-solar-epcom-power-line-150w-12-v-policristalino-_JM" TargetMode="External"/><Relationship Id="rId23" Type="http://schemas.openxmlformats.org/officeDocument/2006/relationships/hyperlink" Target="https://www.syscom.mx/producto/EGE550W144M(M10)-ECO-GREEN-ENERGY-209383.html" TargetMode="External"/><Relationship Id="rId28" Type="http://schemas.openxmlformats.org/officeDocument/2006/relationships/hyperlink" Target="https://www.syscom.mx/producto/LS-1024-EU-EPEVER-144592.html" TargetMode="External"/><Relationship Id="rId49" Type="http://schemas.openxmlformats.org/officeDocument/2006/relationships/hyperlink" Target="https://articulo.mercadolibre.com.mx/MLM-1918887279-inversor-para-interconexion-cfe-10kw-salida-220-vca-wifi-_JM" TargetMode="External"/><Relationship Id="rId114" Type="http://schemas.openxmlformats.org/officeDocument/2006/relationships/hyperlink" Target="https://articulo.mercadolibre.com.mx/MLM-2803378762-bateria-sellada-recargable-12v-5ah-agm-vrla-f2-_JM" TargetMode="External"/><Relationship Id="rId119" Type="http://schemas.openxmlformats.org/officeDocument/2006/relationships/hyperlink" Target="https://articulo.mercadolibre.com.mx/MLM-2388777134-pinza-precision-terminado-de-conectores-mc4-de-panel-solar-_JM" TargetMode="External"/><Relationship Id="rId44" Type="http://schemas.openxmlformats.org/officeDocument/2006/relationships/hyperlink" Target="https://www.syscom.mx/producto/MAC36KTL3-XL-GROWATT-194827.html" TargetMode="External"/><Relationship Id="rId60" Type="http://schemas.openxmlformats.org/officeDocument/2006/relationships/hyperlink" Target="https://www.syscom.mx/producto/FJ69/500-VIAKON-213435.html" TargetMode="External"/><Relationship Id="rId65" Type="http://schemas.openxmlformats.org/officeDocument/2006/relationships/hyperlink" Target="https://www.syscom.mx/producto/FJ-86-VIAKON-213123.html" TargetMode="External"/><Relationship Id="rId81" Type="http://schemas.openxmlformats.org/officeDocument/2006/relationships/hyperlink" Target="https://articulo.mercadolibre.com.mx/MLM-1916110323-rollo-de-5m-cable-fotovoltaico-negro-6mm2-10awg-1800v-_JM" TargetMode="External"/><Relationship Id="rId86" Type="http://schemas.openxmlformats.org/officeDocument/2006/relationships/hyperlink" Target="https://articulo.mercadolibre.com.mx/MLM-2319400174-rollo-de-25m-cable-fotovoltaico-negro-6mm2-10awg-1800v-_JM" TargetMode="External"/><Relationship Id="rId130" Type="http://schemas.openxmlformats.org/officeDocument/2006/relationships/hyperlink" Target="https://www.syscom.mx/producto/PL-4.56-EPCOM-POWERLINE-67463.html" TargetMode="External"/><Relationship Id="rId135" Type="http://schemas.openxmlformats.org/officeDocument/2006/relationships/hyperlink" Target="https://articulo.mercadolibre.com.mx/MLM-2006453565-bateria-sellada-recargable-12v-9ah-agm-vrla-f1-fr-_JM" TargetMode="External"/><Relationship Id="rId151" Type="http://schemas.openxmlformats.org/officeDocument/2006/relationships/hyperlink" Target="https://articulo.mercadolibre.com.mx/MLM-2813130022-bateria-sellada-recargable-12v-33ah-agm-vrla-nb-ps-_JM" TargetMode="External"/><Relationship Id="rId156" Type="http://schemas.openxmlformats.org/officeDocument/2006/relationships/hyperlink" Target="https://www.syscom.mx/producto/XTRA-3210-N-EPEVER-144597.html" TargetMode="External"/><Relationship Id="rId177" Type="http://schemas.openxmlformats.org/officeDocument/2006/relationships/hyperlink" Target="https://www.syscom.mx/producto/LI100A12C-EPCOM-POWERLINE-205630.html" TargetMode="External"/><Relationship Id="rId198" Type="http://schemas.openxmlformats.org/officeDocument/2006/relationships/hyperlink" Target="https://articulo.mercadolibre.com.mx/MLM-2792996522-cable-de-comunicacion-usb-rs485-controladores-epever-_JM" TargetMode="External"/><Relationship Id="rId172" Type="http://schemas.openxmlformats.org/officeDocument/2006/relationships/hyperlink" Target="https://articulo.mercadolibre.com.mx/MLM-2755575188-4-cables-jumper-para-bateria-20-cm-2-awg-2-terminales-ojo-_JM" TargetMode="External"/><Relationship Id="rId193" Type="http://schemas.openxmlformats.org/officeDocument/2006/relationships/hyperlink" Target="https://www.syscom.mx/producto/VS-6024-AU-EPEVER-144596.html" TargetMode="External"/><Relationship Id="rId13" Type="http://schemas.openxmlformats.org/officeDocument/2006/relationships/hyperlink" Target="https://articulo.mercadolibre.com.mx/MLM-2302387572-modulo-solar-risen-660w-50v-monocristalino-144-celdas-_JM" TargetMode="External"/><Relationship Id="rId18" Type="http://schemas.openxmlformats.org/officeDocument/2006/relationships/hyperlink" Target="https://www.syscom.mx/producto/PRO-150-12-EPCOM-POWERLINE-167894.html" TargetMode="External"/><Relationship Id="rId39" Type="http://schemas.openxmlformats.org/officeDocument/2006/relationships/hyperlink" Target="https://articulo.mercadolibre.com.mx/MLM-1915783441-bateria-epcom-panel-solar-12v-40ah-agm-vrla-ciclo-profundo-_JM" TargetMode="External"/><Relationship Id="rId109" Type="http://schemas.openxmlformats.org/officeDocument/2006/relationships/hyperlink" Target="https://articulo.mercadolibre.com.mx/MLM-1959403553-4-pares-de-conectores-dobles-mc-4-modulo-fotovoltaico-_JM" TargetMode="External"/><Relationship Id="rId34" Type="http://schemas.openxmlformats.org/officeDocument/2006/relationships/hyperlink" Target="https://articulo.mercadolibre.com.mx/MLM-2002492825-controlador-mppt-12243648v-80a-_JM" TargetMode="External"/><Relationship Id="rId50" Type="http://schemas.openxmlformats.org/officeDocument/2006/relationships/hyperlink" Target="https://articulo.mercadolibre.com.mx/MLM-2334739056-inversor-para-interconexion-cfe-36kw-sal-220-trifasico-wifi-_JM" TargetMode="External"/><Relationship Id="rId55" Type="http://schemas.openxmlformats.org/officeDocument/2006/relationships/hyperlink" Target="https://www.syscom.mx/producto/CBLMC42P5MBLKV2-EPCOM-POWERLINE-222979.html" TargetMode="External"/><Relationship Id="rId76" Type="http://schemas.openxmlformats.org/officeDocument/2006/relationships/hyperlink" Target="https://articulo.mercadolibre.com.mx/MLM-1916110323-rollo-de-5m-cable-fotovoltaico-negro-6mm2-10awg-1800v-_JM" TargetMode="External"/><Relationship Id="rId97" Type="http://schemas.openxmlformats.org/officeDocument/2006/relationships/hyperlink" Target="https://articulo.mercadolibre.com.mx/MLM-1916123911-rollo-de-30m-cable-fotovoltaico-rojo-6mm2-10awg-1800v-_JM" TargetMode="External"/><Relationship Id="rId104" Type="http://schemas.openxmlformats.org/officeDocument/2006/relationships/hyperlink" Target="https://articulo.mercadolibre.com.mx/MLM-1916100681-rollo-de-25m-cable-fotovoltaico-rojo-6mm2-10awg-1800v-_JM" TargetMode="External"/><Relationship Id="rId120" Type="http://schemas.openxmlformats.org/officeDocument/2006/relationships/hyperlink" Target="https://articulo.mercadolibre.com.mx/MLM-2410848342-calentador-boiler-solar-90lt-9-tubos-inoxi-altabaja-anodo-_JM" TargetMode="External"/><Relationship Id="rId125" Type="http://schemas.openxmlformats.org/officeDocument/2006/relationships/hyperlink" Target="https://articulo.mercadolibre.com.mx/MLM-2784844266-controlador-de-carga-solar-12v24v-30a-pwm-_JM" TargetMode="External"/><Relationship Id="rId141" Type="http://schemas.openxmlformats.org/officeDocument/2006/relationships/hyperlink" Target="https://articulo.mercadolibre.com.mx/MLM-2812057018-bateria-sellada-recargable-12v-12ah-agm-vrla-f2-epc-fr-_JM" TargetMode="External"/><Relationship Id="rId146" Type="http://schemas.openxmlformats.org/officeDocument/2006/relationships/hyperlink" Target="https://www.syscom.mx/producto/PL-18-12-EPCOM-POWERLINE-67468.html" TargetMode="External"/><Relationship Id="rId167" Type="http://schemas.openxmlformats.org/officeDocument/2006/relationships/hyperlink" Target="https://articulo.mercadolibre.com.mx/MLM-2803316258-bateria-sellada-recargable-12v-7ah-agm-vrla-_JM" TargetMode="External"/><Relationship Id="rId188" Type="http://schemas.openxmlformats.org/officeDocument/2006/relationships/hyperlink" Target="https://articulo.mercadolibre.com.mx/MLM-2010178287-controlador-solar-pwm-1224-v-10-a-parametros-configurables-_JM" TargetMode="External"/><Relationship Id="rId7" Type="http://schemas.openxmlformats.org/officeDocument/2006/relationships/hyperlink" Target="https://articulo.mercadolibre.com.mx/MLM-2329799938-modulo-panel-solar-epcom-330w-24-v-policristalino-72-celdas-_JM" TargetMode="External"/><Relationship Id="rId71" Type="http://schemas.openxmlformats.org/officeDocument/2006/relationships/hyperlink" Target="https://articulo.mercadolibre.com.mx/MLM-2318323818-rollo-de-100m-cable-fotovoltaico-negro-6mm2-10awg-2000v-_JM" TargetMode="External"/><Relationship Id="rId92" Type="http://schemas.openxmlformats.org/officeDocument/2006/relationships/hyperlink" Target="https://articulo.mercadolibre.com.mx/MLM-2319094500-rollo-de-50m-cable-fotovoltaico-negro-6mm2-10awg-1800v-_JM" TargetMode="External"/><Relationship Id="rId162" Type="http://schemas.openxmlformats.org/officeDocument/2006/relationships/hyperlink" Target="https://articulo.mercadolibre.com.mx/MLM-2816469746-microinversor-1kw-220v-interconexion-para-cable-troncal-_JM" TargetMode="External"/><Relationship Id="rId183" Type="http://schemas.openxmlformats.org/officeDocument/2006/relationships/hyperlink" Target="https://articulo.mercadolibre.com.mx/MLM-2010176907-controlador-solar-pwm-1224-v-20-a-salida-usb-_JM" TargetMode="External"/><Relationship Id="rId2" Type="http://schemas.openxmlformats.org/officeDocument/2006/relationships/hyperlink" Target="https://articulo.mercadolibre.com.mx/MLM-2585843198-modulo-panel-solar-epcom-power-line-25w-12-v-policristalino-_JM" TargetMode="External"/><Relationship Id="rId29" Type="http://schemas.openxmlformats.org/officeDocument/2006/relationships/hyperlink" Target="https://www.syscom.mx/producto/TRACER-6415-AN-EPEVER-163032.html" TargetMode="External"/><Relationship Id="rId24" Type="http://schemas.openxmlformats.org/officeDocument/2006/relationships/hyperlink" Target="https://www.syscom.mx/producto/RSM1328660M-RISEN-217338.html" TargetMode="External"/><Relationship Id="rId40" Type="http://schemas.openxmlformats.org/officeDocument/2006/relationships/hyperlink" Target="https://articulo.mercadolibre.com.mx/MLM-2321866110-bateria-epcom-panel-solar-12v-75ah-agm-vrla-ciclo-profundo-_JM" TargetMode="External"/><Relationship Id="rId45" Type="http://schemas.openxmlformats.org/officeDocument/2006/relationships/hyperlink" Target="https://www.syscom.mx/producto/MAC60KTL3-XMV-GROWATT-194839.html" TargetMode="External"/><Relationship Id="rId66" Type="http://schemas.openxmlformats.org/officeDocument/2006/relationships/hyperlink" Target="https://articulo.mercadolibre.com.mx/MLM-1918170687-4-cables-fotovoltaico-15m-rojo-calibre-10-awg-1-terminal-h-_JM" TargetMode="External"/><Relationship Id="rId87" Type="http://schemas.openxmlformats.org/officeDocument/2006/relationships/hyperlink" Target="https://articulo.mercadolibre.com.mx/MLM-1916123147-rollo-de-30m-cable-fotovoltaico-negro-6mm2-10awg-1800v-_JM" TargetMode="External"/><Relationship Id="rId110" Type="http://schemas.openxmlformats.org/officeDocument/2006/relationships/hyperlink" Target="https://articulo.mercadolibre.com.mx/MLM-1914161279-pinza-epcom-terminado-de-conectores-mc4-de-paneles-solares-_JM" TargetMode="External"/><Relationship Id="rId115" Type="http://schemas.openxmlformats.org/officeDocument/2006/relationships/hyperlink" Target="https://www.syscom.mx/producto/PL912-EPCOM-POWERLINE-158305.html" TargetMode="External"/><Relationship Id="rId131" Type="http://schemas.openxmlformats.org/officeDocument/2006/relationships/hyperlink" Target="https://articulo.mercadolibre.com.mx/MLM-2006310313-bateria-sellada-recargable-6v-45ah-agm-vrla-_JM" TargetMode="External"/><Relationship Id="rId136" Type="http://schemas.openxmlformats.org/officeDocument/2006/relationships/hyperlink" Target="https://www.syscom.mx/producto/PS-12120-F2-POWER-SONIC-183409.html" TargetMode="External"/><Relationship Id="rId157" Type="http://schemas.openxmlformats.org/officeDocument/2006/relationships/hyperlink" Target="https://articulo.mercadolibre.com.mx/MLM-2006801275-controlador-de-carga-solar-mppt-1224v-20a-_JM" TargetMode="External"/><Relationship Id="rId178" Type="http://schemas.openxmlformats.org/officeDocument/2006/relationships/hyperlink" Target="https://articulo.mercadolibre.com.mx/MLM-2812162474-bateria-epcom-panel-solar-128v-100ah-litio-ciclo-profundo-_JM" TargetMode="External"/><Relationship Id="rId61" Type="http://schemas.openxmlformats.org/officeDocument/2006/relationships/hyperlink" Target="https://www.syscom.mx/producto/FJ66/500-VIAKON-213431.html" TargetMode="External"/><Relationship Id="rId82" Type="http://schemas.openxmlformats.org/officeDocument/2006/relationships/hyperlink" Target="https://articulo.mercadolibre.com.mx/MLM-2318966008-rollo-de-5m-cable-fotovoltaico-rojo-6mm2-10awg-1800v-_JM" TargetMode="External"/><Relationship Id="rId152" Type="http://schemas.openxmlformats.org/officeDocument/2006/relationships/hyperlink" Target="https://www.syscom.mx/producto/MIC3000TLX-GROWATT-210325.html" TargetMode="External"/><Relationship Id="rId173" Type="http://schemas.openxmlformats.org/officeDocument/2006/relationships/hyperlink" Target="https://www.syscom.mx/producto/CBL-AWG2-0.2R-EPCOM-POWERLINE-161227.html" TargetMode="External"/><Relationship Id="rId194" Type="http://schemas.openxmlformats.org/officeDocument/2006/relationships/hyperlink" Target="https://articulo.mercadolibre.com.mx/MLM-2010712025-controlador-solar-pwm-12243648-v-45-a-salida-usb-display-_JM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https://www.syscom.mx/producto/EPL330-24-EPCOM-POWERLINE-165067.html" TargetMode="External"/><Relationship Id="rId14" Type="http://schemas.openxmlformats.org/officeDocument/2006/relationships/hyperlink" Target="https://www.syscom.mx/producto/PRO2512-EPCOM-POWERLINE-205624.html" TargetMode="External"/><Relationship Id="rId30" Type="http://schemas.openxmlformats.org/officeDocument/2006/relationships/hyperlink" Target="https://www.syscom.mx/producto/TRACER-8415-AN-EPEVER-163033.html" TargetMode="External"/><Relationship Id="rId35" Type="http://schemas.openxmlformats.org/officeDocument/2006/relationships/hyperlink" Target="https://articulo.mercadolibre.com.mx/MLM-2792970126-medidor-remoto-controlador-epever-puerto-rs-485-_JM" TargetMode="External"/><Relationship Id="rId56" Type="http://schemas.openxmlformats.org/officeDocument/2006/relationships/hyperlink" Target="https://www.syscom.mx/producto/CBL-8AWG-3R-EPCOM-POWERLINE-161222.html" TargetMode="External"/><Relationship Id="rId77" Type="http://schemas.openxmlformats.org/officeDocument/2006/relationships/hyperlink" Target="https://articulo.mercadolibre.com.mx/MLM-2318966008-rollo-de-5m-cable-fotovoltaico-rojo-6mm2-10awg-1800v-_JM" TargetMode="External"/><Relationship Id="rId100" Type="http://schemas.openxmlformats.org/officeDocument/2006/relationships/hyperlink" Target="https://articulo.mercadolibre.com.mx/MLM-2319246392-rollo-de-45m-cable-fotovoltaico-rojo-6mm2-10awg-1800v-_JM" TargetMode="External"/><Relationship Id="rId105" Type="http://schemas.openxmlformats.org/officeDocument/2006/relationships/hyperlink" Target="https://www.syscom.mx/producto/PROSECA-01-EPCOM-POWERLINE-72413.html" TargetMode="External"/><Relationship Id="rId126" Type="http://schemas.openxmlformats.org/officeDocument/2006/relationships/hyperlink" Target="https://www.syscom.mx/producto/PL512-EPCOM-POWERLINE-158976.html" TargetMode="External"/><Relationship Id="rId147" Type="http://schemas.openxmlformats.org/officeDocument/2006/relationships/hyperlink" Target="https://www.syscom.mx/producto/PL-18-12-FR-EPCOM-POWERLINE-195488.html" TargetMode="External"/><Relationship Id="rId168" Type="http://schemas.openxmlformats.org/officeDocument/2006/relationships/hyperlink" Target="https://articulo.mercadolibre.com.mx/MLM-1959403553-4-pares-de-conectores-dobles-mc-4-modulo-fotovoltaico-_JM" TargetMode="External"/><Relationship Id="rId8" Type="http://schemas.openxmlformats.org/officeDocument/2006/relationships/hyperlink" Target="https://articulo.mercadolibre.com.mx/MLM-2302517936-modulo-solar-elite-plus-450w-50v-monocristalino-144-celdas-_JM" TargetMode="External"/><Relationship Id="rId51" Type="http://schemas.openxmlformats.org/officeDocument/2006/relationships/hyperlink" Target="https://articulo.mercadolibre.com.mx/MLM-2334882606-inversor-para-interconexion-cfe-60kw-sal-480-trifasico-wifi-_JM" TargetMode="External"/><Relationship Id="rId72" Type="http://schemas.openxmlformats.org/officeDocument/2006/relationships/hyperlink" Target="https://articulo.mercadolibre.com.mx/MLM-2318299484-carrete-de-500m-cable-fotovoltaico-rojo-4mm2-12awg-1800v-_JM" TargetMode="External"/><Relationship Id="rId93" Type="http://schemas.openxmlformats.org/officeDocument/2006/relationships/hyperlink" Target="https://articulo.mercadolibre.com.mx/MLM-2319232760-rollo-de-70m-cable-fotovoltaico-negro-6mm2-10awg-1800v-_JM" TargetMode="External"/><Relationship Id="rId98" Type="http://schemas.openxmlformats.org/officeDocument/2006/relationships/hyperlink" Target="https://articulo.mercadolibre.com.mx/MLM-2319233188-rollo-de-35m-cable-fotovoltaico-rojo-6mm2-10awg-1800v-_JM" TargetMode="External"/><Relationship Id="rId121" Type="http://schemas.openxmlformats.org/officeDocument/2006/relationships/hyperlink" Target="https://articulo.mercadolibre.com.mx/MLM-2411715856-calentador-boiler-solar-180lt-18-tubos-inoxi-altabaja-anodo-_JM" TargetMode="External"/><Relationship Id="rId142" Type="http://schemas.openxmlformats.org/officeDocument/2006/relationships/hyperlink" Target="https://www.syscom.mx/producto/PL-110-D12-EPCOM-POWERLINE-71055.html" TargetMode="External"/><Relationship Id="rId163" Type="http://schemas.openxmlformats.org/officeDocument/2006/relationships/hyperlink" Target="https://articulo.mercadolibre.com.mx/MLM-1959030721-modulo-panel-solar-epcom-power-line-10w-12-v-policristalino-_JM" TargetMode="External"/><Relationship Id="rId184" Type="http://schemas.openxmlformats.org/officeDocument/2006/relationships/hyperlink" Target="https://articulo.mercadolibre.com.mx/MLM-2010189695-controlador-solar-pwm-1224-v-30-a-salida-usb-_JM" TargetMode="External"/><Relationship Id="rId189" Type="http://schemas.openxmlformats.org/officeDocument/2006/relationships/hyperlink" Target="https://articulo.mercadolibre.com.mx/MLM-2010267621-controlador-solar-pwm-1224-v-20-a-parametros-configurables-_JM" TargetMode="External"/><Relationship Id="rId3" Type="http://schemas.openxmlformats.org/officeDocument/2006/relationships/hyperlink" Target="https://articulo.mercadolibre.com.mx/MLM-2255983486-modulo-panel-solar-epcom-power-line-50w-12-v-policristalino-_JM" TargetMode="External"/><Relationship Id="rId25" Type="http://schemas.openxmlformats.org/officeDocument/2006/relationships/hyperlink" Target="https://www.syscom.mx/producto/LP210*210M66MH665W-LEAPTON-211334.html" TargetMode="External"/><Relationship Id="rId46" Type="http://schemas.openxmlformats.org/officeDocument/2006/relationships/hyperlink" Target="https://www.syscom.mx/producto/MAC70KTL3-XMV-GROWATT-194840.html" TargetMode="External"/><Relationship Id="rId67" Type="http://schemas.openxmlformats.org/officeDocument/2006/relationships/hyperlink" Target="https://articulo.mercadolibre.com.mx/MLM-1918158441-4-cables-fotovoltaico-15m-negro-calibre-10-awg-1-terminal-h-_JM" TargetMode="External"/><Relationship Id="rId116" Type="http://schemas.openxmlformats.org/officeDocument/2006/relationships/hyperlink" Target="https://articulo.mercadolibre.com.mx/MLM-2803471308-bateria-sellada-recargable-12v-9ah-agm-vrla-_JM" TargetMode="External"/><Relationship Id="rId137" Type="http://schemas.openxmlformats.org/officeDocument/2006/relationships/hyperlink" Target="https://articulo.mercadolibre.com.mx/MLM-2006403219-bateria-sellada-recargable-12v-12ah-agm-vrla-f2-_JM" TargetMode="External"/><Relationship Id="rId158" Type="http://schemas.openxmlformats.org/officeDocument/2006/relationships/hyperlink" Target="https://articulo.mercadolibre.com.mx/MLM-2006878087-controlador-de-carga-solar-mppt-1224v-30a-_JM" TargetMode="External"/><Relationship Id="rId20" Type="http://schemas.openxmlformats.org/officeDocument/2006/relationships/hyperlink" Target="https://www.syscom.mx/producto/ETM760BH450WW/WB-ETSOLAR-220698.html" TargetMode="External"/><Relationship Id="rId41" Type="http://schemas.openxmlformats.org/officeDocument/2006/relationships/hyperlink" Target="https://articulo.mercadolibre.com.mx/MLM-1915859193-bateria-epcom-panel-solar-12v-100ah-agm-vrla-ciclo-profundo-_JM" TargetMode="External"/><Relationship Id="rId62" Type="http://schemas.openxmlformats.org/officeDocument/2006/relationships/hyperlink" Target="https://www.syscom.mx/producto/CBL-PV-10B/500-EPCOM-POWERLINE-213893.html" TargetMode="External"/><Relationship Id="rId83" Type="http://schemas.openxmlformats.org/officeDocument/2006/relationships/hyperlink" Target="https://articulo.mercadolibre.com.mx/MLM-1916123127-rollo-de-10m-cable-fotovoltaico-negro-6mm2-10awg-1800v-_JM" TargetMode="External"/><Relationship Id="rId88" Type="http://schemas.openxmlformats.org/officeDocument/2006/relationships/hyperlink" Target="https://articulo.mercadolibre.com.mx/MLM-2318965580-rollo-de-60m-cable-fotovoltaico-negro-6mm2-10awg-1800v-_JM" TargetMode="External"/><Relationship Id="rId111" Type="http://schemas.openxmlformats.org/officeDocument/2006/relationships/hyperlink" Target="https://www.syscom.mx/producto/PS-1270-F1-POWER-SONIC-183408.html" TargetMode="External"/><Relationship Id="rId132" Type="http://schemas.openxmlformats.org/officeDocument/2006/relationships/hyperlink" Target="https://www.syscom.mx/producto/PS-1270-F2-POWER-SONIC-196543.html" TargetMode="External"/><Relationship Id="rId153" Type="http://schemas.openxmlformats.org/officeDocument/2006/relationships/hyperlink" Target="https://articulo.mercadolibre.com.mx/MLM-2334937376-inversor-para-interconexion-cfe-3kw-salida-220-vca-wifi-_JM" TargetMode="External"/><Relationship Id="rId174" Type="http://schemas.openxmlformats.org/officeDocument/2006/relationships/hyperlink" Target="https://www.syscom.mx/producto/CBL-AWG2-1B-EPCOM-POWERLINE-161226.html" TargetMode="External"/><Relationship Id="rId179" Type="http://schemas.openxmlformats.org/officeDocument/2006/relationships/hyperlink" Target="https://www.syscom.mx/producto/CHR-80-EPCOM-POWERLINE-202463.html" TargetMode="External"/><Relationship Id="rId195" Type="http://schemas.openxmlformats.org/officeDocument/2006/relationships/hyperlink" Target="https://articulo.mercadolibre.com.mx/MLM-2010812297-controlador-solar-pwm-12243648-v-30-a-salida-usb-display-_JM" TargetMode="External"/><Relationship Id="rId190" Type="http://schemas.openxmlformats.org/officeDocument/2006/relationships/hyperlink" Target="https://articulo.mercadolibre.com.mx/MLM-2010267623-controlador-solar-pwm-1224-v-30-a-parametros-configurables-_JM" TargetMode="External"/><Relationship Id="rId15" Type="http://schemas.openxmlformats.org/officeDocument/2006/relationships/hyperlink" Target="https://www.syscom.mx/producto/PRO5012-EPCOM-POWERLINE-170087.html" TargetMode="External"/><Relationship Id="rId36" Type="http://schemas.openxmlformats.org/officeDocument/2006/relationships/hyperlink" Target="https://www.syscom.mx/producto/PL-40-12-EPCOM-POWERLINE-67207.html" TargetMode="External"/><Relationship Id="rId57" Type="http://schemas.openxmlformats.org/officeDocument/2006/relationships/hyperlink" Target="https://www.syscom.mx/producto/CBL-8AWG-3BLK-EPCOM-POWERLINE-161223.html" TargetMode="External"/><Relationship Id="rId106" Type="http://schemas.openxmlformats.org/officeDocument/2006/relationships/hyperlink" Target="https://www.syscom.mx/producto/PROSECB-02-EPCOM-POWERLINE-72414.html" TargetMode="External"/><Relationship Id="rId127" Type="http://schemas.openxmlformats.org/officeDocument/2006/relationships/hyperlink" Target="https://articulo.mercadolibre.com.mx/MLM-2006361365-bateria-sellada-recargable-12v-5ah-agm-vrla-_JM" TargetMode="External"/><Relationship Id="rId10" Type="http://schemas.openxmlformats.org/officeDocument/2006/relationships/hyperlink" Target="https://articulo.mercadolibre.com.mx/MLM-2386675656-modulo-panel-solar-550w-50v-monocristalino-144-celdas-gdo-a-_JM" TargetMode="External"/><Relationship Id="rId31" Type="http://schemas.openxmlformats.org/officeDocument/2006/relationships/hyperlink" Target="https://www.syscom.mx/producto/MT-50-EPEVER-81070.html" TargetMode="External"/><Relationship Id="rId52" Type="http://schemas.openxmlformats.org/officeDocument/2006/relationships/hyperlink" Target="https://www.syscom.mx/producto/CBL-MC4-1.5R-EPCOM-POWERLINE-161220.html" TargetMode="External"/><Relationship Id="rId73" Type="http://schemas.openxmlformats.org/officeDocument/2006/relationships/hyperlink" Target="https://articulo.mercadolibre.com.mx/MLM-2318299478-carrete-de-500m-cable-fotovoltaico-negro-4mm2-12awg-1800v-_JM" TargetMode="External"/><Relationship Id="rId78" Type="http://schemas.openxmlformats.org/officeDocument/2006/relationships/hyperlink" Target="https://articulo.mercadolibre.com.mx/MLM-2755417784-4-cables-fotovoltaico-15m-mixtos-calibre-10-awg-term-mc-4-_JM" TargetMode="External"/><Relationship Id="rId94" Type="http://schemas.openxmlformats.org/officeDocument/2006/relationships/hyperlink" Target="https://articulo.mercadolibre.com.mx/MLM-2319095014-rollo-de-10m-cable-fotovoltaico-rojo-6mm2-10awg-1800v-_JM" TargetMode="External"/><Relationship Id="rId99" Type="http://schemas.openxmlformats.org/officeDocument/2006/relationships/hyperlink" Target="https://articulo.mercadolibre.com.mx/MLM-1916134157-rollo-de-40m-cable-fotovoltaico-rojo-6mm2-10awg-1800v-_JM" TargetMode="External"/><Relationship Id="rId101" Type="http://schemas.openxmlformats.org/officeDocument/2006/relationships/hyperlink" Target="https://articulo.mercadolibre.com.mx/MLM-1916134189-rollo-de-50m-cable-fotovoltaico-rojo-6mm2-10awg-1800v-_JM" TargetMode="External"/><Relationship Id="rId122" Type="http://schemas.openxmlformats.org/officeDocument/2006/relationships/hyperlink" Target="https://articulo.mercadolibre.com.mx/MLM-2803372266-bateria-sellada-recargable-12v-5ah-agm-vrla-f1-_JM" TargetMode="External"/><Relationship Id="rId143" Type="http://schemas.openxmlformats.org/officeDocument/2006/relationships/hyperlink" Target="https://articulo.mercadolibre.com.mx/MLM-2321867290-bateria-epcom-panel-solar-12v-110ah-agm-vrla-ciclo-profundo-_JM" TargetMode="External"/><Relationship Id="rId148" Type="http://schemas.openxmlformats.org/officeDocument/2006/relationships/hyperlink" Target="https://articulo.mercadolibre.com.mx/MLM-2813088926-bateria-sellada-recargable-12v-18ah-agm-vrla-f2-ps-_JM" TargetMode="External"/><Relationship Id="rId164" Type="http://schemas.openxmlformats.org/officeDocument/2006/relationships/hyperlink" Target="https://www.syscom.mx/producto/PRO1012-EPCOM-POWERLINE-93452.html" TargetMode="External"/><Relationship Id="rId169" Type="http://schemas.openxmlformats.org/officeDocument/2006/relationships/hyperlink" Target="https://www.syscom.mx/producto/EPL-SR8-2700-SYSCOM-210382.html" TargetMode="External"/><Relationship Id="rId185" Type="http://schemas.openxmlformats.org/officeDocument/2006/relationships/hyperlink" Target="https://www.syscom.mx/producto/LS-1024-B-EPEVER-78223.html" TargetMode="External"/><Relationship Id="rId4" Type="http://schemas.openxmlformats.org/officeDocument/2006/relationships/hyperlink" Target="https://articulo.mercadolibre.com.mx/MLM-1904701497-modulo-panel-solar-100w-12-v-policristalino-36-celdas-grad-a-_JM" TargetMode="External"/><Relationship Id="rId9" Type="http://schemas.openxmlformats.org/officeDocument/2006/relationships/hyperlink" Target="https://articulo.mercadolibre.com.mx/MLM-1912380077-modulo-solar-risen-550w-50v-monocristalino-144-celdas-_JM" TargetMode="External"/><Relationship Id="rId180" Type="http://schemas.openxmlformats.org/officeDocument/2006/relationships/hyperlink" Target="https://articulo.mercadolibre.com.mx/MLM-2010226619-cargador-inteligente-baterias-12v-o-24v-de-2-4-o-6a-display-_JM" TargetMode="External"/><Relationship Id="rId26" Type="http://schemas.openxmlformats.org/officeDocument/2006/relationships/hyperlink" Target="https://www.syscom.mx/producto/PRO8512-EPCOM-POWERLINE-166480.html" TargetMode="External"/><Relationship Id="rId47" Type="http://schemas.openxmlformats.org/officeDocument/2006/relationships/hyperlink" Target="https://articulo.mercadolibre.com.mx/MLM-2334950084-inversor-para-interconexion-cfe-70kw-sal-480-trifasico-wifi-_JM" TargetMode="External"/><Relationship Id="rId68" Type="http://schemas.openxmlformats.org/officeDocument/2006/relationships/hyperlink" Target="https://articulo.mercadolibre.com.mx/MLM-2315160458-2-cables-fotovoltaicos-25m-rojo-calibre-10-awg-2-terminales-_JM" TargetMode="External"/><Relationship Id="rId89" Type="http://schemas.openxmlformats.org/officeDocument/2006/relationships/hyperlink" Target="https://articulo.mercadolibre.com.mx/MLM-2319094488-rollo-de-35m-cable-fotovoltaico-negro-6mm2-10awg-1800v-_JM" TargetMode="External"/><Relationship Id="rId112" Type="http://schemas.openxmlformats.org/officeDocument/2006/relationships/hyperlink" Target="https://articulo.mercadolibre.com.mx/MLM-2803316258-bateria-sellada-recargable-12v-7ah-agm-vrla-_JM" TargetMode="External"/><Relationship Id="rId133" Type="http://schemas.openxmlformats.org/officeDocument/2006/relationships/hyperlink" Target="https://articulo.mercadolibre.com.mx/MLM-2006336479-bateria-sellada-recargable-12v-7ah-agm-vrla-f2-_JM" TargetMode="External"/><Relationship Id="rId154" Type="http://schemas.openxmlformats.org/officeDocument/2006/relationships/hyperlink" Target="https://www.syscom.mx/producto/HMS8002TLV-HOYMILES-212075.html" TargetMode="External"/><Relationship Id="rId175" Type="http://schemas.openxmlformats.org/officeDocument/2006/relationships/hyperlink" Target="https://www.syscom.mx/producto/CBL-AWG2-1R-EPCOM-POWERLINE-16122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71FB-71E1-4004-9B05-C97BAD6DA203}">
  <dimension ref="A1:AN152"/>
  <sheetViews>
    <sheetView tabSelected="1" zoomScale="70" zoomScaleNormal="70" workbookViewId="0"/>
  </sheetViews>
  <sheetFormatPr baseColWidth="10" defaultColWidth="20.85546875" defaultRowHeight="18.75" x14ac:dyDescent="0.25"/>
  <cols>
    <col min="1" max="1" width="21.140625" style="4" customWidth="1"/>
    <col min="2" max="2" width="7.28515625" style="3" bestFit="1" customWidth="1"/>
    <col min="3" max="3" width="75.28515625" style="4" customWidth="1"/>
    <col min="4" max="4" width="15.42578125" style="3" bestFit="1" customWidth="1"/>
    <col min="5" max="5" width="17.5703125" style="3" bestFit="1" customWidth="1"/>
    <col min="6" max="6" width="28" style="3" bestFit="1" customWidth="1"/>
    <col min="7" max="7" width="19.42578125" style="10" bestFit="1" customWidth="1"/>
    <col min="8" max="8" width="19.42578125" style="10" customWidth="1"/>
    <col min="9" max="9" width="24.85546875" style="10" customWidth="1"/>
    <col min="10" max="10" width="12.5703125" style="3" customWidth="1"/>
    <col min="11" max="11" width="16.85546875" style="4" customWidth="1"/>
    <col min="12" max="12" width="19.5703125" style="13" customWidth="1"/>
    <col min="13" max="13" width="19.5703125" style="3" customWidth="1"/>
    <col min="14" max="14" width="19.85546875" style="3" bestFit="1" customWidth="1"/>
    <col min="15" max="15" width="9.7109375" style="4" bestFit="1" customWidth="1"/>
    <col min="16" max="16" width="19.85546875" style="4" bestFit="1" customWidth="1"/>
    <col min="17" max="17" width="17" style="43" customWidth="1"/>
    <col min="18" max="18" width="15.85546875" style="43" customWidth="1"/>
    <col min="19" max="19" width="20.85546875" style="35"/>
    <col min="20" max="20" width="15.85546875" style="3" bestFit="1" customWidth="1"/>
    <col min="21" max="21" width="10.7109375" style="3" customWidth="1"/>
    <col min="22" max="22" width="15.85546875" style="30" bestFit="1" customWidth="1"/>
    <col min="23" max="23" width="10.5703125" style="24" bestFit="1" customWidth="1"/>
    <col min="24" max="24" width="12.7109375" style="27" bestFit="1" customWidth="1"/>
    <col min="25" max="25" width="14.140625" style="30" bestFit="1" customWidth="1"/>
    <col min="26" max="26" width="15.85546875" style="27" bestFit="1" customWidth="1"/>
    <col min="27" max="27" width="15" style="24" bestFit="1" customWidth="1"/>
    <col min="28" max="28" width="21.140625" style="33" bestFit="1" customWidth="1"/>
    <col min="29" max="29" width="17.7109375" style="37" bestFit="1" customWidth="1"/>
    <col min="30" max="30" width="20.28515625" style="33" bestFit="1" customWidth="1"/>
    <col min="31" max="31" width="11.85546875" style="24" bestFit="1" customWidth="1"/>
    <col min="32" max="32" width="10.85546875" style="33" bestFit="1" customWidth="1"/>
    <col min="33" max="33" width="20.85546875" style="35" bestFit="1" customWidth="1"/>
    <col min="34" max="34" width="22" style="4" bestFit="1" customWidth="1"/>
    <col min="35" max="35" width="12.28515625" style="4" bestFit="1" customWidth="1"/>
    <col min="36" max="16384" width="20.85546875" style="4"/>
  </cols>
  <sheetData>
    <row r="1" spans="1:38" ht="23.25" x14ac:dyDescent="0.25">
      <c r="C1" s="14" t="s">
        <v>164</v>
      </c>
      <c r="R1" s="35"/>
      <c r="T1" s="39" t="s">
        <v>170</v>
      </c>
      <c r="AF1" s="38" t="s">
        <v>171</v>
      </c>
    </row>
    <row r="2" spans="1:38" x14ac:dyDescent="0.25">
      <c r="C2" s="15">
        <v>17.18</v>
      </c>
      <c r="R2" s="35"/>
      <c r="T2" s="40">
        <v>0.16</v>
      </c>
      <c r="AF2" s="38">
        <v>0.06</v>
      </c>
      <c r="AG2" s="46" t="s">
        <v>187</v>
      </c>
    </row>
    <row r="3" spans="1:38" x14ac:dyDescent="0.25">
      <c r="C3" s="16">
        <v>45313</v>
      </c>
      <c r="H3" s="88" t="s">
        <v>165</v>
      </c>
      <c r="I3" s="88"/>
      <c r="R3" s="35"/>
      <c r="AF3" s="38">
        <v>4.63</v>
      </c>
      <c r="AG3" s="46" t="s">
        <v>188</v>
      </c>
    </row>
    <row r="4" spans="1:38" x14ac:dyDescent="0.25">
      <c r="H4" s="18">
        <v>45312</v>
      </c>
      <c r="I4" s="18">
        <v>45313</v>
      </c>
      <c r="J4" s="22" t="s">
        <v>171</v>
      </c>
      <c r="P4" s="130" t="s">
        <v>162</v>
      </c>
      <c r="Q4" s="130"/>
      <c r="R4" s="35"/>
      <c r="T4" s="22" t="s">
        <v>171</v>
      </c>
      <c r="U4" s="22" t="s">
        <v>171</v>
      </c>
      <c r="V4" s="22" t="s">
        <v>174</v>
      </c>
      <c r="AF4" s="38">
        <v>49</v>
      </c>
      <c r="AG4" s="46" t="s">
        <v>189</v>
      </c>
    </row>
    <row r="5" spans="1:38" x14ac:dyDescent="0.25">
      <c r="A5" s="39" t="s">
        <v>131</v>
      </c>
      <c r="B5" s="21" t="s">
        <v>210</v>
      </c>
      <c r="C5" s="1" t="s">
        <v>3</v>
      </c>
      <c r="D5" s="1" t="s">
        <v>193</v>
      </c>
      <c r="E5" s="1" t="s">
        <v>255</v>
      </c>
      <c r="F5" s="1" t="s">
        <v>254</v>
      </c>
      <c r="G5" s="1" t="s">
        <v>4</v>
      </c>
      <c r="H5" s="19" t="s">
        <v>166</v>
      </c>
      <c r="I5" s="19" t="s">
        <v>167</v>
      </c>
      <c r="J5" s="20" t="s">
        <v>147</v>
      </c>
      <c r="K5" s="1" t="s">
        <v>154</v>
      </c>
      <c r="L5" s="1" t="s">
        <v>381</v>
      </c>
      <c r="M5" s="1" t="s">
        <v>380</v>
      </c>
      <c r="N5" s="52" t="s">
        <v>197</v>
      </c>
      <c r="O5" s="1" t="s">
        <v>61</v>
      </c>
      <c r="P5" s="1" t="s">
        <v>356</v>
      </c>
      <c r="Q5" s="1" t="s">
        <v>63</v>
      </c>
      <c r="R5" s="1" t="s">
        <v>196</v>
      </c>
      <c r="S5" s="23" t="s">
        <v>168</v>
      </c>
      <c r="T5" s="45" t="s">
        <v>169</v>
      </c>
      <c r="U5" s="59" t="s">
        <v>161</v>
      </c>
      <c r="V5" s="34" t="s">
        <v>186</v>
      </c>
      <c r="W5" s="1" t="s">
        <v>170</v>
      </c>
      <c r="X5" s="1" t="s">
        <v>172</v>
      </c>
      <c r="Y5" s="31" t="s">
        <v>173</v>
      </c>
      <c r="Z5" s="25" t="s">
        <v>176</v>
      </c>
      <c r="AA5" s="28" t="s">
        <v>175</v>
      </c>
      <c r="AB5" s="31" t="s">
        <v>177</v>
      </c>
      <c r="AC5" s="28" t="s">
        <v>178</v>
      </c>
      <c r="AD5" s="25" t="s">
        <v>179</v>
      </c>
      <c r="AE5" s="25" t="s">
        <v>180</v>
      </c>
      <c r="AF5" s="28" t="s">
        <v>181</v>
      </c>
      <c r="AG5" s="25" t="s">
        <v>182</v>
      </c>
      <c r="AH5" s="25" t="s">
        <v>183</v>
      </c>
      <c r="AI5" s="25" t="s">
        <v>184</v>
      </c>
      <c r="AJ5" s="34" t="s">
        <v>185</v>
      </c>
    </row>
    <row r="6" spans="1:38" ht="18" customHeight="1" x14ac:dyDescent="0.25">
      <c r="A6" s="138" t="s">
        <v>133</v>
      </c>
      <c r="B6" s="5">
        <v>1</v>
      </c>
      <c r="C6" s="2" t="s">
        <v>383</v>
      </c>
      <c r="D6" s="5" t="s">
        <v>194</v>
      </c>
      <c r="E6" s="5" t="s">
        <v>384</v>
      </c>
      <c r="F6" s="5" t="s">
        <v>385</v>
      </c>
      <c r="G6" s="5">
        <v>500</v>
      </c>
      <c r="H6" s="26">
        <v>24.99</v>
      </c>
      <c r="I6" s="26">
        <v>24.99</v>
      </c>
      <c r="J6" s="26">
        <f>Tabla1[[#This Row],[HOY]]-Tabla1[[#This Row],[AYER]]</f>
        <v>0</v>
      </c>
      <c r="K6" s="5">
        <v>50</v>
      </c>
      <c r="L6" s="54" t="s">
        <v>386</v>
      </c>
      <c r="M6" s="54"/>
      <c r="N6" s="53" t="s">
        <v>387</v>
      </c>
      <c r="O6" s="9" t="s">
        <v>132</v>
      </c>
      <c r="P6" s="9">
        <v>50</v>
      </c>
      <c r="Q6" s="5"/>
      <c r="R6" s="2"/>
      <c r="S6" s="11" t="str">
        <f>IF(B6="","",(IF((Tabla1[[#This Row],[STOCK]]-1)&lt;Tabla1[[#This Row],[INV MIN]],"PAUSAR!!!!","")))</f>
        <v/>
      </c>
      <c r="T6" s="44" t="str">
        <f>IF(Tabla1[[#This Row],[UTILIDAD]]&lt;0,"PÉRDIDA!!!","")</f>
        <v/>
      </c>
      <c r="U6" s="60"/>
      <c r="V6" s="32">
        <f>Tabla1[[#This Row],[TOT VENTA]]-Tabla1[[#This Row],[COSTO]]</f>
        <v>48.026769000000002</v>
      </c>
      <c r="W6" s="6">
        <f>Tabla1[[#This Row],[HOY]]*$T$2</f>
        <v>3.9983999999999997</v>
      </c>
      <c r="X6" s="6">
        <f>Tabla1[[#This Row],[HOY]]+Tabla1[[#This Row],[IVA]]</f>
        <v>28.988399999999999</v>
      </c>
      <c r="Y6" s="41">
        <f>Tabla1[[#This Row],[TOTAL]]*B6*$C$2</f>
        <v>498.02071199999995</v>
      </c>
      <c r="Z6" s="26">
        <v>999</v>
      </c>
      <c r="AA6" s="29">
        <v>0.31</v>
      </c>
      <c r="AB6" s="32">
        <f>Tabla1[[#This Row],[PRECIO ML]]*(1-Tabla1[[#This Row],[DESCUENTO]])</f>
        <v>689.31</v>
      </c>
      <c r="AC6" s="29">
        <v>0.19500000000000001</v>
      </c>
      <c r="AD6" s="26">
        <f>Tabla1[[#This Row],[PRECIO FINAL ML]]*Tabla1[[#This Row],[COMISIÓN ML]]</f>
        <v>134.41544999999999</v>
      </c>
      <c r="AE6" s="26"/>
      <c r="AF6" s="29">
        <v>2.2200000000000001E-2</v>
      </c>
      <c r="AG6" s="26">
        <f>(Tabla1[[#This Row],[PRECIO FINAL ML]]*Tabla1[[#This Row],[% ACOS]])/2</f>
        <v>7.6513409999999995</v>
      </c>
      <c r="AH6" s="26">
        <f>Tabla1[[#This Row],[TOT COMISIÓN]]+Tabla1[[#This Row],[FIJO ML]]+Tabla1[[#This Row],[ACOS]]</f>
        <v>142.06679099999999</v>
      </c>
      <c r="AI6" s="26">
        <f t="shared" ref="AI6:AI13" si="0">$AF$2*(1+$T$2)*$C$2</f>
        <v>1.1957279999999999</v>
      </c>
      <c r="AJ6" s="32">
        <f>Tabla1[[#This Row],[PRECIO FINAL ML]]-Tabla1[[#This Row],[DESCUENTO TOT]]-Tabla1[[#This Row],[ENVÍO]]</f>
        <v>546.04748099999995</v>
      </c>
      <c r="AL6" s="17"/>
    </row>
    <row r="7" spans="1:38" ht="18" customHeight="1" x14ac:dyDescent="0.25">
      <c r="A7" s="139"/>
      <c r="B7" s="5">
        <v>1</v>
      </c>
      <c r="C7" s="2" t="s">
        <v>64</v>
      </c>
      <c r="D7" s="5" t="s">
        <v>194</v>
      </c>
      <c r="E7" s="5" t="s">
        <v>256</v>
      </c>
      <c r="F7" s="5" t="s">
        <v>260</v>
      </c>
      <c r="G7" s="5">
        <v>500</v>
      </c>
      <c r="H7" s="26">
        <v>13.82</v>
      </c>
      <c r="I7" s="26">
        <v>13.82</v>
      </c>
      <c r="J7" s="26">
        <f>Tabla1[[#This Row],[HOY]]-Tabla1[[#This Row],[AYER]]</f>
        <v>0</v>
      </c>
      <c r="K7" s="5">
        <v>80</v>
      </c>
      <c r="L7" s="54" t="s">
        <v>65</v>
      </c>
      <c r="M7" s="54"/>
      <c r="N7" s="53" t="s">
        <v>113</v>
      </c>
      <c r="O7" s="9" t="s">
        <v>132</v>
      </c>
      <c r="P7" s="9">
        <v>50</v>
      </c>
      <c r="Q7" s="5"/>
      <c r="R7" s="2"/>
      <c r="S7" s="11" t="str">
        <f>IF(B7="","",(IF((Tabla1[[#This Row],[STOCK]]-1)&lt;Tabla1[[#This Row],[INV MIN]],"PAUSAR!!!!","")))</f>
        <v/>
      </c>
      <c r="T7" s="44" t="str">
        <f>IF(Tabla1[[#This Row],[UTILIDAD]]&lt;0,"PÉRDIDA!!!","")</f>
        <v/>
      </c>
      <c r="U7" s="60"/>
      <c r="V7" s="32">
        <f>Tabla1[[#This Row],[TOT VENTA]]-Tabla1[[#This Row],[COSTO]]</f>
        <v>79.851340749999963</v>
      </c>
      <c r="W7" s="6">
        <f>Tabla1[[#This Row],[HOY]]*$T$2</f>
        <v>2.2112000000000003</v>
      </c>
      <c r="X7" s="6">
        <f>Tabla1[[#This Row],[HOY]]+Tabla1[[#This Row],[IVA]]</f>
        <v>16.031200000000002</v>
      </c>
      <c r="Y7" s="41">
        <f>Tabla1[[#This Row],[TOTAL]]*B7*$C$2</f>
        <v>275.41601600000001</v>
      </c>
      <c r="Z7" s="26">
        <v>598.66999999999996</v>
      </c>
      <c r="AA7" s="29">
        <v>0.25</v>
      </c>
      <c r="AB7" s="32">
        <f>Tabla1[[#This Row],[PRECIO ML]]*(1-Tabla1[[#This Row],[DESCUENTO]])</f>
        <v>449.00249999999994</v>
      </c>
      <c r="AC7" s="29">
        <v>0.19500000000000001</v>
      </c>
      <c r="AD7" s="26">
        <f>Tabla1[[#This Row],[PRECIO FINAL ML]]*Tabla1[[#This Row],[COMISIÓN ML]]</f>
        <v>87.555487499999998</v>
      </c>
      <c r="AE7" s="26"/>
      <c r="AF7" s="29">
        <v>2.2200000000000001E-2</v>
      </c>
      <c r="AG7" s="26">
        <f>(Tabla1[[#This Row],[PRECIO FINAL ML]]*Tabla1[[#This Row],[% ACOS]])/2</f>
        <v>4.9839277499999994</v>
      </c>
      <c r="AH7" s="26">
        <f>Tabla1[[#This Row],[TOT COMISIÓN]]+Tabla1[[#This Row],[FIJO ML]]+Tabla1[[#This Row],[ACOS]]</f>
        <v>92.53941524999999</v>
      </c>
      <c r="AI7" s="26">
        <f t="shared" si="0"/>
        <v>1.1957279999999999</v>
      </c>
      <c r="AJ7" s="32">
        <f>Tabla1[[#This Row],[PRECIO FINAL ML]]-Tabla1[[#This Row],[DESCUENTO TOT]]-Tabla1[[#This Row],[ENVÍO]]</f>
        <v>355.26735674999998</v>
      </c>
      <c r="AL7" s="17"/>
    </row>
    <row r="8" spans="1:38" ht="18" customHeight="1" x14ac:dyDescent="0.25">
      <c r="A8" s="139"/>
      <c r="B8" s="5">
        <v>1</v>
      </c>
      <c r="C8" s="2" t="s">
        <v>66</v>
      </c>
      <c r="D8" s="5" t="s">
        <v>194</v>
      </c>
      <c r="E8" s="5" t="s">
        <v>256</v>
      </c>
      <c r="F8" s="5" t="s">
        <v>261</v>
      </c>
      <c r="G8" s="5">
        <v>500</v>
      </c>
      <c r="H8" s="26">
        <v>17.059999999999999</v>
      </c>
      <c r="I8" s="26">
        <v>17.059999999999999</v>
      </c>
      <c r="J8" s="26">
        <f>Tabla1[[#This Row],[HOY]]-Tabla1[[#This Row],[AYER]]</f>
        <v>0</v>
      </c>
      <c r="K8" s="5">
        <v>80</v>
      </c>
      <c r="L8" s="54" t="s">
        <v>67</v>
      </c>
      <c r="M8" s="54"/>
      <c r="N8" s="53" t="s">
        <v>114</v>
      </c>
      <c r="O8" s="9" t="s">
        <v>132</v>
      </c>
      <c r="P8" s="9">
        <v>50</v>
      </c>
      <c r="Q8" s="5"/>
      <c r="R8" s="2"/>
      <c r="S8" s="11" t="str">
        <f>IF(B8="","",(IF((Tabla1[[#This Row],[STOCK]]-1)&lt;Tabla1[[#This Row],[INV MIN]],"PAUSAR!!!!","")))</f>
        <v/>
      </c>
      <c r="T8" s="44" t="str">
        <f>IF(Tabla1[[#This Row],[UTILIDAD]]&lt;0,"PÉRDIDA!!!","")</f>
        <v/>
      </c>
      <c r="U8" s="60"/>
      <c r="V8" s="32">
        <f>Tabla1[[#This Row],[TOT VENTA]]-Tabla1[[#This Row],[COSTO]]</f>
        <v>80.570380000000057</v>
      </c>
      <c r="W8" s="6">
        <f>Tabla1[[#This Row],[HOY]]*$T$2</f>
        <v>2.7296</v>
      </c>
      <c r="X8" s="6">
        <f>Tabla1[[#This Row],[HOY]]+Tabla1[[#This Row],[IVA]]</f>
        <v>19.7896</v>
      </c>
      <c r="Y8" s="41">
        <f>Tabla1[[#This Row],[TOTAL]]*B8*$C$2</f>
        <v>339.98532799999998</v>
      </c>
      <c r="Z8" s="26">
        <v>932</v>
      </c>
      <c r="AA8" s="29">
        <v>0.43</v>
      </c>
      <c r="AB8" s="32">
        <f>Tabla1[[#This Row],[PRECIO ML]]*(1-Tabla1[[#This Row],[DESCUENTO]])</f>
        <v>531.24</v>
      </c>
      <c r="AC8" s="29">
        <v>0.19500000000000001</v>
      </c>
      <c r="AD8" s="26">
        <f>Tabla1[[#This Row],[PRECIO FINAL ML]]*Tabla1[[#This Row],[COMISIÓN ML]]</f>
        <v>103.59180000000001</v>
      </c>
      <c r="AE8" s="26"/>
      <c r="AF8" s="29">
        <v>2.2200000000000001E-2</v>
      </c>
      <c r="AG8" s="26">
        <f>(Tabla1[[#This Row],[PRECIO FINAL ML]]*Tabla1[[#This Row],[% ACOS]])/2</f>
        <v>5.8967640000000001</v>
      </c>
      <c r="AH8" s="26">
        <f>Tabla1[[#This Row],[TOT COMISIÓN]]+Tabla1[[#This Row],[FIJO ML]]+Tabla1[[#This Row],[ACOS]]</f>
        <v>109.48856400000001</v>
      </c>
      <c r="AI8" s="26">
        <f t="shared" si="0"/>
        <v>1.1957279999999999</v>
      </c>
      <c r="AJ8" s="32">
        <f>Tabla1[[#This Row],[PRECIO FINAL ML]]-Tabla1[[#This Row],[DESCUENTO TOT]]-Tabla1[[#This Row],[ENVÍO]]</f>
        <v>420.55570800000004</v>
      </c>
    </row>
    <row r="9" spans="1:38" ht="18" customHeight="1" x14ac:dyDescent="0.25">
      <c r="A9" s="139"/>
      <c r="B9" s="5">
        <v>1</v>
      </c>
      <c r="C9" s="2" t="s">
        <v>68</v>
      </c>
      <c r="D9" s="5" t="s">
        <v>194</v>
      </c>
      <c r="E9" s="5" t="s">
        <v>256</v>
      </c>
      <c r="F9" s="5" t="s">
        <v>262</v>
      </c>
      <c r="G9" s="5">
        <v>500</v>
      </c>
      <c r="H9" s="26">
        <v>35.01</v>
      </c>
      <c r="I9" s="26">
        <v>35.01</v>
      </c>
      <c r="J9" s="26">
        <f>Tabla1[[#This Row],[HOY]]-Tabla1[[#This Row],[AYER]]</f>
        <v>0</v>
      </c>
      <c r="K9" s="5">
        <v>80</v>
      </c>
      <c r="L9" s="54" t="s">
        <v>69</v>
      </c>
      <c r="M9" s="54"/>
      <c r="N9" s="53" t="s">
        <v>115</v>
      </c>
      <c r="O9" s="9" t="s">
        <v>132</v>
      </c>
      <c r="P9" s="9">
        <v>50</v>
      </c>
      <c r="Q9" s="5"/>
      <c r="R9" s="2"/>
      <c r="S9" s="11" t="str">
        <f>IF(B9="","",(IF((Tabla1[[#This Row],[STOCK]]-1)&lt;Tabla1[[#This Row],[INV MIN]],"PAUSAR!!!!","")))</f>
        <v/>
      </c>
      <c r="T9" s="44" t="str">
        <f>IF(Tabla1[[#This Row],[UTILIDAD]]&lt;0,"PÉRDIDA!!!","")</f>
        <v/>
      </c>
      <c r="U9" s="60"/>
      <c r="V9" s="32">
        <f>Tabla1[[#This Row],[TOT VENTA]]-Tabla1[[#This Row],[COSTO]]</f>
        <v>91.503824000000009</v>
      </c>
      <c r="W9" s="6">
        <f>Tabla1[[#This Row],[HOY]]*$T$2</f>
        <v>5.6015999999999995</v>
      </c>
      <c r="X9" s="6">
        <f>Tabla1[[#This Row],[HOY]]+Tabla1[[#This Row],[IVA]]</f>
        <v>40.611599999999996</v>
      </c>
      <c r="Y9" s="41">
        <f>Tabla1[[#This Row],[TOTAL]]*B9*$C$2</f>
        <v>697.70728799999995</v>
      </c>
      <c r="Z9" s="26">
        <v>1310</v>
      </c>
      <c r="AA9" s="29">
        <v>0.24</v>
      </c>
      <c r="AB9" s="32">
        <f>Tabla1[[#This Row],[PRECIO ML]]*(1-Tabla1[[#This Row],[DESCUENTO]])</f>
        <v>995.6</v>
      </c>
      <c r="AC9" s="29">
        <v>0.19500000000000001</v>
      </c>
      <c r="AD9" s="26">
        <f>Tabla1[[#This Row],[PRECIO FINAL ML]]*Tabla1[[#This Row],[COMISIÓN ML]]</f>
        <v>194.14200000000002</v>
      </c>
      <c r="AE9" s="26"/>
      <c r="AF9" s="29">
        <v>2.2200000000000001E-2</v>
      </c>
      <c r="AG9" s="26">
        <f>(Tabla1[[#This Row],[PRECIO FINAL ML]]*Tabla1[[#This Row],[% ACOS]])/2</f>
        <v>11.051160000000001</v>
      </c>
      <c r="AH9" s="26">
        <f>Tabla1[[#This Row],[TOT COMISIÓN]]+Tabla1[[#This Row],[FIJO ML]]+Tabla1[[#This Row],[ACOS]]</f>
        <v>205.19316000000003</v>
      </c>
      <c r="AI9" s="26">
        <f t="shared" si="0"/>
        <v>1.1957279999999999</v>
      </c>
      <c r="AJ9" s="32">
        <f>Tabla1[[#This Row],[PRECIO FINAL ML]]-Tabla1[[#This Row],[DESCUENTO TOT]]-Tabla1[[#This Row],[ENVÍO]]</f>
        <v>789.21111199999996</v>
      </c>
    </row>
    <row r="10" spans="1:38" ht="18" customHeight="1" x14ac:dyDescent="0.25">
      <c r="A10" s="139"/>
      <c r="B10" s="5">
        <v>1</v>
      </c>
      <c r="C10" s="2" t="s">
        <v>70</v>
      </c>
      <c r="D10" s="5" t="s">
        <v>194</v>
      </c>
      <c r="E10" s="5" t="s">
        <v>256</v>
      </c>
      <c r="F10" s="5" t="s">
        <v>263</v>
      </c>
      <c r="G10" s="5">
        <v>388</v>
      </c>
      <c r="H10" s="26">
        <v>53.75</v>
      </c>
      <c r="I10" s="26">
        <v>53.75</v>
      </c>
      <c r="J10" s="26">
        <f>Tabla1[[#This Row],[HOY]]-Tabla1[[#This Row],[AYER]]</f>
        <v>0</v>
      </c>
      <c r="K10" s="5">
        <v>50</v>
      </c>
      <c r="L10" s="54" t="s">
        <v>71</v>
      </c>
      <c r="M10" s="54"/>
      <c r="N10" s="53" t="s">
        <v>198</v>
      </c>
      <c r="O10" s="9" t="s">
        <v>132</v>
      </c>
      <c r="P10" s="9">
        <v>50</v>
      </c>
      <c r="Q10" s="5"/>
      <c r="R10" s="2"/>
      <c r="S10" s="11" t="str">
        <f>IF(B10="","",(IF((Tabla1[[#This Row],[STOCK]]-1)&lt;Tabla1[[#This Row],[INV MIN]],"PAUSAR!!!!","")))</f>
        <v/>
      </c>
      <c r="T10" s="44" t="str">
        <f>IF(Tabla1[[#This Row],[UTILIDAD]]&lt;0,"PÉRDIDA!!!","")</f>
        <v/>
      </c>
      <c r="U10" s="60"/>
      <c r="V10" s="32">
        <f>Tabla1[[#This Row],[TOT VENTA]]-Tabla1[[#This Row],[COSTO]]</f>
        <v>115.95667000000026</v>
      </c>
      <c r="W10" s="6">
        <f>Tabla1[[#This Row],[HOY]]*$T$2</f>
        <v>8.6</v>
      </c>
      <c r="X10" s="6">
        <f>Tabla1[[#This Row],[HOY]]+Tabla1[[#This Row],[IVA]]</f>
        <v>62.35</v>
      </c>
      <c r="Y10" s="41">
        <f>Tabla1[[#This Row],[TOTAL]]*B10*$C$2</f>
        <v>1071.173</v>
      </c>
      <c r="Z10" s="26">
        <v>1919</v>
      </c>
      <c r="AA10" s="29">
        <v>0.22</v>
      </c>
      <c r="AB10" s="32">
        <f>Tabla1[[#This Row],[PRECIO ML]]*(1-Tabla1[[#This Row],[DESCUENTO]])</f>
        <v>1496.8200000000002</v>
      </c>
      <c r="AC10" s="29">
        <v>0.19500000000000001</v>
      </c>
      <c r="AD10" s="26">
        <f>Tabla1[[#This Row],[PRECIO FINAL ML]]*Tabla1[[#This Row],[COMISIÓN ML]]</f>
        <v>291.87990000000002</v>
      </c>
      <c r="AE10" s="26"/>
      <c r="AF10" s="29">
        <v>2.2200000000000001E-2</v>
      </c>
      <c r="AG10" s="26">
        <f>(Tabla1[[#This Row],[PRECIO FINAL ML]]*Tabla1[[#This Row],[% ACOS]])/2</f>
        <v>16.614702000000001</v>
      </c>
      <c r="AH10" s="26">
        <f>Tabla1[[#This Row],[TOT COMISIÓN]]+Tabla1[[#This Row],[FIJO ML]]+Tabla1[[#This Row],[ACOS]]</f>
        <v>308.49460200000004</v>
      </c>
      <c r="AI10" s="26">
        <f t="shared" si="0"/>
        <v>1.1957279999999999</v>
      </c>
      <c r="AJ10" s="32">
        <f>Tabla1[[#This Row],[PRECIO FINAL ML]]-Tabla1[[#This Row],[DESCUENTO TOT]]-Tabla1[[#This Row],[ENVÍO]]</f>
        <v>1187.1296700000003</v>
      </c>
    </row>
    <row r="11" spans="1:38" ht="18" customHeight="1" x14ac:dyDescent="0.25">
      <c r="A11" s="139"/>
      <c r="B11" s="5">
        <v>1</v>
      </c>
      <c r="C11" s="2" t="s">
        <v>5</v>
      </c>
      <c r="D11" s="5" t="s">
        <v>194</v>
      </c>
      <c r="E11" s="5" t="s">
        <v>256</v>
      </c>
      <c r="F11" s="5" t="s">
        <v>259</v>
      </c>
      <c r="G11" s="5">
        <v>1</v>
      </c>
      <c r="H11" s="26">
        <v>58.18</v>
      </c>
      <c r="I11" s="26">
        <v>58.18</v>
      </c>
      <c r="J11" s="26">
        <f>Tabla1[[#This Row],[HOY]]-Tabla1[[#This Row],[AYER]]</f>
        <v>0</v>
      </c>
      <c r="K11" s="5">
        <v>80</v>
      </c>
      <c r="L11" s="54" t="s">
        <v>60</v>
      </c>
      <c r="M11" s="54"/>
      <c r="N11" s="53" t="s">
        <v>6</v>
      </c>
      <c r="O11" s="8" t="s">
        <v>62</v>
      </c>
      <c r="P11" s="8">
        <v>50</v>
      </c>
      <c r="Q11" s="56">
        <v>45319</v>
      </c>
      <c r="R11" s="2"/>
      <c r="S11" s="11" t="str">
        <f>IF(B11="","",(IF((Tabla1[[#This Row],[STOCK]]-1)&lt;Tabla1[[#This Row],[INV MIN]],"PAUSAR!!!!","")))</f>
        <v>PAUSAR!!!!</v>
      </c>
      <c r="T11" s="44" t="str">
        <f>IF(Tabla1[[#This Row],[UTILIDAD]]&lt;0,"PÉRDIDA!!!","")</f>
        <v/>
      </c>
      <c r="U11" s="60"/>
      <c r="V11" s="32">
        <f>Tabla1[[#This Row],[TOT VENTA]]-Tabla1[[#This Row],[COSTO]]</f>
        <v>96.96288410000011</v>
      </c>
      <c r="W11" s="6">
        <f>Tabla1[[#This Row],[HOY]]*$T$2</f>
        <v>9.3087999999999997</v>
      </c>
      <c r="X11" s="6">
        <f>Tabla1[[#This Row],[HOY]]+Tabla1[[#This Row],[IVA]]</f>
        <v>67.488799999999998</v>
      </c>
      <c r="Y11" s="41">
        <f>Tabla1[[#This Row],[TOTAL]]*B11*$C$2</f>
        <v>1159.457584</v>
      </c>
      <c r="Z11" s="26">
        <v>1760.11</v>
      </c>
      <c r="AA11" s="29">
        <v>0.1</v>
      </c>
      <c r="AB11" s="32">
        <f>Tabla1[[#This Row],[PRECIO ML]]*(1-Tabla1[[#This Row],[DESCUENTO]])</f>
        <v>1584.0989999999999</v>
      </c>
      <c r="AC11" s="29">
        <v>0.19500000000000001</v>
      </c>
      <c r="AD11" s="26">
        <f>Tabla1[[#This Row],[PRECIO FINAL ML]]*Tabla1[[#This Row],[COMISIÓN ML]]</f>
        <v>308.89930499999997</v>
      </c>
      <c r="AE11" s="26"/>
      <c r="AF11" s="29">
        <v>2.2200000000000001E-2</v>
      </c>
      <c r="AG11" s="26">
        <f>(Tabla1[[#This Row],[PRECIO FINAL ML]]*Tabla1[[#This Row],[% ACOS]])/2</f>
        <v>17.583498899999999</v>
      </c>
      <c r="AH11" s="26">
        <f>Tabla1[[#This Row],[TOT COMISIÓN]]+Tabla1[[#This Row],[FIJO ML]]+Tabla1[[#This Row],[ACOS]]</f>
        <v>326.48280389999996</v>
      </c>
      <c r="AI11" s="26">
        <f t="shared" si="0"/>
        <v>1.1957279999999999</v>
      </c>
      <c r="AJ11" s="32">
        <f>Tabla1[[#This Row],[PRECIO FINAL ML]]-Tabla1[[#This Row],[DESCUENTO TOT]]-Tabla1[[#This Row],[ENVÍO]]</f>
        <v>1256.4204681000001</v>
      </c>
    </row>
    <row r="12" spans="1:38" ht="18" customHeight="1" x14ac:dyDescent="0.25">
      <c r="A12" s="139"/>
      <c r="B12" s="5">
        <v>1</v>
      </c>
      <c r="C12" s="2" t="s">
        <v>72</v>
      </c>
      <c r="D12" s="5" t="s">
        <v>194</v>
      </c>
      <c r="E12" s="5" t="s">
        <v>256</v>
      </c>
      <c r="F12" s="5" t="s">
        <v>264</v>
      </c>
      <c r="G12" s="5">
        <v>479</v>
      </c>
      <c r="H12" s="26">
        <v>64.98</v>
      </c>
      <c r="I12" s="26">
        <v>64.98</v>
      </c>
      <c r="J12" s="26">
        <f>Tabla1[[#This Row],[HOY]]-Tabla1[[#This Row],[AYER]]</f>
        <v>0</v>
      </c>
      <c r="K12" s="5">
        <v>80</v>
      </c>
      <c r="L12" s="54" t="s">
        <v>73</v>
      </c>
      <c r="M12" s="54"/>
      <c r="N12" s="53" t="s">
        <v>116</v>
      </c>
      <c r="O12" s="9" t="s">
        <v>132</v>
      </c>
      <c r="P12" s="9">
        <v>50</v>
      </c>
      <c r="Q12" s="5"/>
      <c r="R12" s="2"/>
      <c r="S12" s="11" t="str">
        <f>IF(B12="","",(IF((Tabla1[[#This Row],[STOCK]]-1)&lt;Tabla1[[#This Row],[INV MIN]],"PAUSAR!!!!","")))</f>
        <v/>
      </c>
      <c r="T12" s="44" t="str">
        <f>IF(Tabla1[[#This Row],[UTILIDAD]]&lt;0,"PÉRDIDA!!!","")</f>
        <v/>
      </c>
      <c r="U12" s="60"/>
      <c r="V12" s="32">
        <f>Tabla1[[#This Row],[TOT VENTA]]-Tabla1[[#This Row],[COSTO]]</f>
        <v>121.73624800000016</v>
      </c>
      <c r="W12" s="6">
        <f>Tabla1[[#This Row],[HOY]]*$T$2</f>
        <v>10.396800000000001</v>
      </c>
      <c r="X12" s="6">
        <f>Tabla1[[#This Row],[HOY]]+Tabla1[[#This Row],[IVA]]</f>
        <v>75.376800000000003</v>
      </c>
      <c r="Y12" s="41">
        <f>Tabla1[[#This Row],[TOTAL]]*B12*$C$2</f>
        <v>1294.973424</v>
      </c>
      <c r="Z12" s="26">
        <v>2350</v>
      </c>
      <c r="AA12" s="29">
        <v>0.24</v>
      </c>
      <c r="AB12" s="32">
        <f>Tabla1[[#This Row],[PRECIO ML]]*(1-Tabla1[[#This Row],[DESCUENTO]])</f>
        <v>1786</v>
      </c>
      <c r="AC12" s="29">
        <v>0.19500000000000001</v>
      </c>
      <c r="AD12" s="26">
        <f>Tabla1[[#This Row],[PRECIO FINAL ML]]*Tabla1[[#This Row],[COMISIÓN ML]]</f>
        <v>348.27000000000004</v>
      </c>
      <c r="AE12" s="26"/>
      <c r="AF12" s="29">
        <v>2.2200000000000001E-2</v>
      </c>
      <c r="AG12" s="26">
        <f>(Tabla1[[#This Row],[PRECIO FINAL ML]]*Tabla1[[#This Row],[% ACOS]])/2</f>
        <v>19.8246</v>
      </c>
      <c r="AH12" s="26">
        <f>Tabla1[[#This Row],[TOT COMISIÓN]]+Tabla1[[#This Row],[FIJO ML]]+Tabla1[[#This Row],[ACOS]]</f>
        <v>368.09460000000001</v>
      </c>
      <c r="AI12" s="26">
        <f t="shared" si="0"/>
        <v>1.1957279999999999</v>
      </c>
      <c r="AJ12" s="32">
        <f>Tabla1[[#This Row],[PRECIO FINAL ML]]-Tabla1[[#This Row],[DESCUENTO TOT]]-Tabla1[[#This Row],[ENVÍO]]</f>
        <v>1416.7096720000002</v>
      </c>
    </row>
    <row r="13" spans="1:38" ht="18" customHeight="1" x14ac:dyDescent="0.25">
      <c r="A13" s="139"/>
      <c r="B13" s="5">
        <v>1</v>
      </c>
      <c r="C13" s="2" t="s">
        <v>74</v>
      </c>
      <c r="D13" s="5" t="s">
        <v>194</v>
      </c>
      <c r="E13" s="5" t="s">
        <v>256</v>
      </c>
      <c r="F13" s="5" t="s">
        <v>265</v>
      </c>
      <c r="G13" s="5">
        <v>500</v>
      </c>
      <c r="H13" s="26">
        <v>72.930000000000007</v>
      </c>
      <c r="I13" s="26">
        <v>72.930000000000007</v>
      </c>
      <c r="J13" s="26">
        <f>Tabla1[[#This Row],[HOY]]-Tabla1[[#This Row],[AYER]]</f>
        <v>0</v>
      </c>
      <c r="K13" s="5">
        <v>80</v>
      </c>
      <c r="L13" s="54" t="s">
        <v>75</v>
      </c>
      <c r="M13" s="54"/>
      <c r="N13" s="53" t="s">
        <v>117</v>
      </c>
      <c r="O13" s="9" t="s">
        <v>132</v>
      </c>
      <c r="P13" s="9">
        <v>50</v>
      </c>
      <c r="Q13" s="5"/>
      <c r="R13" s="2"/>
      <c r="S13" s="11" t="str">
        <f>IF(B13="","",(IF((Tabla1[[#This Row],[STOCK]]-1)&lt;Tabla1[[#This Row],[INV MIN]],"PAUSAR!!!!","")))</f>
        <v/>
      </c>
      <c r="T13" s="44" t="str">
        <f>IF(Tabla1[[#This Row],[UTILIDAD]]&lt;0,"PÉRDIDA!!!","")</f>
        <v/>
      </c>
      <c r="U13" s="60"/>
      <c r="V13" s="32">
        <f>Tabla1[[#This Row],[TOT VENTA]]-Tabla1[[#This Row],[COSTO]]</f>
        <v>49.083182999999963</v>
      </c>
      <c r="W13" s="6">
        <f>Tabla1[[#This Row],[HOY]]*$T$2</f>
        <v>11.668800000000001</v>
      </c>
      <c r="X13" s="6">
        <f>Tabla1[[#This Row],[HOY]]+Tabla1[[#This Row],[IVA]]</f>
        <v>84.598800000000011</v>
      </c>
      <c r="Y13" s="41">
        <f>Tabla1[[#This Row],[TOTAL]]*B13*$C$2</f>
        <v>1453.4073840000001</v>
      </c>
      <c r="Z13" s="26">
        <v>2745</v>
      </c>
      <c r="AA13" s="29">
        <v>0.31</v>
      </c>
      <c r="AB13" s="32">
        <f>Tabla1[[#This Row],[PRECIO ML]]*(1-Tabla1[[#This Row],[DESCUENTO]])</f>
        <v>1894.05</v>
      </c>
      <c r="AC13" s="29">
        <v>0.19500000000000001</v>
      </c>
      <c r="AD13" s="26">
        <f>Tabla1[[#This Row],[PRECIO FINAL ML]]*Tabla1[[#This Row],[COMISIÓN ML]]</f>
        <v>369.33974999999998</v>
      </c>
      <c r="AE13" s="26"/>
      <c r="AF13" s="29">
        <v>2.2200000000000001E-2</v>
      </c>
      <c r="AG13" s="26">
        <f>(Tabla1[[#This Row],[PRECIO FINAL ML]]*Tabla1[[#This Row],[% ACOS]])/2</f>
        <v>21.023955000000001</v>
      </c>
      <c r="AH13" s="26">
        <f>Tabla1[[#This Row],[TOT COMISIÓN]]+Tabla1[[#This Row],[FIJO ML]]+Tabla1[[#This Row],[ACOS]]</f>
        <v>390.36370499999998</v>
      </c>
      <c r="AI13" s="26">
        <f t="shared" si="0"/>
        <v>1.1957279999999999</v>
      </c>
      <c r="AJ13" s="32">
        <f>Tabla1[[#This Row],[PRECIO FINAL ML]]-Tabla1[[#This Row],[DESCUENTO TOT]]-Tabla1[[#This Row],[ENVÍO]]</f>
        <v>1502.4905670000001</v>
      </c>
    </row>
    <row r="14" spans="1:38" ht="18" customHeight="1" x14ac:dyDescent="0.25">
      <c r="A14" s="139"/>
      <c r="B14" s="5">
        <v>1</v>
      </c>
      <c r="C14" s="2" t="s">
        <v>76</v>
      </c>
      <c r="D14" s="5" t="s">
        <v>194</v>
      </c>
      <c r="E14" s="5" t="s">
        <v>256</v>
      </c>
      <c r="F14" s="5" t="s">
        <v>266</v>
      </c>
      <c r="G14" s="5">
        <v>500</v>
      </c>
      <c r="H14" s="26">
        <v>122.56</v>
      </c>
      <c r="I14" s="26">
        <v>122.56</v>
      </c>
      <c r="J14" s="26">
        <f>Tabla1[[#This Row],[HOY]]-Tabla1[[#This Row],[AYER]]</f>
        <v>0</v>
      </c>
      <c r="K14" s="5">
        <v>80</v>
      </c>
      <c r="L14" s="54" t="s">
        <v>77</v>
      </c>
      <c r="M14" s="54"/>
      <c r="N14" s="53" t="s">
        <v>118</v>
      </c>
      <c r="O14" s="9" t="s">
        <v>132</v>
      </c>
      <c r="P14" s="9">
        <v>50</v>
      </c>
      <c r="Q14" s="5"/>
      <c r="R14" s="2"/>
      <c r="S14" s="11" t="str">
        <f>IF(B14="","",(IF((Tabla1[[#This Row],[STOCK]]-1)&lt;Tabla1[[#This Row],[INV MIN]],"PAUSAR!!!!","")))</f>
        <v/>
      </c>
      <c r="T14" s="44" t="str">
        <f>IF(Tabla1[[#This Row],[UTILIDAD]]&lt;0,"PÉRDIDA!!!","")</f>
        <v/>
      </c>
      <c r="U14" s="60"/>
      <c r="V14" s="32">
        <f>Tabla1[[#This Row],[TOT VENTA]]-Tabla1[[#This Row],[COSTO]]</f>
        <v>93.249858000000131</v>
      </c>
      <c r="W14" s="6">
        <f>Tabla1[[#This Row],[HOY]]*$T$2</f>
        <v>19.6096</v>
      </c>
      <c r="X14" s="6">
        <f>Tabla1[[#This Row],[HOY]]+Tabla1[[#This Row],[IVA]]</f>
        <v>142.1696</v>
      </c>
      <c r="Y14" s="41">
        <f>Tabla1[[#This Row],[TOTAL]]*B14*$C$2</f>
        <v>2442.4737279999999</v>
      </c>
      <c r="Z14" s="26">
        <v>4373.75</v>
      </c>
      <c r="AA14" s="29">
        <v>0.24</v>
      </c>
      <c r="AB14" s="32">
        <f>Tabla1[[#This Row],[PRECIO ML]]*(1-Tabla1[[#This Row],[DESCUENTO]])</f>
        <v>3324.05</v>
      </c>
      <c r="AC14" s="29">
        <v>0.19500000000000001</v>
      </c>
      <c r="AD14" s="26">
        <f>Tabla1[[#This Row],[PRECIO FINAL ML]]*Tabla1[[#This Row],[COMISIÓN ML]]</f>
        <v>648.18975</v>
      </c>
      <c r="AE14" s="26"/>
      <c r="AF14" s="29">
        <v>2.8799999999999999E-2</v>
      </c>
      <c r="AG14" s="26">
        <f>(Tabla1[[#This Row],[PRECIO FINAL ML]]*Tabla1[[#This Row],[% ACOS]])/2</f>
        <v>47.866320000000002</v>
      </c>
      <c r="AH14" s="26">
        <f>Tabla1[[#This Row],[TOT COMISIÓN]]+Tabla1[[#This Row],[FIJO ML]]+Tabla1[[#This Row],[ACOS]]</f>
        <v>696.05606999999998</v>
      </c>
      <c r="AI14" s="26">
        <f t="shared" ref="AI14:AI21" si="1">$AF$3*(1+$T$2)*$C$2</f>
        <v>92.27034399999998</v>
      </c>
      <c r="AJ14" s="32">
        <f>Tabla1[[#This Row],[PRECIO FINAL ML]]-Tabla1[[#This Row],[DESCUENTO TOT]]-Tabla1[[#This Row],[ENVÍO]]</f>
        <v>2535.7235860000001</v>
      </c>
    </row>
    <row r="15" spans="1:38" ht="18" customHeight="1" x14ac:dyDescent="0.25">
      <c r="A15" s="139"/>
      <c r="B15" s="5">
        <v>1</v>
      </c>
      <c r="C15" s="2" t="s">
        <v>78</v>
      </c>
      <c r="D15" s="5" t="s">
        <v>194</v>
      </c>
      <c r="E15" s="5" t="s">
        <v>257</v>
      </c>
      <c r="F15" s="5" t="s">
        <v>267</v>
      </c>
      <c r="G15" s="5">
        <v>500</v>
      </c>
      <c r="H15" s="26">
        <v>96.19</v>
      </c>
      <c r="I15" s="26">
        <v>96.19</v>
      </c>
      <c r="J15" s="26">
        <f>Tabla1[[#This Row],[HOY]]-Tabla1[[#This Row],[AYER]]</f>
        <v>0</v>
      </c>
      <c r="K15" s="5">
        <v>100</v>
      </c>
      <c r="L15" s="54" t="s">
        <v>79</v>
      </c>
      <c r="M15" s="54"/>
      <c r="N15" s="53" t="s">
        <v>119</v>
      </c>
      <c r="O15" s="9" t="s">
        <v>132</v>
      </c>
      <c r="P15" s="9">
        <v>50</v>
      </c>
      <c r="Q15" s="5"/>
      <c r="R15" s="2"/>
      <c r="S15" s="11" t="str">
        <f>IF(B15="","",(IF((Tabla1[[#This Row],[STOCK]]-1)&lt;Tabla1[[#This Row],[INV MIN]],"PAUSAR!!!!","")))</f>
        <v/>
      </c>
      <c r="T15" s="44" t="str">
        <f>IF(Tabla1[[#This Row],[UTILIDAD]]&lt;0,"PÉRDIDA!!!","")</f>
        <v/>
      </c>
      <c r="U15" s="60"/>
      <c r="V15" s="32">
        <f>Tabla1[[#This Row],[TOT VENTA]]-Tabla1[[#This Row],[COSTO]]</f>
        <v>135.15185808000001</v>
      </c>
      <c r="W15" s="6">
        <f>Tabla1[[#This Row],[HOY]]*$T$2</f>
        <v>15.3904</v>
      </c>
      <c r="X15" s="6">
        <f>Tabla1[[#This Row],[HOY]]+Tabla1[[#This Row],[IVA]]</f>
        <v>111.5804</v>
      </c>
      <c r="Y15" s="41">
        <f>Tabla1[[#This Row],[TOTAL]]*B15*$C$2</f>
        <v>1916.951272</v>
      </c>
      <c r="Z15" s="26">
        <v>3665.32</v>
      </c>
      <c r="AA15" s="29">
        <v>0.26</v>
      </c>
      <c r="AB15" s="32">
        <f>Tabla1[[#This Row],[PRECIO ML]]*(1-Tabla1[[#This Row],[DESCUENTO]])</f>
        <v>2712.3368</v>
      </c>
      <c r="AC15" s="29">
        <v>0.19500000000000001</v>
      </c>
      <c r="AD15" s="26">
        <f>Tabla1[[#This Row],[PRECIO FINAL ML]]*Tabla1[[#This Row],[COMISIÓN ML]]</f>
        <v>528.90567599999997</v>
      </c>
      <c r="AE15" s="26"/>
      <c r="AF15" s="29">
        <v>2.8799999999999999E-2</v>
      </c>
      <c r="AG15" s="26">
        <f>(Tabla1[[#This Row],[PRECIO FINAL ML]]*Tabla1[[#This Row],[% ACOS]])/2</f>
        <v>39.057649920000003</v>
      </c>
      <c r="AH15" s="26">
        <f>Tabla1[[#This Row],[TOT COMISIÓN]]+Tabla1[[#This Row],[FIJO ML]]+Tabla1[[#This Row],[ACOS]]</f>
        <v>567.96332591999999</v>
      </c>
      <c r="AI15" s="26">
        <f t="shared" si="1"/>
        <v>92.27034399999998</v>
      </c>
      <c r="AJ15" s="32">
        <f>Tabla1[[#This Row],[PRECIO FINAL ML]]-Tabla1[[#This Row],[DESCUENTO TOT]]-Tabla1[[#This Row],[ENVÍO]]</f>
        <v>2052.10313008</v>
      </c>
    </row>
    <row r="16" spans="1:38" ht="18" customHeight="1" x14ac:dyDescent="0.25">
      <c r="A16" s="139"/>
      <c r="B16" s="5">
        <v>1</v>
      </c>
      <c r="C16" s="2" t="s">
        <v>82</v>
      </c>
      <c r="D16" s="5" t="s">
        <v>194</v>
      </c>
      <c r="E16" s="5" t="s">
        <v>257</v>
      </c>
      <c r="F16" s="5" t="s">
        <v>268</v>
      </c>
      <c r="G16" s="5">
        <v>500</v>
      </c>
      <c r="H16" s="26">
        <v>102.14</v>
      </c>
      <c r="I16" s="26">
        <v>102.14</v>
      </c>
      <c r="J16" s="26">
        <f>Tabla1[[#This Row],[HOY]]-Tabla1[[#This Row],[AYER]]</f>
        <v>0</v>
      </c>
      <c r="K16" s="5">
        <v>100</v>
      </c>
      <c r="L16" s="54" t="s">
        <v>83</v>
      </c>
      <c r="M16" s="54"/>
      <c r="N16" s="53" t="s">
        <v>199</v>
      </c>
      <c r="O16" s="9" t="s">
        <v>132</v>
      </c>
      <c r="P16" s="9">
        <v>50</v>
      </c>
      <c r="Q16" s="5"/>
      <c r="R16" s="2"/>
      <c r="S16" s="11" t="str">
        <f>IF(B16="","",(IF((Tabla1[[#This Row],[STOCK]]-1)&lt;Tabla1[[#This Row],[INV MIN]],"PAUSAR!!!!","")))</f>
        <v/>
      </c>
      <c r="T16" s="44" t="str">
        <f>IF(Tabla1[[#This Row],[UTILIDAD]]&lt;0,"PÉRDIDA!!!","")</f>
        <v/>
      </c>
      <c r="U16" s="60"/>
      <c r="V16" s="32">
        <f>Tabla1[[#This Row],[TOT VENTA]]-Tabla1[[#This Row],[COSTO]]</f>
        <v>258.14388149999991</v>
      </c>
      <c r="W16" s="6">
        <f>Tabla1[[#This Row],[HOY]]*$T$2</f>
        <v>16.342400000000001</v>
      </c>
      <c r="X16" s="6">
        <f>Tabla1[[#This Row],[HOY]]+Tabla1[[#This Row],[IVA]]</f>
        <v>118.4824</v>
      </c>
      <c r="Y16" s="41">
        <f>Tabla1[[#This Row],[TOTAL]]*B16*$C$2</f>
        <v>2035.527632</v>
      </c>
      <c r="Z16" s="26">
        <v>4373.75</v>
      </c>
      <c r="AA16" s="29">
        <v>0.31</v>
      </c>
      <c r="AB16" s="32">
        <f>Tabla1[[#This Row],[PRECIO ML]]*(1-Tabla1[[#This Row],[DESCUENTO]])</f>
        <v>3017.8874999999998</v>
      </c>
      <c r="AC16" s="29">
        <v>0.19500000000000001</v>
      </c>
      <c r="AD16" s="26">
        <f>Tabla1[[#This Row],[PRECIO FINAL ML]]*Tabla1[[#This Row],[COMISIÓN ML]]</f>
        <v>588.48806249999996</v>
      </c>
      <c r="AE16" s="26"/>
      <c r="AF16" s="29">
        <v>2.8799999999999999E-2</v>
      </c>
      <c r="AG16" s="26">
        <f>(Tabla1[[#This Row],[PRECIO FINAL ML]]*Tabla1[[#This Row],[% ACOS]])/2</f>
        <v>43.457579999999993</v>
      </c>
      <c r="AH16" s="26">
        <f>Tabla1[[#This Row],[TOT COMISIÓN]]+Tabla1[[#This Row],[FIJO ML]]+Tabla1[[#This Row],[ACOS]]</f>
        <v>631.94564249999996</v>
      </c>
      <c r="AI16" s="26">
        <f t="shared" si="1"/>
        <v>92.27034399999998</v>
      </c>
      <c r="AJ16" s="32">
        <f>Tabla1[[#This Row],[PRECIO FINAL ML]]-Tabla1[[#This Row],[DESCUENTO TOT]]-Tabla1[[#This Row],[ENVÍO]]</f>
        <v>2293.6715134999999</v>
      </c>
    </row>
    <row r="17" spans="1:40" ht="18" customHeight="1" x14ac:dyDescent="0.25">
      <c r="A17" s="139"/>
      <c r="B17" s="5">
        <v>1</v>
      </c>
      <c r="C17" s="2" t="s">
        <v>80</v>
      </c>
      <c r="D17" s="5" t="s">
        <v>194</v>
      </c>
      <c r="E17" s="5" t="s">
        <v>258</v>
      </c>
      <c r="F17" s="5" t="s">
        <v>269</v>
      </c>
      <c r="G17" s="5">
        <v>500</v>
      </c>
      <c r="H17" s="26">
        <v>105.41</v>
      </c>
      <c r="I17" s="26">
        <v>105.41</v>
      </c>
      <c r="J17" s="26">
        <f>Tabla1[[#This Row],[HOY]]-Tabla1[[#This Row],[AYER]]</f>
        <v>0</v>
      </c>
      <c r="K17" s="5">
        <v>100</v>
      </c>
      <c r="L17" s="54" t="s">
        <v>81</v>
      </c>
      <c r="M17" s="54"/>
      <c r="N17" s="53" t="s">
        <v>120</v>
      </c>
      <c r="O17" s="9" t="s">
        <v>132</v>
      </c>
      <c r="P17" s="9">
        <v>50</v>
      </c>
      <c r="Q17" s="5"/>
      <c r="R17" s="2"/>
      <c r="S17" s="11" t="str">
        <f>IF(B17="","",(IF((Tabla1[[#This Row],[STOCK]]-1)&lt;Tabla1[[#This Row],[INV MIN]],"PAUSAR!!!!","")))</f>
        <v/>
      </c>
      <c r="T17" s="44" t="str">
        <f>IF(Tabla1[[#This Row],[UTILIDAD]]&lt;0,"PÉRDIDA!!!","")</f>
        <v/>
      </c>
      <c r="U17" s="60"/>
      <c r="V17" s="32">
        <f>Tabla1[[#This Row],[TOT VENTA]]-Tabla1[[#This Row],[COSTO]]</f>
        <v>192.97670550000021</v>
      </c>
      <c r="W17" s="6">
        <f>Tabla1[[#This Row],[HOY]]*$T$2</f>
        <v>16.865600000000001</v>
      </c>
      <c r="X17" s="6">
        <f>Tabla1[[#This Row],[HOY]]+Tabla1[[#This Row],[IVA]]</f>
        <v>122.2756</v>
      </c>
      <c r="Y17" s="41">
        <f>Tabla1[[#This Row],[TOTAL]]*B17*$C$2</f>
        <v>2100.6948079999997</v>
      </c>
      <c r="Z17" s="26">
        <v>4373.75</v>
      </c>
      <c r="AA17" s="29">
        <v>0.31</v>
      </c>
      <c r="AB17" s="32">
        <f>Tabla1[[#This Row],[PRECIO ML]]*(1-Tabla1[[#This Row],[DESCUENTO]])</f>
        <v>3017.8874999999998</v>
      </c>
      <c r="AC17" s="29">
        <v>0.19500000000000001</v>
      </c>
      <c r="AD17" s="26">
        <f>Tabla1[[#This Row],[PRECIO FINAL ML]]*Tabla1[[#This Row],[COMISIÓN ML]]</f>
        <v>588.48806249999996</v>
      </c>
      <c r="AE17" s="26"/>
      <c r="AF17" s="29">
        <v>2.8799999999999999E-2</v>
      </c>
      <c r="AG17" s="26">
        <f>(Tabla1[[#This Row],[PRECIO FINAL ML]]*Tabla1[[#This Row],[% ACOS]])/2</f>
        <v>43.457579999999993</v>
      </c>
      <c r="AH17" s="26">
        <f>Tabla1[[#This Row],[TOT COMISIÓN]]+Tabla1[[#This Row],[FIJO ML]]+Tabla1[[#This Row],[ACOS]]</f>
        <v>631.94564249999996</v>
      </c>
      <c r="AI17" s="26">
        <f t="shared" si="1"/>
        <v>92.27034399999998</v>
      </c>
      <c r="AJ17" s="32">
        <f>Tabla1[[#This Row],[PRECIO FINAL ML]]-Tabla1[[#This Row],[DESCUENTO TOT]]-Tabla1[[#This Row],[ENVÍO]]</f>
        <v>2293.6715134999999</v>
      </c>
    </row>
    <row r="18" spans="1:40" ht="18" customHeight="1" x14ac:dyDescent="0.25">
      <c r="A18" s="139"/>
      <c r="B18" s="5">
        <v>1</v>
      </c>
      <c r="C18" s="69" t="s">
        <v>38</v>
      </c>
      <c r="D18" s="70" t="s">
        <v>194</v>
      </c>
      <c r="E18" s="70"/>
      <c r="F18" s="70"/>
      <c r="G18" s="70">
        <v>0</v>
      </c>
      <c r="H18" s="79">
        <v>148.83000000000001</v>
      </c>
      <c r="I18" s="79">
        <v>148.83000000000001</v>
      </c>
      <c r="J18" s="79">
        <f>Tabla1[[#This Row],[HOY]]-Tabla1[[#This Row],[AYER]]</f>
        <v>0</v>
      </c>
      <c r="K18" s="70">
        <v>50</v>
      </c>
      <c r="L18" s="72" t="s">
        <v>40</v>
      </c>
      <c r="M18" s="72"/>
      <c r="N18" s="73" t="s">
        <v>39</v>
      </c>
      <c r="O18" s="70" t="s">
        <v>62</v>
      </c>
      <c r="P18" s="70"/>
      <c r="Q18" s="70" t="s">
        <v>15</v>
      </c>
      <c r="R18" s="69" t="s">
        <v>273</v>
      </c>
      <c r="S18" s="74" t="str">
        <f>IF(B18="","",(IF((Tabla1[[#This Row],[STOCK]]-1)&lt;Tabla1[[#This Row],[INV MIN]],"PAUSAR!!!!","")))</f>
        <v>PAUSAR!!!!</v>
      </c>
      <c r="T18" s="75" t="str">
        <f>IF(Tabla1[[#This Row],[UTILIDAD]]&lt;0,"PÉRDIDA!!!","")</f>
        <v/>
      </c>
      <c r="U18" s="76"/>
      <c r="V18" s="77">
        <f>Tabla1[[#This Row],[TOT VENTA]]-Tabla1[[#This Row],[COSTO]]</f>
        <v>325.49435199999971</v>
      </c>
      <c r="W18" s="71">
        <f>Tabla1[[#This Row],[HOY]]*$T$2</f>
        <v>23.812800000000003</v>
      </c>
      <c r="X18" s="71">
        <f>Tabla1[[#This Row],[HOY]]+Tabla1[[#This Row],[IVA]]</f>
        <v>172.64280000000002</v>
      </c>
      <c r="Y18" s="78">
        <f>Tabla1[[#This Row],[TOTAL]]*B18*$C$2</f>
        <v>2966.0033040000003</v>
      </c>
      <c r="Z18" s="79">
        <v>5350</v>
      </c>
      <c r="AA18" s="80">
        <v>0.2</v>
      </c>
      <c r="AB18" s="77">
        <f>Tabla1[[#This Row],[PRECIO ML]]*(1-Tabla1[[#This Row],[DESCUENTO]])</f>
        <v>4280</v>
      </c>
      <c r="AC18" s="80">
        <v>0.19500000000000001</v>
      </c>
      <c r="AD18" s="79">
        <f>Tabla1[[#This Row],[PRECIO FINAL ML]]*Tabla1[[#This Row],[COMISIÓN ML]]</f>
        <v>834.6</v>
      </c>
      <c r="AE18" s="79"/>
      <c r="AF18" s="80">
        <v>2.8799999999999999E-2</v>
      </c>
      <c r="AG18" s="79">
        <f>(Tabla1[[#This Row],[PRECIO FINAL ML]]*Tabla1[[#This Row],[% ACOS]])/2</f>
        <v>61.631999999999998</v>
      </c>
      <c r="AH18" s="79">
        <f>Tabla1[[#This Row],[TOT COMISIÓN]]+Tabla1[[#This Row],[FIJO ML]]+Tabla1[[#This Row],[ACOS]]</f>
        <v>896.23199999999997</v>
      </c>
      <c r="AI18" s="79">
        <f t="shared" si="1"/>
        <v>92.27034399999998</v>
      </c>
      <c r="AJ18" s="77">
        <f>Tabla1[[#This Row],[PRECIO FINAL ML]]-Tabla1[[#This Row],[DESCUENTO TOT]]-Tabla1[[#This Row],[ENVÍO]]</f>
        <v>3291.497656</v>
      </c>
    </row>
    <row r="19" spans="1:40" ht="18" customHeight="1" x14ac:dyDescent="0.25">
      <c r="A19" s="139"/>
      <c r="B19" s="5">
        <v>1</v>
      </c>
      <c r="C19" s="2" t="s">
        <v>7</v>
      </c>
      <c r="D19" s="5" t="s">
        <v>194</v>
      </c>
      <c r="E19" s="5" t="s">
        <v>271</v>
      </c>
      <c r="F19" s="5" t="s">
        <v>270</v>
      </c>
      <c r="G19" s="5">
        <v>0</v>
      </c>
      <c r="H19" s="26">
        <v>174.52</v>
      </c>
      <c r="I19" s="26">
        <v>174.52</v>
      </c>
      <c r="J19" s="26">
        <f>Tabla1[[#This Row],[HOY]]-Tabla1[[#This Row],[AYER]]</f>
        <v>0</v>
      </c>
      <c r="K19" s="5">
        <v>80</v>
      </c>
      <c r="L19" s="54" t="s">
        <v>59</v>
      </c>
      <c r="M19" s="54"/>
      <c r="N19" s="53" t="s">
        <v>8</v>
      </c>
      <c r="O19" s="8" t="s">
        <v>62</v>
      </c>
      <c r="P19" s="8"/>
      <c r="Q19" s="5" t="s">
        <v>15</v>
      </c>
      <c r="R19" s="2"/>
      <c r="S19" s="11" t="str">
        <f>IF(B19="","",(IF((Tabla1[[#This Row],[STOCK]]-1)&lt;Tabla1[[#This Row],[INV MIN]],"PAUSAR!!!!","")))</f>
        <v>PAUSAR!!!!</v>
      </c>
      <c r="T19" s="44" t="str">
        <f>IF(Tabla1[[#This Row],[UTILIDAD]]&lt;0,"PÉRDIDA!!!","")</f>
        <v>PÉRDIDA!!!</v>
      </c>
      <c r="U19" s="60"/>
      <c r="V19" s="32">
        <f>Tabla1[[#This Row],[TOT VENTA]]-Tabla1[[#This Row],[COSTO]]</f>
        <v>-745.87345600000026</v>
      </c>
      <c r="W19" s="6">
        <f>Tabla1[[#This Row],[HOY]]*$T$2</f>
        <v>27.923200000000001</v>
      </c>
      <c r="X19" s="6">
        <f>Tabla1[[#This Row],[HOY]]+Tabla1[[#This Row],[IVA]]</f>
        <v>202.44320000000002</v>
      </c>
      <c r="Y19" s="41">
        <f>Tabla1[[#This Row],[TOTAL]]*B19*$C$2</f>
        <v>3477.9741760000002</v>
      </c>
      <c r="Z19" s="26">
        <v>5332</v>
      </c>
      <c r="AA19" s="29">
        <v>0.33</v>
      </c>
      <c r="AB19" s="32">
        <f>Tabla1[[#This Row],[PRECIO ML]]*(1-Tabla1[[#This Row],[DESCUENTO]])</f>
        <v>3572.4399999999996</v>
      </c>
      <c r="AC19" s="29">
        <v>0.19500000000000001</v>
      </c>
      <c r="AD19" s="26">
        <f>Tabla1[[#This Row],[PRECIO FINAL ML]]*Tabla1[[#This Row],[COMISIÓN ML]]</f>
        <v>696.62579999999991</v>
      </c>
      <c r="AE19" s="26"/>
      <c r="AF19" s="29">
        <v>2.8799999999999999E-2</v>
      </c>
      <c r="AG19" s="26">
        <f>(Tabla1[[#This Row],[PRECIO FINAL ML]]*Tabla1[[#This Row],[% ACOS]])/2</f>
        <v>51.443135999999996</v>
      </c>
      <c r="AH19" s="26">
        <f>Tabla1[[#This Row],[TOT COMISIÓN]]+Tabla1[[#This Row],[FIJO ML]]+Tabla1[[#This Row],[ACOS]]</f>
        <v>748.06893599999989</v>
      </c>
      <c r="AI19" s="26">
        <f t="shared" si="1"/>
        <v>92.27034399999998</v>
      </c>
      <c r="AJ19" s="32">
        <f>Tabla1[[#This Row],[PRECIO FINAL ML]]-Tabla1[[#This Row],[DESCUENTO TOT]]-Tabla1[[#This Row],[ENVÍO]]</f>
        <v>2732.1007199999999</v>
      </c>
    </row>
    <row r="20" spans="1:40" ht="18" customHeight="1" x14ac:dyDescent="0.25">
      <c r="A20" s="139"/>
      <c r="B20" s="5">
        <v>1</v>
      </c>
      <c r="C20" s="2" t="s">
        <v>84</v>
      </c>
      <c r="D20" s="5" t="s">
        <v>194</v>
      </c>
      <c r="E20" s="5" t="s">
        <v>258</v>
      </c>
      <c r="F20" s="5" t="s">
        <v>272</v>
      </c>
      <c r="G20" s="5">
        <v>500</v>
      </c>
      <c r="H20" s="26">
        <v>127.17</v>
      </c>
      <c r="I20" s="26">
        <v>127.17</v>
      </c>
      <c r="J20" s="26">
        <f>Tabla1[[#This Row],[HOY]]-Tabla1[[#This Row],[AYER]]</f>
        <v>0</v>
      </c>
      <c r="K20" s="5">
        <v>80</v>
      </c>
      <c r="L20" s="54" t="s">
        <v>85</v>
      </c>
      <c r="M20" s="54"/>
      <c r="N20" s="53" t="s">
        <v>200</v>
      </c>
      <c r="O20" s="9" t="s">
        <v>132</v>
      </c>
      <c r="P20" s="9">
        <v>50</v>
      </c>
      <c r="Q20" s="5"/>
      <c r="R20" s="2"/>
      <c r="S20" s="11" t="str">
        <f>IF(B20="","",(IF((Tabla1[[#This Row],[STOCK]]-1)&lt;Tabla1[[#This Row],[INV MIN]],"PAUSAR!!!!","")))</f>
        <v/>
      </c>
      <c r="T20" s="44" t="str">
        <f>IF(Tabla1[[#This Row],[UTILIDAD]]&lt;0,"PÉRDIDA!!!","")</f>
        <v/>
      </c>
      <c r="U20" s="60"/>
      <c r="V20" s="32">
        <f>Tabla1[[#This Row],[TOT VENTA]]-Tabla1[[#This Row],[COSTO]]</f>
        <v>604.58936645999984</v>
      </c>
      <c r="W20" s="6">
        <f>Tabla1[[#This Row],[HOY]]*$T$2</f>
        <v>20.347200000000001</v>
      </c>
      <c r="X20" s="6">
        <f>Tabla1[[#This Row],[HOY]]+Tabla1[[#This Row],[IVA]]</f>
        <v>147.5172</v>
      </c>
      <c r="Y20" s="41">
        <f>Tabla1[[#This Row],[TOTAL]]*B20*$C$2</f>
        <v>2534.3454959999999</v>
      </c>
      <c r="Z20" s="26">
        <v>5598.67</v>
      </c>
      <c r="AA20" s="29">
        <v>0.27</v>
      </c>
      <c r="AB20" s="32">
        <f>Tabla1[[#This Row],[PRECIO ML]]*(1-Tabla1[[#This Row],[DESCUENTO]])</f>
        <v>4087.0290999999997</v>
      </c>
      <c r="AC20" s="29">
        <v>0.19500000000000001</v>
      </c>
      <c r="AD20" s="26">
        <f>Tabla1[[#This Row],[PRECIO FINAL ML]]*Tabla1[[#This Row],[COMISIÓN ML]]</f>
        <v>796.97067449999997</v>
      </c>
      <c r="AE20" s="26"/>
      <c r="AF20" s="29">
        <v>2.8799999999999999E-2</v>
      </c>
      <c r="AG20" s="26">
        <f>(Tabla1[[#This Row],[PRECIO FINAL ML]]*Tabla1[[#This Row],[% ACOS]])/2</f>
        <v>58.853219039999992</v>
      </c>
      <c r="AH20" s="26">
        <f>Tabla1[[#This Row],[TOT COMISIÓN]]+Tabla1[[#This Row],[FIJO ML]]+Tabla1[[#This Row],[ACOS]]</f>
        <v>855.82389353999997</v>
      </c>
      <c r="AI20" s="26">
        <f t="shared" si="1"/>
        <v>92.27034399999998</v>
      </c>
      <c r="AJ20" s="32">
        <f>Tabla1[[#This Row],[PRECIO FINAL ML]]-Tabla1[[#This Row],[DESCUENTO TOT]]-Tabla1[[#This Row],[ENVÍO]]</f>
        <v>3138.9348624599997</v>
      </c>
    </row>
    <row r="21" spans="1:40" ht="18" customHeight="1" x14ac:dyDescent="0.25">
      <c r="A21" s="140"/>
      <c r="B21" s="5">
        <v>1</v>
      </c>
      <c r="C21" s="69" t="s">
        <v>41</v>
      </c>
      <c r="D21" s="70" t="s">
        <v>194</v>
      </c>
      <c r="E21" s="70"/>
      <c r="F21" s="70"/>
      <c r="G21" s="70">
        <v>1</v>
      </c>
      <c r="H21" s="79">
        <v>304.08999999999997</v>
      </c>
      <c r="I21" s="79">
        <v>304.08999999999997</v>
      </c>
      <c r="J21" s="79">
        <f>Tabla1[[#This Row],[HOY]]-Tabla1[[#This Row],[AYER]]</f>
        <v>0</v>
      </c>
      <c r="K21" s="70">
        <v>80</v>
      </c>
      <c r="L21" s="72" t="s">
        <v>42</v>
      </c>
      <c r="M21" s="72"/>
      <c r="N21" s="81" t="s">
        <v>43</v>
      </c>
      <c r="O21" s="70" t="s">
        <v>62</v>
      </c>
      <c r="P21" s="70"/>
      <c r="Q21" s="70" t="s">
        <v>15</v>
      </c>
      <c r="R21" s="69" t="s">
        <v>273</v>
      </c>
      <c r="S21" s="74" t="str">
        <f>IF(B21="","",(IF((Tabla1[[#This Row],[STOCK]]-1)&lt;Tabla1[[#This Row],[INV MIN]],"PAUSAR!!!!","")))</f>
        <v>PAUSAR!!!!</v>
      </c>
      <c r="T21" s="75" t="str">
        <f>IF(Tabla1[[#This Row],[UTILIDAD]]&lt;0,"PÉRDIDA!!!","")</f>
        <v>PÉRDIDA!!!</v>
      </c>
      <c r="U21" s="76"/>
      <c r="V21" s="77">
        <f>Tabla1[[#This Row],[TOT VENTA]]-Tabla1[[#This Row],[COSTO]]</f>
        <v>-1732.0164159999995</v>
      </c>
      <c r="W21" s="71">
        <f>Tabla1[[#This Row],[HOY]]*$T$2</f>
        <v>48.654399999999995</v>
      </c>
      <c r="X21" s="71">
        <f>Tabla1[[#This Row],[HOY]]+Tabla1[[#This Row],[IVA]]</f>
        <v>352.74439999999998</v>
      </c>
      <c r="Y21" s="78">
        <f>Tabla1[[#This Row],[TOTAL]]*B21*$C$2</f>
        <v>6060.148792</v>
      </c>
      <c r="Z21" s="79">
        <v>6989</v>
      </c>
      <c r="AA21" s="80">
        <v>0.2</v>
      </c>
      <c r="AB21" s="77">
        <f>Tabla1[[#This Row],[PRECIO ML]]*(1-Tabla1[[#This Row],[DESCUENTO]])</f>
        <v>5591.2000000000007</v>
      </c>
      <c r="AC21" s="80">
        <v>0.19500000000000001</v>
      </c>
      <c r="AD21" s="79">
        <f>Tabla1[[#This Row],[PRECIO FINAL ML]]*Tabla1[[#This Row],[COMISIÓN ML]]</f>
        <v>1090.2840000000001</v>
      </c>
      <c r="AE21" s="79"/>
      <c r="AF21" s="80">
        <v>2.8799999999999999E-2</v>
      </c>
      <c r="AG21" s="79">
        <f>(Tabla1[[#This Row],[PRECIO FINAL ML]]*Tabla1[[#This Row],[% ACOS]])/2</f>
        <v>80.513280000000009</v>
      </c>
      <c r="AH21" s="79">
        <f>Tabla1[[#This Row],[TOT COMISIÓN]]+Tabla1[[#This Row],[FIJO ML]]+Tabla1[[#This Row],[ACOS]]</f>
        <v>1170.7972800000002</v>
      </c>
      <c r="AI21" s="79">
        <f t="shared" si="1"/>
        <v>92.27034399999998</v>
      </c>
      <c r="AJ21" s="77">
        <f>Tabla1[[#This Row],[PRECIO FINAL ML]]-Tabla1[[#This Row],[DESCUENTO TOT]]-Tabla1[[#This Row],[ENVÍO]]</f>
        <v>4328.1323760000005</v>
      </c>
    </row>
    <row r="22" spans="1:40" ht="18" customHeight="1" x14ac:dyDescent="0.25">
      <c r="A22" s="3"/>
      <c r="G22" s="3"/>
      <c r="H22" s="24"/>
      <c r="I22" s="24"/>
      <c r="J22" s="24"/>
      <c r="K22" s="3"/>
      <c r="L22" s="4"/>
      <c r="M22" s="4"/>
      <c r="N22" s="13"/>
      <c r="O22" s="3"/>
      <c r="P22" s="3"/>
      <c r="Q22" s="3"/>
      <c r="R22" s="4"/>
      <c r="S22" s="3"/>
      <c r="T22" s="43" t="str">
        <f>IF(Tabla1[[#This Row],[UTILIDAD]]&lt;0,"PÉRDIDA!!!","")</f>
        <v/>
      </c>
      <c r="U22" s="58"/>
      <c r="V22" s="36"/>
      <c r="W22" s="7"/>
      <c r="X22" s="7"/>
      <c r="Y22" s="42"/>
      <c r="Z22" s="7"/>
      <c r="AA22" s="7"/>
      <c r="AB22" s="7"/>
      <c r="AC22" s="27"/>
      <c r="AD22" s="24"/>
      <c r="AF22" s="27"/>
      <c r="AG22" s="24"/>
      <c r="AH22" s="24"/>
      <c r="AI22" s="24"/>
      <c r="AJ22" s="36"/>
      <c r="AK22" s="7"/>
      <c r="AL22" s="7"/>
      <c r="AM22" s="7"/>
      <c r="AN22" s="7"/>
    </row>
    <row r="23" spans="1:40" ht="18" customHeight="1" x14ac:dyDescent="0.25">
      <c r="A23" s="3"/>
      <c r="G23" s="3"/>
      <c r="H23" s="24"/>
      <c r="I23" s="24"/>
      <c r="J23" s="24"/>
      <c r="K23" s="3"/>
      <c r="L23" s="4"/>
      <c r="M23" s="4"/>
      <c r="N23" s="13"/>
      <c r="O23" s="3"/>
      <c r="P23" s="3"/>
      <c r="Q23" s="3"/>
      <c r="R23" s="4"/>
      <c r="S23" s="4"/>
      <c r="T23" s="43" t="str">
        <f>IF(Tabla1[[#This Row],[UTILIDAD]]&lt;0,"PÉRDIDA!!!","")</f>
        <v/>
      </c>
      <c r="U23" s="58"/>
      <c r="V23" s="36"/>
      <c r="W23" s="7"/>
      <c r="X23" s="7"/>
      <c r="Y23" s="42"/>
      <c r="Z23" s="7"/>
      <c r="AA23" s="7"/>
      <c r="AB23" s="7"/>
      <c r="AC23" s="27"/>
      <c r="AD23" s="24"/>
      <c r="AF23" s="27"/>
      <c r="AG23" s="24"/>
      <c r="AH23" s="24"/>
      <c r="AI23" s="24"/>
      <c r="AJ23" s="36"/>
      <c r="AK23" s="7"/>
      <c r="AL23" s="7"/>
      <c r="AM23" s="7"/>
      <c r="AN23" s="7"/>
    </row>
    <row r="24" spans="1:40" ht="18" customHeight="1" x14ac:dyDescent="0.25">
      <c r="A24" s="134" t="s">
        <v>163</v>
      </c>
      <c r="B24" s="5">
        <v>1</v>
      </c>
      <c r="C24" s="2" t="s">
        <v>86</v>
      </c>
      <c r="D24" s="5" t="s">
        <v>194</v>
      </c>
      <c r="E24" s="5" t="s">
        <v>275</v>
      </c>
      <c r="F24" s="5" t="s">
        <v>274</v>
      </c>
      <c r="G24" s="5">
        <v>500</v>
      </c>
      <c r="H24" s="26">
        <v>11.93</v>
      </c>
      <c r="I24" s="26">
        <v>11.93</v>
      </c>
      <c r="J24" s="26">
        <f>Tabla1[[#This Row],[HOY]]-Tabla1[[#This Row],[AYER]]</f>
        <v>0</v>
      </c>
      <c r="K24" s="5">
        <v>50</v>
      </c>
      <c r="L24" s="54" t="s">
        <v>87</v>
      </c>
      <c r="M24" s="54"/>
      <c r="N24" s="53" t="s">
        <v>121</v>
      </c>
      <c r="O24" s="9" t="s">
        <v>132</v>
      </c>
      <c r="P24" s="9">
        <v>12</v>
      </c>
      <c r="Q24" s="5"/>
      <c r="R24" s="2"/>
      <c r="S24" s="11" t="str">
        <f>IF(B24="","",(IF((Tabla1[[#This Row],[STOCK]]-1)&lt;Tabla1[[#This Row],[INV MIN]],"PAUSAR!!!!","")))</f>
        <v/>
      </c>
      <c r="T24" s="44" t="str">
        <f>IF(Tabla1[[#This Row],[UTILIDAD]]&lt;0,"PÉRDIDA!!!","")</f>
        <v/>
      </c>
      <c r="U24" s="60"/>
      <c r="V24" s="32">
        <f>Tabla1[[#This Row],[TOT VENTA]]-Tabla1[[#This Row],[COSTO]]</f>
        <v>36.862438000000083</v>
      </c>
      <c r="W24" s="6">
        <f>Tabla1[[#This Row],[HOY]]*$T$2</f>
        <v>1.9088000000000001</v>
      </c>
      <c r="X24" s="6">
        <f>Tabla1[[#This Row],[HOY]]+Tabla1[[#This Row],[IVA]]</f>
        <v>13.838799999999999</v>
      </c>
      <c r="Y24" s="41">
        <f>Tabla1[[#This Row],[TOTAL]]*B24*$C$2</f>
        <v>237.75058399999998</v>
      </c>
      <c r="Z24" s="26">
        <v>498.75</v>
      </c>
      <c r="AA24" s="29">
        <v>0.3</v>
      </c>
      <c r="AB24" s="32">
        <f>Tabla1[[#This Row],[PRECIO ML]]*(1-Tabla1[[#This Row],[DESCUENTO]])</f>
        <v>349.125</v>
      </c>
      <c r="AC24" s="29">
        <v>0.19500000000000001</v>
      </c>
      <c r="AD24" s="26">
        <f>Tabla1[[#This Row],[PRECIO FINAL ML]]*Tabla1[[#This Row],[COMISIÓN ML]]</f>
        <v>68.079374999999999</v>
      </c>
      <c r="AE24" s="26"/>
      <c r="AF24" s="29">
        <v>0.03</v>
      </c>
      <c r="AG24" s="26">
        <f>(Tabla1[[#This Row],[PRECIO FINAL ML]]*Tabla1[[#This Row],[% ACOS]])/2</f>
        <v>5.2368749999999995</v>
      </c>
      <c r="AH24" s="26">
        <f>Tabla1[[#This Row],[TOT COMISIÓN]]+Tabla1[[#This Row],[FIJO ML]]+Tabla1[[#This Row],[ACOS]]</f>
        <v>73.316249999999997</v>
      </c>
      <c r="AI24" s="26">
        <f>$AF$2*(1+$T$2)*$C$2</f>
        <v>1.1957279999999999</v>
      </c>
      <c r="AJ24" s="32">
        <f>Tabla1[[#This Row],[PRECIO FINAL ML]]-Tabla1[[#This Row],[DESCUENTO TOT]]-Tabla1[[#This Row],[ENVÍO]]</f>
        <v>274.61302200000006</v>
      </c>
    </row>
    <row r="25" spans="1:40" ht="18" customHeight="1" x14ac:dyDescent="0.25">
      <c r="A25" s="135"/>
      <c r="B25" s="5">
        <v>1</v>
      </c>
      <c r="C25" s="2" t="s">
        <v>500</v>
      </c>
      <c r="D25" s="5" t="s">
        <v>194</v>
      </c>
      <c r="E25" s="5" t="s">
        <v>275</v>
      </c>
      <c r="F25" s="5" t="s">
        <v>502</v>
      </c>
      <c r="G25" s="5">
        <v>216</v>
      </c>
      <c r="H25" s="26">
        <v>14.63</v>
      </c>
      <c r="I25" s="26">
        <v>14.63</v>
      </c>
      <c r="J25" s="26">
        <f>Tabla1[[#This Row],[AYER]]-Tabla1[[#This Row],[HOY]]</f>
        <v>0</v>
      </c>
      <c r="K25" s="5">
        <v>50</v>
      </c>
      <c r="L25" s="54" t="s">
        <v>504</v>
      </c>
      <c r="M25" s="82"/>
      <c r="N25" s="68" t="s">
        <v>506</v>
      </c>
      <c r="O25" s="9" t="s">
        <v>132</v>
      </c>
      <c r="P25" s="9">
        <v>12</v>
      </c>
      <c r="Q25" s="5"/>
      <c r="R25" s="2"/>
      <c r="S25" s="11" t="str">
        <f>IF(B25="","",(IF((Tabla1[[#This Row],[STOCK]]-1)&lt;Tabla1[[#This Row],[INV MIN]],"PAUSAR!!!!","")))</f>
        <v/>
      </c>
      <c r="T25" s="44" t="str">
        <f>IF(Tabla1[[#This Row],[UTILIDAD]]&lt;0,"PÉRDIDA!!!","")</f>
        <v/>
      </c>
      <c r="U25" s="60"/>
      <c r="V25" s="32">
        <f>Tabla1[[#This Row],[TOT VENTA]]-Tabla1[[#This Row],[COSTO]]</f>
        <v>38.354678000000035</v>
      </c>
      <c r="W25" s="6">
        <f>Tabla1[[#This Row],[HOY]]*$T$2</f>
        <v>2.3408000000000002</v>
      </c>
      <c r="X25" s="6">
        <f>Tabla1[[#This Row],[HOY]]+Tabla1[[#This Row],[IVA]]</f>
        <v>16.970800000000001</v>
      </c>
      <c r="Y25" s="41">
        <f>Tabla1[[#This Row],[TOTAL]]*B25*$C$2</f>
        <v>291.55834399999998</v>
      </c>
      <c r="Z25" s="26">
        <v>598.75</v>
      </c>
      <c r="AA25" s="29">
        <v>0.3</v>
      </c>
      <c r="AB25" s="32">
        <f>Tabla1[[#This Row],[PRECIO ML]]*(1-Tabla1[[#This Row],[DESCUENTO]])</f>
        <v>419.125</v>
      </c>
      <c r="AC25" s="29">
        <v>0.19500000000000001</v>
      </c>
      <c r="AD25" s="26">
        <f>Tabla1[[#This Row],[PRECIO FINAL ML]]*Tabla1[[#This Row],[COMISIÓN ML]]</f>
        <v>81.729375000000005</v>
      </c>
      <c r="AE25" s="26"/>
      <c r="AF25" s="29">
        <v>0.03</v>
      </c>
      <c r="AG25" s="26">
        <f>(Tabla1[[#This Row],[PRECIO FINAL ML]]*Tabla1[[#This Row],[% ACOS]])/2</f>
        <v>6.2868749999999993</v>
      </c>
      <c r="AH25" s="26">
        <f>Tabla1[[#This Row],[TOT COMISIÓN]]+Tabla1[[#This Row],[FIJO ML]]+Tabla1[[#This Row],[ACOS]]</f>
        <v>88.016249999999999</v>
      </c>
      <c r="AI25" s="26">
        <f t="shared" ref="AI25:AI29" si="2">$AF$2*(1+$T$2)*$C$2</f>
        <v>1.1957279999999999</v>
      </c>
      <c r="AJ25" s="32">
        <f>Tabla1[[#This Row],[PRECIO FINAL ML]]-Tabla1[[#This Row],[DESCUENTO TOT]]-Tabla1[[#This Row],[ENVÍO]]</f>
        <v>329.91302200000001</v>
      </c>
    </row>
    <row r="26" spans="1:40" ht="18" customHeight="1" x14ac:dyDescent="0.25">
      <c r="A26" s="135"/>
      <c r="B26" s="5">
        <v>1</v>
      </c>
      <c r="C26" s="2" t="s">
        <v>501</v>
      </c>
      <c r="D26" s="5" t="s">
        <v>194</v>
      </c>
      <c r="E26" s="5" t="s">
        <v>275</v>
      </c>
      <c r="F26" s="5" t="s">
        <v>503</v>
      </c>
      <c r="G26" s="5">
        <v>500</v>
      </c>
      <c r="H26" s="26">
        <v>22.6</v>
      </c>
      <c r="I26" s="26">
        <v>22.6</v>
      </c>
      <c r="J26" s="26">
        <f>Tabla1[[#This Row],[AYER]]-Tabla1[[#This Row],[HOY]]</f>
        <v>0</v>
      </c>
      <c r="K26" s="5">
        <v>50</v>
      </c>
      <c r="L26" s="54" t="s">
        <v>505</v>
      </c>
      <c r="M26" s="82"/>
      <c r="N26" s="68" t="s">
        <v>507</v>
      </c>
      <c r="O26" s="9" t="s">
        <v>132</v>
      </c>
      <c r="P26" s="9">
        <v>12</v>
      </c>
      <c r="Q26" s="5"/>
      <c r="R26" s="2"/>
      <c r="S26" s="11" t="str">
        <f>IF(B26="","",(IF((Tabla1[[#This Row],[STOCK]]-1)&lt;Tabla1[[#This Row],[INV MIN]],"PAUSAR!!!!","")))</f>
        <v/>
      </c>
      <c r="T26" s="44" t="str">
        <f>IF(Tabla1[[#This Row],[UTILIDAD]]&lt;0,"PÉRDIDA!!!","")</f>
        <v/>
      </c>
      <c r="U26" s="60"/>
      <c r="V26" s="32">
        <f>Tabla1[[#This Row],[TOT VENTA]]-Tabla1[[#This Row],[COSTO]]</f>
        <v>58.585517000000038</v>
      </c>
      <c r="W26" s="6">
        <f>Tabla1[[#This Row],[HOY]]*$T$2</f>
        <v>3.6160000000000001</v>
      </c>
      <c r="X26" s="6">
        <f>Tabla1[[#This Row],[HOY]]+Tabla1[[#This Row],[IVA]]</f>
        <v>26.216000000000001</v>
      </c>
      <c r="Y26" s="41">
        <f>Tabla1[[#This Row],[TOTAL]]*B26*$C$2</f>
        <v>450.39088000000004</v>
      </c>
      <c r="Z26" s="26">
        <v>759.75</v>
      </c>
      <c r="AA26" s="29">
        <v>0.15</v>
      </c>
      <c r="AB26" s="32">
        <f>Tabla1[[#This Row],[PRECIO ML]]*(1-Tabla1[[#This Row],[DESCUENTO]])</f>
        <v>645.78750000000002</v>
      </c>
      <c r="AC26" s="29">
        <v>0.19500000000000001</v>
      </c>
      <c r="AD26" s="26">
        <f>Tabla1[[#This Row],[PRECIO FINAL ML]]*Tabla1[[#This Row],[COMISIÓN ML]]</f>
        <v>125.92856250000001</v>
      </c>
      <c r="AE26" s="26"/>
      <c r="AF26" s="29">
        <v>0.03</v>
      </c>
      <c r="AG26" s="26">
        <f>(Tabla1[[#This Row],[PRECIO FINAL ML]]*Tabla1[[#This Row],[% ACOS]])/2</f>
        <v>9.6868125000000003</v>
      </c>
      <c r="AH26" s="26">
        <f>Tabla1[[#This Row],[TOT COMISIÓN]]+Tabla1[[#This Row],[FIJO ML]]+Tabla1[[#This Row],[ACOS]]</f>
        <v>135.615375</v>
      </c>
      <c r="AI26" s="26">
        <f t="shared" si="2"/>
        <v>1.1957279999999999</v>
      </c>
      <c r="AJ26" s="32">
        <f>Tabla1[[#This Row],[PRECIO FINAL ML]]-Tabla1[[#This Row],[DESCUENTO TOT]]-Tabla1[[#This Row],[ENVÍO]]</f>
        <v>508.97639700000008</v>
      </c>
    </row>
    <row r="27" spans="1:40" ht="18" customHeight="1" x14ac:dyDescent="0.25">
      <c r="A27" s="135"/>
      <c r="B27" s="5">
        <v>1</v>
      </c>
      <c r="C27" s="2" t="s">
        <v>508</v>
      </c>
      <c r="D27" s="5" t="s">
        <v>194</v>
      </c>
      <c r="E27" s="5" t="s">
        <v>275</v>
      </c>
      <c r="F27" s="5" t="s">
        <v>511</v>
      </c>
      <c r="G27" s="5">
        <v>500</v>
      </c>
      <c r="H27" s="26">
        <v>16.97</v>
      </c>
      <c r="I27" s="26">
        <v>16.97</v>
      </c>
      <c r="J27" s="26">
        <f>Tabla1[[#This Row],[AYER]]-Tabla1[[#This Row],[HOY]]</f>
        <v>0</v>
      </c>
      <c r="K27" s="5">
        <v>50</v>
      </c>
      <c r="L27" s="54" t="s">
        <v>514</v>
      </c>
      <c r="M27" s="82"/>
      <c r="N27" s="53" t="s">
        <v>517</v>
      </c>
      <c r="O27" s="9" t="s">
        <v>132</v>
      </c>
      <c r="P27" s="9">
        <v>12</v>
      </c>
      <c r="Q27" s="5"/>
      <c r="R27" s="2"/>
      <c r="S27" s="11" t="str">
        <f>IF(B27="","",(IF((Tabla1[[#This Row],[STOCK]]-1)&lt;Tabla1[[#This Row],[INV MIN]],"PAUSAR!!!!","")))</f>
        <v/>
      </c>
      <c r="T27" s="44" t="str">
        <f>IF(Tabla1[[#This Row],[UTILIDAD]]&lt;0,"PÉRDIDA!!!","")</f>
        <v/>
      </c>
      <c r="U27" s="60"/>
      <c r="V27" s="32">
        <f>Tabla1[[#This Row],[TOT VENTA]]-Tabla1[[#This Row],[COSTO]]</f>
        <v>47.159536000000003</v>
      </c>
      <c r="W27" s="6">
        <f>Tabla1[[#This Row],[HOY]]*$T$2</f>
        <v>2.7151999999999998</v>
      </c>
      <c r="X27" s="6">
        <f>Tabla1[[#This Row],[HOY]]+Tabla1[[#This Row],[IVA]]</f>
        <v>19.685199999999998</v>
      </c>
      <c r="Y27" s="41">
        <f>Tabla1[[#This Row],[TOTAL]]*B27*$C$2</f>
        <v>338.19173599999999</v>
      </c>
      <c r="Z27" s="26">
        <v>699</v>
      </c>
      <c r="AA27" s="29">
        <v>0.3</v>
      </c>
      <c r="AB27" s="32">
        <f>Tabla1[[#This Row],[PRECIO ML]]*(1-Tabla1[[#This Row],[DESCUENTO]])</f>
        <v>489.29999999999995</v>
      </c>
      <c r="AC27" s="29">
        <v>0.19500000000000001</v>
      </c>
      <c r="AD27" s="26">
        <f>Tabla1[[#This Row],[PRECIO FINAL ML]]*Tabla1[[#This Row],[COMISIÓN ML]]</f>
        <v>95.413499999999999</v>
      </c>
      <c r="AE27" s="26"/>
      <c r="AF27" s="29">
        <v>0.03</v>
      </c>
      <c r="AG27" s="26">
        <f>(Tabla1[[#This Row],[PRECIO FINAL ML]]*Tabla1[[#This Row],[% ACOS]])/2</f>
        <v>7.3394999999999992</v>
      </c>
      <c r="AH27" s="26">
        <f>Tabla1[[#This Row],[TOT COMISIÓN]]+Tabla1[[#This Row],[FIJO ML]]+Tabla1[[#This Row],[ACOS]]</f>
        <v>102.753</v>
      </c>
      <c r="AI27" s="26">
        <f t="shared" si="2"/>
        <v>1.1957279999999999</v>
      </c>
      <c r="AJ27" s="32">
        <f>Tabla1[[#This Row],[PRECIO FINAL ML]]-Tabla1[[#This Row],[DESCUENTO TOT]]-Tabla1[[#This Row],[ENVÍO]]</f>
        <v>385.35127199999999</v>
      </c>
    </row>
    <row r="28" spans="1:40" ht="18" customHeight="1" x14ac:dyDescent="0.25">
      <c r="A28" s="135"/>
      <c r="B28" s="5">
        <v>1</v>
      </c>
      <c r="C28" s="2" t="s">
        <v>509</v>
      </c>
      <c r="D28" s="5" t="s">
        <v>194</v>
      </c>
      <c r="E28" s="5" t="s">
        <v>275</v>
      </c>
      <c r="F28" s="5" t="s">
        <v>512</v>
      </c>
      <c r="G28" s="5">
        <v>6</v>
      </c>
      <c r="H28" s="26">
        <v>25.65</v>
      </c>
      <c r="I28" s="26">
        <v>25.65</v>
      </c>
      <c r="J28" s="26">
        <f>Tabla1[[#This Row],[AYER]]-Tabla1[[#This Row],[HOY]]</f>
        <v>0</v>
      </c>
      <c r="K28" s="5">
        <v>50</v>
      </c>
      <c r="L28" s="54" t="s">
        <v>515</v>
      </c>
      <c r="M28" s="82"/>
      <c r="N28" s="53" t="s">
        <v>518</v>
      </c>
      <c r="O28" s="8" t="s">
        <v>62</v>
      </c>
      <c r="P28" s="8">
        <v>12</v>
      </c>
      <c r="Q28" s="5"/>
      <c r="R28" s="2"/>
      <c r="S28" s="11" t="str">
        <f>IF(B28="","",(IF((Tabla1[[#This Row],[STOCK]]-1)&lt;Tabla1[[#This Row],[INV MIN]],"PAUSAR!!!!","")))</f>
        <v>PAUSAR!!!!</v>
      </c>
      <c r="T28" s="44" t="str">
        <f>IF(Tabla1[[#This Row],[UTILIDAD]]&lt;0,"PÉRDIDA!!!","")</f>
        <v/>
      </c>
      <c r="U28" s="60"/>
      <c r="V28" s="32">
        <f>Tabla1[[#This Row],[TOT VENTA]]-Tabla1[[#This Row],[COSTO]]</f>
        <v>67.727552000000003</v>
      </c>
      <c r="W28" s="6">
        <f>Tabla1[[#This Row],[HOY]]*$T$2</f>
        <v>4.1040000000000001</v>
      </c>
      <c r="X28" s="6">
        <f>Tabla1[[#This Row],[HOY]]+Tabla1[[#This Row],[IVA]]</f>
        <v>29.753999999999998</v>
      </c>
      <c r="Y28" s="41">
        <f>Tabla1[[#This Row],[TOTAL]]*B28*$C$2</f>
        <v>511.17371999999995</v>
      </c>
      <c r="Z28" s="26">
        <v>1049</v>
      </c>
      <c r="AA28" s="29">
        <v>0.3</v>
      </c>
      <c r="AB28" s="32">
        <f>Tabla1[[#This Row],[PRECIO ML]]*(1-Tabla1[[#This Row],[DESCUENTO]])</f>
        <v>734.3</v>
      </c>
      <c r="AC28" s="29">
        <v>0.19500000000000001</v>
      </c>
      <c r="AD28" s="26">
        <f>Tabla1[[#This Row],[PRECIO FINAL ML]]*Tabla1[[#This Row],[COMISIÓN ML]]</f>
        <v>143.1885</v>
      </c>
      <c r="AE28" s="26"/>
      <c r="AF28" s="29">
        <v>0.03</v>
      </c>
      <c r="AG28" s="26">
        <f>(Tabla1[[#This Row],[PRECIO FINAL ML]]*Tabla1[[#This Row],[% ACOS]])/2</f>
        <v>11.014499999999998</v>
      </c>
      <c r="AH28" s="26">
        <f>Tabla1[[#This Row],[TOT COMISIÓN]]+Tabla1[[#This Row],[FIJO ML]]+Tabla1[[#This Row],[ACOS]]</f>
        <v>154.203</v>
      </c>
      <c r="AI28" s="26">
        <f t="shared" si="2"/>
        <v>1.1957279999999999</v>
      </c>
      <c r="AJ28" s="32">
        <f>Tabla1[[#This Row],[PRECIO FINAL ML]]-Tabla1[[#This Row],[DESCUENTO TOT]]-Tabla1[[#This Row],[ENVÍO]]</f>
        <v>578.90127199999995</v>
      </c>
    </row>
    <row r="29" spans="1:40" ht="18" customHeight="1" x14ac:dyDescent="0.25">
      <c r="A29" s="135"/>
      <c r="B29" s="5">
        <v>1</v>
      </c>
      <c r="C29" s="2" t="s">
        <v>510</v>
      </c>
      <c r="D29" s="5" t="s">
        <v>194</v>
      </c>
      <c r="E29" s="5" t="s">
        <v>275</v>
      </c>
      <c r="F29" s="5" t="s">
        <v>513</v>
      </c>
      <c r="G29" s="5">
        <v>20</v>
      </c>
      <c r="H29" s="26">
        <v>33.26</v>
      </c>
      <c r="I29" s="26">
        <v>33.26</v>
      </c>
      <c r="J29" s="26">
        <f>Tabla1[[#This Row],[AYER]]-Tabla1[[#This Row],[HOY]]</f>
        <v>0</v>
      </c>
      <c r="K29" s="5">
        <v>50</v>
      </c>
      <c r="L29" s="54" t="s">
        <v>516</v>
      </c>
      <c r="M29" s="82"/>
      <c r="N29" s="53" t="s">
        <v>519</v>
      </c>
      <c r="O29" s="8" t="s">
        <v>62</v>
      </c>
      <c r="P29" s="8">
        <v>12</v>
      </c>
      <c r="Q29" s="5"/>
      <c r="R29" s="2"/>
      <c r="S29" s="11" t="str">
        <f>IF(B29="","",(IF((Tabla1[[#This Row],[STOCK]]-1)&lt;Tabla1[[#This Row],[INV MIN]],"PAUSAR!!!!","")))</f>
        <v>PAUSAR!!!!</v>
      </c>
      <c r="T29" s="44" t="str">
        <f>IF(Tabla1[[#This Row],[UTILIDAD]]&lt;0,"PÉRDIDA!!!","")</f>
        <v/>
      </c>
      <c r="U29" s="60"/>
      <c r="V29" s="32">
        <f>Tabla1[[#This Row],[TOT VENTA]]-Tabla1[[#This Row],[COSTO]]</f>
        <v>70.909383999999932</v>
      </c>
      <c r="W29" s="6">
        <f>Tabla1[[#This Row],[HOY]]*$T$2</f>
        <v>5.3216000000000001</v>
      </c>
      <c r="X29" s="6">
        <f>Tabla1[[#This Row],[HOY]]+Tabla1[[#This Row],[IVA]]</f>
        <v>38.581599999999995</v>
      </c>
      <c r="Y29" s="41">
        <f>Tabla1[[#This Row],[TOTAL]]*B29*$C$2</f>
        <v>662.83188799999994</v>
      </c>
      <c r="Z29" s="26">
        <v>1329</v>
      </c>
      <c r="AA29" s="29">
        <v>0.3</v>
      </c>
      <c r="AB29" s="32">
        <f>Tabla1[[#This Row],[PRECIO ML]]*(1-Tabla1[[#This Row],[DESCUENTO]])</f>
        <v>930.3</v>
      </c>
      <c r="AC29" s="29">
        <v>0.19500000000000001</v>
      </c>
      <c r="AD29" s="26">
        <f>Tabla1[[#This Row],[PRECIO FINAL ML]]*Tabla1[[#This Row],[COMISIÓN ML]]</f>
        <v>181.4085</v>
      </c>
      <c r="AE29" s="26"/>
      <c r="AF29" s="29">
        <v>0.03</v>
      </c>
      <c r="AG29" s="26">
        <f>(Tabla1[[#This Row],[PRECIO FINAL ML]]*Tabla1[[#This Row],[% ACOS]])/2</f>
        <v>13.954499999999999</v>
      </c>
      <c r="AH29" s="26">
        <f>Tabla1[[#This Row],[TOT COMISIÓN]]+Tabla1[[#This Row],[FIJO ML]]+Tabla1[[#This Row],[ACOS]]</f>
        <v>195.363</v>
      </c>
      <c r="AI29" s="26">
        <f t="shared" si="2"/>
        <v>1.1957279999999999</v>
      </c>
      <c r="AJ29" s="32">
        <f>Tabla1[[#This Row],[PRECIO FINAL ML]]-Tabla1[[#This Row],[DESCUENTO TOT]]-Tabla1[[#This Row],[ENVÍO]]</f>
        <v>733.74127199999987</v>
      </c>
    </row>
    <row r="30" spans="1:40" ht="18" customHeight="1" x14ac:dyDescent="0.25">
      <c r="A30" s="135"/>
      <c r="B30" s="5">
        <v>1</v>
      </c>
      <c r="C30" s="2" t="s">
        <v>190</v>
      </c>
      <c r="D30" s="5" t="s">
        <v>195</v>
      </c>
      <c r="E30" s="5" t="s">
        <v>280</v>
      </c>
      <c r="F30" s="5" t="s">
        <v>281</v>
      </c>
      <c r="G30" s="5">
        <v>8</v>
      </c>
      <c r="H30" s="66"/>
      <c r="I30" s="66"/>
      <c r="J30" s="66"/>
      <c r="K30" s="5">
        <v>0</v>
      </c>
      <c r="L30" s="55"/>
      <c r="M30" s="55"/>
      <c r="N30" s="53" t="s">
        <v>201</v>
      </c>
      <c r="O30" s="9" t="s">
        <v>132</v>
      </c>
      <c r="P30" s="9">
        <f>Tabla1[[#This Row],[STOCK]]</f>
        <v>8</v>
      </c>
      <c r="Q30" s="5"/>
      <c r="R30" s="2" t="s">
        <v>213</v>
      </c>
      <c r="S30" s="11" t="str">
        <f>IF(B30="","",(IF((Tabla1[[#This Row],[STOCK]]-1)&lt;Tabla1[[#This Row],[INV MIN]],"PAUSAR!!!!","")))</f>
        <v/>
      </c>
      <c r="T30" s="44" t="str">
        <f>IF(Tabla1[[#This Row],[UTILIDAD]]&lt;0,"PÉRDIDA!!!","")</f>
        <v/>
      </c>
      <c r="U30" s="60"/>
      <c r="V30" s="32">
        <f>Tabla1[[#This Row],[TOT VENTA]]-Tabla1[[#This Row],[COSTO]]</f>
        <v>44.454999999999984</v>
      </c>
      <c r="W30" s="50"/>
      <c r="X30" s="51"/>
      <c r="Y30" s="62">
        <v>90.15</v>
      </c>
      <c r="Z30" s="47">
        <v>499</v>
      </c>
      <c r="AA30" s="48">
        <v>0.5</v>
      </c>
      <c r="AB30" s="32">
        <f>Tabla1[[#This Row],[PRECIO ML]]*(1-Tabla1[[#This Row],[DESCUENTO]])</f>
        <v>249.5</v>
      </c>
      <c r="AC30" s="29">
        <v>0.19500000000000001</v>
      </c>
      <c r="AD30" s="26">
        <f>Tabla1[[#This Row],[PRECIO FINAL ML]]*Tabla1[[#This Row],[COMISIÓN ML]]</f>
        <v>48.652500000000003</v>
      </c>
      <c r="AE30" s="26"/>
      <c r="AF30" s="29">
        <v>0.03</v>
      </c>
      <c r="AG30" s="26">
        <f>(Tabla1[[#This Row],[PRECIO FINAL ML]]*Tabla1[[#This Row],[% ACOS]])/2</f>
        <v>3.7424999999999997</v>
      </c>
      <c r="AH30" s="26">
        <f>Tabla1[[#This Row],[TOT COMISIÓN]]+Tabla1[[#This Row],[FIJO ML]]+Tabla1[[#This Row],[ACOS]]</f>
        <v>52.395000000000003</v>
      </c>
      <c r="AI30" s="26">
        <v>62.5</v>
      </c>
      <c r="AJ30" s="32">
        <f>Tabla1[[#This Row],[PRECIO FINAL ML]]-Tabla1[[#This Row],[DESCUENTO TOT]]-Tabla1[[#This Row],[ENVÍO]]</f>
        <v>134.60499999999999</v>
      </c>
    </row>
    <row r="31" spans="1:40" ht="18" customHeight="1" x14ac:dyDescent="0.25">
      <c r="A31" s="135"/>
      <c r="B31" s="5">
        <v>1</v>
      </c>
      <c r="C31" s="2" t="s">
        <v>191</v>
      </c>
      <c r="D31" s="5" t="s">
        <v>195</v>
      </c>
      <c r="E31" s="5" t="s">
        <v>280</v>
      </c>
      <c r="F31" s="5" t="s">
        <v>282</v>
      </c>
      <c r="G31" s="5">
        <v>10</v>
      </c>
      <c r="H31" s="66"/>
      <c r="I31" s="66"/>
      <c r="J31" s="66"/>
      <c r="K31" s="5">
        <v>0</v>
      </c>
      <c r="L31" s="55"/>
      <c r="M31" s="55"/>
      <c r="N31" s="53" t="s">
        <v>202</v>
      </c>
      <c r="O31" s="9" t="s">
        <v>132</v>
      </c>
      <c r="P31" s="9">
        <f>Tabla1[[#This Row],[STOCK]]</f>
        <v>10</v>
      </c>
      <c r="Q31" s="5"/>
      <c r="R31" s="2" t="s">
        <v>213</v>
      </c>
      <c r="S31" s="11" t="str">
        <f>IF(B31="","",(IF((Tabla1[[#This Row],[STOCK]]-1)&lt;Tabla1[[#This Row],[INV MIN]],"PAUSAR!!!!","")))</f>
        <v/>
      </c>
      <c r="T31" s="44" t="str">
        <f>IF(Tabla1[[#This Row],[UTILIDAD]]&lt;0,"PÉRDIDA!!!","")</f>
        <v/>
      </c>
      <c r="U31" s="60"/>
      <c r="V31" s="32">
        <f>Tabla1[[#This Row],[TOT VENTA]]-Tabla1[[#This Row],[COSTO]]</f>
        <v>92.865999999999985</v>
      </c>
      <c r="W31" s="50"/>
      <c r="X31" s="51"/>
      <c r="Y31" s="62">
        <v>81.16</v>
      </c>
      <c r="Z31" s="47">
        <v>499</v>
      </c>
      <c r="AA31" s="48">
        <v>0.4</v>
      </c>
      <c r="AB31" s="32">
        <f>Tabla1[[#This Row],[PRECIO ML]]*(1-Tabla1[[#This Row],[DESCUENTO]])</f>
        <v>299.39999999999998</v>
      </c>
      <c r="AC31" s="29">
        <v>0.19500000000000001</v>
      </c>
      <c r="AD31" s="26">
        <f>Tabla1[[#This Row],[PRECIO FINAL ML]]*Tabla1[[#This Row],[COMISIÓN ML]]</f>
        <v>58.382999999999996</v>
      </c>
      <c r="AE31" s="26"/>
      <c r="AF31" s="29">
        <v>0.03</v>
      </c>
      <c r="AG31" s="26">
        <f>(Tabla1[[#This Row],[PRECIO FINAL ML]]*Tabla1[[#This Row],[% ACOS]])/2</f>
        <v>4.4909999999999997</v>
      </c>
      <c r="AH31" s="26">
        <f>Tabla1[[#This Row],[TOT COMISIÓN]]+Tabla1[[#This Row],[FIJO ML]]+Tabla1[[#This Row],[ACOS]]</f>
        <v>62.873999999999995</v>
      </c>
      <c r="AI31" s="26">
        <v>62.5</v>
      </c>
      <c r="AJ31" s="32">
        <f>Tabla1[[#This Row],[PRECIO FINAL ML]]-Tabla1[[#This Row],[DESCUENTO TOT]]-Tabla1[[#This Row],[ENVÍO]]</f>
        <v>174.02599999999998</v>
      </c>
    </row>
    <row r="32" spans="1:40" ht="18" customHeight="1" x14ac:dyDescent="0.25">
      <c r="A32" s="135"/>
      <c r="B32" s="5">
        <v>1</v>
      </c>
      <c r="C32" s="2" t="s">
        <v>192</v>
      </c>
      <c r="D32" s="5" t="s">
        <v>195</v>
      </c>
      <c r="E32" s="5" t="s">
        <v>280</v>
      </c>
      <c r="F32" s="5" t="s">
        <v>283</v>
      </c>
      <c r="G32" s="5">
        <v>19</v>
      </c>
      <c r="H32" s="66"/>
      <c r="I32" s="66"/>
      <c r="J32" s="66"/>
      <c r="K32" s="5">
        <v>0</v>
      </c>
      <c r="L32" s="55"/>
      <c r="M32" s="55"/>
      <c r="N32" s="53" t="s">
        <v>203</v>
      </c>
      <c r="O32" s="9" t="s">
        <v>132</v>
      </c>
      <c r="P32" s="9">
        <f>Tabla1[[#This Row],[STOCK]]</f>
        <v>19</v>
      </c>
      <c r="Q32" s="5"/>
      <c r="R32" s="2" t="s">
        <v>213</v>
      </c>
      <c r="S32" s="11" t="str">
        <f>IF(B32="","",(IF((Tabla1[[#This Row],[STOCK]]-1)&lt;Tabla1[[#This Row],[INV MIN]],"PAUSAR!!!!","")))</f>
        <v/>
      </c>
      <c r="T32" s="44" t="str">
        <f>IF(Tabla1[[#This Row],[UTILIDAD]]&lt;0,"PÉRDIDA!!!","")</f>
        <v/>
      </c>
      <c r="U32" s="60"/>
      <c r="V32" s="32">
        <f>Tabla1[[#This Row],[TOT VENTA]]-Tabla1[[#This Row],[COSTO]]</f>
        <v>101.85599999999998</v>
      </c>
      <c r="W32" s="50"/>
      <c r="X32" s="51"/>
      <c r="Y32" s="62">
        <v>72.17</v>
      </c>
      <c r="Z32" s="47">
        <v>499</v>
      </c>
      <c r="AA32" s="48">
        <v>0.4</v>
      </c>
      <c r="AB32" s="32">
        <f>Tabla1[[#This Row],[PRECIO ML]]*(1-Tabla1[[#This Row],[DESCUENTO]])</f>
        <v>299.39999999999998</v>
      </c>
      <c r="AC32" s="29">
        <v>0.19500000000000001</v>
      </c>
      <c r="AD32" s="26">
        <f>Tabla1[[#This Row],[PRECIO FINAL ML]]*Tabla1[[#This Row],[COMISIÓN ML]]</f>
        <v>58.382999999999996</v>
      </c>
      <c r="AE32" s="26"/>
      <c r="AF32" s="29">
        <v>0.03</v>
      </c>
      <c r="AG32" s="26">
        <f>(Tabla1[[#This Row],[PRECIO FINAL ML]]*Tabla1[[#This Row],[% ACOS]])/2</f>
        <v>4.4909999999999997</v>
      </c>
      <c r="AH32" s="26">
        <f>Tabla1[[#This Row],[TOT COMISIÓN]]+Tabla1[[#This Row],[FIJO ML]]+Tabla1[[#This Row],[ACOS]]</f>
        <v>62.873999999999995</v>
      </c>
      <c r="AI32" s="26">
        <v>62.5</v>
      </c>
      <c r="AJ32" s="32">
        <f>Tabla1[[#This Row],[PRECIO FINAL ML]]-Tabla1[[#This Row],[DESCUENTO TOT]]-Tabla1[[#This Row],[ENVÍO]]</f>
        <v>174.02599999999998</v>
      </c>
    </row>
    <row r="33" spans="1:36" ht="18" customHeight="1" x14ac:dyDescent="0.25">
      <c r="A33" s="135"/>
      <c r="B33" s="5">
        <v>1</v>
      </c>
      <c r="C33" s="2" t="s">
        <v>520</v>
      </c>
      <c r="D33" s="5" t="s">
        <v>194</v>
      </c>
      <c r="E33" s="5" t="s">
        <v>275</v>
      </c>
      <c r="F33" s="5" t="s">
        <v>521</v>
      </c>
      <c r="G33" s="5">
        <v>381</v>
      </c>
      <c r="H33" s="26">
        <v>42.31</v>
      </c>
      <c r="I33" s="26">
        <v>42.31</v>
      </c>
      <c r="J33" s="26">
        <f>Tabla1[[#This Row],[AYER]]-Tabla1[[#This Row],[HOY]]</f>
        <v>0</v>
      </c>
      <c r="K33" s="5">
        <v>50</v>
      </c>
      <c r="L33" s="54" t="s">
        <v>522</v>
      </c>
      <c r="M33" s="54"/>
      <c r="N33" s="68" t="s">
        <v>529</v>
      </c>
      <c r="O33" s="9" t="s">
        <v>132</v>
      </c>
      <c r="P33" s="9">
        <v>12</v>
      </c>
      <c r="Q33" s="5"/>
      <c r="R33" s="2"/>
      <c r="S33" s="11" t="str">
        <f>IF(B33="","",(IF((Tabla1[[#This Row],[STOCK]]-1)&lt;Tabla1[[#This Row],[INV MIN]],"PAUSAR!!!!","")))</f>
        <v/>
      </c>
      <c r="T33" s="44" t="str">
        <f>IF(Tabla1[[#This Row],[UTILIDAD]]&lt;0,"PÉRDIDA!!!","")</f>
        <v/>
      </c>
      <c r="U33" s="60"/>
      <c r="V33" s="32">
        <f>Tabla1[[#This Row],[TOT VENTA]]-Tabla1[[#This Row],[COSTO]]</f>
        <v>74.786744000000112</v>
      </c>
      <c r="W33" s="6">
        <f>Tabla1[[#This Row],[HOY]]*$T$2</f>
        <v>6.7696000000000005</v>
      </c>
      <c r="X33" s="6">
        <f>Tabla1[[#This Row],[HOY]]+Tabla1[[#This Row],[IVA]]</f>
        <v>49.079599999999999</v>
      </c>
      <c r="Y33" s="41">
        <f>Tabla1[[#This Row],[TOTAL]]*B33*$C$2</f>
        <v>843.18752799999993</v>
      </c>
      <c r="Z33" s="26">
        <v>1459</v>
      </c>
      <c r="AA33" s="29">
        <v>0.25</v>
      </c>
      <c r="AB33" s="32">
        <f>Tabla1[[#This Row],[PRECIO ML]]*(1-Tabla1[[#This Row],[DESCUENTO]])</f>
        <v>1094.25</v>
      </c>
      <c r="AC33" s="29">
        <v>0.14499999999999999</v>
      </c>
      <c r="AD33" s="26">
        <f>Tabla1[[#This Row],[PRECIO FINAL ML]]*Tabla1[[#This Row],[COMISIÓN ML]]</f>
        <v>158.66624999999999</v>
      </c>
      <c r="AE33" s="26"/>
      <c r="AF33" s="29">
        <v>0.03</v>
      </c>
      <c r="AG33" s="26">
        <f>(Tabla1[[#This Row],[PRECIO FINAL ML]]*Tabla1[[#This Row],[% ACOS]])/2</f>
        <v>16.41375</v>
      </c>
      <c r="AH33" s="26">
        <f>Tabla1[[#This Row],[TOT COMISIÓN]]+Tabla1[[#This Row],[FIJO ML]]+Tabla1[[#This Row],[ACOS]]</f>
        <v>175.07999999999998</v>
      </c>
      <c r="AI33" s="26">
        <f t="shared" ref="AI33" si="3">$AF$2*(1+$T$2)*$C$2</f>
        <v>1.1957279999999999</v>
      </c>
      <c r="AJ33" s="32">
        <f>Tabla1[[#This Row],[PRECIO FINAL ML]]-Tabla1[[#This Row],[DESCUENTO TOT]]-Tabla1[[#This Row],[ENVÍO]]</f>
        <v>917.97427200000004</v>
      </c>
    </row>
    <row r="34" spans="1:36" ht="18" customHeight="1" x14ac:dyDescent="0.25">
      <c r="A34" s="135"/>
      <c r="B34" s="5">
        <v>1</v>
      </c>
      <c r="C34" s="2" t="s">
        <v>524</v>
      </c>
      <c r="D34" s="5" t="s">
        <v>194</v>
      </c>
      <c r="E34" s="5" t="s">
        <v>275</v>
      </c>
      <c r="F34" s="5" t="s">
        <v>523</v>
      </c>
      <c r="G34" s="5">
        <v>117</v>
      </c>
      <c r="H34" s="26">
        <v>50.34</v>
      </c>
      <c r="I34" s="26">
        <v>50.34</v>
      </c>
      <c r="J34" s="26">
        <f>Tabla1[[#This Row],[AYER]]-Tabla1[[#This Row],[HOY]]</f>
        <v>0</v>
      </c>
      <c r="K34" s="5">
        <v>50</v>
      </c>
      <c r="L34" s="54" t="s">
        <v>525</v>
      </c>
      <c r="M34" s="54"/>
      <c r="N34" s="68" t="s">
        <v>530</v>
      </c>
      <c r="O34" s="9" t="s">
        <v>132</v>
      </c>
      <c r="P34" s="9">
        <v>12</v>
      </c>
      <c r="Q34" s="5"/>
      <c r="R34" s="2"/>
      <c r="S34" s="11" t="str">
        <f>IF(B34="","",(IF((Tabla1[[#This Row],[STOCK]]-1)&lt;Tabla1[[#This Row],[INV MIN]],"PAUSAR!!!!","")))</f>
        <v/>
      </c>
      <c r="T34" s="44" t="str">
        <f>IF(Tabla1[[#This Row],[UTILIDAD]]&lt;0,"PÉRDIDA!!!","")</f>
        <v/>
      </c>
      <c r="U34" s="60"/>
      <c r="V34" s="32">
        <f>Tabla1[[#This Row],[TOT VENTA]]-Tabla1[[#This Row],[COSTO]]</f>
        <v>65.958479999999895</v>
      </c>
      <c r="W34" s="6">
        <f>Tabla1[[#This Row],[HOY]]*$T$2</f>
        <v>8.0544000000000011</v>
      </c>
      <c r="X34" s="6">
        <f>Tabla1[[#This Row],[HOY]]+Tabla1[[#This Row],[IVA]]</f>
        <v>58.394400000000005</v>
      </c>
      <c r="Y34" s="41">
        <f>Tabla1[[#This Row],[TOTAL]]*B34*$C$2</f>
        <v>1003.2157920000001</v>
      </c>
      <c r="Z34" s="26">
        <v>1699</v>
      </c>
      <c r="AA34" s="29">
        <v>0.25</v>
      </c>
      <c r="AB34" s="32">
        <f>Tabla1[[#This Row],[PRECIO ML]]*(1-Tabla1[[#This Row],[DESCUENTO]])</f>
        <v>1274.25</v>
      </c>
      <c r="AC34" s="29">
        <v>0.14499999999999999</v>
      </c>
      <c r="AD34" s="26">
        <f>Tabla1[[#This Row],[PRECIO FINAL ML]]*Tabla1[[#This Row],[COMISIÓN ML]]</f>
        <v>184.76624999999999</v>
      </c>
      <c r="AE34" s="26"/>
      <c r="AF34" s="29">
        <v>0.03</v>
      </c>
      <c r="AG34" s="26">
        <f>(Tabla1[[#This Row],[PRECIO FINAL ML]]*Tabla1[[#This Row],[% ACOS]])/2</f>
        <v>19.11375</v>
      </c>
      <c r="AH34" s="26">
        <f>Tabla1[[#This Row],[TOT COMISIÓN]]+Tabla1[[#This Row],[FIJO ML]]+Tabla1[[#This Row],[ACOS]]</f>
        <v>203.88</v>
      </c>
      <c r="AI34" s="26">
        <f t="shared" ref="AI34:AI43" si="4">$AF$2*(1+$T$2)*$C$2</f>
        <v>1.1957279999999999</v>
      </c>
      <c r="AJ34" s="32">
        <f>Tabla1[[#This Row],[PRECIO FINAL ML]]-Tabla1[[#This Row],[DESCUENTO TOT]]-Tabla1[[#This Row],[ENVÍO]]</f>
        <v>1069.174272</v>
      </c>
    </row>
    <row r="35" spans="1:36" ht="18" customHeight="1" x14ac:dyDescent="0.25">
      <c r="A35" s="135"/>
      <c r="B35" s="5">
        <v>1</v>
      </c>
      <c r="C35" s="2" t="s">
        <v>526</v>
      </c>
      <c r="D35" s="5" t="s">
        <v>194</v>
      </c>
      <c r="E35" s="5" t="s">
        <v>275</v>
      </c>
      <c r="F35" s="5" t="s">
        <v>527</v>
      </c>
      <c r="G35" s="5">
        <v>500</v>
      </c>
      <c r="H35" s="26">
        <v>49.02</v>
      </c>
      <c r="I35" s="26">
        <v>49.02</v>
      </c>
      <c r="J35" s="26">
        <f>Tabla1[[#This Row],[AYER]]-Tabla1[[#This Row],[HOY]]</f>
        <v>0</v>
      </c>
      <c r="K35" s="5">
        <v>50</v>
      </c>
      <c r="L35" s="54" t="s">
        <v>528</v>
      </c>
      <c r="M35" s="54"/>
      <c r="N35" s="68" t="s">
        <v>531</v>
      </c>
      <c r="O35" s="9" t="s">
        <v>132</v>
      </c>
      <c r="P35" s="9">
        <v>12</v>
      </c>
      <c r="Q35" s="5"/>
      <c r="R35" s="2"/>
      <c r="S35" s="11" t="str">
        <f>IF(B35="","",(IF((Tabla1[[#This Row],[STOCK]]-1)&lt;Tabla1[[#This Row],[INV MIN]],"PAUSAR!!!!","")))</f>
        <v/>
      </c>
      <c r="T35" s="44" t="str">
        <f>IF(Tabla1[[#This Row],[UTILIDAD]]&lt;0,"PÉRDIDA!!!","")</f>
        <v/>
      </c>
      <c r="U35" s="60"/>
      <c r="V35" s="32">
        <f>Tabla1[[#This Row],[TOT VENTA]]-Tabla1[[#This Row],[COSTO]]</f>
        <v>92.264495999999895</v>
      </c>
      <c r="W35" s="6">
        <f>Tabla1[[#This Row],[HOY]]*$T$2</f>
        <v>7.8432000000000004</v>
      </c>
      <c r="X35" s="6">
        <f>Tabla1[[#This Row],[HOY]]+Tabla1[[#This Row],[IVA]]</f>
        <v>56.863200000000006</v>
      </c>
      <c r="Y35" s="41">
        <f>Tabla1[[#This Row],[TOTAL]]*B35*$C$2</f>
        <v>976.90977600000008</v>
      </c>
      <c r="Z35" s="26">
        <v>1699</v>
      </c>
      <c r="AA35" s="29">
        <v>0.25</v>
      </c>
      <c r="AB35" s="32">
        <f>Tabla1[[#This Row],[PRECIO ML]]*(1-Tabla1[[#This Row],[DESCUENTO]])</f>
        <v>1274.25</v>
      </c>
      <c r="AC35" s="29">
        <v>0.14499999999999999</v>
      </c>
      <c r="AD35" s="26">
        <f>Tabla1[[#This Row],[PRECIO FINAL ML]]*Tabla1[[#This Row],[COMISIÓN ML]]</f>
        <v>184.76624999999999</v>
      </c>
      <c r="AE35" s="26"/>
      <c r="AF35" s="29">
        <v>0.03</v>
      </c>
      <c r="AG35" s="26">
        <f>(Tabla1[[#This Row],[PRECIO FINAL ML]]*Tabla1[[#This Row],[% ACOS]])/2</f>
        <v>19.11375</v>
      </c>
      <c r="AH35" s="26">
        <f>Tabla1[[#This Row],[TOT COMISIÓN]]+Tabla1[[#This Row],[FIJO ML]]+Tabla1[[#This Row],[ACOS]]</f>
        <v>203.88</v>
      </c>
      <c r="AI35" s="26">
        <f t="shared" si="4"/>
        <v>1.1957279999999999</v>
      </c>
      <c r="AJ35" s="32">
        <f>Tabla1[[#This Row],[PRECIO FINAL ML]]-Tabla1[[#This Row],[DESCUENTO TOT]]-Tabla1[[#This Row],[ENVÍO]]</f>
        <v>1069.174272</v>
      </c>
    </row>
    <row r="36" spans="1:36" ht="18" customHeight="1" x14ac:dyDescent="0.25">
      <c r="A36" s="135"/>
      <c r="B36" s="5">
        <v>1</v>
      </c>
      <c r="C36" s="2" t="s">
        <v>358</v>
      </c>
      <c r="D36" s="5" t="s">
        <v>194</v>
      </c>
      <c r="E36" s="5" t="s">
        <v>275</v>
      </c>
      <c r="F36" s="5" t="s">
        <v>361</v>
      </c>
      <c r="G36" s="5">
        <v>500</v>
      </c>
      <c r="H36" s="26">
        <v>61.54</v>
      </c>
      <c r="I36" s="26">
        <v>61.54</v>
      </c>
      <c r="J36" s="26">
        <f>Tabla1[[#This Row],[AYER]]-Tabla1[[#This Row],[HOY]]</f>
        <v>0</v>
      </c>
      <c r="K36" s="5">
        <v>50</v>
      </c>
      <c r="L36" s="54" t="s">
        <v>364</v>
      </c>
      <c r="M36" s="54"/>
      <c r="N36" s="53" t="s">
        <v>367</v>
      </c>
      <c r="O36" s="9" t="s">
        <v>132</v>
      </c>
      <c r="P36" s="9">
        <v>12</v>
      </c>
      <c r="Q36" s="5"/>
      <c r="R36" s="2"/>
      <c r="S36" s="11" t="str">
        <f>IF(B36="","",(IF((Tabla1[[#This Row],[STOCK]]-1)&lt;Tabla1[[#This Row],[INV MIN]],"PAUSAR!!!!","")))</f>
        <v/>
      </c>
      <c r="T36" s="44" t="str">
        <f>IF(Tabla1[[#This Row],[UTILIDAD]]&lt;0,"PÉRDIDA!!!","")</f>
        <v/>
      </c>
      <c r="U36" s="60"/>
      <c r="V36" s="32">
        <f>Tabla1[[#This Row],[TOT VENTA]]-Tabla1[[#This Row],[COSTO]]</f>
        <v>94.75592000000006</v>
      </c>
      <c r="W36" s="6">
        <f>Tabla1[[#This Row],[HOY]]*$T$2</f>
        <v>9.8464000000000009</v>
      </c>
      <c r="X36" s="6">
        <f>Tabla1[[#This Row],[HOY]]+Tabla1[[#This Row],[IVA]]</f>
        <v>71.386399999999995</v>
      </c>
      <c r="Y36" s="41">
        <f>Tabla1[[#This Row],[TOTAL]]*B36*$C$2</f>
        <v>1226.4183519999999</v>
      </c>
      <c r="Z36" s="26">
        <v>2099</v>
      </c>
      <c r="AA36" s="29">
        <v>0.25</v>
      </c>
      <c r="AB36" s="32">
        <f>Tabla1[[#This Row],[PRECIO ML]]*(1-Tabla1[[#This Row],[DESCUENTO]])</f>
        <v>1574.25</v>
      </c>
      <c r="AC36" s="29">
        <v>0.14499999999999999</v>
      </c>
      <c r="AD36" s="26">
        <f>Tabla1[[#This Row],[PRECIO FINAL ML]]*Tabla1[[#This Row],[COMISIÓN ML]]</f>
        <v>228.26624999999999</v>
      </c>
      <c r="AE36" s="26"/>
      <c r="AF36" s="29">
        <v>0.03</v>
      </c>
      <c r="AG36" s="26">
        <f>(Tabla1[[#This Row],[PRECIO FINAL ML]]*Tabla1[[#This Row],[% ACOS]])/2</f>
        <v>23.61375</v>
      </c>
      <c r="AH36" s="26">
        <f>Tabla1[[#This Row],[TOT COMISIÓN]]+Tabla1[[#This Row],[FIJO ML]]+Tabla1[[#This Row],[ACOS]]</f>
        <v>251.88</v>
      </c>
      <c r="AI36" s="26">
        <f t="shared" si="4"/>
        <v>1.1957279999999999</v>
      </c>
      <c r="AJ36" s="32">
        <f>Tabla1[[#This Row],[PRECIO FINAL ML]]-Tabla1[[#This Row],[DESCUENTO TOT]]-Tabla1[[#This Row],[ENVÍO]]</f>
        <v>1321.174272</v>
      </c>
    </row>
    <row r="37" spans="1:36" ht="18" customHeight="1" x14ac:dyDescent="0.25">
      <c r="A37" s="135"/>
      <c r="B37" s="5">
        <v>1</v>
      </c>
      <c r="C37" s="2" t="s">
        <v>359</v>
      </c>
      <c r="D37" s="5" t="s">
        <v>194</v>
      </c>
      <c r="E37" s="5" t="s">
        <v>275</v>
      </c>
      <c r="F37" s="5" t="s">
        <v>362</v>
      </c>
      <c r="G37" s="5">
        <v>500</v>
      </c>
      <c r="H37" s="26">
        <v>69.17</v>
      </c>
      <c r="I37" s="26">
        <v>69.17</v>
      </c>
      <c r="J37" s="26">
        <f>Tabla1[[#This Row],[AYER]]-Tabla1[[#This Row],[HOY]]</f>
        <v>0</v>
      </c>
      <c r="K37" s="5">
        <v>50</v>
      </c>
      <c r="L37" s="54" t="s">
        <v>365</v>
      </c>
      <c r="M37" s="54"/>
      <c r="N37" s="53" t="s">
        <v>368</v>
      </c>
      <c r="O37" s="9" t="s">
        <v>132</v>
      </c>
      <c r="P37" s="9">
        <v>12</v>
      </c>
      <c r="Q37" s="5"/>
      <c r="R37" s="2"/>
      <c r="S37" s="11" t="str">
        <f>IF(B37="","",(IF((Tabla1[[#This Row],[STOCK]]-1)&lt;Tabla1[[#This Row],[INV MIN]],"PAUSAR!!!!","")))</f>
        <v/>
      </c>
      <c r="T37" s="44" t="str">
        <f>IF(Tabla1[[#This Row],[UTILIDAD]]&lt;0,"PÉRDIDA!!!","")</f>
        <v/>
      </c>
      <c r="U37" s="60"/>
      <c r="V37" s="32">
        <f>Tabla1[[#This Row],[TOT VENTA]]-Tabla1[[#This Row],[COSTO]]</f>
        <v>68.69917600000008</v>
      </c>
      <c r="W37" s="6">
        <f>Tabla1[[#This Row],[HOY]]*$T$2</f>
        <v>11.0672</v>
      </c>
      <c r="X37" s="6">
        <f>Tabla1[[#This Row],[HOY]]+Tabla1[[#This Row],[IVA]]</f>
        <v>80.237200000000001</v>
      </c>
      <c r="Y37" s="41">
        <f>Tabla1[[#This Row],[TOTAL]]*B37*$C$2</f>
        <v>1378.4750959999999</v>
      </c>
      <c r="Z37" s="26">
        <v>2299</v>
      </c>
      <c r="AA37" s="29">
        <v>0.25</v>
      </c>
      <c r="AB37" s="32">
        <f>Tabla1[[#This Row],[PRECIO ML]]*(1-Tabla1[[#This Row],[DESCUENTO]])</f>
        <v>1724.25</v>
      </c>
      <c r="AC37" s="29">
        <v>0.14499999999999999</v>
      </c>
      <c r="AD37" s="26">
        <f>Tabla1[[#This Row],[PRECIO FINAL ML]]*Tabla1[[#This Row],[COMISIÓN ML]]</f>
        <v>250.01624999999999</v>
      </c>
      <c r="AE37" s="26"/>
      <c r="AF37" s="29">
        <v>0.03</v>
      </c>
      <c r="AG37" s="26">
        <f>(Tabla1[[#This Row],[PRECIO FINAL ML]]*Tabla1[[#This Row],[% ACOS]])/2</f>
        <v>25.86375</v>
      </c>
      <c r="AH37" s="26">
        <f>Tabla1[[#This Row],[TOT COMISIÓN]]+Tabla1[[#This Row],[FIJO ML]]+Tabla1[[#This Row],[ACOS]]</f>
        <v>275.88</v>
      </c>
      <c r="AI37" s="26">
        <f t="shared" si="4"/>
        <v>1.1957279999999999</v>
      </c>
      <c r="AJ37" s="32">
        <f>Tabla1[[#This Row],[PRECIO FINAL ML]]-Tabla1[[#This Row],[DESCUENTO TOT]]-Tabla1[[#This Row],[ENVÍO]]</f>
        <v>1447.174272</v>
      </c>
    </row>
    <row r="38" spans="1:36" ht="18" customHeight="1" x14ac:dyDescent="0.25">
      <c r="A38" s="135"/>
      <c r="B38" s="5">
        <v>1</v>
      </c>
      <c r="C38" s="2" t="s">
        <v>360</v>
      </c>
      <c r="D38" s="5" t="s">
        <v>194</v>
      </c>
      <c r="E38" s="5" t="s">
        <v>275</v>
      </c>
      <c r="F38" s="5" t="s">
        <v>363</v>
      </c>
      <c r="G38" s="5">
        <v>282</v>
      </c>
      <c r="H38" s="26">
        <v>87.55</v>
      </c>
      <c r="I38" s="26">
        <v>87.55</v>
      </c>
      <c r="J38" s="26">
        <f>Tabla1[[#This Row],[AYER]]-Tabla1[[#This Row],[HOY]]</f>
        <v>0</v>
      </c>
      <c r="K38" s="5">
        <v>50</v>
      </c>
      <c r="L38" s="82" t="s">
        <v>366</v>
      </c>
      <c r="M38" s="82"/>
      <c r="N38" s="53" t="s">
        <v>369</v>
      </c>
      <c r="O38" s="9" t="s">
        <v>132</v>
      </c>
      <c r="P38" s="9">
        <v>12</v>
      </c>
      <c r="Q38" s="5"/>
      <c r="R38" s="2"/>
      <c r="S38" s="11" t="str">
        <f>IF(B38="","",(IF((Tabla1[[#This Row],[STOCK]]-1)&lt;Tabla1[[#This Row],[INV MIN]],"PAUSAR!!!!","")))</f>
        <v/>
      </c>
      <c r="T38" s="44" t="str">
        <f>IF(Tabla1[[#This Row],[UTILIDAD]]&lt;0,"PÉRDIDA!!!","")</f>
        <v/>
      </c>
      <c r="U38" s="60"/>
      <c r="V38" s="32">
        <f>Tabla1[[#This Row],[TOT VENTA]]-Tabla1[[#This Row],[COSTO]]</f>
        <v>80.407832000000326</v>
      </c>
      <c r="W38" s="6">
        <f>Tabla1[[#This Row],[HOY]]*$T$2</f>
        <v>14.007999999999999</v>
      </c>
      <c r="X38" s="6">
        <f>Tabla1[[#This Row],[HOY]]+Tabla1[[#This Row],[IVA]]</f>
        <v>101.55799999999999</v>
      </c>
      <c r="Y38" s="41">
        <f>Tabla1[[#This Row],[TOTAL]]*B38*$C$2</f>
        <v>1744.7664399999999</v>
      </c>
      <c r="Z38" s="26">
        <v>2899</v>
      </c>
      <c r="AA38" s="29">
        <v>0.25</v>
      </c>
      <c r="AB38" s="32">
        <f>Tabla1[[#This Row],[PRECIO ML]]*(1-Tabla1[[#This Row],[DESCUENTO]])</f>
        <v>2174.25</v>
      </c>
      <c r="AC38" s="29">
        <v>0.14499999999999999</v>
      </c>
      <c r="AD38" s="26">
        <f>Tabla1[[#This Row],[PRECIO FINAL ML]]*Tabla1[[#This Row],[COMISIÓN ML]]</f>
        <v>315.26624999999996</v>
      </c>
      <c r="AE38" s="26"/>
      <c r="AF38" s="29">
        <v>0.03</v>
      </c>
      <c r="AG38" s="26">
        <f>(Tabla1[[#This Row],[PRECIO FINAL ML]]*Tabla1[[#This Row],[% ACOS]])/2</f>
        <v>32.613749999999996</v>
      </c>
      <c r="AH38" s="26">
        <f>Tabla1[[#This Row],[TOT COMISIÓN]]+Tabla1[[#This Row],[FIJO ML]]+Tabla1[[#This Row],[ACOS]]</f>
        <v>347.87999999999994</v>
      </c>
      <c r="AI38" s="26">
        <f t="shared" si="4"/>
        <v>1.1957279999999999</v>
      </c>
      <c r="AJ38" s="32">
        <f>Tabla1[[#This Row],[PRECIO FINAL ML]]-Tabla1[[#This Row],[DESCUENTO TOT]]-Tabla1[[#This Row],[ENVÍO]]</f>
        <v>1825.1742720000002</v>
      </c>
    </row>
    <row r="39" spans="1:36" ht="18" customHeight="1" x14ac:dyDescent="0.25">
      <c r="A39" s="135"/>
      <c r="B39" s="5">
        <v>1</v>
      </c>
      <c r="C39" s="2" t="s">
        <v>148</v>
      </c>
      <c r="D39" s="5" t="s">
        <v>194</v>
      </c>
      <c r="E39" s="5" t="s">
        <v>275</v>
      </c>
      <c r="F39" s="5" t="s">
        <v>276</v>
      </c>
      <c r="G39" s="5">
        <v>255</v>
      </c>
      <c r="H39" s="26">
        <v>219.24</v>
      </c>
      <c r="I39" s="26">
        <v>219.24</v>
      </c>
      <c r="J39" s="26">
        <f>Tabla1[[#This Row],[HOY]]-Tabla1[[#This Row],[AYER]]</f>
        <v>0</v>
      </c>
      <c r="K39" s="5">
        <v>25</v>
      </c>
      <c r="L39" s="54" t="s">
        <v>153</v>
      </c>
      <c r="M39" s="54"/>
      <c r="N39" s="53" t="s">
        <v>152</v>
      </c>
      <c r="O39" s="9" t="s">
        <v>132</v>
      </c>
      <c r="P39" s="9">
        <v>5</v>
      </c>
      <c r="Q39" s="5"/>
      <c r="R39" s="2"/>
      <c r="S39" s="11" t="str">
        <f>IF(B39="","",(IF((Tabla1[[#This Row],[STOCK]]-1)&lt;Tabla1[[#This Row],[INV MIN]],"PAUSAR!!!!","")))</f>
        <v/>
      </c>
      <c r="T39" s="44" t="str">
        <f>IF(Tabla1[[#This Row],[UTILIDAD]]&lt;0,"PÉRDIDA!!!","")</f>
        <v/>
      </c>
      <c r="U39" s="60"/>
      <c r="V39" s="32">
        <f>Tabla1[[#This Row],[TOT VENTA]]-Tabla1[[#This Row],[COSTO]]</f>
        <v>164.77626000000055</v>
      </c>
      <c r="W39" s="6">
        <f>Tabla1[[#This Row],[HOY]]*$T$2</f>
        <v>35.078400000000002</v>
      </c>
      <c r="X39" s="6">
        <f>Tabla1[[#This Row],[HOY]]+Tabla1[[#This Row],[IVA]]</f>
        <v>254.3184</v>
      </c>
      <c r="Y39" s="41">
        <f>Tabla1[[#This Row],[TOTAL]]*B39*$C$2</f>
        <v>4369.1901120000002</v>
      </c>
      <c r="Z39" s="26">
        <v>7198.67</v>
      </c>
      <c r="AA39" s="29">
        <v>0.25</v>
      </c>
      <c r="AB39" s="32">
        <f>Tabla1[[#This Row],[PRECIO ML]]*(1-Tabla1[[#This Row],[DESCUENTO]])</f>
        <v>5399.0025000000005</v>
      </c>
      <c r="AC39" s="29">
        <v>0.14499999999999999</v>
      </c>
      <c r="AD39" s="26">
        <f>Tabla1[[#This Row],[PRECIO FINAL ML]]*Tabla1[[#This Row],[COMISIÓN ML]]</f>
        <v>782.85536250000007</v>
      </c>
      <c r="AE39" s="26"/>
      <c r="AF39" s="29">
        <v>0.03</v>
      </c>
      <c r="AG39" s="26">
        <f>(Tabla1[[#This Row],[PRECIO FINAL ML]]*Tabla1[[#This Row],[% ACOS]])/2</f>
        <v>80.985037500000004</v>
      </c>
      <c r="AH39" s="26">
        <f>Tabla1[[#This Row],[TOT COMISIÓN]]+Tabla1[[#This Row],[FIJO ML]]+Tabla1[[#This Row],[ACOS]]</f>
        <v>863.84040000000005</v>
      </c>
      <c r="AI39" s="26">
        <f t="shared" si="4"/>
        <v>1.1957279999999999</v>
      </c>
      <c r="AJ39" s="32">
        <f>Tabla1[[#This Row],[PRECIO FINAL ML]]-Tabla1[[#This Row],[DESCUENTO TOT]]-Tabla1[[#This Row],[ENVÍO]]</f>
        <v>4533.9663720000008</v>
      </c>
    </row>
    <row r="40" spans="1:36" ht="18" customHeight="1" x14ac:dyDescent="0.25">
      <c r="A40" s="135"/>
      <c r="B40" s="5">
        <v>1</v>
      </c>
      <c r="C40" s="2" t="s">
        <v>149</v>
      </c>
      <c r="D40" s="5" t="s">
        <v>194</v>
      </c>
      <c r="E40" s="5" t="s">
        <v>275</v>
      </c>
      <c r="F40" s="5" t="s">
        <v>277</v>
      </c>
      <c r="G40" s="5">
        <v>56</v>
      </c>
      <c r="H40" s="26">
        <v>285.69</v>
      </c>
      <c r="I40" s="26">
        <v>285.69</v>
      </c>
      <c r="J40" s="26">
        <f>Tabla1[[#This Row],[HOY]]-Tabla1[[#This Row],[AYER]]</f>
        <v>0</v>
      </c>
      <c r="K40" s="5">
        <v>25</v>
      </c>
      <c r="L40" s="54" t="s">
        <v>151</v>
      </c>
      <c r="M40" s="54"/>
      <c r="N40" s="53" t="s">
        <v>150</v>
      </c>
      <c r="O40" s="9" t="s">
        <v>132</v>
      </c>
      <c r="P40" s="9">
        <v>5</v>
      </c>
      <c r="Q40" s="5"/>
      <c r="R40" s="2"/>
      <c r="S40" s="11" t="str">
        <f>IF(B40="","",(IF((Tabla1[[#This Row],[STOCK]]-1)&lt;Tabla1[[#This Row],[INV MIN]],"PAUSAR!!!!","")))</f>
        <v/>
      </c>
      <c r="T40" s="44" t="str">
        <f>IF(Tabla1[[#This Row],[UTILIDAD]]&lt;0,"PÉRDIDA!!!","")</f>
        <v/>
      </c>
      <c r="U40" s="60"/>
      <c r="V40" s="32">
        <f>Tabla1[[#This Row],[TOT VENTA]]-Tabla1[[#This Row],[COSTO]]</f>
        <v>184.50540000000001</v>
      </c>
      <c r="W40" s="6">
        <f>Tabla1[[#This Row],[HOY]]*$T$2</f>
        <v>45.7104</v>
      </c>
      <c r="X40" s="6">
        <f>Tabla1[[#This Row],[HOY]]+Tabla1[[#This Row],[IVA]]</f>
        <v>331.40039999999999</v>
      </c>
      <c r="Y40" s="41">
        <f>Tabla1[[#This Row],[TOTAL]]*B40*$C$2</f>
        <v>5693.4588720000002</v>
      </c>
      <c r="Z40" s="26">
        <v>9332</v>
      </c>
      <c r="AA40" s="29">
        <v>0.25</v>
      </c>
      <c r="AB40" s="32">
        <f>Tabla1[[#This Row],[PRECIO ML]]*(1-Tabla1[[#This Row],[DESCUENTO]])</f>
        <v>6999</v>
      </c>
      <c r="AC40" s="29">
        <v>0.14499999999999999</v>
      </c>
      <c r="AD40" s="26">
        <f>Tabla1[[#This Row],[PRECIO FINAL ML]]*Tabla1[[#This Row],[COMISIÓN ML]]</f>
        <v>1014.8549999999999</v>
      </c>
      <c r="AE40" s="26"/>
      <c r="AF40" s="29">
        <v>0.03</v>
      </c>
      <c r="AG40" s="26">
        <f>(Tabla1[[#This Row],[PRECIO FINAL ML]]*Tabla1[[#This Row],[% ACOS]])/2</f>
        <v>104.985</v>
      </c>
      <c r="AH40" s="26">
        <f>Tabla1[[#This Row],[TOT COMISIÓN]]+Tabla1[[#This Row],[FIJO ML]]+Tabla1[[#This Row],[ACOS]]</f>
        <v>1119.8399999999999</v>
      </c>
      <c r="AI40" s="26">
        <f t="shared" si="4"/>
        <v>1.1957279999999999</v>
      </c>
      <c r="AJ40" s="32">
        <f>Tabla1[[#This Row],[PRECIO FINAL ML]]-Tabla1[[#This Row],[DESCUENTO TOT]]-Tabla1[[#This Row],[ENVÍO]]</f>
        <v>5877.9642720000002</v>
      </c>
    </row>
    <row r="41" spans="1:36" ht="18" customHeight="1" x14ac:dyDescent="0.25">
      <c r="A41" s="135"/>
      <c r="B41" s="5">
        <v>1</v>
      </c>
      <c r="C41" s="2" t="s">
        <v>156</v>
      </c>
      <c r="D41" s="5" t="s">
        <v>194</v>
      </c>
      <c r="E41" s="5" t="s">
        <v>275</v>
      </c>
      <c r="F41" s="5" t="s">
        <v>278</v>
      </c>
      <c r="G41" s="5">
        <v>77</v>
      </c>
      <c r="H41" s="26">
        <v>23.12</v>
      </c>
      <c r="I41" s="26">
        <v>23.12</v>
      </c>
      <c r="J41" s="26">
        <f>Tabla1[[#This Row],[HOY]]-Tabla1[[#This Row],[AYER]]</f>
        <v>0</v>
      </c>
      <c r="K41" s="5">
        <v>25</v>
      </c>
      <c r="L41" s="54" t="s">
        <v>157</v>
      </c>
      <c r="M41" s="54"/>
      <c r="N41" s="53" t="s">
        <v>158</v>
      </c>
      <c r="O41" s="9" t="s">
        <v>132</v>
      </c>
      <c r="P41" s="9">
        <v>5</v>
      </c>
      <c r="Q41" s="5"/>
      <c r="R41" s="2"/>
      <c r="S41" s="11" t="str">
        <f>IF(B41="","",(IF((Tabla1[[#This Row],[STOCK]]-1)&lt;Tabla1[[#This Row],[INV MIN]],"PAUSAR!!!!","")))</f>
        <v/>
      </c>
      <c r="T41" s="44" t="str">
        <f>IF(Tabla1[[#This Row],[UTILIDAD]]&lt;0,"PÉRDIDA!!!","")</f>
        <v/>
      </c>
      <c r="U41" s="60"/>
      <c r="V41" s="32">
        <f>Tabla1[[#This Row],[TOT VENTA]]-Tabla1[[#This Row],[COSTO]]</f>
        <v>125.2104159999999</v>
      </c>
      <c r="W41" s="6">
        <f>Tabla1[[#This Row],[HOY]]*$T$2</f>
        <v>3.6992000000000003</v>
      </c>
      <c r="X41" s="6">
        <f>Tabla1[[#This Row],[HOY]]+Tabla1[[#This Row],[IVA]]</f>
        <v>26.819200000000002</v>
      </c>
      <c r="Y41" s="41">
        <f>Tabla1[[#This Row],[TOTAL]]*B41*$C$2</f>
        <v>460.75385600000004</v>
      </c>
      <c r="Z41" s="26">
        <v>932</v>
      </c>
      <c r="AA41" s="29">
        <v>0.25</v>
      </c>
      <c r="AB41" s="32">
        <f>Tabla1[[#This Row],[PRECIO ML]]*(1-Tabla1[[#This Row],[DESCUENTO]])</f>
        <v>699</v>
      </c>
      <c r="AC41" s="29">
        <v>0.14499999999999999</v>
      </c>
      <c r="AD41" s="26">
        <f>Tabla1[[#This Row],[PRECIO FINAL ML]]*Tabla1[[#This Row],[COMISIÓN ML]]</f>
        <v>101.35499999999999</v>
      </c>
      <c r="AE41" s="26"/>
      <c r="AF41" s="29">
        <v>0.03</v>
      </c>
      <c r="AG41" s="26">
        <f>(Tabla1[[#This Row],[PRECIO FINAL ML]]*Tabla1[[#This Row],[% ACOS]])/2</f>
        <v>10.484999999999999</v>
      </c>
      <c r="AH41" s="26">
        <f>Tabla1[[#This Row],[TOT COMISIÓN]]+Tabla1[[#This Row],[FIJO ML]]+Tabla1[[#This Row],[ACOS]]</f>
        <v>111.83999999999999</v>
      </c>
      <c r="AI41" s="26">
        <f t="shared" si="4"/>
        <v>1.1957279999999999</v>
      </c>
      <c r="AJ41" s="32">
        <f>Tabla1[[#This Row],[PRECIO FINAL ML]]-Tabla1[[#This Row],[DESCUENTO TOT]]-Tabla1[[#This Row],[ENVÍO]]</f>
        <v>585.96427199999994</v>
      </c>
    </row>
    <row r="42" spans="1:36" ht="18" customHeight="1" x14ac:dyDescent="0.25">
      <c r="A42" s="135"/>
      <c r="B42" s="5">
        <v>1</v>
      </c>
      <c r="C42" s="2" t="s">
        <v>159</v>
      </c>
      <c r="D42" s="5" t="s">
        <v>194</v>
      </c>
      <c r="E42" s="5" t="s">
        <v>275</v>
      </c>
      <c r="F42" s="5" t="s">
        <v>279</v>
      </c>
      <c r="G42" s="5">
        <v>208</v>
      </c>
      <c r="H42" s="26">
        <v>2.95</v>
      </c>
      <c r="I42" s="26">
        <v>2.95</v>
      </c>
      <c r="J42" s="26">
        <f>Tabla1[[#This Row],[HOY]]-Tabla1[[#This Row],[AYER]]</f>
        <v>0</v>
      </c>
      <c r="K42" s="5">
        <v>25</v>
      </c>
      <c r="L42" s="54" t="s">
        <v>155</v>
      </c>
      <c r="M42" s="54"/>
      <c r="N42" s="53" t="s">
        <v>160</v>
      </c>
      <c r="O42" s="9" t="s">
        <v>132</v>
      </c>
      <c r="P42" s="9">
        <v>5</v>
      </c>
      <c r="Q42" s="5"/>
      <c r="R42" s="2"/>
      <c r="S42" s="11" t="str">
        <f>IF(B42="","",(IF((Tabla1[[#This Row],[STOCK]]-1)&lt;Tabla1[[#This Row],[INV MIN]],"PAUSAR!!!!","")))</f>
        <v/>
      </c>
      <c r="T42" s="44" t="str">
        <f>IF(Tabla1[[#This Row],[UTILIDAD]]&lt;0,"PÉRDIDA!!!","")</f>
        <v/>
      </c>
      <c r="U42" s="60"/>
      <c r="V42" s="32">
        <f>Tabla1[[#This Row],[TOT VENTA]]-Tabla1[[#This Row],[COSTO]]</f>
        <v>43.574311999999999</v>
      </c>
      <c r="W42" s="6">
        <f>Tabla1[[#This Row],[HOY]]*$T$2</f>
        <v>0.47200000000000003</v>
      </c>
      <c r="X42" s="6">
        <f>Tabla1[[#This Row],[HOY]]+Tabla1[[#This Row],[IVA]]</f>
        <v>3.4220000000000002</v>
      </c>
      <c r="Y42" s="41">
        <f>Tabla1[[#This Row],[TOTAL]]*B42*$C$2</f>
        <v>58.789960000000001</v>
      </c>
      <c r="Z42" s="26">
        <v>212</v>
      </c>
      <c r="AA42" s="29">
        <v>0.25</v>
      </c>
      <c r="AB42" s="32">
        <f>Tabla1[[#This Row],[PRECIO ML]]*(1-Tabla1[[#This Row],[DESCUENTO]])</f>
        <v>159</v>
      </c>
      <c r="AC42" s="29">
        <v>0.14499999999999999</v>
      </c>
      <c r="AD42" s="26">
        <f>Tabla1[[#This Row],[PRECIO FINAL ML]]*Tabla1[[#This Row],[COMISIÓN ML]]</f>
        <v>23.055</v>
      </c>
      <c r="AE42" s="26">
        <v>30</v>
      </c>
      <c r="AF42" s="29">
        <v>0.03</v>
      </c>
      <c r="AG42" s="26">
        <f>(Tabla1[[#This Row],[PRECIO FINAL ML]]*Tabla1[[#This Row],[% ACOS]])/2</f>
        <v>2.3849999999999998</v>
      </c>
      <c r="AH42" s="26">
        <f>Tabla1[[#This Row],[TOT COMISIÓN]]+Tabla1[[#This Row],[FIJO ML]]+Tabla1[[#This Row],[ACOS]]</f>
        <v>55.44</v>
      </c>
      <c r="AI42" s="26">
        <f t="shared" si="4"/>
        <v>1.1957279999999999</v>
      </c>
      <c r="AJ42" s="32">
        <f>Tabla1[[#This Row],[PRECIO FINAL ML]]-Tabla1[[#This Row],[DESCUENTO TOT]]-Tabla1[[#This Row],[ENVÍO]]</f>
        <v>102.364272</v>
      </c>
    </row>
    <row r="43" spans="1:36" ht="18" customHeight="1" x14ac:dyDescent="0.25">
      <c r="A43" s="135"/>
      <c r="B43" s="5">
        <v>1</v>
      </c>
      <c r="C43" s="2"/>
      <c r="D43" s="5"/>
      <c r="E43" s="5"/>
      <c r="F43" s="5"/>
      <c r="G43" s="5"/>
      <c r="H43" s="26"/>
      <c r="I43" s="26"/>
      <c r="J43" s="26"/>
      <c r="K43" s="5"/>
      <c r="L43" s="54"/>
      <c r="M43" s="54"/>
      <c r="N43" s="116"/>
      <c r="O43" s="8"/>
      <c r="P43" s="8"/>
      <c r="Q43" s="5"/>
      <c r="R43" s="2"/>
      <c r="S43" s="11" t="str">
        <f>IF(B43="","",(IF((Tabla1[[#This Row],[STOCK]]-1)&lt;Tabla1[[#This Row],[INV MIN]],"PAUSAR!!!!","")))</f>
        <v>PAUSAR!!!!</v>
      </c>
      <c r="T43" s="44" t="str">
        <f>IF(Tabla1[[#This Row],[UTILIDAD]]&lt;0,"PÉRDIDA!!!","")</f>
        <v>PÉRDIDA!!!</v>
      </c>
      <c r="U43" s="60"/>
      <c r="V43" s="32">
        <f>Tabla1[[#This Row],[TOT VENTA]]-Tabla1[[#This Row],[COSTO]]</f>
        <v>-31.195727999999999</v>
      </c>
      <c r="W43" s="6">
        <f>Tabla1[[#This Row],[HOY]]*$T$2</f>
        <v>0</v>
      </c>
      <c r="X43" s="6">
        <f>Tabla1[[#This Row],[HOY]]+Tabla1[[#This Row],[IVA]]</f>
        <v>0</v>
      </c>
      <c r="Y43" s="41">
        <f>Tabla1[[#This Row],[TOTAL]]*B43*$C$2</f>
        <v>0</v>
      </c>
      <c r="Z43" s="26"/>
      <c r="AA43" s="29">
        <v>0.25</v>
      </c>
      <c r="AB43" s="32">
        <f>Tabla1[[#This Row],[PRECIO ML]]*(1-Tabla1[[#This Row],[DESCUENTO]])</f>
        <v>0</v>
      </c>
      <c r="AC43" s="29">
        <v>0.14499999999999999</v>
      </c>
      <c r="AD43" s="26">
        <f>Tabla1[[#This Row],[PRECIO FINAL ML]]*Tabla1[[#This Row],[COMISIÓN ML]]</f>
        <v>0</v>
      </c>
      <c r="AE43" s="26">
        <v>30</v>
      </c>
      <c r="AF43" s="29">
        <v>0.03</v>
      </c>
      <c r="AG43" s="26">
        <f>(Tabla1[[#This Row],[PRECIO FINAL ML]]*Tabla1[[#This Row],[% ACOS]])/2</f>
        <v>0</v>
      </c>
      <c r="AH43" s="26">
        <f>Tabla1[[#This Row],[TOT COMISIÓN]]+Tabla1[[#This Row],[FIJO ML]]+Tabla1[[#This Row],[ACOS]]</f>
        <v>30</v>
      </c>
      <c r="AI43" s="26">
        <f t="shared" si="4"/>
        <v>1.1957279999999999</v>
      </c>
      <c r="AJ43" s="32">
        <f>Tabla1[[#This Row],[PRECIO FINAL ML]]-Tabla1[[#This Row],[DESCUENTO TOT]]-Tabla1[[#This Row],[ENVÍO]]</f>
        <v>-31.195727999999999</v>
      </c>
    </row>
    <row r="44" spans="1:36" ht="18" customHeight="1" x14ac:dyDescent="0.25">
      <c r="A44" s="3"/>
      <c r="G44" s="3"/>
      <c r="H44" s="24"/>
      <c r="I44" s="24"/>
      <c r="J44" s="24"/>
      <c r="K44" s="3"/>
      <c r="L44" s="4"/>
      <c r="M44" s="4"/>
      <c r="N44" s="13"/>
      <c r="O44" s="3"/>
      <c r="P44" s="3"/>
      <c r="Q44" s="3"/>
      <c r="R44" s="4"/>
      <c r="S44" s="4"/>
      <c r="T44" s="43" t="str">
        <f>IF(Tabla1[[#This Row],[UTILIDAD]]&lt;0,"PÉRDIDA!!!","")</f>
        <v/>
      </c>
      <c r="U44" s="58"/>
      <c r="V44" s="36"/>
      <c r="W44" s="7"/>
      <c r="X44" s="7"/>
      <c r="Y44" s="42"/>
      <c r="Z44" s="24"/>
      <c r="AA44" s="27"/>
      <c r="AB44" s="7"/>
      <c r="AC44" s="27"/>
      <c r="AD44" s="24"/>
      <c r="AF44" s="27"/>
      <c r="AG44" s="24"/>
      <c r="AH44" s="24"/>
      <c r="AI44" s="24"/>
      <c r="AJ44" s="36"/>
    </row>
    <row r="45" spans="1:36" ht="18" customHeight="1" x14ac:dyDescent="0.25">
      <c r="A45" s="3"/>
      <c r="G45" s="3"/>
      <c r="H45" s="24"/>
      <c r="I45" s="24"/>
      <c r="J45" s="24"/>
      <c r="K45" s="3"/>
      <c r="L45" s="4"/>
      <c r="M45" s="4"/>
      <c r="N45" s="13"/>
      <c r="O45" s="3"/>
      <c r="P45" s="3"/>
      <c r="Q45" s="3"/>
      <c r="R45" s="4"/>
      <c r="S45" s="4"/>
      <c r="T45" s="43" t="str">
        <f>IF(Tabla1[[#This Row],[UTILIDAD]]&lt;0,"PÉRDIDA!!!","")</f>
        <v/>
      </c>
      <c r="U45" s="58"/>
      <c r="V45" s="36"/>
      <c r="W45" s="7"/>
      <c r="X45" s="7"/>
      <c r="Y45" s="42"/>
      <c r="Z45" s="24"/>
      <c r="AA45" s="27"/>
      <c r="AB45" s="7"/>
      <c r="AC45" s="27"/>
      <c r="AD45" s="24"/>
      <c r="AF45" s="27"/>
      <c r="AG45" s="24"/>
      <c r="AH45" s="24"/>
      <c r="AI45" s="24"/>
      <c r="AJ45" s="36"/>
    </row>
    <row r="46" spans="1:36" ht="18" customHeight="1" x14ac:dyDescent="0.25">
      <c r="A46" s="144" t="s">
        <v>135</v>
      </c>
      <c r="B46" s="5">
        <v>1</v>
      </c>
      <c r="C46" s="2" t="s">
        <v>295</v>
      </c>
      <c r="D46" s="5" t="s">
        <v>194</v>
      </c>
      <c r="E46" s="5" t="s">
        <v>256</v>
      </c>
      <c r="F46" s="5" t="s">
        <v>294</v>
      </c>
      <c r="G46" s="5">
        <v>500</v>
      </c>
      <c r="H46" s="26">
        <v>5.83</v>
      </c>
      <c r="I46" s="26">
        <v>5.83</v>
      </c>
      <c r="J46" s="26">
        <f>Tabla1[[#This Row],[HOY]]-Tabla1[[#This Row],[AYER]]</f>
        <v>0</v>
      </c>
      <c r="K46" s="5">
        <v>50</v>
      </c>
      <c r="L46" s="54" t="s">
        <v>296</v>
      </c>
      <c r="M46" s="54"/>
      <c r="N46" s="53" t="s">
        <v>297</v>
      </c>
      <c r="O46" s="9" t="s">
        <v>132</v>
      </c>
      <c r="P46" s="9">
        <v>25</v>
      </c>
      <c r="Q46" s="5"/>
      <c r="R46" s="2" t="s">
        <v>14</v>
      </c>
      <c r="S46" s="11" t="str">
        <f>IF(B46="","",(IF((Tabla1[[#This Row],[STOCK]]-1)&lt;Tabla1[[#This Row],[INV MIN]],"PAUSAR!!!!","")))</f>
        <v/>
      </c>
      <c r="T46" s="44" t="str">
        <f>IF(Tabla1[[#This Row],[UTILIDAD]]&lt;0,"PÉRDIDA!!!","")</f>
        <v/>
      </c>
      <c r="U46" s="60"/>
      <c r="V46" s="32">
        <f>Tabla1[[#This Row],[TOT VENTA]]-Tabla1[[#This Row],[COSTO]]</f>
        <v>29.938567999999989</v>
      </c>
      <c r="W46" s="6">
        <f>Tabla1[[#This Row],[HOY]]*$T$2</f>
        <v>0.93280000000000007</v>
      </c>
      <c r="X46" s="6">
        <f>Tabla1[[#This Row],[HOY]]+Tabla1[[#This Row],[IVA]]</f>
        <v>6.7628000000000004</v>
      </c>
      <c r="Y46" s="41">
        <f>Tabla1[[#This Row],[TOTAL]]*B46*$C$2</f>
        <v>116.184904</v>
      </c>
      <c r="Z46" s="26">
        <v>259</v>
      </c>
      <c r="AA46" s="29">
        <v>0.28000000000000003</v>
      </c>
      <c r="AB46" s="32">
        <f>Tabla1[[#This Row],[PRECIO ML]]*(1-Tabla1[[#This Row],[DESCUENTO]])</f>
        <v>186.48</v>
      </c>
      <c r="AC46" s="29">
        <v>0.19500000000000001</v>
      </c>
      <c r="AD46" s="26">
        <f>Tabla1[[#This Row],[PRECIO FINAL ML]]*Tabla1[[#This Row],[COMISIÓN ML]]</f>
        <v>36.363599999999998</v>
      </c>
      <c r="AE46" s="26"/>
      <c r="AF46" s="29">
        <v>0.03</v>
      </c>
      <c r="AG46" s="26">
        <f>(Tabla1[[#This Row],[PRECIO FINAL ML]]*Tabla1[[#This Row],[% ACOS]])/2</f>
        <v>2.7971999999999997</v>
      </c>
      <c r="AH46" s="26">
        <f>Tabla1[[#This Row],[TOT COMISIÓN]]+Tabla1[[#This Row],[FIJO ML]]+Tabla1[[#This Row],[ACOS]]</f>
        <v>39.160799999999995</v>
      </c>
      <c r="AI46" s="26">
        <f t="shared" ref="AI46:AI53" si="5">$AF$2*(1+$T$2)*$C$2</f>
        <v>1.1957279999999999</v>
      </c>
      <c r="AJ46" s="32">
        <f>Tabla1[[#This Row],[PRECIO FINAL ML]]-Tabla1[[#This Row],[DESCUENTO TOT]]-Tabla1[[#This Row],[ENVÍO]]</f>
        <v>146.12347199999999</v>
      </c>
    </row>
    <row r="47" spans="1:36" ht="18" customHeight="1" x14ac:dyDescent="0.25">
      <c r="A47" s="144"/>
      <c r="B47" s="5">
        <v>1</v>
      </c>
      <c r="C47" s="2" t="s">
        <v>237</v>
      </c>
      <c r="D47" s="5" t="s">
        <v>194</v>
      </c>
      <c r="E47" s="5" t="s">
        <v>256</v>
      </c>
      <c r="F47" s="5" t="s">
        <v>289</v>
      </c>
      <c r="G47" s="5">
        <v>500</v>
      </c>
      <c r="H47" s="26">
        <v>9.01</v>
      </c>
      <c r="I47" s="26">
        <v>9.01</v>
      </c>
      <c r="J47" s="26">
        <f>Tabla1[[#This Row],[HOY]]-Tabla1[[#This Row],[AYER]]</f>
        <v>0</v>
      </c>
      <c r="K47" s="5">
        <v>50</v>
      </c>
      <c r="L47" s="54" t="s">
        <v>238</v>
      </c>
      <c r="M47" s="54"/>
      <c r="N47" s="53" t="s">
        <v>239</v>
      </c>
      <c r="O47" s="9" t="s">
        <v>132</v>
      </c>
      <c r="P47" s="9">
        <v>25</v>
      </c>
      <c r="Q47" s="5"/>
      <c r="R47" s="2" t="s">
        <v>14</v>
      </c>
      <c r="S47" s="11" t="str">
        <f>IF(B47="","",(IF((Tabla1[[#This Row],[STOCK]]-1)&lt;Tabla1[[#This Row],[INV MIN]],"PAUSAR!!!!","")))</f>
        <v/>
      </c>
      <c r="T47" s="44" t="str">
        <f>IF(Tabla1[[#This Row],[UTILIDAD]]&lt;0,"PÉRDIDA!!!","")</f>
        <v/>
      </c>
      <c r="U47" s="60"/>
      <c r="V47" s="32">
        <f>Tabla1[[#This Row],[TOT VENTA]]-Tabla1[[#This Row],[COSTO]]</f>
        <v>55.771783999999997</v>
      </c>
      <c r="W47" s="6">
        <f>Tabla1[[#This Row],[HOY]]*$T$2</f>
        <v>1.4416</v>
      </c>
      <c r="X47" s="6">
        <f>Tabla1[[#This Row],[HOY]]+Tabla1[[#This Row],[IVA]]</f>
        <v>10.451599999999999</v>
      </c>
      <c r="Y47" s="41">
        <f>Tabla1[[#This Row],[TOTAL]]*B47*$C$2</f>
        <v>179.55848799999998</v>
      </c>
      <c r="Z47" s="26">
        <v>499</v>
      </c>
      <c r="AA47" s="29">
        <v>0.4</v>
      </c>
      <c r="AB47" s="32">
        <f>Tabla1[[#This Row],[PRECIO ML]]*(1-Tabla1[[#This Row],[DESCUENTO]])</f>
        <v>299.39999999999998</v>
      </c>
      <c r="AC47" s="29">
        <v>0.19500000000000001</v>
      </c>
      <c r="AD47" s="26">
        <f>Tabla1[[#This Row],[PRECIO FINAL ML]]*Tabla1[[#This Row],[COMISIÓN ML]]</f>
        <v>58.382999999999996</v>
      </c>
      <c r="AE47" s="26"/>
      <c r="AF47" s="29">
        <v>0.03</v>
      </c>
      <c r="AG47" s="26">
        <f>(Tabla1[[#This Row],[PRECIO FINAL ML]]*Tabla1[[#This Row],[% ACOS]])/2</f>
        <v>4.4909999999999997</v>
      </c>
      <c r="AH47" s="26">
        <f>Tabla1[[#This Row],[TOT COMISIÓN]]+Tabla1[[#This Row],[FIJO ML]]+Tabla1[[#This Row],[ACOS]]</f>
        <v>62.873999999999995</v>
      </c>
      <c r="AI47" s="26">
        <f t="shared" si="5"/>
        <v>1.1957279999999999</v>
      </c>
      <c r="AJ47" s="32">
        <f>Tabla1[[#This Row],[PRECIO FINAL ML]]-Tabla1[[#This Row],[DESCUENTO TOT]]-Tabla1[[#This Row],[ENVÍO]]</f>
        <v>235.33027199999998</v>
      </c>
    </row>
    <row r="48" spans="1:36" ht="18" customHeight="1" x14ac:dyDescent="0.25">
      <c r="A48" s="144"/>
      <c r="B48" s="5">
        <v>1</v>
      </c>
      <c r="C48" s="2" t="s">
        <v>284</v>
      </c>
      <c r="D48" s="5" t="s">
        <v>194</v>
      </c>
      <c r="E48" s="5" t="s">
        <v>256</v>
      </c>
      <c r="F48" s="5" t="s">
        <v>285</v>
      </c>
      <c r="G48" s="5">
        <v>500</v>
      </c>
      <c r="H48" s="26">
        <v>12.43</v>
      </c>
      <c r="I48" s="26">
        <v>12.43</v>
      </c>
      <c r="J48" s="26">
        <f>Tabla1[[#This Row],[AYER]]-Tabla1[[#This Row],[HOY]]</f>
        <v>0</v>
      </c>
      <c r="K48" s="5">
        <v>50</v>
      </c>
      <c r="L48" s="54" t="s">
        <v>286</v>
      </c>
      <c r="M48" s="54"/>
      <c r="N48" s="68" t="s">
        <v>287</v>
      </c>
      <c r="O48" s="9" t="s">
        <v>132</v>
      </c>
      <c r="P48" s="9">
        <v>25</v>
      </c>
      <c r="Q48" s="5"/>
      <c r="R48" s="2"/>
      <c r="S48" s="11" t="str">
        <f>IF(B48="","",(IF((Tabla1[[#This Row],[STOCK]]-1)&lt;Tabla1[[#This Row],[INV MIN]],"PAUSAR!!!!","")))</f>
        <v/>
      </c>
      <c r="T48" s="44" t="str">
        <f>IF(Tabla1[[#This Row],[UTILIDAD]]&lt;0,"PÉRDIDA!!!","")</f>
        <v/>
      </c>
      <c r="U48" s="60"/>
      <c r="V48" s="32">
        <f>Tabla1[[#This Row],[TOT VENTA]]-Tabla1[[#This Row],[COSTO]]</f>
        <v>46.96798800000002</v>
      </c>
      <c r="W48" s="84">
        <f>Tabla1[[#This Row],[HOY]]*0.16</f>
        <v>1.9887999999999999</v>
      </c>
      <c r="X48" s="85">
        <f>Tabla1[[#This Row],[HOY]]+Tabla1[[#This Row],[IVA]]</f>
        <v>14.418799999999999</v>
      </c>
      <c r="Y48" s="41">
        <f>Tabla1[[#This Row],[TOTAL]]*$C$2</f>
        <v>247.71498399999999</v>
      </c>
      <c r="Z48" s="47">
        <v>559</v>
      </c>
      <c r="AA48" s="48">
        <v>0.33</v>
      </c>
      <c r="AB48" s="32">
        <f>Tabla1[[#This Row],[PRECIO ML]]*(1-Tabla1[[#This Row],[DESCUENTO]])</f>
        <v>374.53</v>
      </c>
      <c r="AC48" s="29">
        <v>0.19500000000000001</v>
      </c>
      <c r="AD48" s="26">
        <f>Tabla1[[#This Row],[PRECIO FINAL ML]]*Tabla1[[#This Row],[COMISIÓN ML]]</f>
        <v>73.033349999999999</v>
      </c>
      <c r="AE48" s="26"/>
      <c r="AF48" s="29">
        <v>0.03</v>
      </c>
      <c r="AG48" s="26">
        <f>(Tabla1[[#This Row],[PRECIO FINAL ML]]*Tabla1[[#This Row],[% ACOS]])/2</f>
        <v>5.6179499999999996</v>
      </c>
      <c r="AH48" s="26">
        <f>Tabla1[[#This Row],[TOT COMISIÓN]]+Tabla1[[#This Row],[FIJO ML]]+Tabla1[[#This Row],[ACOS]]</f>
        <v>78.651299999999992</v>
      </c>
      <c r="AI48" s="26">
        <f t="shared" si="5"/>
        <v>1.1957279999999999</v>
      </c>
      <c r="AJ48" s="32">
        <f>Tabla1[[#This Row],[PRECIO FINAL ML]]-Tabla1[[#This Row],[DESCUENTO TOT]]-Tabla1[[#This Row],[ENVÍO]]</f>
        <v>294.68297200000001</v>
      </c>
    </row>
    <row r="49" spans="1:36" ht="18" customHeight="1" x14ac:dyDescent="0.25">
      <c r="A49" s="144"/>
      <c r="B49" s="5">
        <v>1</v>
      </c>
      <c r="C49" s="2" t="s">
        <v>246</v>
      </c>
      <c r="D49" s="5" t="s">
        <v>194</v>
      </c>
      <c r="E49" s="5" t="s">
        <v>288</v>
      </c>
      <c r="F49" s="5" t="s">
        <v>290</v>
      </c>
      <c r="G49" s="5">
        <v>500</v>
      </c>
      <c r="H49" s="26">
        <v>9.6300000000000008</v>
      </c>
      <c r="I49" s="26">
        <v>9.6300000000000008</v>
      </c>
      <c r="J49" s="26">
        <f>Tabla1[[#This Row],[AYER]]-Tabla1[[#This Row],[HOY]]</f>
        <v>0</v>
      </c>
      <c r="K49" s="5">
        <v>50</v>
      </c>
      <c r="L49" s="54" t="s">
        <v>247</v>
      </c>
      <c r="M49" s="54"/>
      <c r="N49" s="53" t="s">
        <v>252</v>
      </c>
      <c r="O49" s="9" t="s">
        <v>132</v>
      </c>
      <c r="P49" s="9">
        <v>25</v>
      </c>
      <c r="Q49" s="5"/>
      <c r="R49" s="2"/>
      <c r="S49" s="11" t="str">
        <f>IF(B49="","",(IF((Tabla1[[#This Row],[STOCK]]-1)&lt;Tabla1[[#This Row],[INV MIN]],"PAUSAR!!!!","")))</f>
        <v/>
      </c>
      <c r="T49" s="44" t="str">
        <f>IF(Tabla1[[#This Row],[UTILIDAD]]&lt;0,"PÉRDIDA!!!","")</f>
        <v/>
      </c>
      <c r="U49" s="60"/>
      <c r="V49" s="32">
        <f>Tabla1[[#This Row],[TOT VENTA]]-Tabla1[[#This Row],[COSTO]]</f>
        <v>90.815927999999985</v>
      </c>
      <c r="W49" s="6">
        <f>Tabla1[[#This Row],[HOY]]*$T$2</f>
        <v>1.5408000000000002</v>
      </c>
      <c r="X49" s="6">
        <f>Tabla1[[#This Row],[HOY]]+Tabla1[[#This Row],[IVA]]</f>
        <v>11.170800000000002</v>
      </c>
      <c r="Y49" s="41">
        <f>Tabla1[[#This Row],[TOTAL]]*B49*$C$2</f>
        <v>191.91434400000003</v>
      </c>
      <c r="Z49" s="26">
        <v>599</v>
      </c>
      <c r="AA49" s="29">
        <v>0.4</v>
      </c>
      <c r="AB49" s="32">
        <f>Tabla1[[#This Row],[PRECIO ML]]*(1-Tabla1[[#This Row],[DESCUENTO]])</f>
        <v>359.4</v>
      </c>
      <c r="AC49" s="29">
        <v>0.19500000000000001</v>
      </c>
      <c r="AD49" s="26">
        <f>Tabla1[[#This Row],[PRECIO FINAL ML]]*Tabla1[[#This Row],[COMISIÓN ML]]</f>
        <v>70.082999999999998</v>
      </c>
      <c r="AE49" s="26"/>
      <c r="AF49" s="29">
        <v>0.03</v>
      </c>
      <c r="AG49" s="26">
        <f>(Tabla1[[#This Row],[PRECIO FINAL ML]]*Tabla1[[#This Row],[% ACOS]])/2</f>
        <v>5.3909999999999991</v>
      </c>
      <c r="AH49" s="26">
        <f>Tabla1[[#This Row],[TOT COMISIÓN]]+Tabla1[[#This Row],[FIJO ML]]+Tabla1[[#This Row],[ACOS]]</f>
        <v>75.474000000000004</v>
      </c>
      <c r="AI49" s="26">
        <f t="shared" si="5"/>
        <v>1.1957279999999999</v>
      </c>
      <c r="AJ49" s="32">
        <f>Tabla1[[#This Row],[PRECIO FINAL ML]]-Tabla1[[#This Row],[DESCUENTO TOT]]-Tabla1[[#This Row],[ENVÍO]]</f>
        <v>282.73027200000001</v>
      </c>
    </row>
    <row r="50" spans="1:36" ht="18" customHeight="1" x14ac:dyDescent="0.25">
      <c r="A50" s="144"/>
      <c r="B50" s="5">
        <v>1</v>
      </c>
      <c r="C50" s="2" t="s">
        <v>245</v>
      </c>
      <c r="D50" s="5" t="s">
        <v>194</v>
      </c>
      <c r="E50" s="5" t="s">
        <v>288</v>
      </c>
      <c r="F50" s="5" t="s">
        <v>291</v>
      </c>
      <c r="G50" s="5">
        <v>457</v>
      </c>
      <c r="H50" s="26">
        <v>9.2100000000000009</v>
      </c>
      <c r="I50" s="26">
        <v>9.2100000000000009</v>
      </c>
      <c r="J50" s="26">
        <f>Tabla1[[#This Row],[HOY]]-Tabla1[[#This Row],[AYER]]</f>
        <v>0</v>
      </c>
      <c r="K50" s="5">
        <v>50</v>
      </c>
      <c r="L50" s="54" t="s">
        <v>242</v>
      </c>
      <c r="M50" s="54"/>
      <c r="N50" s="68" t="s">
        <v>253</v>
      </c>
      <c r="O50" s="9" t="s">
        <v>132</v>
      </c>
      <c r="P50" s="9">
        <v>25</v>
      </c>
      <c r="Q50" s="5"/>
      <c r="R50" s="2" t="s">
        <v>14</v>
      </c>
      <c r="S50" s="11" t="str">
        <f>IF(B50="","",(IF((Tabla1[[#This Row],[STOCK]]-1)&lt;Tabla1[[#This Row],[INV MIN]],"PAUSAR!!!!","")))</f>
        <v/>
      </c>
      <c r="T50" s="44" t="str">
        <f>IF(Tabla1[[#This Row],[UTILIDAD]]&lt;0,"PÉRDIDA!!!","")</f>
        <v/>
      </c>
      <c r="U50" s="60"/>
      <c r="V50" s="32">
        <f>Tabla1[[#This Row],[TOT VENTA]]-Tabla1[[#This Row],[COSTO]]</f>
        <v>51.786023999999941</v>
      </c>
      <c r="W50" s="6">
        <f>Tabla1[[#This Row],[HOY]]*$T$2</f>
        <v>1.4736000000000002</v>
      </c>
      <c r="X50" s="6">
        <f>Tabla1[[#This Row],[HOY]]+Tabla1[[#This Row],[IVA]]</f>
        <v>10.683600000000002</v>
      </c>
      <c r="Y50" s="41">
        <f>Tabla1[[#This Row],[TOTAL]]*B50*$C$2</f>
        <v>183.54424800000004</v>
      </c>
      <c r="Z50" s="26">
        <v>499</v>
      </c>
      <c r="AA50" s="29">
        <v>0.4</v>
      </c>
      <c r="AB50" s="32">
        <f>Tabla1[[#This Row],[PRECIO ML]]*(1-Tabla1[[#This Row],[DESCUENTO]])</f>
        <v>299.39999999999998</v>
      </c>
      <c r="AC50" s="29">
        <v>0.19500000000000001</v>
      </c>
      <c r="AD50" s="26">
        <f>Tabla1[[#This Row],[PRECIO FINAL ML]]*Tabla1[[#This Row],[COMISIÓN ML]]</f>
        <v>58.382999999999996</v>
      </c>
      <c r="AE50" s="26"/>
      <c r="AF50" s="29">
        <v>0.03</v>
      </c>
      <c r="AG50" s="26">
        <f>(Tabla1[[#This Row],[PRECIO FINAL ML]]*Tabla1[[#This Row],[% ACOS]])/2</f>
        <v>4.4909999999999997</v>
      </c>
      <c r="AH50" s="26">
        <f>Tabla1[[#This Row],[TOT COMISIÓN]]+Tabla1[[#This Row],[FIJO ML]]+Tabla1[[#This Row],[ACOS]]</f>
        <v>62.873999999999995</v>
      </c>
      <c r="AI50" s="26">
        <f t="shared" si="5"/>
        <v>1.1957279999999999</v>
      </c>
      <c r="AJ50" s="32">
        <f>Tabla1[[#This Row],[PRECIO FINAL ML]]-Tabla1[[#This Row],[DESCUENTO TOT]]-Tabla1[[#This Row],[ENVÍO]]</f>
        <v>235.33027199999998</v>
      </c>
    </row>
    <row r="51" spans="1:36" ht="18" customHeight="1" x14ac:dyDescent="0.25">
      <c r="A51" s="144"/>
      <c r="B51" s="5">
        <v>1</v>
      </c>
      <c r="C51" s="2" t="s">
        <v>298</v>
      </c>
      <c r="D51" s="5" t="s">
        <v>194</v>
      </c>
      <c r="E51" s="5" t="s">
        <v>288</v>
      </c>
      <c r="F51" s="5" t="s">
        <v>292</v>
      </c>
      <c r="G51" s="5">
        <v>500</v>
      </c>
      <c r="H51" s="26">
        <v>13.24</v>
      </c>
      <c r="I51" s="26">
        <v>13.24</v>
      </c>
      <c r="J51" s="26">
        <f>Tabla1[[#This Row],[HOY]]-Tabla1[[#This Row],[AYER]]</f>
        <v>0</v>
      </c>
      <c r="K51" s="5">
        <v>50</v>
      </c>
      <c r="L51" s="54" t="s">
        <v>240</v>
      </c>
      <c r="M51" s="54"/>
      <c r="N51" s="68" t="s">
        <v>241</v>
      </c>
      <c r="O51" s="9" t="s">
        <v>132</v>
      </c>
      <c r="P51" s="9">
        <v>25</v>
      </c>
      <c r="Q51" s="5"/>
      <c r="R51" s="2" t="s">
        <v>14</v>
      </c>
      <c r="S51" s="11" t="str">
        <f>IF(B51="","",(IF((Tabla1[[#This Row],[STOCK]]-1)&lt;Tabla1[[#This Row],[INV MIN]],"PAUSAR!!!!","")))</f>
        <v/>
      </c>
      <c r="T51" s="44" t="str">
        <f>IF(Tabla1[[#This Row],[UTILIDAD]]&lt;0,"PÉRDIDA!!!","")</f>
        <v/>
      </c>
      <c r="U51" s="60"/>
      <c r="V51" s="32">
        <f>Tabla1[[#This Row],[TOT VENTA]]-Tabla1[[#This Row],[COSTO]]</f>
        <v>93.883460000000071</v>
      </c>
      <c r="W51" s="6">
        <f>Tabla1[[#This Row],[HOY]]*$T$2</f>
        <v>2.1184000000000003</v>
      </c>
      <c r="X51" s="6">
        <f>Tabla1[[#This Row],[HOY]]+Tabla1[[#This Row],[IVA]]</f>
        <v>15.3584</v>
      </c>
      <c r="Y51" s="41">
        <f>Tabla1[[#This Row],[TOTAL]]*B51*$C$2</f>
        <v>263.85731199999998</v>
      </c>
      <c r="Z51" s="26">
        <v>699</v>
      </c>
      <c r="AA51" s="29">
        <v>0.35</v>
      </c>
      <c r="AB51" s="32">
        <f>Tabla1[[#This Row],[PRECIO ML]]*(1-Tabla1[[#This Row],[DESCUENTO]])</f>
        <v>454.35</v>
      </c>
      <c r="AC51" s="29">
        <v>0.19500000000000001</v>
      </c>
      <c r="AD51" s="26">
        <f>Tabla1[[#This Row],[PRECIO FINAL ML]]*Tabla1[[#This Row],[COMISIÓN ML]]</f>
        <v>88.598250000000007</v>
      </c>
      <c r="AE51" s="26"/>
      <c r="AF51" s="29">
        <v>0.03</v>
      </c>
      <c r="AG51" s="26">
        <f>(Tabla1[[#This Row],[PRECIO FINAL ML]]*Tabla1[[#This Row],[% ACOS]])/2</f>
        <v>6.8152499999999998</v>
      </c>
      <c r="AH51" s="26">
        <f>Tabla1[[#This Row],[TOT COMISIÓN]]+Tabla1[[#This Row],[FIJO ML]]+Tabla1[[#This Row],[ACOS]]</f>
        <v>95.413500000000013</v>
      </c>
      <c r="AI51" s="26">
        <f t="shared" si="5"/>
        <v>1.1957279999999999</v>
      </c>
      <c r="AJ51" s="32">
        <f>Tabla1[[#This Row],[PRECIO FINAL ML]]-Tabla1[[#This Row],[DESCUENTO TOT]]-Tabla1[[#This Row],[ENVÍO]]</f>
        <v>357.74077200000005</v>
      </c>
    </row>
    <row r="52" spans="1:36" ht="18" customHeight="1" x14ac:dyDescent="0.25">
      <c r="A52" s="144"/>
      <c r="B52" s="5">
        <v>1</v>
      </c>
      <c r="C52" s="2" t="s">
        <v>299</v>
      </c>
      <c r="D52" s="5" t="s">
        <v>194</v>
      </c>
      <c r="E52" s="5" t="s">
        <v>288</v>
      </c>
      <c r="F52" s="5" t="s">
        <v>348</v>
      </c>
      <c r="G52" s="5">
        <v>286</v>
      </c>
      <c r="H52" s="26">
        <v>13.64</v>
      </c>
      <c r="I52" s="26">
        <v>13.64</v>
      </c>
      <c r="J52" s="26">
        <f>Tabla1[[#This Row],[HOY]]-Tabla1[[#This Row],[AYER]]</f>
        <v>0</v>
      </c>
      <c r="K52" s="5">
        <v>50</v>
      </c>
      <c r="L52" s="54" t="s">
        <v>300</v>
      </c>
      <c r="M52" s="54"/>
      <c r="N52" s="68" t="s">
        <v>301</v>
      </c>
      <c r="O52" s="9" t="s">
        <v>132</v>
      </c>
      <c r="P52" s="9">
        <v>25</v>
      </c>
      <c r="Q52" s="5"/>
      <c r="R52" s="2" t="s">
        <v>14</v>
      </c>
      <c r="S52" s="11" t="str">
        <f>IF(B52="","",(IF((Tabla1[[#This Row],[STOCK]]-1)&lt;Tabla1[[#This Row],[INV MIN]],"PAUSAR!!!!","")))</f>
        <v/>
      </c>
      <c r="T52" s="44" t="str">
        <f>IF(Tabla1[[#This Row],[UTILIDAD]]&lt;0,"PÉRDIDA!!!","")</f>
        <v/>
      </c>
      <c r="U52" s="60"/>
      <c r="V52" s="32">
        <f>Tabla1[[#This Row],[TOT VENTA]]-Tabla1[[#This Row],[COSTO]]</f>
        <v>85.911940000000016</v>
      </c>
      <c r="W52" s="6">
        <f>Tabla1[[#This Row],[HOY]]*$T$2</f>
        <v>2.1824000000000003</v>
      </c>
      <c r="X52" s="6">
        <f>Tabla1[[#This Row],[HOY]]+Tabla1[[#This Row],[IVA]]</f>
        <v>15.822400000000002</v>
      </c>
      <c r="Y52" s="41">
        <f>Tabla1[[#This Row],[TOTAL]]*B52*$C$2</f>
        <v>271.82883200000003</v>
      </c>
      <c r="Z52" s="26">
        <v>699</v>
      </c>
      <c r="AA52" s="29">
        <v>0.35</v>
      </c>
      <c r="AB52" s="32">
        <f>Tabla1[[#This Row],[PRECIO ML]]*(1-Tabla1[[#This Row],[DESCUENTO]])</f>
        <v>454.35</v>
      </c>
      <c r="AC52" s="29">
        <v>0.19500000000000001</v>
      </c>
      <c r="AD52" s="26">
        <f>Tabla1[[#This Row],[PRECIO FINAL ML]]*Tabla1[[#This Row],[COMISIÓN ML]]</f>
        <v>88.598250000000007</v>
      </c>
      <c r="AE52" s="26"/>
      <c r="AF52" s="29">
        <v>0.03</v>
      </c>
      <c r="AG52" s="26">
        <f>(Tabla1[[#This Row],[PRECIO FINAL ML]]*Tabla1[[#This Row],[% ACOS]])/2</f>
        <v>6.8152499999999998</v>
      </c>
      <c r="AH52" s="26">
        <f>Tabla1[[#This Row],[TOT COMISIÓN]]+Tabla1[[#This Row],[FIJO ML]]+Tabla1[[#This Row],[ACOS]]</f>
        <v>95.413500000000013</v>
      </c>
      <c r="AI52" s="26">
        <f t="shared" si="5"/>
        <v>1.1957279999999999</v>
      </c>
      <c r="AJ52" s="32">
        <f>Tabla1[[#This Row],[PRECIO FINAL ML]]-Tabla1[[#This Row],[DESCUENTO TOT]]-Tabla1[[#This Row],[ENVÍO]]</f>
        <v>357.74077200000005</v>
      </c>
    </row>
    <row r="53" spans="1:36" ht="18" customHeight="1" x14ac:dyDescent="0.25">
      <c r="A53" s="144"/>
      <c r="B53" s="5">
        <v>1</v>
      </c>
      <c r="C53" s="2" t="s">
        <v>302</v>
      </c>
      <c r="D53" s="5" t="s">
        <v>194</v>
      </c>
      <c r="E53" s="5" t="s">
        <v>256</v>
      </c>
      <c r="F53" s="5" t="s">
        <v>293</v>
      </c>
      <c r="G53" s="5">
        <v>500</v>
      </c>
      <c r="H53" s="26">
        <v>17.37</v>
      </c>
      <c r="I53" s="26">
        <v>17.37</v>
      </c>
      <c r="J53" s="26">
        <f>Tabla1[[#This Row],[HOY]]-Tabla1[[#This Row],[AYER]]</f>
        <v>0</v>
      </c>
      <c r="K53" s="5">
        <v>50</v>
      </c>
      <c r="L53" s="54" t="s">
        <v>243</v>
      </c>
      <c r="M53" s="54"/>
      <c r="N53" s="68" t="s">
        <v>244</v>
      </c>
      <c r="O53" s="9" t="s">
        <v>132</v>
      </c>
      <c r="P53" s="9">
        <v>25</v>
      </c>
      <c r="Q53" s="5"/>
      <c r="R53" s="2" t="s">
        <v>14</v>
      </c>
      <c r="S53" s="11" t="str">
        <f>IF(B53="","",(IF((Tabla1[[#This Row],[STOCK]]-1)&lt;Tabla1[[#This Row],[INV MIN]],"PAUSAR!!!!","")))</f>
        <v/>
      </c>
      <c r="T53" s="44" t="str">
        <f>IF(Tabla1[[#This Row],[UTILIDAD]]&lt;0,"PÉRDIDA!!!","")</f>
        <v/>
      </c>
      <c r="U53" s="60"/>
      <c r="V53" s="32">
        <f>Tabla1[[#This Row],[TOT VENTA]]-Tabla1[[#This Row],[COSTO]]</f>
        <v>78.767016000000012</v>
      </c>
      <c r="W53" s="6">
        <f>Tabla1[[#This Row],[HOY]]*$T$2</f>
        <v>2.7792000000000003</v>
      </c>
      <c r="X53" s="6">
        <f>Tabla1[[#This Row],[HOY]]+Tabla1[[#This Row],[IVA]]</f>
        <v>20.1492</v>
      </c>
      <c r="Y53" s="41">
        <f>Tabla1[[#This Row],[TOTAL]]*B53*$C$2</f>
        <v>346.16325599999999</v>
      </c>
      <c r="Z53" s="26">
        <v>899</v>
      </c>
      <c r="AA53" s="29">
        <v>0.4</v>
      </c>
      <c r="AB53" s="32">
        <f>Tabla1[[#This Row],[PRECIO ML]]*(1-Tabla1[[#This Row],[DESCUENTO]])</f>
        <v>539.4</v>
      </c>
      <c r="AC53" s="29">
        <v>0.19500000000000001</v>
      </c>
      <c r="AD53" s="26">
        <f>Tabla1[[#This Row],[PRECIO FINAL ML]]*Tabla1[[#This Row],[COMISIÓN ML]]</f>
        <v>105.18299999999999</v>
      </c>
      <c r="AE53" s="26"/>
      <c r="AF53" s="29">
        <v>0.03</v>
      </c>
      <c r="AG53" s="26">
        <f>(Tabla1[[#This Row],[PRECIO FINAL ML]]*Tabla1[[#This Row],[% ACOS]])/2</f>
        <v>8.0909999999999993</v>
      </c>
      <c r="AH53" s="26">
        <f>Tabla1[[#This Row],[TOT COMISIÓN]]+Tabla1[[#This Row],[FIJO ML]]+Tabla1[[#This Row],[ACOS]]</f>
        <v>113.27399999999999</v>
      </c>
      <c r="AI53" s="26">
        <f t="shared" si="5"/>
        <v>1.1957279999999999</v>
      </c>
      <c r="AJ53" s="32">
        <f>Tabla1[[#This Row],[PRECIO FINAL ML]]-Tabla1[[#This Row],[DESCUENTO TOT]]-Tabla1[[#This Row],[ENVÍO]]</f>
        <v>424.930272</v>
      </c>
    </row>
    <row r="54" spans="1:36" ht="18" customHeight="1" x14ac:dyDescent="0.25">
      <c r="A54" s="144"/>
      <c r="B54" s="5">
        <v>1</v>
      </c>
      <c r="C54" s="2" t="s">
        <v>303</v>
      </c>
      <c r="D54" s="5" t="s">
        <v>194</v>
      </c>
      <c r="E54" s="5" t="s">
        <v>256</v>
      </c>
      <c r="F54" s="5" t="s">
        <v>304</v>
      </c>
      <c r="G54" s="5">
        <v>500</v>
      </c>
      <c r="H54" s="26">
        <v>25.19</v>
      </c>
      <c r="I54" s="26">
        <v>25.19</v>
      </c>
      <c r="J54" s="26">
        <f>Tabla1[[#This Row],[HOY]]-Tabla1[[#This Row],[AYER]]</f>
        <v>0</v>
      </c>
      <c r="K54" s="5">
        <v>50</v>
      </c>
      <c r="L54" s="54" t="s">
        <v>305</v>
      </c>
      <c r="M54" s="54"/>
      <c r="N54" s="68" t="s">
        <v>306</v>
      </c>
      <c r="O54" s="9" t="s">
        <v>132</v>
      </c>
      <c r="P54" s="9">
        <v>25</v>
      </c>
      <c r="Q54" s="5"/>
      <c r="R54" s="2" t="s">
        <v>14</v>
      </c>
      <c r="S54" s="11" t="str">
        <f>IF(B54="","",(IF((Tabla1[[#This Row],[STOCK]]-1)&lt;Tabla1[[#This Row],[INV MIN]],"PAUSAR!!!!","")))</f>
        <v/>
      </c>
      <c r="T54" s="44" t="str">
        <f>IF(Tabla1[[#This Row],[UTILIDAD]]&lt;0,"PÉRDIDA!!!","")</f>
        <v/>
      </c>
      <c r="U54" s="60"/>
      <c r="V54" s="32">
        <f>Tabla1[[#This Row],[TOT VENTA]]-Tabla1[[#This Row],[COSTO]]</f>
        <v>25.568499999999858</v>
      </c>
      <c r="W54" s="6">
        <f>Tabla1[[#This Row],[HOY]]*$T$2</f>
        <v>4.0304000000000002</v>
      </c>
      <c r="X54" s="6">
        <f>Tabla1[[#This Row],[HOY]]+Tabla1[[#This Row],[IVA]]</f>
        <v>29.220400000000001</v>
      </c>
      <c r="Y54" s="41">
        <f>Tabla1[[#This Row],[TOTAL]]*B54*$C$2</f>
        <v>502.00647200000003</v>
      </c>
      <c r="Z54" s="26">
        <v>999</v>
      </c>
      <c r="AA54" s="29">
        <v>0.33</v>
      </c>
      <c r="AB54" s="32">
        <f>Tabla1[[#This Row],[PRECIO ML]]*(1-Tabla1[[#This Row],[DESCUENTO]])</f>
        <v>669.32999999999993</v>
      </c>
      <c r="AC54" s="29">
        <v>0.19500000000000001</v>
      </c>
      <c r="AD54" s="26">
        <f>Tabla1[[#This Row],[PRECIO FINAL ML]]*Tabla1[[#This Row],[COMISIÓN ML]]</f>
        <v>130.51935</v>
      </c>
      <c r="AE54" s="26"/>
      <c r="AF54" s="29">
        <v>0.03</v>
      </c>
      <c r="AG54" s="26">
        <f>(Tabla1[[#This Row],[PRECIO FINAL ML]]*Tabla1[[#This Row],[% ACOS]])/2</f>
        <v>10.039949999999999</v>
      </c>
      <c r="AH54" s="26">
        <f>Tabla1[[#This Row],[TOT COMISIÓN]]+Tabla1[[#This Row],[FIJO ML]]+Tabla1[[#This Row],[ACOS]]</f>
        <v>140.55930000000001</v>
      </c>
      <c r="AI54" s="26">
        <f t="shared" ref="AI54:AI63" si="6">$AF$2*(1+$T$2)*$C$2</f>
        <v>1.1957279999999999</v>
      </c>
      <c r="AJ54" s="32">
        <f>Tabla1[[#This Row],[PRECIO FINAL ML]]-Tabla1[[#This Row],[DESCUENTO TOT]]-Tabla1[[#This Row],[ENVÍO]]</f>
        <v>527.57497199999989</v>
      </c>
    </row>
    <row r="55" spans="1:36" ht="18" customHeight="1" x14ac:dyDescent="0.25">
      <c r="A55" s="144"/>
      <c r="B55" s="5"/>
      <c r="C55" s="2"/>
      <c r="D55" s="5"/>
      <c r="E55" s="5"/>
      <c r="F55" s="5"/>
      <c r="G55" s="5"/>
      <c r="H55" s="26"/>
      <c r="I55" s="26"/>
      <c r="J55" s="26">
        <f>Tabla1[[#This Row],[AYER]]-Tabla1[[#This Row],[HOY]]</f>
        <v>0</v>
      </c>
      <c r="K55" s="5"/>
      <c r="L55" s="82"/>
      <c r="M55" s="54"/>
      <c r="N55" s="129"/>
      <c r="O55" s="9"/>
      <c r="P55" s="9"/>
      <c r="Q55" s="5"/>
      <c r="R55" s="2"/>
      <c r="S55" s="11" t="str">
        <f>IF(B55="","",(IF((Tabla1[[#This Row],[STOCK]]-1)&lt;Tabla1[[#This Row],[INV MIN]],"PAUSAR!!!!","")))</f>
        <v/>
      </c>
      <c r="T55" s="44" t="str">
        <f>IF(Tabla1[[#This Row],[UTILIDAD]]&lt;0,"PÉRDIDA!!!","")</f>
        <v/>
      </c>
      <c r="U55" s="60"/>
      <c r="V55" s="83"/>
      <c r="W55" s="84">
        <f>Tabla1[[#This Row],[HOY]]*0.16</f>
        <v>0</v>
      </c>
      <c r="X55" s="85">
        <f>Tabla1[[#This Row],[HOY]]+Tabla1[[#This Row],[IVA]]</f>
        <v>0</v>
      </c>
      <c r="Y55" s="41">
        <f>Tabla1[[#This Row],[TOTAL]]*$C$2</f>
        <v>0</v>
      </c>
      <c r="Z55" s="47"/>
      <c r="AA55" s="48"/>
      <c r="AB55" s="86"/>
      <c r="AC55" s="48"/>
      <c r="AD55" s="26"/>
      <c r="AE55" s="26"/>
      <c r="AF55" s="29"/>
      <c r="AG55" s="26">
        <f>(Tabla1[[#This Row],[PRECIO FINAL ML]]*Tabla1[[#This Row],[% ACOS]])/2</f>
        <v>0</v>
      </c>
      <c r="AH55" s="87">
        <f>Tabla1[[#This Row],[TOT COMISIÓN]]+Tabla1[[#This Row],[FIJO ML]]+Tabla1[[#This Row],[ACOS]]</f>
        <v>0</v>
      </c>
      <c r="AI55" s="87">
        <f t="shared" ref="AI55:AI56" si="7">$AF$2*(1+$T$2)*$C$2</f>
        <v>1.1957279999999999</v>
      </c>
      <c r="AJ55" s="86"/>
    </row>
    <row r="56" spans="1:36" ht="18" customHeight="1" x14ac:dyDescent="0.25">
      <c r="A56" s="144"/>
      <c r="B56" s="5"/>
      <c r="C56" s="2"/>
      <c r="D56" s="5"/>
      <c r="E56" s="5"/>
      <c r="F56" s="5"/>
      <c r="G56" s="5"/>
      <c r="H56" s="26"/>
      <c r="I56" s="26"/>
      <c r="J56" s="26">
        <f>Tabla1[[#This Row],[AYER]]-Tabla1[[#This Row],[HOY]]</f>
        <v>0</v>
      </c>
      <c r="K56" s="5"/>
      <c r="L56" s="82"/>
      <c r="M56" s="54"/>
      <c r="N56" s="129"/>
      <c r="O56" s="9"/>
      <c r="P56" s="9"/>
      <c r="Q56" s="5"/>
      <c r="R56" s="2"/>
      <c r="S56" s="11" t="str">
        <f>IF(B56="","",(IF((Tabla1[[#This Row],[STOCK]]-1)&lt;Tabla1[[#This Row],[INV MIN]],"PAUSAR!!!!","")))</f>
        <v/>
      </c>
      <c r="T56" s="44" t="str">
        <f>IF(Tabla1[[#This Row],[UTILIDAD]]&lt;0,"PÉRDIDA!!!","")</f>
        <v/>
      </c>
      <c r="U56" s="60"/>
      <c r="V56" s="83"/>
      <c r="W56" s="84">
        <f>Tabla1[[#This Row],[HOY]]*0.16</f>
        <v>0</v>
      </c>
      <c r="X56" s="85">
        <f>Tabla1[[#This Row],[HOY]]+Tabla1[[#This Row],[IVA]]</f>
        <v>0</v>
      </c>
      <c r="Y56" s="41">
        <f>Tabla1[[#This Row],[TOTAL]]*$C$2</f>
        <v>0</v>
      </c>
      <c r="Z56" s="47"/>
      <c r="AA56" s="48"/>
      <c r="AB56" s="86"/>
      <c r="AC56" s="48"/>
      <c r="AD56" s="26"/>
      <c r="AE56" s="26"/>
      <c r="AF56" s="29"/>
      <c r="AG56" s="26">
        <f>(Tabla1[[#This Row],[PRECIO FINAL ML]]*Tabla1[[#This Row],[% ACOS]])/2</f>
        <v>0</v>
      </c>
      <c r="AH56" s="87">
        <f>Tabla1[[#This Row],[TOT COMISIÓN]]+Tabla1[[#This Row],[FIJO ML]]+Tabla1[[#This Row],[ACOS]]</f>
        <v>0</v>
      </c>
      <c r="AI56" s="87">
        <f t="shared" si="7"/>
        <v>1.1957279999999999</v>
      </c>
      <c r="AJ56" s="86"/>
    </row>
    <row r="57" spans="1:36" ht="18" customHeight="1" x14ac:dyDescent="0.25">
      <c r="A57" s="144"/>
      <c r="B57" s="5">
        <v>1</v>
      </c>
      <c r="C57" s="2" t="s">
        <v>311</v>
      </c>
      <c r="D57" s="5" t="s">
        <v>194</v>
      </c>
      <c r="E57" s="5" t="s">
        <v>256</v>
      </c>
      <c r="F57" s="5" t="s">
        <v>312</v>
      </c>
      <c r="G57" s="5">
        <v>412</v>
      </c>
      <c r="H57" s="26">
        <v>22.51</v>
      </c>
      <c r="I57" s="26">
        <v>22.51</v>
      </c>
      <c r="J57" s="26">
        <f>Tabla1[[#This Row],[HOY]]-Tabla1[[#This Row],[AYER]]</f>
        <v>0</v>
      </c>
      <c r="K57" s="5">
        <v>50</v>
      </c>
      <c r="L57" s="54" t="s">
        <v>314</v>
      </c>
      <c r="M57" s="54"/>
      <c r="N57" s="68" t="s">
        <v>317</v>
      </c>
      <c r="O57" s="9" t="s">
        <v>132</v>
      </c>
      <c r="P57" s="9">
        <v>25</v>
      </c>
      <c r="Q57" s="5"/>
      <c r="R57" s="2" t="s">
        <v>14</v>
      </c>
      <c r="S57" s="11" t="str">
        <f>IF(B57="","",(IF((Tabla1[[#This Row],[STOCK]]-1)&lt;Tabla1[[#This Row],[INV MIN]],"PAUSAR!!!!","")))</f>
        <v/>
      </c>
      <c r="T57" s="44" t="str">
        <f>IF(Tabla1[[#This Row],[UTILIDAD]]&lt;0,"PÉRDIDA!!!","")</f>
        <v/>
      </c>
      <c r="U57" s="60"/>
      <c r="V57" s="32">
        <f>Tabla1[[#This Row],[TOT VENTA]]-Tabla1[[#This Row],[COSTO]]</f>
        <v>142.11448399999995</v>
      </c>
      <c r="W57" s="6">
        <f>Tabla1[[#This Row],[HOY]]*$T$2</f>
        <v>3.6016000000000004</v>
      </c>
      <c r="X57" s="6">
        <f>Tabla1[[#This Row],[HOY]]+Tabla1[[#This Row],[IVA]]</f>
        <v>26.111600000000003</v>
      </c>
      <c r="Y57" s="41">
        <f>Tabla1[[#This Row],[TOTAL]]*B57*$C$2</f>
        <v>448.59728800000005</v>
      </c>
      <c r="Z57" s="26">
        <v>999</v>
      </c>
      <c r="AA57" s="29">
        <v>0.25</v>
      </c>
      <c r="AB57" s="32">
        <f>Tabla1[[#This Row],[PRECIO ML]]*(1-Tabla1[[#This Row],[DESCUENTO]])</f>
        <v>749.25</v>
      </c>
      <c r="AC57" s="29">
        <v>0.19500000000000001</v>
      </c>
      <c r="AD57" s="26">
        <f>Tabla1[[#This Row],[PRECIO FINAL ML]]*Tabla1[[#This Row],[COMISIÓN ML]]</f>
        <v>146.10374999999999</v>
      </c>
      <c r="AE57" s="26"/>
      <c r="AF57" s="29">
        <v>0.03</v>
      </c>
      <c r="AG57" s="26">
        <f>(Tabla1[[#This Row],[PRECIO FINAL ML]]*Tabla1[[#This Row],[% ACOS]])/2</f>
        <v>11.23875</v>
      </c>
      <c r="AH57" s="26">
        <f>Tabla1[[#This Row],[TOT COMISIÓN]]+Tabla1[[#This Row],[FIJO ML]]+Tabla1[[#This Row],[ACOS]]</f>
        <v>157.3425</v>
      </c>
      <c r="AI57" s="26">
        <f t="shared" si="6"/>
        <v>1.1957279999999999</v>
      </c>
      <c r="AJ57" s="32">
        <f>Tabla1[[#This Row],[PRECIO FINAL ML]]-Tabla1[[#This Row],[DESCUENTO TOT]]-Tabla1[[#This Row],[ENVÍO]]</f>
        <v>590.711772</v>
      </c>
    </row>
    <row r="58" spans="1:36" ht="18" customHeight="1" x14ac:dyDescent="0.25">
      <c r="A58" s="144"/>
      <c r="B58" s="5">
        <v>1</v>
      </c>
      <c r="C58" s="2" t="s">
        <v>316</v>
      </c>
      <c r="D58" s="5" t="s">
        <v>194</v>
      </c>
      <c r="E58" s="5" t="s">
        <v>256</v>
      </c>
      <c r="F58" s="5" t="s">
        <v>313</v>
      </c>
      <c r="G58" s="5">
        <v>500</v>
      </c>
      <c r="H58" s="26">
        <v>19.829999999999998</v>
      </c>
      <c r="I58" s="26">
        <v>19.829999999999998</v>
      </c>
      <c r="J58" s="26">
        <f>Tabla1[[#This Row],[HOY]]-Tabla1[[#This Row],[AYER]]</f>
        <v>0</v>
      </c>
      <c r="K58" s="5">
        <v>50</v>
      </c>
      <c r="L58" s="54" t="s">
        <v>315</v>
      </c>
      <c r="M58" s="54"/>
      <c r="N58" s="68" t="s">
        <v>318</v>
      </c>
      <c r="O58" s="9" t="s">
        <v>132</v>
      </c>
      <c r="P58" s="9">
        <v>25</v>
      </c>
      <c r="Q58" s="5"/>
      <c r="R58" s="2" t="s">
        <v>14</v>
      </c>
      <c r="S58" s="11" t="str">
        <f>IF(B58="","",(IF((Tabla1[[#This Row],[STOCK]]-1)&lt;Tabla1[[#This Row],[INV MIN]],"PAUSAR!!!!","")))</f>
        <v/>
      </c>
      <c r="T58" s="44" t="str">
        <f>IF(Tabla1[[#This Row],[UTILIDAD]]&lt;0,"PÉRDIDA!!!","")</f>
        <v/>
      </c>
      <c r="U58" s="60"/>
      <c r="V58" s="32">
        <f>Tabla1[[#This Row],[TOT VENTA]]-Tabla1[[#This Row],[COSTO]]</f>
        <v>195.52366800000004</v>
      </c>
      <c r="W58" s="6">
        <f>Tabla1[[#This Row],[HOY]]*$T$2</f>
        <v>3.1727999999999996</v>
      </c>
      <c r="X58" s="6">
        <f>Tabla1[[#This Row],[HOY]]+Tabla1[[#This Row],[IVA]]</f>
        <v>23.002799999999997</v>
      </c>
      <c r="Y58" s="41">
        <f>Tabla1[[#This Row],[TOTAL]]*B58*$C$2</f>
        <v>395.18810399999995</v>
      </c>
      <c r="Z58" s="26">
        <v>999</v>
      </c>
      <c r="AA58" s="29">
        <v>0.25</v>
      </c>
      <c r="AB58" s="32">
        <f>Tabla1[[#This Row],[PRECIO ML]]*(1-Tabla1[[#This Row],[DESCUENTO]])</f>
        <v>749.25</v>
      </c>
      <c r="AC58" s="29">
        <v>0.19500000000000001</v>
      </c>
      <c r="AD58" s="26">
        <f>Tabla1[[#This Row],[PRECIO FINAL ML]]*Tabla1[[#This Row],[COMISIÓN ML]]</f>
        <v>146.10374999999999</v>
      </c>
      <c r="AE58" s="26"/>
      <c r="AF58" s="29">
        <v>0.03</v>
      </c>
      <c r="AG58" s="26">
        <f>(Tabla1[[#This Row],[PRECIO FINAL ML]]*Tabla1[[#This Row],[% ACOS]])/2</f>
        <v>11.23875</v>
      </c>
      <c r="AH58" s="26">
        <f>Tabla1[[#This Row],[TOT COMISIÓN]]+Tabla1[[#This Row],[FIJO ML]]+Tabla1[[#This Row],[ACOS]]</f>
        <v>157.3425</v>
      </c>
      <c r="AI58" s="26">
        <f t="shared" si="6"/>
        <v>1.1957279999999999</v>
      </c>
      <c r="AJ58" s="32">
        <f>Tabla1[[#This Row],[PRECIO FINAL ML]]-Tabla1[[#This Row],[DESCUENTO TOT]]-Tabla1[[#This Row],[ENVÍO]]</f>
        <v>590.711772</v>
      </c>
    </row>
    <row r="59" spans="1:36" ht="18" customHeight="1" x14ac:dyDescent="0.25">
      <c r="A59" s="144"/>
      <c r="B59" s="5">
        <v>1</v>
      </c>
      <c r="C59" s="2" t="s">
        <v>309</v>
      </c>
      <c r="D59" s="5" t="s">
        <v>194</v>
      </c>
      <c r="E59" s="5" t="s">
        <v>288</v>
      </c>
      <c r="F59" s="5" t="s">
        <v>307</v>
      </c>
      <c r="G59" s="5">
        <v>500</v>
      </c>
      <c r="H59" s="26">
        <v>23.93</v>
      </c>
      <c r="I59" s="26">
        <v>23.93</v>
      </c>
      <c r="J59" s="26">
        <f>Tabla1[[#This Row],[HOY]]-Tabla1[[#This Row],[AYER]]</f>
        <v>0</v>
      </c>
      <c r="K59" s="5">
        <v>50</v>
      </c>
      <c r="L59" s="54" t="s">
        <v>308</v>
      </c>
      <c r="M59" s="54"/>
      <c r="N59" s="68" t="s">
        <v>310</v>
      </c>
      <c r="O59" s="9" t="s">
        <v>132</v>
      </c>
      <c r="P59" s="9">
        <v>25</v>
      </c>
      <c r="Q59" s="5"/>
      <c r="R59" s="2" t="s">
        <v>14</v>
      </c>
      <c r="S59" s="11" t="str">
        <f>IF(B59="","",(IF((Tabla1[[#This Row],[STOCK]]-1)&lt;Tabla1[[#This Row],[INV MIN]],"PAUSAR!!!!","")))</f>
        <v/>
      </c>
      <c r="T59" s="44" t="str">
        <f>IF(Tabla1[[#This Row],[UTILIDAD]]&lt;0,"PÉRDIDA!!!","")</f>
        <v/>
      </c>
      <c r="U59" s="60"/>
      <c r="V59" s="32">
        <f>Tabla1[[#This Row],[TOT VENTA]]-Tabla1[[#This Row],[COSTO]]</f>
        <v>113.81558799999999</v>
      </c>
      <c r="W59" s="6">
        <f>Tabla1[[#This Row],[HOY]]*$T$2</f>
        <v>3.8288000000000002</v>
      </c>
      <c r="X59" s="6">
        <f>Tabla1[[#This Row],[HOY]]+Tabla1[[#This Row],[IVA]]</f>
        <v>27.758800000000001</v>
      </c>
      <c r="Y59" s="41">
        <f>Tabla1[[#This Row],[TOTAL]]*B59*$C$2</f>
        <v>476.89618400000001</v>
      </c>
      <c r="Z59" s="26">
        <v>999</v>
      </c>
      <c r="AA59" s="29">
        <v>0.25</v>
      </c>
      <c r="AB59" s="32">
        <f>Tabla1[[#This Row],[PRECIO ML]]*(1-Tabla1[[#This Row],[DESCUENTO]])</f>
        <v>749.25</v>
      </c>
      <c r="AC59" s="29">
        <v>0.19500000000000001</v>
      </c>
      <c r="AD59" s="26">
        <f>Tabla1[[#This Row],[PRECIO FINAL ML]]*Tabla1[[#This Row],[COMISIÓN ML]]</f>
        <v>146.10374999999999</v>
      </c>
      <c r="AE59" s="26"/>
      <c r="AF59" s="29">
        <v>0.03</v>
      </c>
      <c r="AG59" s="26">
        <f>(Tabla1[[#This Row],[PRECIO FINAL ML]]*Tabla1[[#This Row],[% ACOS]])/2</f>
        <v>11.23875</v>
      </c>
      <c r="AH59" s="26">
        <f>Tabla1[[#This Row],[TOT COMISIÓN]]+Tabla1[[#This Row],[FIJO ML]]+Tabla1[[#This Row],[ACOS]]</f>
        <v>157.3425</v>
      </c>
      <c r="AI59" s="26">
        <f t="shared" si="6"/>
        <v>1.1957279999999999</v>
      </c>
      <c r="AJ59" s="32">
        <f>Tabla1[[#This Row],[PRECIO FINAL ML]]-Tabla1[[#This Row],[DESCUENTO TOT]]-Tabla1[[#This Row],[ENVÍO]]</f>
        <v>590.711772</v>
      </c>
    </row>
    <row r="60" spans="1:36" ht="18" customHeight="1" x14ac:dyDescent="0.25">
      <c r="A60" s="144"/>
      <c r="B60" s="5">
        <v>1</v>
      </c>
      <c r="C60" s="2" t="s">
        <v>323</v>
      </c>
      <c r="D60" s="5" t="s">
        <v>194</v>
      </c>
      <c r="E60" s="5" t="s">
        <v>288</v>
      </c>
      <c r="F60" s="5" t="s">
        <v>325</v>
      </c>
      <c r="G60" s="5">
        <v>500</v>
      </c>
      <c r="H60" s="26">
        <v>34.06</v>
      </c>
      <c r="I60" s="26">
        <v>34.06</v>
      </c>
      <c r="J60" s="26">
        <f>Tabla1[[#This Row],[HOY]]-Tabla1[[#This Row],[AYER]]</f>
        <v>0</v>
      </c>
      <c r="K60" s="5">
        <v>50</v>
      </c>
      <c r="L60" s="54" t="s">
        <v>327</v>
      </c>
      <c r="M60" s="54"/>
      <c r="N60" s="68" t="s">
        <v>336</v>
      </c>
      <c r="O60" s="9" t="s">
        <v>132</v>
      </c>
      <c r="P60" s="9">
        <v>25</v>
      </c>
      <c r="Q60" s="5"/>
      <c r="R60" s="2" t="s">
        <v>14</v>
      </c>
      <c r="S60" s="11" t="str">
        <f>IF(B60="","",(IF((Tabla1[[#This Row],[STOCK]]-1)&lt;Tabla1[[#This Row],[INV MIN]],"PAUSAR!!!!","")))</f>
        <v/>
      </c>
      <c r="T60" s="44" t="str">
        <f>IF(Tabla1[[#This Row],[UTILIDAD]]&lt;0,"PÉRDIDA!!!","")</f>
        <v/>
      </c>
      <c r="U60" s="60"/>
      <c r="V60" s="32">
        <f>Tabla1[[#This Row],[TOT VENTA]]-Tabla1[[#This Row],[COSTO]]</f>
        <v>89.765843999999902</v>
      </c>
      <c r="W60" s="6">
        <f>Tabla1[[#This Row],[HOY]]*$T$2</f>
        <v>5.4496000000000002</v>
      </c>
      <c r="X60" s="6">
        <f>Tabla1[[#This Row],[HOY]]+Tabla1[[#This Row],[IVA]]</f>
        <v>39.509600000000006</v>
      </c>
      <c r="Y60" s="41">
        <f>Tabla1[[#This Row],[TOTAL]]*B60*$C$2</f>
        <v>678.77492800000005</v>
      </c>
      <c r="Z60" s="26">
        <v>1499</v>
      </c>
      <c r="AA60" s="29">
        <v>0.35</v>
      </c>
      <c r="AB60" s="32">
        <f>Tabla1[[#This Row],[PRECIO ML]]*(1-Tabla1[[#This Row],[DESCUENTO]])</f>
        <v>974.35</v>
      </c>
      <c r="AC60" s="29">
        <v>0.19500000000000001</v>
      </c>
      <c r="AD60" s="26">
        <f>Tabla1[[#This Row],[PRECIO FINAL ML]]*Tabla1[[#This Row],[COMISIÓN ML]]</f>
        <v>189.99825000000001</v>
      </c>
      <c r="AE60" s="26"/>
      <c r="AF60" s="29">
        <v>0.03</v>
      </c>
      <c r="AG60" s="26">
        <f>(Tabla1[[#This Row],[PRECIO FINAL ML]]*Tabla1[[#This Row],[% ACOS]])/2</f>
        <v>14.61525</v>
      </c>
      <c r="AH60" s="26">
        <f>Tabla1[[#This Row],[TOT COMISIÓN]]+Tabla1[[#This Row],[FIJO ML]]+Tabla1[[#This Row],[ACOS]]</f>
        <v>204.61350000000002</v>
      </c>
      <c r="AI60" s="26">
        <f t="shared" si="6"/>
        <v>1.1957279999999999</v>
      </c>
      <c r="AJ60" s="32">
        <f>Tabla1[[#This Row],[PRECIO FINAL ML]]-Tabla1[[#This Row],[DESCUENTO TOT]]-Tabla1[[#This Row],[ENVÍO]]</f>
        <v>768.54077199999995</v>
      </c>
    </row>
    <row r="61" spans="1:36" ht="18" customHeight="1" x14ac:dyDescent="0.25">
      <c r="A61" s="144"/>
      <c r="B61" s="5">
        <v>1</v>
      </c>
      <c r="C61" s="2" t="s">
        <v>324</v>
      </c>
      <c r="D61" s="5" t="s">
        <v>194</v>
      </c>
      <c r="E61" s="5" t="s">
        <v>288</v>
      </c>
      <c r="F61" s="5" t="s">
        <v>326</v>
      </c>
      <c r="G61" s="5">
        <v>500</v>
      </c>
      <c r="H61" s="26">
        <v>41.02</v>
      </c>
      <c r="I61" s="26">
        <v>41.02</v>
      </c>
      <c r="J61" s="26">
        <f>Tabla1[[#This Row],[HOY]]-Tabla1[[#This Row],[AYER]]</f>
        <v>0</v>
      </c>
      <c r="K61" s="5">
        <v>50</v>
      </c>
      <c r="L61" s="54" t="s">
        <v>328</v>
      </c>
      <c r="M61" s="54"/>
      <c r="N61" s="68" t="s">
        <v>337</v>
      </c>
      <c r="O61" s="9" t="s">
        <v>132</v>
      </c>
      <c r="P61" s="9">
        <v>25</v>
      </c>
      <c r="Q61" s="5"/>
      <c r="R61" s="2" t="s">
        <v>14</v>
      </c>
      <c r="S61" s="11" t="str">
        <f>IF(B61="","",(IF((Tabla1[[#This Row],[STOCK]]-1)&lt;Tabla1[[#This Row],[INV MIN]],"PAUSAR!!!!","")))</f>
        <v/>
      </c>
      <c r="T61" s="44" t="str">
        <f>IF(Tabla1[[#This Row],[UTILIDAD]]&lt;0,"PÉRDIDA!!!","")</f>
        <v/>
      </c>
      <c r="U61" s="60"/>
      <c r="V61" s="32">
        <f>Tabla1[[#This Row],[TOT VENTA]]-Tabla1[[#This Row],[COSTO]]</f>
        <v>69.482395999999881</v>
      </c>
      <c r="W61" s="6">
        <f>Tabla1[[#This Row],[HOY]]*$T$2</f>
        <v>6.563200000000001</v>
      </c>
      <c r="X61" s="6">
        <f>Tabla1[[#This Row],[HOY]]+Tabla1[[#This Row],[IVA]]</f>
        <v>47.583200000000005</v>
      </c>
      <c r="Y61" s="41">
        <f>Tabla1[[#This Row],[TOTAL]]*B61*$C$2</f>
        <v>817.47937600000012</v>
      </c>
      <c r="Z61" s="26">
        <v>1499</v>
      </c>
      <c r="AA61" s="29">
        <v>0.25</v>
      </c>
      <c r="AB61" s="32">
        <f>Tabla1[[#This Row],[PRECIO ML]]*(1-Tabla1[[#This Row],[DESCUENTO]])</f>
        <v>1124.25</v>
      </c>
      <c r="AC61" s="29">
        <v>0.19500000000000001</v>
      </c>
      <c r="AD61" s="26">
        <f>Tabla1[[#This Row],[PRECIO FINAL ML]]*Tabla1[[#This Row],[COMISIÓN ML]]</f>
        <v>219.22875000000002</v>
      </c>
      <c r="AE61" s="26"/>
      <c r="AF61" s="29">
        <v>0.03</v>
      </c>
      <c r="AG61" s="26">
        <f>(Tabla1[[#This Row],[PRECIO FINAL ML]]*Tabla1[[#This Row],[% ACOS]])/2</f>
        <v>16.86375</v>
      </c>
      <c r="AH61" s="26">
        <f>Tabla1[[#This Row],[TOT COMISIÓN]]+Tabla1[[#This Row],[FIJO ML]]+Tabla1[[#This Row],[ACOS]]</f>
        <v>236.09250000000003</v>
      </c>
      <c r="AI61" s="26">
        <f t="shared" si="6"/>
        <v>1.1957279999999999</v>
      </c>
      <c r="AJ61" s="32">
        <f>Tabla1[[#This Row],[PRECIO FINAL ML]]-Tabla1[[#This Row],[DESCUENTO TOT]]-Tabla1[[#This Row],[ENVÍO]]</f>
        <v>886.961772</v>
      </c>
    </row>
    <row r="62" spans="1:36" ht="18" customHeight="1" x14ac:dyDescent="0.25">
      <c r="A62" s="144"/>
      <c r="B62" s="5">
        <v>1</v>
      </c>
      <c r="C62" s="2" t="s">
        <v>329</v>
      </c>
      <c r="D62" s="5" t="s">
        <v>194</v>
      </c>
      <c r="E62" s="5" t="s">
        <v>256</v>
      </c>
      <c r="F62" s="5" t="s">
        <v>332</v>
      </c>
      <c r="G62" s="5">
        <v>500</v>
      </c>
      <c r="H62" s="26">
        <v>27.14</v>
      </c>
      <c r="I62" s="26">
        <v>27.14</v>
      </c>
      <c r="J62" s="26">
        <f>Tabla1[[#This Row],[HOY]]-Tabla1[[#This Row],[AYER]]</f>
        <v>0</v>
      </c>
      <c r="K62" s="5">
        <v>50</v>
      </c>
      <c r="L62" s="54" t="s">
        <v>334</v>
      </c>
      <c r="M62" s="54"/>
      <c r="N62" s="68" t="s">
        <v>338</v>
      </c>
      <c r="O62" s="9" t="s">
        <v>132</v>
      </c>
      <c r="P62" s="9">
        <v>25</v>
      </c>
      <c r="Q62" s="5"/>
      <c r="R62" s="2" t="s">
        <v>14</v>
      </c>
      <c r="S62" s="11" t="str">
        <f>IF(B62="","",(IF((Tabla1[[#This Row],[STOCK]]-1)&lt;Tabla1[[#This Row],[INV MIN]],"PAUSAR!!!!","")))</f>
        <v/>
      </c>
      <c r="T62" s="44" t="str">
        <f>IF(Tabla1[[#This Row],[UTILIDAD]]&lt;0,"PÉRDIDA!!!","")</f>
        <v/>
      </c>
      <c r="U62" s="60"/>
      <c r="V62" s="32">
        <f>Tabla1[[#This Row],[TOT VENTA]]-Tabla1[[#This Row],[COSTO]]</f>
        <v>81.412539999999922</v>
      </c>
      <c r="W62" s="6">
        <f>Tabla1[[#This Row],[HOY]]*$T$2</f>
        <v>4.3424000000000005</v>
      </c>
      <c r="X62" s="6">
        <f>Tabla1[[#This Row],[HOY]]+Tabla1[[#This Row],[IVA]]</f>
        <v>31.482400000000002</v>
      </c>
      <c r="Y62" s="41">
        <f>Tabla1[[#This Row],[TOTAL]]*B62*$C$2</f>
        <v>540.86763200000007</v>
      </c>
      <c r="Z62" s="26">
        <v>999</v>
      </c>
      <c r="AA62" s="29">
        <v>0.21</v>
      </c>
      <c r="AB62" s="32">
        <f>Tabla1[[#This Row],[PRECIO ML]]*(1-Tabla1[[#This Row],[DESCUENTO]])</f>
        <v>789.21</v>
      </c>
      <c r="AC62" s="29">
        <v>0.19500000000000001</v>
      </c>
      <c r="AD62" s="26">
        <f>Tabla1[[#This Row],[PRECIO FINAL ML]]*Tabla1[[#This Row],[COMISIÓN ML]]</f>
        <v>153.89595</v>
      </c>
      <c r="AE62" s="26"/>
      <c r="AF62" s="29">
        <v>0.03</v>
      </c>
      <c r="AG62" s="26">
        <f>(Tabla1[[#This Row],[PRECIO FINAL ML]]*Tabla1[[#This Row],[% ACOS]])/2</f>
        <v>11.838150000000001</v>
      </c>
      <c r="AH62" s="26">
        <f>Tabla1[[#This Row],[TOT COMISIÓN]]+Tabla1[[#This Row],[FIJO ML]]+Tabla1[[#This Row],[ACOS]]</f>
        <v>165.73410000000001</v>
      </c>
      <c r="AI62" s="26">
        <f t="shared" si="6"/>
        <v>1.1957279999999999</v>
      </c>
      <c r="AJ62" s="32">
        <f>Tabla1[[#This Row],[PRECIO FINAL ML]]-Tabla1[[#This Row],[DESCUENTO TOT]]-Tabla1[[#This Row],[ENVÍO]]</f>
        <v>622.28017199999999</v>
      </c>
    </row>
    <row r="63" spans="1:36" ht="18" customHeight="1" x14ac:dyDescent="0.25">
      <c r="A63" s="144"/>
      <c r="B63" s="5">
        <v>1</v>
      </c>
      <c r="C63" s="2" t="s">
        <v>330</v>
      </c>
      <c r="D63" s="5" t="s">
        <v>194</v>
      </c>
      <c r="E63" s="5" t="s">
        <v>256</v>
      </c>
      <c r="F63" s="5" t="s">
        <v>333</v>
      </c>
      <c r="G63" s="5">
        <v>500</v>
      </c>
      <c r="H63" s="26">
        <v>26.19</v>
      </c>
      <c r="I63" s="26">
        <v>26.19</v>
      </c>
      <c r="J63" s="26">
        <f>Tabla1[[#This Row],[HOY]]-Tabla1[[#This Row],[AYER]]</f>
        <v>0</v>
      </c>
      <c r="K63" s="5">
        <v>50</v>
      </c>
      <c r="L63" s="54" t="s">
        <v>335</v>
      </c>
      <c r="M63" s="54"/>
      <c r="N63" s="68" t="s">
        <v>339</v>
      </c>
      <c r="O63" s="9" t="s">
        <v>132</v>
      </c>
      <c r="P63" s="9">
        <v>25</v>
      </c>
      <c r="Q63" s="5"/>
      <c r="R63" s="2" t="s">
        <v>14</v>
      </c>
      <c r="S63" s="11" t="str">
        <f>IF(B63="","",(IF((Tabla1[[#This Row],[STOCK]]-1)&lt;Tabla1[[#This Row],[INV MIN]],"PAUSAR!!!!","")))</f>
        <v/>
      </c>
      <c r="T63" s="44" t="str">
        <f>IF(Tabla1[[#This Row],[UTILIDAD]]&lt;0,"PÉRDIDA!!!","")</f>
        <v/>
      </c>
      <c r="U63" s="60"/>
      <c r="V63" s="32">
        <f>Tabla1[[#This Row],[TOT VENTA]]-Tabla1[[#This Row],[COSTO]]</f>
        <v>29.315999999999917</v>
      </c>
      <c r="W63" s="6">
        <f>Tabla1[[#This Row],[HOY]]*$T$2</f>
        <v>4.1904000000000003</v>
      </c>
      <c r="X63" s="6">
        <f>Tabla1[[#This Row],[HOY]]+Tabla1[[#This Row],[IVA]]</f>
        <v>30.380400000000002</v>
      </c>
      <c r="Y63" s="41">
        <f>Tabla1[[#This Row],[TOTAL]]*B63*$C$2</f>
        <v>521.93527200000005</v>
      </c>
      <c r="Z63" s="26">
        <v>999</v>
      </c>
      <c r="AA63" s="29">
        <v>0.3</v>
      </c>
      <c r="AB63" s="32">
        <f>Tabla1[[#This Row],[PRECIO ML]]*(1-Tabla1[[#This Row],[DESCUENTO]])</f>
        <v>699.3</v>
      </c>
      <c r="AC63" s="29">
        <v>0.19500000000000001</v>
      </c>
      <c r="AD63" s="26">
        <f>Tabla1[[#This Row],[PRECIO FINAL ML]]*Tabla1[[#This Row],[COMISIÓN ML]]</f>
        <v>136.36349999999999</v>
      </c>
      <c r="AE63" s="26"/>
      <c r="AF63" s="29">
        <v>0.03</v>
      </c>
      <c r="AG63" s="26">
        <f>(Tabla1[[#This Row],[PRECIO FINAL ML]]*Tabla1[[#This Row],[% ACOS]])/2</f>
        <v>10.4895</v>
      </c>
      <c r="AH63" s="26">
        <f>Tabla1[[#This Row],[TOT COMISIÓN]]+Tabla1[[#This Row],[FIJO ML]]+Tabla1[[#This Row],[ACOS]]</f>
        <v>146.85299999999998</v>
      </c>
      <c r="AI63" s="26">
        <f t="shared" si="6"/>
        <v>1.1957279999999999</v>
      </c>
      <c r="AJ63" s="32">
        <f>Tabla1[[#This Row],[PRECIO FINAL ML]]-Tabla1[[#This Row],[DESCUENTO TOT]]-Tabla1[[#This Row],[ENVÍO]]</f>
        <v>551.25127199999997</v>
      </c>
    </row>
    <row r="64" spans="1:36" ht="18" customHeight="1" x14ac:dyDescent="0.25">
      <c r="A64" s="144"/>
      <c r="B64" s="5">
        <v>1</v>
      </c>
      <c r="C64" s="2" t="s">
        <v>340</v>
      </c>
      <c r="D64" s="5" t="s">
        <v>194</v>
      </c>
      <c r="E64" s="5" t="s">
        <v>288</v>
      </c>
      <c r="F64" s="5" t="s">
        <v>341</v>
      </c>
      <c r="G64" s="5">
        <v>52</v>
      </c>
      <c r="H64" s="26">
        <v>72.349999999999994</v>
      </c>
      <c r="I64" s="26">
        <v>72.349999999999994</v>
      </c>
      <c r="J64" s="26">
        <f>Tabla1[[#This Row],[HOY]]-Tabla1[[#This Row],[AYER]]</f>
        <v>0</v>
      </c>
      <c r="K64" s="5">
        <v>50</v>
      </c>
      <c r="L64" s="54" t="s">
        <v>342</v>
      </c>
      <c r="M64" s="54"/>
      <c r="N64" s="68" t="s">
        <v>343</v>
      </c>
      <c r="O64" s="9" t="s">
        <v>132</v>
      </c>
      <c r="P64" s="9">
        <v>12</v>
      </c>
      <c r="Q64" s="5"/>
      <c r="R64" s="2" t="s">
        <v>14</v>
      </c>
      <c r="S64" s="11" t="str">
        <f>IF(B64="","",(IF((Tabla1[[#This Row],[STOCK]]-1)&lt;Tabla1[[#This Row],[INV MIN]],"PAUSAR!!!!","")))</f>
        <v/>
      </c>
      <c r="T64" s="44" t="str">
        <f>IF(Tabla1[[#This Row],[UTILIDAD]]&lt;0,"PÉRDIDA!!!","")</f>
        <v/>
      </c>
      <c r="U64" s="60"/>
      <c r="V64" s="32">
        <f>Tabla1[[#This Row],[TOT VENTA]]-Tabla1[[#This Row],[COSTO]]</f>
        <v>77.480976000000055</v>
      </c>
      <c r="W64" s="6">
        <f>Tabla1[[#This Row],[HOY]]*$T$2</f>
        <v>11.575999999999999</v>
      </c>
      <c r="X64" s="6">
        <f>Tabla1[[#This Row],[HOY]]+Tabla1[[#This Row],[IVA]]</f>
        <v>83.925999999999988</v>
      </c>
      <c r="Y64" s="41">
        <f>Tabla1[[#This Row],[TOTAL]]*B64*$C$2</f>
        <v>1441.8486799999998</v>
      </c>
      <c r="Z64" s="26">
        <v>2400</v>
      </c>
      <c r="AA64" s="29">
        <v>0.15</v>
      </c>
      <c r="AB64" s="32">
        <f>Tabla1[[#This Row],[PRECIO ML]]*(1-Tabla1[[#This Row],[DESCUENTO]])</f>
        <v>2040</v>
      </c>
      <c r="AC64" s="29">
        <v>0.19500000000000001</v>
      </c>
      <c r="AD64" s="26">
        <f>Tabla1[[#This Row],[PRECIO FINAL ML]]*Tabla1[[#This Row],[COMISIÓN ML]]</f>
        <v>397.8</v>
      </c>
      <c r="AE64" s="26"/>
      <c r="AF64" s="29">
        <v>0.03</v>
      </c>
      <c r="AG64" s="26">
        <f>(Tabla1[[#This Row],[PRECIO FINAL ML]]*Tabla1[[#This Row],[% ACOS]])/2</f>
        <v>30.599999999999998</v>
      </c>
      <c r="AH64" s="26">
        <f>Tabla1[[#This Row],[TOT COMISIÓN]]+Tabla1[[#This Row],[FIJO ML]]+Tabla1[[#This Row],[ACOS]]</f>
        <v>428.40000000000003</v>
      </c>
      <c r="AI64" s="26">
        <f t="shared" ref="AI64:AI69" si="8">$AF$3*(1+$T$2)*$C$2</f>
        <v>92.27034399999998</v>
      </c>
      <c r="AJ64" s="32">
        <f>Tabla1[[#This Row],[PRECIO FINAL ML]]-Tabla1[[#This Row],[DESCUENTO TOT]]-Tabla1[[#This Row],[ENVÍO]]</f>
        <v>1519.3296559999999</v>
      </c>
    </row>
    <row r="65" spans="1:36" ht="18" customHeight="1" x14ac:dyDescent="0.25">
      <c r="A65" s="144"/>
      <c r="B65" s="5">
        <v>1</v>
      </c>
      <c r="C65" s="2" t="s">
        <v>0</v>
      </c>
      <c r="D65" s="5" t="s">
        <v>194</v>
      </c>
      <c r="E65" s="5" t="s">
        <v>256</v>
      </c>
      <c r="F65" s="5" t="s">
        <v>344</v>
      </c>
      <c r="G65" s="5">
        <v>500</v>
      </c>
      <c r="H65" s="26">
        <v>75.849999999999994</v>
      </c>
      <c r="I65" s="26">
        <v>75.849999999999994</v>
      </c>
      <c r="J65" s="26">
        <f>Tabla1[[#This Row],[HOY]]-Tabla1[[#This Row],[AYER]]</f>
        <v>0</v>
      </c>
      <c r="K65" s="5">
        <v>50</v>
      </c>
      <c r="L65" s="54" t="s">
        <v>2</v>
      </c>
      <c r="M65" s="54"/>
      <c r="N65" s="53" t="s">
        <v>1</v>
      </c>
      <c r="O65" s="9" t="s">
        <v>132</v>
      </c>
      <c r="P65" s="9">
        <v>12</v>
      </c>
      <c r="Q65" s="5"/>
      <c r="R65" s="2" t="s">
        <v>14</v>
      </c>
      <c r="S65" s="11" t="str">
        <f>IF(B65="","",(IF((Tabla1[[#This Row],[STOCK]]-1)&lt;Tabla1[[#This Row],[INV MIN]],"PAUSAR!!!!","")))</f>
        <v/>
      </c>
      <c r="T65" s="44" t="str">
        <f>IF(Tabla1[[#This Row],[UTILIDAD]]&lt;0,"PÉRDIDA!!!","")</f>
        <v/>
      </c>
      <c r="U65" s="60"/>
      <c r="V65" s="32">
        <f>Tabla1[[#This Row],[TOT VENTA]]-Tabla1[[#This Row],[COSTO]]</f>
        <v>64.057176000000254</v>
      </c>
      <c r="W65" s="6">
        <f>Tabla1[[#This Row],[HOY]]*$T$2</f>
        <v>12.135999999999999</v>
      </c>
      <c r="X65" s="6">
        <f>Tabla1[[#This Row],[HOY]]+Tabla1[[#This Row],[IVA]]</f>
        <v>87.98599999999999</v>
      </c>
      <c r="Y65" s="41">
        <f>Tabla1[[#This Row],[TOTAL]]*B65*$C$2</f>
        <v>1511.5994799999999</v>
      </c>
      <c r="Z65" s="26">
        <v>2455</v>
      </c>
      <c r="AA65" s="29">
        <v>0.14000000000000001</v>
      </c>
      <c r="AB65" s="32">
        <f>Tabla1[[#This Row],[PRECIO ML]]*(1-Tabla1[[#This Row],[DESCUENTO]])</f>
        <v>2111.3000000000002</v>
      </c>
      <c r="AC65" s="29">
        <v>0.19500000000000001</v>
      </c>
      <c r="AD65" s="26">
        <f>Tabla1[[#This Row],[PRECIO FINAL ML]]*Tabla1[[#This Row],[COMISIÓN ML]]</f>
        <v>411.70350000000008</v>
      </c>
      <c r="AE65" s="26"/>
      <c r="AF65" s="29">
        <v>0.03</v>
      </c>
      <c r="AG65" s="26">
        <f>(Tabla1[[#This Row],[PRECIO FINAL ML]]*Tabla1[[#This Row],[% ACOS]])/2</f>
        <v>31.669500000000003</v>
      </c>
      <c r="AH65" s="26">
        <f>Tabla1[[#This Row],[TOT COMISIÓN]]+Tabla1[[#This Row],[FIJO ML]]+Tabla1[[#This Row],[ACOS]]</f>
        <v>443.3730000000001</v>
      </c>
      <c r="AI65" s="26">
        <f t="shared" si="8"/>
        <v>92.27034399999998</v>
      </c>
      <c r="AJ65" s="32">
        <f>Tabla1[[#This Row],[PRECIO FINAL ML]]-Tabla1[[#This Row],[DESCUENTO TOT]]-Tabla1[[#This Row],[ENVÍO]]</f>
        <v>1575.6566560000001</v>
      </c>
    </row>
    <row r="66" spans="1:36" ht="18" customHeight="1" x14ac:dyDescent="0.25">
      <c r="A66" s="144"/>
      <c r="B66" s="5">
        <v>1</v>
      </c>
      <c r="C66" s="2" t="s">
        <v>17</v>
      </c>
      <c r="D66" s="5" t="s">
        <v>194</v>
      </c>
      <c r="E66" s="5" t="s">
        <v>256</v>
      </c>
      <c r="F66" s="5" t="s">
        <v>345</v>
      </c>
      <c r="G66" s="5">
        <v>466</v>
      </c>
      <c r="H66" s="26">
        <v>116.48</v>
      </c>
      <c r="I66" s="26">
        <v>116.48</v>
      </c>
      <c r="J66" s="26">
        <f>Tabla1[[#This Row],[HOY]]-Tabla1[[#This Row],[AYER]]</f>
        <v>0</v>
      </c>
      <c r="K66" s="5">
        <v>50</v>
      </c>
      <c r="L66" s="54" t="s">
        <v>19</v>
      </c>
      <c r="M66" s="54"/>
      <c r="N66" s="53" t="s">
        <v>18</v>
      </c>
      <c r="O66" s="9" t="s">
        <v>132</v>
      </c>
      <c r="P66" s="9">
        <v>12</v>
      </c>
      <c r="Q66" s="5"/>
      <c r="R66" s="2" t="s">
        <v>14</v>
      </c>
      <c r="S66" s="11" t="str">
        <f>IF(B66="","",(IF((Tabla1[[#This Row],[STOCK]]-1)&lt;Tabla1[[#This Row],[INV MIN]],"PAUSAR!!!!","")))</f>
        <v/>
      </c>
      <c r="T66" s="44" t="str">
        <f>IF(Tabla1[[#This Row],[UTILIDAD]]&lt;0,"PÉRDIDA!!!","")</f>
        <v/>
      </c>
      <c r="U66" s="60"/>
      <c r="V66" s="32">
        <f>Tabla1[[#This Row],[TOT VENTA]]-Tabla1[[#This Row],[COSTO]]</f>
        <v>99.239231999999902</v>
      </c>
      <c r="W66" s="6">
        <f>Tabla1[[#This Row],[HOY]]*$T$2</f>
        <v>18.636800000000001</v>
      </c>
      <c r="X66" s="6">
        <f>Tabla1[[#This Row],[HOY]]+Tabla1[[#This Row],[IVA]]</f>
        <v>135.11680000000001</v>
      </c>
      <c r="Y66" s="41">
        <f>Tabla1[[#This Row],[TOTAL]]*B66*$C$2</f>
        <v>2321.3066240000003</v>
      </c>
      <c r="Z66" s="26">
        <v>3879</v>
      </c>
      <c r="AA66" s="29">
        <v>0.18</v>
      </c>
      <c r="AB66" s="32">
        <f>Tabla1[[#This Row],[PRECIO ML]]*(1-Tabla1[[#This Row],[DESCUENTO]])</f>
        <v>3180.78</v>
      </c>
      <c r="AC66" s="29">
        <v>0.19500000000000001</v>
      </c>
      <c r="AD66" s="26">
        <f>Tabla1[[#This Row],[PRECIO FINAL ML]]*Tabla1[[#This Row],[COMISIÓN ML]]</f>
        <v>620.25210000000004</v>
      </c>
      <c r="AE66" s="26"/>
      <c r="AF66" s="29">
        <v>0.03</v>
      </c>
      <c r="AG66" s="26">
        <f>(Tabla1[[#This Row],[PRECIO FINAL ML]]*Tabla1[[#This Row],[% ACOS]])/2</f>
        <v>47.7117</v>
      </c>
      <c r="AH66" s="26">
        <f>Tabla1[[#This Row],[TOT COMISIÓN]]+Tabla1[[#This Row],[FIJO ML]]+Tabla1[[#This Row],[ACOS]]</f>
        <v>667.96379999999999</v>
      </c>
      <c r="AI66" s="26">
        <f t="shared" si="8"/>
        <v>92.27034399999998</v>
      </c>
      <c r="AJ66" s="32">
        <f>Tabla1[[#This Row],[PRECIO FINAL ML]]-Tabla1[[#This Row],[DESCUENTO TOT]]-Tabla1[[#This Row],[ENVÍO]]</f>
        <v>2420.5458560000002</v>
      </c>
    </row>
    <row r="67" spans="1:36" ht="18" customHeight="1" x14ac:dyDescent="0.25">
      <c r="A67" s="144"/>
      <c r="B67" s="5">
        <v>1</v>
      </c>
      <c r="C67" s="2" t="s">
        <v>88</v>
      </c>
      <c r="D67" s="5" t="s">
        <v>194</v>
      </c>
      <c r="E67" s="5" t="s">
        <v>256</v>
      </c>
      <c r="F67" s="5" t="s">
        <v>346</v>
      </c>
      <c r="G67" s="5">
        <v>500</v>
      </c>
      <c r="H67" s="26">
        <v>193.25</v>
      </c>
      <c r="I67" s="26">
        <v>193.25</v>
      </c>
      <c r="J67" s="26">
        <f>Tabla1[[#This Row],[HOY]]-Tabla1[[#This Row],[AYER]]</f>
        <v>0</v>
      </c>
      <c r="K67" s="5">
        <v>50</v>
      </c>
      <c r="L67" s="54" t="s">
        <v>89</v>
      </c>
      <c r="M67" s="54"/>
      <c r="N67" s="53" t="s">
        <v>122</v>
      </c>
      <c r="O67" s="9" t="s">
        <v>132</v>
      </c>
      <c r="P67" s="9">
        <v>12</v>
      </c>
      <c r="Q67" s="5"/>
      <c r="R67" s="2"/>
      <c r="S67" s="11" t="str">
        <f>IF(B67="","",(IF((Tabla1[[#This Row],[STOCK]]-1)&lt;Tabla1[[#This Row],[INV MIN]],"PAUSAR!!!!","")))</f>
        <v/>
      </c>
      <c r="T67" s="44" t="str">
        <f>IF(Tabla1[[#This Row],[UTILIDAD]]&lt;0,"PÉRDIDA!!!","")</f>
        <v/>
      </c>
      <c r="U67" s="60"/>
      <c r="V67" s="32">
        <f>Tabla1[[#This Row],[TOT VENTA]]-Tabla1[[#This Row],[COSTO]]</f>
        <v>129.18593099999953</v>
      </c>
      <c r="W67" s="6">
        <f>Tabla1[[#This Row],[HOY]]*$T$2</f>
        <v>30.92</v>
      </c>
      <c r="X67" s="6">
        <f>Tabla1[[#This Row],[HOY]]+Tabla1[[#This Row],[IVA]]</f>
        <v>224.17000000000002</v>
      </c>
      <c r="Y67" s="41">
        <f>Tabla1[[#This Row],[TOTAL]]*B67*$C$2</f>
        <v>3851.2406000000001</v>
      </c>
      <c r="Z67" s="26">
        <v>6873.75</v>
      </c>
      <c r="AA67" s="29">
        <v>0.25</v>
      </c>
      <c r="AB67" s="32">
        <f>Tabla1[[#This Row],[PRECIO ML]]*(1-Tabla1[[#This Row],[DESCUENTO]])</f>
        <v>5155.3125</v>
      </c>
      <c r="AC67" s="29">
        <v>0.19500000000000001</v>
      </c>
      <c r="AD67" s="26">
        <f>Tabla1[[#This Row],[PRECIO FINAL ML]]*Tabla1[[#This Row],[COMISIÓN ML]]</f>
        <v>1005.2859375</v>
      </c>
      <c r="AE67" s="26"/>
      <c r="AF67" s="29">
        <v>0.03</v>
      </c>
      <c r="AG67" s="26">
        <f>(Tabla1[[#This Row],[PRECIO FINAL ML]]*Tabla1[[#This Row],[% ACOS]])/2</f>
        <v>77.329687499999991</v>
      </c>
      <c r="AH67" s="26">
        <f>Tabla1[[#This Row],[TOT COMISIÓN]]+Tabla1[[#This Row],[FIJO ML]]+Tabla1[[#This Row],[ACOS]]</f>
        <v>1082.6156250000001</v>
      </c>
      <c r="AI67" s="26">
        <f t="shared" si="8"/>
        <v>92.27034399999998</v>
      </c>
      <c r="AJ67" s="32">
        <f>Tabla1[[#This Row],[PRECIO FINAL ML]]-Tabla1[[#This Row],[DESCUENTO TOT]]-Tabla1[[#This Row],[ENVÍO]]</f>
        <v>3980.4265309999996</v>
      </c>
    </row>
    <row r="68" spans="1:36" ht="18" customHeight="1" x14ac:dyDescent="0.25">
      <c r="A68" s="144"/>
      <c r="B68" s="5">
        <v>1</v>
      </c>
      <c r="C68" s="2" t="s">
        <v>20</v>
      </c>
      <c r="D68" s="5" t="s">
        <v>194</v>
      </c>
      <c r="E68" s="5" t="s">
        <v>256</v>
      </c>
      <c r="F68" s="5" t="s">
        <v>347</v>
      </c>
      <c r="G68" s="5">
        <v>500</v>
      </c>
      <c r="H68" s="26">
        <v>242.43</v>
      </c>
      <c r="I68" s="26">
        <v>242.43</v>
      </c>
      <c r="J68" s="26">
        <f>Tabla1[[#This Row],[HOY]]-Tabla1[[#This Row],[AYER]]</f>
        <v>0</v>
      </c>
      <c r="K68" s="5">
        <v>50</v>
      </c>
      <c r="L68" s="54" t="s">
        <v>22</v>
      </c>
      <c r="M68" s="54"/>
      <c r="N68" s="53" t="s">
        <v>21</v>
      </c>
      <c r="O68" s="9" t="s">
        <v>132</v>
      </c>
      <c r="P68" s="9">
        <v>12</v>
      </c>
      <c r="Q68" s="5"/>
      <c r="R68" s="2" t="s">
        <v>14</v>
      </c>
      <c r="S68" s="11" t="str">
        <f>IF(B68="","",(IF((Tabla1[[#This Row],[STOCK]]-1)&lt;Tabla1[[#This Row],[INV MIN]],"PAUSAR!!!!","")))</f>
        <v/>
      </c>
      <c r="T68" s="44" t="str">
        <f>IF(Tabla1[[#This Row],[UTILIDAD]]&lt;0,"PÉRDIDA!!!","")</f>
        <v/>
      </c>
      <c r="U68" s="60"/>
      <c r="V68" s="32">
        <f>Tabla1[[#This Row],[TOT VENTA]]-Tabla1[[#This Row],[COSTO]]</f>
        <v>136.83837200000016</v>
      </c>
      <c r="W68" s="6">
        <f>Tabla1[[#This Row],[HOY]]*$T$2</f>
        <v>38.788800000000002</v>
      </c>
      <c r="X68" s="6">
        <f>Tabla1[[#This Row],[HOY]]+Tabla1[[#This Row],[IVA]]</f>
        <v>281.21879999999999</v>
      </c>
      <c r="Y68" s="41">
        <f>Tabla1[[#This Row],[TOTAL]]*B68*$C$2</f>
        <v>4831.338984</v>
      </c>
      <c r="Z68" s="26">
        <v>8319</v>
      </c>
      <c r="AA68" s="29">
        <v>0.23</v>
      </c>
      <c r="AB68" s="32">
        <f>Tabla1[[#This Row],[PRECIO ML]]*(1-Tabla1[[#This Row],[DESCUENTO]])</f>
        <v>6405.63</v>
      </c>
      <c r="AC68" s="29">
        <v>0.19500000000000001</v>
      </c>
      <c r="AD68" s="26">
        <f>Tabla1[[#This Row],[PRECIO FINAL ML]]*Tabla1[[#This Row],[COMISIÓN ML]]</f>
        <v>1249.0978500000001</v>
      </c>
      <c r="AE68" s="26"/>
      <c r="AF68" s="29">
        <v>0.03</v>
      </c>
      <c r="AG68" s="26">
        <f>(Tabla1[[#This Row],[PRECIO FINAL ML]]*Tabla1[[#This Row],[% ACOS]])/2</f>
        <v>96.084450000000004</v>
      </c>
      <c r="AH68" s="26">
        <f>Tabla1[[#This Row],[TOT COMISIÓN]]+Tabla1[[#This Row],[FIJO ML]]+Tabla1[[#This Row],[ACOS]]</f>
        <v>1345.1823000000002</v>
      </c>
      <c r="AI68" s="26">
        <f t="shared" si="8"/>
        <v>92.27034399999998</v>
      </c>
      <c r="AJ68" s="32">
        <f>Tabla1[[#This Row],[PRECIO FINAL ML]]-Tabla1[[#This Row],[DESCUENTO TOT]]-Tabla1[[#This Row],[ENVÍO]]</f>
        <v>4968.1773560000001</v>
      </c>
    </row>
    <row r="69" spans="1:36" ht="18" customHeight="1" x14ac:dyDescent="0.25">
      <c r="A69" s="144"/>
      <c r="B69" s="5">
        <v>1</v>
      </c>
      <c r="C69" s="2" t="s">
        <v>321</v>
      </c>
      <c r="D69" s="5" t="s">
        <v>194</v>
      </c>
      <c r="E69" s="5" t="s">
        <v>256</v>
      </c>
      <c r="F69" s="5" t="s">
        <v>319</v>
      </c>
      <c r="G69" s="5">
        <v>500</v>
      </c>
      <c r="H69" s="26">
        <v>351.84</v>
      </c>
      <c r="I69" s="26">
        <v>351.84</v>
      </c>
      <c r="J69" s="26">
        <f>Tabla1[[#This Row],[HOY]]-Tabla1[[#This Row],[AYER]]</f>
        <v>0</v>
      </c>
      <c r="K69" s="5">
        <v>50</v>
      </c>
      <c r="L69" s="54" t="s">
        <v>320</v>
      </c>
      <c r="M69" s="54"/>
      <c r="N69" s="53" t="s">
        <v>322</v>
      </c>
      <c r="O69" s="9" t="s">
        <v>132</v>
      </c>
      <c r="P69" s="9">
        <v>12</v>
      </c>
      <c r="Q69" s="5"/>
      <c r="R69" s="2" t="s">
        <v>14</v>
      </c>
      <c r="S69" s="11" t="str">
        <f>IF(B69="","",(IF((Tabla1[[#This Row],[STOCK]]-1)&lt;Tabla1[[#This Row],[INV MIN]],"PAUSAR!!!!","")))</f>
        <v/>
      </c>
      <c r="T69" s="44" t="str">
        <f>IF(Tabla1[[#This Row],[UTILIDAD]]&lt;0,"PÉRDIDA!!!","")</f>
        <v/>
      </c>
      <c r="U69" s="60"/>
      <c r="V69" s="32">
        <f>Tabla1[[#This Row],[TOT VENTA]]-Tabla1[[#This Row],[COSTO]]</f>
        <v>195.58066400000098</v>
      </c>
      <c r="W69" s="6">
        <f>Tabla1[[#This Row],[HOY]]*$T$2</f>
        <v>56.294399999999996</v>
      </c>
      <c r="X69" s="6">
        <f>Tabla1[[#This Row],[HOY]]+Tabla1[[#This Row],[IVA]]</f>
        <v>408.13439999999997</v>
      </c>
      <c r="Y69" s="41">
        <f>Tabla1[[#This Row],[TOTAL]]*B69*$C$2</f>
        <v>7011.7489919999998</v>
      </c>
      <c r="Z69" s="26">
        <v>12000</v>
      </c>
      <c r="AA69" s="29">
        <v>0.23</v>
      </c>
      <c r="AB69" s="32">
        <f>Tabla1[[#This Row],[PRECIO ML]]*(1-Tabla1[[#This Row],[DESCUENTO]])</f>
        <v>9240</v>
      </c>
      <c r="AC69" s="29">
        <v>0.19500000000000001</v>
      </c>
      <c r="AD69" s="26">
        <f>Tabla1[[#This Row],[PRECIO FINAL ML]]*Tabla1[[#This Row],[COMISIÓN ML]]</f>
        <v>1801.8</v>
      </c>
      <c r="AE69" s="26"/>
      <c r="AF69" s="29">
        <v>0.03</v>
      </c>
      <c r="AG69" s="26">
        <f>(Tabla1[[#This Row],[PRECIO FINAL ML]]*Tabla1[[#This Row],[% ACOS]])/2</f>
        <v>138.6</v>
      </c>
      <c r="AH69" s="26">
        <f>Tabla1[[#This Row],[TOT COMISIÓN]]+Tabla1[[#This Row],[FIJO ML]]+Tabla1[[#This Row],[ACOS]]</f>
        <v>1940.3999999999999</v>
      </c>
      <c r="AI69" s="26">
        <f t="shared" si="8"/>
        <v>92.27034399999998</v>
      </c>
      <c r="AJ69" s="32">
        <f>Tabla1[[#This Row],[PRECIO FINAL ML]]-Tabla1[[#This Row],[DESCUENTO TOT]]-Tabla1[[#This Row],[ENVÍO]]</f>
        <v>7207.3296560000008</v>
      </c>
    </row>
    <row r="70" spans="1:36" ht="18" customHeight="1" x14ac:dyDescent="0.25">
      <c r="A70" s="144"/>
      <c r="B70" s="5">
        <v>1</v>
      </c>
      <c r="C70" s="2" t="s">
        <v>488</v>
      </c>
      <c r="D70" s="5" t="s">
        <v>194</v>
      </c>
      <c r="E70" s="5" t="s">
        <v>256</v>
      </c>
      <c r="F70" s="5" t="s">
        <v>489</v>
      </c>
      <c r="G70" s="5">
        <v>299</v>
      </c>
      <c r="H70" s="26">
        <v>29.59</v>
      </c>
      <c r="I70" s="26">
        <v>29.59</v>
      </c>
      <c r="J70" s="26">
        <f>Tabla1[[#This Row],[HOY]]-Tabla1[[#This Row],[AYER]]</f>
        <v>0</v>
      </c>
      <c r="K70" s="5">
        <v>30</v>
      </c>
      <c r="L70" s="54" t="s">
        <v>490</v>
      </c>
      <c r="M70" s="54"/>
      <c r="N70" s="68" t="s">
        <v>491</v>
      </c>
      <c r="O70" s="9" t="s">
        <v>132</v>
      </c>
      <c r="P70" s="9">
        <v>12</v>
      </c>
      <c r="Q70" s="5"/>
      <c r="R70" s="2" t="s">
        <v>14</v>
      </c>
      <c r="S70" s="11" t="str">
        <f>IF(B70="","",(IF((Tabla1[[#This Row],[STOCK]]-1)&lt;Tabla1[[#This Row],[INV MIN]],"PAUSAR!!!!","")))</f>
        <v/>
      </c>
      <c r="T70" s="44" t="str">
        <f>IF(Tabla1[[#This Row],[UTILIDAD]]&lt;0,"PÉRDIDA!!!","")</f>
        <v/>
      </c>
      <c r="U70" s="60"/>
      <c r="V70" s="32">
        <f>Tabla1[[#This Row],[TOT VENTA]]-Tabla1[[#This Row],[COSTO]]</f>
        <v>79.939579999999978</v>
      </c>
      <c r="W70" s="6">
        <f>Tabla1[[#This Row],[HOY]]*$T$2</f>
        <v>4.7343999999999999</v>
      </c>
      <c r="X70" s="6">
        <f>Tabla1[[#This Row],[HOY]]+Tabla1[[#This Row],[IVA]]</f>
        <v>34.324399999999997</v>
      </c>
      <c r="Y70" s="41">
        <f>Tabla1[[#This Row],[TOTAL]]*B70*$C$2</f>
        <v>589.69319199999995</v>
      </c>
      <c r="Z70" s="26">
        <v>999</v>
      </c>
      <c r="AA70" s="29">
        <v>0.15</v>
      </c>
      <c r="AB70" s="32">
        <f>Tabla1[[#This Row],[PRECIO ML]]*(1-Tabla1[[#This Row],[DESCUENTO]])</f>
        <v>849.15</v>
      </c>
      <c r="AC70" s="29">
        <v>0.19500000000000001</v>
      </c>
      <c r="AD70" s="26">
        <f>Tabla1[[#This Row],[PRECIO FINAL ML]]*Tabla1[[#This Row],[COMISIÓN ML]]</f>
        <v>165.58425</v>
      </c>
      <c r="AE70" s="26"/>
      <c r="AF70" s="29">
        <v>0.03</v>
      </c>
      <c r="AG70" s="26">
        <f>(Tabla1[[#This Row],[PRECIO FINAL ML]]*Tabla1[[#This Row],[% ACOS]])/2</f>
        <v>12.73725</v>
      </c>
      <c r="AH70" s="26">
        <f>Tabla1[[#This Row],[TOT COMISIÓN]]+Tabla1[[#This Row],[FIJO ML]]+Tabla1[[#This Row],[ACOS]]</f>
        <v>178.32149999999999</v>
      </c>
      <c r="AI70" s="87">
        <f t="shared" ref="AI70" si="9">$AF$2*(1+$T$2)*$C$2</f>
        <v>1.1957279999999999</v>
      </c>
      <c r="AJ70" s="32">
        <f>Tabla1[[#This Row],[PRECIO FINAL ML]]-Tabla1[[#This Row],[DESCUENTO TOT]]-Tabla1[[#This Row],[ENVÍO]]</f>
        <v>669.63277199999993</v>
      </c>
    </row>
    <row r="71" spans="1:36" ht="18" customHeight="1" x14ac:dyDescent="0.25">
      <c r="A71" s="3"/>
      <c r="G71" s="3"/>
      <c r="H71" s="24"/>
      <c r="I71" s="24"/>
      <c r="J71" s="24"/>
      <c r="K71" s="3"/>
      <c r="L71" s="4"/>
      <c r="M71" s="4"/>
      <c r="N71" s="13"/>
      <c r="O71" s="3"/>
      <c r="P71" s="3"/>
      <c r="Q71" s="3"/>
      <c r="R71" s="4"/>
      <c r="S71" s="4"/>
      <c r="T71" s="43" t="str">
        <f>IF(Tabla1[[#This Row],[UTILIDAD]]&lt;0,"PÉRDIDA!!!","")</f>
        <v/>
      </c>
      <c r="U71" s="58"/>
      <c r="V71" s="36"/>
      <c r="W71" s="7"/>
      <c r="X71" s="7"/>
      <c r="Y71" s="42"/>
      <c r="Z71" s="24"/>
      <c r="AA71" s="27"/>
      <c r="AB71" s="7"/>
      <c r="AC71" s="27"/>
      <c r="AD71" s="24"/>
      <c r="AF71" s="27"/>
      <c r="AG71" s="24"/>
      <c r="AH71" s="24"/>
      <c r="AI71" s="24"/>
      <c r="AJ71" s="36"/>
    </row>
    <row r="72" spans="1:36" ht="18" customHeight="1" x14ac:dyDescent="0.25">
      <c r="A72" s="3"/>
      <c r="G72" s="3"/>
      <c r="H72" s="24"/>
      <c r="I72" s="24"/>
      <c r="J72" s="24"/>
      <c r="K72" s="3"/>
      <c r="L72" s="4"/>
      <c r="M72" s="4"/>
      <c r="N72" s="13"/>
      <c r="O72" s="3"/>
      <c r="P72" s="3"/>
      <c r="Q72" s="3"/>
      <c r="R72" s="4"/>
      <c r="S72" s="4"/>
      <c r="T72" s="43" t="str">
        <f>IF(Tabla1[[#This Row],[UTILIDAD]]&lt;0,"PÉRDIDA!!!","")</f>
        <v/>
      </c>
      <c r="U72" s="58"/>
      <c r="V72" s="36"/>
      <c r="W72" s="7"/>
      <c r="X72" s="7"/>
      <c r="Y72" s="42"/>
      <c r="Z72" s="24"/>
      <c r="AA72" s="27"/>
      <c r="AB72" s="7"/>
      <c r="AC72" s="27"/>
      <c r="AD72" s="24"/>
      <c r="AF72" s="27"/>
      <c r="AG72" s="24"/>
      <c r="AH72" s="24"/>
      <c r="AI72" s="24"/>
      <c r="AJ72" s="36"/>
    </row>
    <row r="73" spans="1:36" ht="18" customHeight="1" x14ac:dyDescent="0.25">
      <c r="A73" s="141" t="s">
        <v>134</v>
      </c>
      <c r="B73" s="5">
        <v>1</v>
      </c>
      <c r="C73" s="2" t="s">
        <v>352</v>
      </c>
      <c r="D73" s="5" t="s">
        <v>194</v>
      </c>
      <c r="E73" s="5" t="s">
        <v>353</v>
      </c>
      <c r="F73" s="5" t="s">
        <v>354</v>
      </c>
      <c r="G73" s="5">
        <v>80</v>
      </c>
      <c r="H73" s="26">
        <v>164.49</v>
      </c>
      <c r="I73" s="26">
        <v>164.49</v>
      </c>
      <c r="J73" s="26">
        <f>Tabla1[[#This Row],[HOY]]-Tabla1[[#This Row],[AYER]]</f>
        <v>0</v>
      </c>
      <c r="K73" s="5">
        <v>15</v>
      </c>
      <c r="L73" s="54" t="s">
        <v>355</v>
      </c>
      <c r="M73" s="54"/>
      <c r="N73" s="68" t="s">
        <v>370</v>
      </c>
      <c r="O73" s="9" t="s">
        <v>132</v>
      </c>
      <c r="P73" s="9">
        <v>3</v>
      </c>
      <c r="Q73" s="5"/>
      <c r="R73" s="2" t="s">
        <v>14</v>
      </c>
      <c r="S73" s="11" t="str">
        <f>IF(B73="","",(IF((Tabla1[[#This Row],[STOCK]]-1)&lt;Tabla1[[#This Row],[INV MIN]],"PAUSAR!!!!","")))</f>
        <v/>
      </c>
      <c r="T73" s="44" t="str">
        <f>IF(Tabla1[[#This Row],[UTILIDAD]]&lt;0,"PÉRDIDA!!!","")</f>
        <v/>
      </c>
      <c r="U73" s="60"/>
      <c r="V73" s="32">
        <f>Tabla1[[#This Row],[TOT VENTA]]-Tabla1[[#This Row],[COSTO]]</f>
        <v>578.84936899999957</v>
      </c>
      <c r="W73" s="6">
        <f>Tabla1[[#This Row],[HOY]]*$T$2</f>
        <v>26.3184</v>
      </c>
      <c r="X73" s="6">
        <f>Tabla1[[#This Row],[HOY]]+Tabla1[[#This Row],[IVA]]</f>
        <v>190.80840000000001</v>
      </c>
      <c r="Y73" s="41">
        <f>Tabla1[[#This Row],[TOTAL]]*B73*$C$2</f>
        <v>3278.0883119999999</v>
      </c>
      <c r="Z73" s="26">
        <v>6665.33</v>
      </c>
      <c r="AA73" s="29">
        <v>0.25</v>
      </c>
      <c r="AB73" s="32">
        <f>Tabla1[[#This Row],[PRECIO ML]]*(1-Tabla1[[#This Row],[DESCUENTO]])</f>
        <v>4998.9974999999995</v>
      </c>
      <c r="AC73" s="29">
        <v>0.19500000000000001</v>
      </c>
      <c r="AD73" s="26">
        <f>Tabla1[[#This Row],[PRECIO FINAL ML]]*Tabla1[[#This Row],[COMISIÓN ML]]</f>
        <v>974.80451249999999</v>
      </c>
      <c r="AE73" s="26"/>
      <c r="AF73" s="29">
        <v>0.03</v>
      </c>
      <c r="AG73" s="26">
        <f>(Tabla1[[#This Row],[PRECIO FINAL ML]]*Tabla1[[#This Row],[% ACOS]])/2</f>
        <v>74.984962499999995</v>
      </c>
      <c r="AH73" s="26">
        <f>Tabla1[[#This Row],[TOT COMISIÓN]]+Tabla1[[#This Row],[FIJO ML]]+Tabla1[[#This Row],[ACOS]]</f>
        <v>1049.789475</v>
      </c>
      <c r="AI73" s="26">
        <f t="shared" ref="AI73:AI81" si="10">$AF$3*(1+$T$2)*$C$2</f>
        <v>92.27034399999998</v>
      </c>
      <c r="AJ73" s="32">
        <f>Tabla1[[#This Row],[PRECIO FINAL ML]]-Tabla1[[#This Row],[DESCUENTO TOT]]-Tabla1[[#This Row],[ENVÍO]]</f>
        <v>3856.9376809999994</v>
      </c>
    </row>
    <row r="74" spans="1:36" ht="18" customHeight="1" x14ac:dyDescent="0.25">
      <c r="A74" s="142"/>
      <c r="B74" s="5">
        <v>1</v>
      </c>
      <c r="C74" s="2" t="s">
        <v>371</v>
      </c>
      <c r="D74" s="5" t="s">
        <v>194</v>
      </c>
      <c r="E74" s="5" t="s">
        <v>353</v>
      </c>
      <c r="F74" s="5" t="s">
        <v>373</v>
      </c>
      <c r="G74" s="5">
        <v>144</v>
      </c>
      <c r="H74" s="26">
        <v>170.81</v>
      </c>
      <c r="I74" s="26">
        <v>170.81</v>
      </c>
      <c r="J74" s="26">
        <f>Tabla1[[#This Row],[HOY]]-Tabla1[[#This Row],[AYER]]</f>
        <v>0</v>
      </c>
      <c r="K74" s="5">
        <v>15</v>
      </c>
      <c r="L74" s="54" t="s">
        <v>375</v>
      </c>
      <c r="M74" s="54"/>
      <c r="N74" s="68" t="s">
        <v>377</v>
      </c>
      <c r="O74" s="9" t="s">
        <v>132</v>
      </c>
      <c r="P74" s="9">
        <v>3</v>
      </c>
      <c r="Q74" s="5"/>
      <c r="R74" s="2" t="s">
        <v>14</v>
      </c>
      <c r="S74" s="11" t="str">
        <f>IF(B74="","",(IF((Tabla1[[#This Row],[STOCK]]-1)&lt;Tabla1[[#This Row],[INV MIN]],"PAUSAR!!!!","")))</f>
        <v/>
      </c>
      <c r="T74" s="44" t="str">
        <f>IF(Tabla1[[#This Row],[UTILIDAD]]&lt;0,"PÉRDIDA!!!","")</f>
        <v/>
      </c>
      <c r="U74" s="60"/>
      <c r="V74" s="32">
        <f>Tabla1[[#This Row],[TOT VENTA]]-Tabla1[[#This Row],[COSTO]]</f>
        <v>610.90132799999992</v>
      </c>
      <c r="W74" s="6">
        <f>Tabla1[[#This Row],[HOY]]*$T$2</f>
        <v>27.329599999999999</v>
      </c>
      <c r="X74" s="6">
        <f>Tabla1[[#This Row],[HOY]]+Tabla1[[#This Row],[IVA]]</f>
        <v>198.1396</v>
      </c>
      <c r="Y74" s="41">
        <f>Tabla1[[#This Row],[TOTAL]]*B74*$C$2</f>
        <v>3404.0383280000001</v>
      </c>
      <c r="Z74" s="26">
        <v>6932</v>
      </c>
      <c r="AA74" s="29">
        <v>0.25</v>
      </c>
      <c r="AB74" s="32">
        <f>Tabla1[[#This Row],[PRECIO ML]]*(1-Tabla1[[#This Row],[DESCUENTO]])</f>
        <v>5199</v>
      </c>
      <c r="AC74" s="29">
        <v>0.19500000000000001</v>
      </c>
      <c r="AD74" s="26">
        <f>Tabla1[[#This Row],[PRECIO FINAL ML]]*Tabla1[[#This Row],[COMISIÓN ML]]</f>
        <v>1013.8050000000001</v>
      </c>
      <c r="AE74" s="26"/>
      <c r="AF74" s="29">
        <v>0.03</v>
      </c>
      <c r="AG74" s="26">
        <f>(Tabla1[[#This Row],[PRECIO FINAL ML]]*Tabla1[[#This Row],[% ACOS]])/2</f>
        <v>77.984999999999999</v>
      </c>
      <c r="AH74" s="26">
        <f>Tabla1[[#This Row],[TOT COMISIÓN]]+Tabla1[[#This Row],[FIJO ML]]+Tabla1[[#This Row],[ACOS]]</f>
        <v>1091.79</v>
      </c>
      <c r="AI74" s="26">
        <f t="shared" si="10"/>
        <v>92.27034399999998</v>
      </c>
      <c r="AJ74" s="32">
        <f>Tabla1[[#This Row],[PRECIO FINAL ML]]-Tabla1[[#This Row],[DESCUENTO TOT]]-Tabla1[[#This Row],[ENVÍO]]</f>
        <v>4014.939656</v>
      </c>
    </row>
    <row r="75" spans="1:36" ht="18" customHeight="1" x14ac:dyDescent="0.25">
      <c r="A75" s="142"/>
      <c r="B75" s="5">
        <v>1</v>
      </c>
      <c r="C75" s="2" t="s">
        <v>372</v>
      </c>
      <c r="D75" s="5" t="s">
        <v>194</v>
      </c>
      <c r="E75" s="5" t="s">
        <v>353</v>
      </c>
      <c r="F75" s="5" t="s">
        <v>374</v>
      </c>
      <c r="G75" s="5">
        <v>500</v>
      </c>
      <c r="H75" s="26">
        <v>233.81</v>
      </c>
      <c r="I75" s="26">
        <v>233.81</v>
      </c>
      <c r="J75" s="26">
        <f>Tabla1[[#This Row],[HOY]]-Tabla1[[#This Row],[AYER]]</f>
        <v>0</v>
      </c>
      <c r="K75" s="5">
        <v>15</v>
      </c>
      <c r="L75" s="54" t="s">
        <v>376</v>
      </c>
      <c r="M75" s="54"/>
      <c r="N75" s="68" t="s">
        <v>378</v>
      </c>
      <c r="O75" s="9" t="s">
        <v>132</v>
      </c>
      <c r="P75" s="9">
        <v>3</v>
      </c>
      <c r="Q75" s="5"/>
      <c r="R75" s="2" t="s">
        <v>14</v>
      </c>
      <c r="S75" s="11" t="str">
        <f>IF(B75="","",(IF((Tabla1[[#This Row],[STOCK]]-1)&lt;Tabla1[[#This Row],[INV MIN]],"PAUSAR!!!!","")))</f>
        <v/>
      </c>
      <c r="T75" s="44" t="str">
        <f>IF(Tabla1[[#This Row],[UTILIDAD]]&lt;0,"PÉRDIDA!!!","")</f>
        <v/>
      </c>
      <c r="U75" s="60"/>
      <c r="V75" s="32">
        <f>Tabla1[[#This Row],[TOT VENTA]]-Tabla1[[#This Row],[COSTO]]</f>
        <v>1172.5844280000001</v>
      </c>
      <c r="W75" s="6">
        <f>Tabla1[[#This Row],[HOY]]*$T$2</f>
        <v>37.409600000000005</v>
      </c>
      <c r="X75" s="6">
        <f>Tabla1[[#This Row],[HOY]]+Tabla1[[#This Row],[IVA]]</f>
        <v>271.21960000000001</v>
      </c>
      <c r="Y75" s="41">
        <f>Tabla1[[#This Row],[TOTAL]]*B75*$C$2</f>
        <v>4659.5527280000006</v>
      </c>
      <c r="Z75" s="26">
        <v>9999</v>
      </c>
      <c r="AA75" s="29">
        <v>0.25</v>
      </c>
      <c r="AB75" s="32">
        <f>Tabla1[[#This Row],[PRECIO ML]]*(1-Tabla1[[#This Row],[DESCUENTO]])</f>
        <v>7499.25</v>
      </c>
      <c r="AC75" s="29">
        <v>0.19500000000000001</v>
      </c>
      <c r="AD75" s="26">
        <f>Tabla1[[#This Row],[PRECIO FINAL ML]]*Tabla1[[#This Row],[COMISIÓN ML]]</f>
        <v>1462.35375</v>
      </c>
      <c r="AE75" s="26"/>
      <c r="AF75" s="29">
        <v>0.03</v>
      </c>
      <c r="AG75" s="26">
        <f>(Tabla1[[#This Row],[PRECIO FINAL ML]]*Tabla1[[#This Row],[% ACOS]])/2</f>
        <v>112.48875</v>
      </c>
      <c r="AH75" s="26">
        <f>Tabla1[[#This Row],[TOT COMISIÓN]]+Tabla1[[#This Row],[FIJO ML]]+Tabla1[[#This Row],[ACOS]]</f>
        <v>1574.8425</v>
      </c>
      <c r="AI75" s="26">
        <f t="shared" si="10"/>
        <v>92.27034399999998</v>
      </c>
      <c r="AJ75" s="32">
        <f>Tabla1[[#This Row],[PRECIO FINAL ML]]-Tabla1[[#This Row],[DESCUENTO TOT]]-Tabla1[[#This Row],[ENVÍO]]</f>
        <v>5832.1371560000007</v>
      </c>
    </row>
    <row r="76" spans="1:36" ht="18" customHeight="1" x14ac:dyDescent="0.25">
      <c r="A76" s="142"/>
      <c r="B76" s="5">
        <v>1</v>
      </c>
      <c r="C76" s="2" t="s">
        <v>56</v>
      </c>
      <c r="D76" s="5" t="s">
        <v>194</v>
      </c>
      <c r="E76" s="5" t="s">
        <v>456</v>
      </c>
      <c r="F76" s="5" t="s">
        <v>457</v>
      </c>
      <c r="G76" s="5">
        <v>43</v>
      </c>
      <c r="H76" s="26">
        <v>353</v>
      </c>
      <c r="I76" s="26">
        <v>353</v>
      </c>
      <c r="J76" s="26">
        <f>Tabla1[[#This Row],[HOY]]-Tabla1[[#This Row],[AYER]]</f>
        <v>0</v>
      </c>
      <c r="K76" s="5">
        <v>25</v>
      </c>
      <c r="L76" s="54" t="s">
        <v>58</v>
      </c>
      <c r="M76" s="54"/>
      <c r="N76" s="53" t="s">
        <v>57</v>
      </c>
      <c r="O76" s="8" t="s">
        <v>62</v>
      </c>
      <c r="P76" s="8"/>
      <c r="Q76" s="5"/>
      <c r="R76" s="2" t="s">
        <v>14</v>
      </c>
      <c r="S76" s="11" t="str">
        <f>IF(B76="","",(IF((Tabla1[[#This Row],[STOCK]]-1)&lt;Tabla1[[#This Row],[INV MIN]],"PAUSAR!!!!","")))</f>
        <v/>
      </c>
      <c r="T76" s="44" t="str">
        <f>IF(Tabla1[[#This Row],[UTILIDAD]]&lt;0,"PÉRDIDA!!!","")</f>
        <v/>
      </c>
      <c r="U76" s="60"/>
      <c r="V76" s="32">
        <f>Tabla1[[#This Row],[TOT VENTA]]-Tabla1[[#This Row],[COSTO]]</f>
        <v>3142.0748359999989</v>
      </c>
      <c r="W76" s="6">
        <f>Tabla1[[#This Row],[HOY]]*$T$2</f>
        <v>56.480000000000004</v>
      </c>
      <c r="X76" s="6">
        <f>Tabla1[[#This Row],[HOY]]+Tabla1[[#This Row],[IVA]]</f>
        <v>409.48</v>
      </c>
      <c r="Y76" s="41">
        <f>Tabla1[[#This Row],[TOTAL]]*B76*$C$2</f>
        <v>7034.8663999999999</v>
      </c>
      <c r="Z76" s="26">
        <v>13683.16</v>
      </c>
      <c r="AA76" s="29">
        <v>0.05</v>
      </c>
      <c r="AB76" s="32">
        <f>Tabla1[[#This Row],[PRECIO ML]]*(1-Tabla1[[#This Row],[DESCUENTO]])</f>
        <v>12999.001999999999</v>
      </c>
      <c r="AC76" s="29">
        <v>0.19500000000000001</v>
      </c>
      <c r="AD76" s="26">
        <f>Tabla1[[#This Row],[PRECIO FINAL ML]]*Tabla1[[#This Row],[COMISIÓN ML]]</f>
        <v>2534.80539</v>
      </c>
      <c r="AE76" s="26"/>
      <c r="AF76" s="29">
        <v>0.03</v>
      </c>
      <c r="AG76" s="26">
        <f>(Tabla1[[#This Row],[PRECIO FINAL ML]]*Tabla1[[#This Row],[% ACOS]])/2</f>
        <v>194.98502999999997</v>
      </c>
      <c r="AH76" s="26">
        <f>Tabla1[[#This Row],[TOT COMISIÓN]]+Tabla1[[#This Row],[FIJO ML]]+Tabla1[[#This Row],[ACOS]]</f>
        <v>2729.7904199999998</v>
      </c>
      <c r="AI76" s="26">
        <f t="shared" si="10"/>
        <v>92.27034399999998</v>
      </c>
      <c r="AJ76" s="32">
        <f>Tabla1[[#This Row],[PRECIO FINAL ML]]-Tabla1[[#This Row],[DESCUENTO TOT]]-Tabla1[[#This Row],[ENVÍO]]</f>
        <v>10176.941235999999</v>
      </c>
    </row>
    <row r="77" spans="1:36" ht="18" customHeight="1" x14ac:dyDescent="0.25">
      <c r="A77" s="142"/>
      <c r="B77" s="5">
        <v>1</v>
      </c>
      <c r="C77" s="2" t="s">
        <v>23</v>
      </c>
      <c r="D77" s="5" t="s">
        <v>194</v>
      </c>
      <c r="E77" s="5" t="s">
        <v>456</v>
      </c>
      <c r="F77" s="5" t="s">
        <v>458</v>
      </c>
      <c r="G77" s="5">
        <v>500</v>
      </c>
      <c r="H77" s="26">
        <v>559.41999999999996</v>
      </c>
      <c r="I77" s="26">
        <v>559.41999999999996</v>
      </c>
      <c r="J77" s="26">
        <f>Tabla1[[#This Row],[HOY]]-Tabla1[[#This Row],[AYER]]</f>
        <v>0</v>
      </c>
      <c r="K77" s="5">
        <v>25</v>
      </c>
      <c r="L77" s="54" t="s">
        <v>24</v>
      </c>
      <c r="M77" s="54"/>
      <c r="N77" s="53" t="s">
        <v>26</v>
      </c>
      <c r="O77" s="8" t="s">
        <v>62</v>
      </c>
      <c r="P77" s="8"/>
      <c r="Q77" s="5"/>
      <c r="R77" s="2" t="s">
        <v>25</v>
      </c>
      <c r="S77" s="11" t="str">
        <f>IF(B77="","",(IF((Tabla1[[#This Row],[STOCK]]-1)&lt;Tabla1[[#This Row],[INV MIN]],"PAUSAR!!!!","")))</f>
        <v/>
      </c>
      <c r="T77" s="44" t="str">
        <f>IF(Tabla1[[#This Row],[UTILIDAD]]&lt;0,"PÉRDIDA!!!","")</f>
        <v/>
      </c>
      <c r="U77" s="60"/>
      <c r="V77" s="32">
        <f>Tabla1[[#This Row],[TOT VENTA]]-Tabla1[[#This Row],[COSTO]]</f>
        <v>2188.3671999999988</v>
      </c>
      <c r="W77" s="6">
        <f>Tabla1[[#This Row],[HOY]]*$T$2</f>
        <v>89.507199999999997</v>
      </c>
      <c r="X77" s="6">
        <f>Tabla1[[#This Row],[HOY]]+Tabla1[[#This Row],[IVA]]</f>
        <v>648.92719999999997</v>
      </c>
      <c r="Y77" s="41">
        <f>Tabla1[[#This Row],[TOTAL]]*B77*$C$2</f>
        <v>11148.569296</v>
      </c>
      <c r="Z77" s="26">
        <v>17893.68</v>
      </c>
      <c r="AA77" s="29">
        <v>0.05</v>
      </c>
      <c r="AB77" s="32">
        <f>Tabla1[[#This Row],[PRECIO ML]]*(1-Tabla1[[#This Row],[DESCUENTO]])</f>
        <v>16998.995999999999</v>
      </c>
      <c r="AC77" s="29">
        <v>0.19500000000000001</v>
      </c>
      <c r="AD77" s="26">
        <f>Tabla1[[#This Row],[PRECIO FINAL ML]]*Tabla1[[#This Row],[COMISIÓN ML]]</f>
        <v>3314.80422</v>
      </c>
      <c r="AE77" s="26"/>
      <c r="AF77" s="29">
        <v>0.03</v>
      </c>
      <c r="AG77" s="26">
        <f>(Tabla1[[#This Row],[PRECIO FINAL ML]]*Tabla1[[#This Row],[% ACOS]])/2</f>
        <v>254.98493999999997</v>
      </c>
      <c r="AH77" s="26">
        <f>Tabla1[[#This Row],[TOT COMISIÓN]]+Tabla1[[#This Row],[FIJO ML]]+Tabla1[[#This Row],[ACOS]]</f>
        <v>3569.7891599999998</v>
      </c>
      <c r="AI77" s="26">
        <f t="shared" si="10"/>
        <v>92.27034399999998</v>
      </c>
      <c r="AJ77" s="32">
        <f>Tabla1[[#This Row],[PRECIO FINAL ML]]-Tabla1[[#This Row],[DESCUENTO TOT]]-Tabla1[[#This Row],[ENVÍO]]</f>
        <v>13336.936495999998</v>
      </c>
    </row>
    <row r="78" spans="1:36" ht="18" customHeight="1" x14ac:dyDescent="0.25">
      <c r="A78" s="142"/>
      <c r="B78" s="5">
        <v>1</v>
      </c>
      <c r="C78" s="2" t="s">
        <v>10</v>
      </c>
      <c r="D78" s="5" t="s">
        <v>194</v>
      </c>
      <c r="E78" s="5" t="s">
        <v>456</v>
      </c>
      <c r="F78" s="5" t="s">
        <v>459</v>
      </c>
      <c r="G78" s="5">
        <v>262</v>
      </c>
      <c r="H78" s="26">
        <v>933.68</v>
      </c>
      <c r="I78" s="26">
        <v>933.68</v>
      </c>
      <c r="J78" s="26">
        <f>Tabla1[[#This Row],[HOY]]-Tabla1[[#This Row],[AYER]]</f>
        <v>0</v>
      </c>
      <c r="K78" s="5">
        <v>25</v>
      </c>
      <c r="L78" s="54" t="s">
        <v>11</v>
      </c>
      <c r="M78" s="54"/>
      <c r="N78" s="53" t="s">
        <v>12</v>
      </c>
      <c r="O78" s="8" t="s">
        <v>62</v>
      </c>
      <c r="P78" s="8"/>
      <c r="Q78" s="5"/>
      <c r="R78" s="2" t="s">
        <v>14</v>
      </c>
      <c r="S78" s="11" t="str">
        <f>IF(B78="","",(IF((Tabla1[[#This Row],[STOCK]]-1)&lt;Tabla1[[#This Row],[INV MIN]],"PAUSAR!!!!","")))</f>
        <v/>
      </c>
      <c r="T78" s="44" t="str">
        <f>IF(Tabla1[[#This Row],[UTILIDAD]]&lt;0,"PÉRDIDA!!!","")</f>
        <v/>
      </c>
      <c r="U78" s="60"/>
      <c r="V78" s="32">
        <f>Tabla1[[#This Row],[TOT VENTA]]-Tabla1[[#This Row],[COSTO]]</f>
        <v>2629.8176719999974</v>
      </c>
      <c r="W78" s="6">
        <f>Tabla1[[#This Row],[HOY]]*$T$2</f>
        <v>149.3888</v>
      </c>
      <c r="X78" s="6">
        <f>Tabla1[[#This Row],[HOY]]+Tabla1[[#This Row],[IVA]]</f>
        <v>1083.0688</v>
      </c>
      <c r="Y78" s="41">
        <f>Tabla1[[#This Row],[TOTAL]]*B78*$C$2</f>
        <v>18607.121984000001</v>
      </c>
      <c r="Z78" s="26">
        <v>28420</v>
      </c>
      <c r="AA78" s="29">
        <v>0.05</v>
      </c>
      <c r="AB78" s="32">
        <f>Tabla1[[#This Row],[PRECIO ML]]*(1-Tabla1[[#This Row],[DESCUENTO]])</f>
        <v>26999</v>
      </c>
      <c r="AC78" s="29">
        <v>0.19500000000000001</v>
      </c>
      <c r="AD78" s="26">
        <f>Tabla1[[#This Row],[PRECIO FINAL ML]]*Tabla1[[#This Row],[COMISIÓN ML]]</f>
        <v>5264.8050000000003</v>
      </c>
      <c r="AE78" s="26"/>
      <c r="AF78" s="29">
        <v>0.03</v>
      </c>
      <c r="AG78" s="26">
        <f>(Tabla1[[#This Row],[PRECIO FINAL ML]]*Tabla1[[#This Row],[% ACOS]])/2</f>
        <v>404.98499999999996</v>
      </c>
      <c r="AH78" s="26">
        <f>Tabla1[[#This Row],[TOT COMISIÓN]]+Tabla1[[#This Row],[FIJO ML]]+Tabla1[[#This Row],[ACOS]]</f>
        <v>5669.79</v>
      </c>
      <c r="AI78" s="26">
        <f t="shared" si="10"/>
        <v>92.27034399999998</v>
      </c>
      <c r="AJ78" s="32">
        <f>Tabla1[[#This Row],[PRECIO FINAL ML]]-Tabla1[[#This Row],[DESCUENTO TOT]]-Tabla1[[#This Row],[ENVÍO]]</f>
        <v>21236.939655999999</v>
      </c>
    </row>
    <row r="79" spans="1:36" ht="18" customHeight="1" x14ac:dyDescent="0.25">
      <c r="A79" s="142"/>
      <c r="B79" s="5">
        <v>1</v>
      </c>
      <c r="C79" s="2" t="s">
        <v>50</v>
      </c>
      <c r="D79" s="5" t="s">
        <v>194</v>
      </c>
      <c r="E79" s="5" t="s">
        <v>456</v>
      </c>
      <c r="F79" s="5" t="s">
        <v>460</v>
      </c>
      <c r="G79" s="5">
        <v>59</v>
      </c>
      <c r="H79" s="26">
        <v>2789.04</v>
      </c>
      <c r="I79" s="26">
        <v>2789.04</v>
      </c>
      <c r="J79" s="26">
        <f>Tabla1[[#This Row],[HOY]]-Tabla1[[#This Row],[AYER]]</f>
        <v>0</v>
      </c>
      <c r="K79" s="5">
        <v>25</v>
      </c>
      <c r="L79" s="54" t="s">
        <v>52</v>
      </c>
      <c r="M79" s="54"/>
      <c r="N79" s="53" t="s">
        <v>51</v>
      </c>
      <c r="O79" s="8" t="s">
        <v>62</v>
      </c>
      <c r="P79" s="8"/>
      <c r="Q79" s="5"/>
      <c r="R79" s="2" t="s">
        <v>14</v>
      </c>
      <c r="S79" s="11" t="str">
        <f>IF(B79="","",(IF((Tabla1[[#This Row],[STOCK]]-1)&lt;Tabla1[[#This Row],[INV MIN]],"PAUSAR!!!!","")))</f>
        <v/>
      </c>
      <c r="T79" s="44" t="str">
        <f>IF(Tabla1[[#This Row],[UTILIDAD]]&lt;0,"PÉRDIDA!!!","")</f>
        <v/>
      </c>
      <c r="U79" s="60"/>
      <c r="V79" s="32">
        <f>Tabla1[[#This Row],[TOT VENTA]]-Tabla1[[#This Row],[COSTO]]</f>
        <v>11624.029304000003</v>
      </c>
      <c r="W79" s="6">
        <f>Tabla1[[#This Row],[HOY]]*$T$2</f>
        <v>446.24639999999999</v>
      </c>
      <c r="X79" s="6">
        <f>Tabla1[[#This Row],[HOY]]+Tabla1[[#This Row],[IVA]]</f>
        <v>3235.2864</v>
      </c>
      <c r="Y79" s="41">
        <f>Tabla1[[#This Row],[TOTAL]]*B79*$C$2</f>
        <v>55582.220351999997</v>
      </c>
      <c r="Z79" s="26">
        <v>91600</v>
      </c>
      <c r="AA79" s="29">
        <v>7.0000000000000007E-2</v>
      </c>
      <c r="AB79" s="32">
        <f>Tabla1[[#This Row],[PRECIO ML]]*(1-Tabla1[[#This Row],[DESCUENTO]])</f>
        <v>85188</v>
      </c>
      <c r="AC79" s="29">
        <v>0.19500000000000001</v>
      </c>
      <c r="AD79" s="26">
        <f>Tabla1[[#This Row],[PRECIO FINAL ML]]*Tabla1[[#This Row],[COMISIÓN ML]]</f>
        <v>16611.66</v>
      </c>
      <c r="AE79" s="26"/>
      <c r="AF79" s="29">
        <v>0.03</v>
      </c>
      <c r="AG79" s="26">
        <f>(Tabla1[[#This Row],[PRECIO FINAL ML]]*Tabla1[[#This Row],[% ACOS]])/2</f>
        <v>1277.82</v>
      </c>
      <c r="AH79" s="26">
        <f>Tabla1[[#This Row],[TOT COMISIÓN]]+Tabla1[[#This Row],[FIJO ML]]+Tabla1[[#This Row],[ACOS]]</f>
        <v>17889.48</v>
      </c>
      <c r="AI79" s="26">
        <f t="shared" si="10"/>
        <v>92.27034399999998</v>
      </c>
      <c r="AJ79" s="32">
        <f>Tabla1[[#This Row],[PRECIO FINAL ML]]-Tabla1[[#This Row],[DESCUENTO TOT]]-Tabla1[[#This Row],[ENVÍO]]</f>
        <v>67206.249656</v>
      </c>
    </row>
    <row r="80" spans="1:36" ht="18" customHeight="1" x14ac:dyDescent="0.25">
      <c r="A80" s="142"/>
      <c r="B80" s="5">
        <v>1</v>
      </c>
      <c r="C80" s="2" t="s">
        <v>53</v>
      </c>
      <c r="D80" s="5" t="s">
        <v>194</v>
      </c>
      <c r="E80" s="5" t="s">
        <v>456</v>
      </c>
      <c r="F80" s="5" t="s">
        <v>461</v>
      </c>
      <c r="G80" s="5">
        <v>50</v>
      </c>
      <c r="H80" s="26">
        <v>2162.8200000000002</v>
      </c>
      <c r="I80" s="26">
        <v>2162.8200000000002</v>
      </c>
      <c r="J80" s="26">
        <f>Tabla1[[#This Row],[HOY]]-Tabla1[[#This Row],[AYER]]</f>
        <v>0</v>
      </c>
      <c r="K80" s="5">
        <v>25</v>
      </c>
      <c r="L80" s="54" t="s">
        <v>55</v>
      </c>
      <c r="M80" s="54"/>
      <c r="N80" s="53" t="s">
        <v>54</v>
      </c>
      <c r="O80" s="8" t="s">
        <v>62</v>
      </c>
      <c r="P80" s="8"/>
      <c r="Q80" s="5"/>
      <c r="R80" s="2" t="s">
        <v>14</v>
      </c>
      <c r="S80" s="11" t="str">
        <f>IF(B80="","",(IF((Tabla1[[#This Row],[STOCK]]-1)&lt;Tabla1[[#This Row],[INV MIN]],"PAUSAR!!!!","")))</f>
        <v/>
      </c>
      <c r="T80" s="44" t="str">
        <f>IF(Tabla1[[#This Row],[UTILIDAD]]&lt;0,"PÉRDIDA!!!","")</f>
        <v/>
      </c>
      <c r="U80" s="60"/>
      <c r="V80" s="32">
        <f>Tabla1[[#This Row],[TOT VENTA]]-Tabla1[[#This Row],[COSTO]]</f>
        <v>16022.142440000003</v>
      </c>
      <c r="W80" s="6">
        <f>Tabla1[[#This Row],[HOY]]*$T$2</f>
        <v>346.05120000000005</v>
      </c>
      <c r="X80" s="6">
        <f>Tabla1[[#This Row],[HOY]]+Tabla1[[#This Row],[IVA]]</f>
        <v>2508.8712</v>
      </c>
      <c r="Y80" s="41">
        <f>Tabla1[[#This Row],[TOTAL]]*B80*$C$2</f>
        <v>43102.407216</v>
      </c>
      <c r="Z80" s="26">
        <v>80600</v>
      </c>
      <c r="AA80" s="29">
        <v>7.0000000000000007E-2</v>
      </c>
      <c r="AB80" s="32">
        <f>Tabla1[[#This Row],[PRECIO ML]]*(1-Tabla1[[#This Row],[DESCUENTO]])</f>
        <v>74958</v>
      </c>
      <c r="AC80" s="29">
        <v>0.19500000000000001</v>
      </c>
      <c r="AD80" s="26">
        <f>Tabla1[[#This Row],[PRECIO FINAL ML]]*Tabla1[[#This Row],[COMISIÓN ML]]</f>
        <v>14616.810000000001</v>
      </c>
      <c r="AE80" s="26"/>
      <c r="AF80" s="29">
        <v>0.03</v>
      </c>
      <c r="AG80" s="26">
        <f>(Tabla1[[#This Row],[PRECIO FINAL ML]]*Tabla1[[#This Row],[% ACOS]])/2</f>
        <v>1124.3699999999999</v>
      </c>
      <c r="AH80" s="26">
        <f>Tabla1[[#This Row],[TOT COMISIÓN]]+Tabla1[[#This Row],[FIJO ML]]+Tabla1[[#This Row],[ACOS]]</f>
        <v>15741.18</v>
      </c>
      <c r="AI80" s="26">
        <f t="shared" si="10"/>
        <v>92.27034399999998</v>
      </c>
      <c r="AJ80" s="32">
        <f>Tabla1[[#This Row],[PRECIO FINAL ML]]-Tabla1[[#This Row],[DESCUENTO TOT]]-Tabla1[[#This Row],[ENVÍO]]</f>
        <v>59124.549656000003</v>
      </c>
    </row>
    <row r="81" spans="1:36" ht="18" customHeight="1" x14ac:dyDescent="0.25">
      <c r="A81" s="143"/>
      <c r="B81" s="5">
        <v>1</v>
      </c>
      <c r="C81" s="2" t="s">
        <v>204</v>
      </c>
      <c r="D81" s="5" t="s">
        <v>194</v>
      </c>
      <c r="E81" s="5" t="s">
        <v>456</v>
      </c>
      <c r="F81" s="5" t="s">
        <v>462</v>
      </c>
      <c r="G81" s="5">
        <v>61</v>
      </c>
      <c r="H81" s="26">
        <v>2370.8200000000002</v>
      </c>
      <c r="I81" s="26">
        <v>2370.8200000000002</v>
      </c>
      <c r="J81" s="26">
        <f>Tabla1[[#This Row],[HOY]]-Tabla1[[#This Row],[AYER]]</f>
        <v>0</v>
      </c>
      <c r="K81" s="5">
        <v>25</v>
      </c>
      <c r="L81" s="54" t="s">
        <v>205</v>
      </c>
      <c r="M81" s="54"/>
      <c r="N81" s="53" t="s">
        <v>206</v>
      </c>
      <c r="O81" s="8" t="s">
        <v>62</v>
      </c>
      <c r="P81" s="8"/>
      <c r="Q81" s="5"/>
      <c r="R81" s="2" t="s">
        <v>14</v>
      </c>
      <c r="S81" s="11" t="str">
        <f>IF(B81="","",(IF((Tabla1[[#This Row],[STOCK]]-1)&lt;Tabla1[[#This Row],[INV MIN]],"PAUSAR!!!!","")))</f>
        <v/>
      </c>
      <c r="T81" s="44" t="str">
        <f>IF(Tabla1[[#This Row],[UTILIDAD]]&lt;0,"PÉRDIDA!!!","")</f>
        <v/>
      </c>
      <c r="U81" s="60"/>
      <c r="V81" s="32">
        <f>Tabla1[[#This Row],[TOT VENTA]]-Tabla1[[#This Row],[COSTO]]</f>
        <v>17938.227039999998</v>
      </c>
      <c r="W81" s="6">
        <f>Tabla1[[#This Row],[HOY]]*$T$2</f>
        <v>379.33120000000002</v>
      </c>
      <c r="X81" s="6">
        <f>Tabla1[[#This Row],[HOY]]+Tabla1[[#This Row],[IVA]]</f>
        <v>2750.1512000000002</v>
      </c>
      <c r="Y81" s="41">
        <f>Tabla1[[#This Row],[TOTAL]]*B81*$C$2</f>
        <v>47247.597616000006</v>
      </c>
      <c r="Z81" s="26">
        <v>88850</v>
      </c>
      <c r="AA81" s="29">
        <v>7.0000000000000007E-2</v>
      </c>
      <c r="AB81" s="32">
        <f>Tabla1[[#This Row],[PRECIO ML]]*(1-Tabla1[[#This Row],[DESCUENTO]])</f>
        <v>82630.5</v>
      </c>
      <c r="AC81" s="29">
        <v>0.19500000000000001</v>
      </c>
      <c r="AD81" s="26">
        <f>Tabla1[[#This Row],[PRECIO FINAL ML]]*Tabla1[[#This Row],[COMISIÓN ML]]</f>
        <v>16112.9475</v>
      </c>
      <c r="AE81" s="26"/>
      <c r="AF81" s="29">
        <v>0.03</v>
      </c>
      <c r="AG81" s="26">
        <f>(Tabla1[[#This Row],[PRECIO FINAL ML]]*Tabla1[[#This Row],[% ACOS]])/2</f>
        <v>1239.4575</v>
      </c>
      <c r="AH81" s="26">
        <f>Tabla1[[#This Row],[TOT COMISIÓN]]+Tabla1[[#This Row],[FIJO ML]]+Tabla1[[#This Row],[ACOS]]</f>
        <v>17352.404999999999</v>
      </c>
      <c r="AI81" s="26">
        <f t="shared" si="10"/>
        <v>92.27034399999998</v>
      </c>
      <c r="AJ81" s="32">
        <f>Tabla1[[#This Row],[PRECIO FINAL ML]]-Tabla1[[#This Row],[DESCUENTO TOT]]-Tabla1[[#This Row],[ENVÍO]]</f>
        <v>65185.824656000004</v>
      </c>
    </row>
    <row r="82" spans="1:36" ht="18" customHeight="1" x14ac:dyDescent="0.25">
      <c r="A82" s="3"/>
      <c r="G82" s="3"/>
      <c r="H82" s="24"/>
      <c r="I82" s="24"/>
      <c r="J82" s="24"/>
      <c r="K82" s="3"/>
      <c r="L82" s="4"/>
      <c r="M82" s="4"/>
      <c r="N82" s="13"/>
      <c r="O82" s="3"/>
      <c r="P82" s="3"/>
      <c r="Q82" s="3"/>
      <c r="R82" s="3"/>
      <c r="S82" s="3"/>
      <c r="T82" s="43" t="str">
        <f>IF(Tabla1[[#This Row],[UTILIDAD]]&lt;0,"PÉRDIDA!!!","")</f>
        <v/>
      </c>
      <c r="U82" s="58"/>
      <c r="V82" s="36"/>
      <c r="W82" s="7"/>
      <c r="X82" s="7"/>
      <c r="Y82" s="42"/>
      <c r="Z82" s="24"/>
      <c r="AA82" s="27"/>
      <c r="AB82" s="7"/>
      <c r="AC82" s="27"/>
      <c r="AD82" s="24"/>
      <c r="AF82" s="27"/>
      <c r="AG82" s="24"/>
      <c r="AH82" s="24"/>
      <c r="AI82" s="24"/>
      <c r="AJ82" s="36"/>
    </row>
    <row r="83" spans="1:36" ht="18" customHeight="1" x14ac:dyDescent="0.25">
      <c r="A83" s="3"/>
      <c r="G83" s="3"/>
      <c r="H83" s="24"/>
      <c r="I83" s="24"/>
      <c r="J83" s="24"/>
      <c r="K83" s="3"/>
      <c r="L83" s="4"/>
      <c r="M83" s="4"/>
      <c r="N83" s="13"/>
      <c r="O83" s="3"/>
      <c r="P83" s="3"/>
      <c r="Q83" s="3"/>
      <c r="R83" s="3"/>
      <c r="S83" s="3"/>
      <c r="T83" s="43" t="str">
        <f>IF(Tabla1[[#This Row],[UTILIDAD]]&lt;0,"PÉRDIDA!!!","")</f>
        <v/>
      </c>
      <c r="U83" s="58"/>
      <c r="V83" s="36"/>
      <c r="W83" s="7"/>
      <c r="X83" s="7"/>
      <c r="Y83" s="42"/>
      <c r="Z83" s="24"/>
      <c r="AA83" s="27"/>
      <c r="AB83" s="7"/>
      <c r="AC83" s="27"/>
      <c r="AD83" s="24"/>
      <c r="AF83" s="27"/>
      <c r="AG83" s="24"/>
      <c r="AH83" s="24"/>
      <c r="AI83" s="24"/>
      <c r="AJ83" s="36"/>
    </row>
    <row r="84" spans="1:36" ht="18" customHeight="1" x14ac:dyDescent="0.25">
      <c r="A84" s="131" t="s">
        <v>138</v>
      </c>
      <c r="B84" s="5">
        <v>4</v>
      </c>
      <c r="C84" s="2" t="s">
        <v>139</v>
      </c>
      <c r="D84" s="5" t="s">
        <v>194</v>
      </c>
      <c r="E84" s="5" t="s">
        <v>256</v>
      </c>
      <c r="F84" s="5" t="s">
        <v>450</v>
      </c>
      <c r="G84" s="5">
        <v>500</v>
      </c>
      <c r="H84" s="26">
        <v>3.15</v>
      </c>
      <c r="I84" s="26">
        <v>3.15</v>
      </c>
      <c r="J84" s="26">
        <f>Tabla1[[#This Row],[HOY]]-Tabla1[[#This Row],[AYER]]</f>
        <v>0</v>
      </c>
      <c r="K84" s="5">
        <v>50</v>
      </c>
      <c r="L84" s="54" t="s">
        <v>95</v>
      </c>
      <c r="M84" s="54"/>
      <c r="N84" s="53" t="s">
        <v>126</v>
      </c>
      <c r="O84" s="9" t="s">
        <v>132</v>
      </c>
      <c r="P84" s="9">
        <v>25</v>
      </c>
      <c r="Q84" s="5"/>
      <c r="R84" s="2"/>
      <c r="S84" s="11" t="str">
        <f>IF(B84="","",(IF((Tabla1[[#This Row],[STOCK]]-1)&lt;Tabla1[[#This Row],[INV MIN]],"PAUSAR!!!!","")))</f>
        <v/>
      </c>
      <c r="T84" s="44" t="str">
        <f>IF(Tabla1[[#This Row],[UTILIDAD]]&lt;0,"PÉRDIDA!!!","")</f>
        <v/>
      </c>
      <c r="U84" s="60"/>
      <c r="V84" s="32">
        <f>Tabla1[[#This Row],[TOT VENTA]]-Tabla1[[#This Row],[COSTO]]</f>
        <v>67.085141999999991</v>
      </c>
      <c r="W84" s="6">
        <f>Tabla1[[#This Row],[HOY]]*$T$2</f>
        <v>0.504</v>
      </c>
      <c r="X84" s="6">
        <f>Tabla1[[#This Row],[HOY]]+Tabla1[[#This Row],[IVA]]</f>
        <v>3.6539999999999999</v>
      </c>
      <c r="Y84" s="41">
        <f>Tabla1[[#This Row],[TOTAL]]*B84*$C$2</f>
        <v>251.10288</v>
      </c>
      <c r="Z84" s="26">
        <v>529</v>
      </c>
      <c r="AA84" s="29">
        <v>0.25</v>
      </c>
      <c r="AB84" s="32">
        <f>Tabla1[[#This Row],[PRECIO ML]]*(1-Tabla1[[#This Row],[DESCUENTO]])</f>
        <v>396.75</v>
      </c>
      <c r="AC84" s="29">
        <v>0.19500000000000001</v>
      </c>
      <c r="AD84" s="26">
        <f>Tabla1[[#This Row],[PRECIO FINAL ML]]*Tabla1[[#This Row],[COMISIÓN ML]]</f>
        <v>77.366250000000008</v>
      </c>
      <c r="AE84" s="26"/>
      <c r="AF84" s="29"/>
      <c r="AG84" s="26">
        <f>(Tabla1[[#This Row],[PRECIO FINAL ML]]*Tabla1[[#This Row],[% ACOS]])/2</f>
        <v>0</v>
      </c>
      <c r="AH84" s="26">
        <f>Tabla1[[#This Row],[TOT COMISIÓN]]+Tabla1[[#This Row],[FIJO ML]]+Tabla1[[#This Row],[ACOS]]</f>
        <v>77.366250000000008</v>
      </c>
      <c r="AI84" s="26">
        <f>$AF$2*(1+$T$2)*$C$2</f>
        <v>1.1957279999999999</v>
      </c>
      <c r="AJ84" s="32">
        <f>Tabla1[[#This Row],[PRECIO FINAL ML]]-Tabla1[[#This Row],[DESCUENTO TOT]]-Tabla1[[#This Row],[ENVÍO]]</f>
        <v>318.18802199999999</v>
      </c>
    </row>
    <row r="85" spans="1:36" ht="18" customHeight="1" x14ac:dyDescent="0.25">
      <c r="A85" s="132"/>
      <c r="B85" s="5">
        <v>4</v>
      </c>
      <c r="C85" s="2" t="s">
        <v>140</v>
      </c>
      <c r="D85" s="5" t="s">
        <v>194</v>
      </c>
      <c r="E85" s="5" t="s">
        <v>256</v>
      </c>
      <c r="F85" s="5" t="s">
        <v>451</v>
      </c>
      <c r="G85" s="5">
        <v>500</v>
      </c>
      <c r="H85" s="26">
        <v>3.19</v>
      </c>
      <c r="I85" s="26">
        <v>3.19</v>
      </c>
      <c r="J85" s="26">
        <f>Tabla1[[#This Row],[HOY]]-Tabla1[[#This Row],[AYER]]</f>
        <v>0</v>
      </c>
      <c r="K85" s="5">
        <v>50</v>
      </c>
      <c r="L85" s="54" t="s">
        <v>94</v>
      </c>
      <c r="M85" s="54"/>
      <c r="N85" s="53" t="s">
        <v>125</v>
      </c>
      <c r="O85" s="9" t="s">
        <v>132</v>
      </c>
      <c r="P85" s="9">
        <v>25</v>
      </c>
      <c r="Q85" s="5"/>
      <c r="R85" s="2"/>
      <c r="S85" s="11" t="str">
        <f>IF(B85="","",(IF((Tabla1[[#This Row],[STOCK]]-1)&lt;Tabla1[[#This Row],[INV MIN]],"PAUSAR!!!!","")))</f>
        <v/>
      </c>
      <c r="T85" s="44" t="str">
        <f>IF(Tabla1[[#This Row],[UTILIDAD]]&lt;0,"PÉRDIDA!!!","")</f>
        <v/>
      </c>
      <c r="U85" s="60"/>
      <c r="V85" s="32">
        <f>Tabla1[[#This Row],[TOT VENTA]]-Tabla1[[#This Row],[COSTO]]</f>
        <v>63.896533999999974</v>
      </c>
      <c r="W85" s="6">
        <f>Tabla1[[#This Row],[HOY]]*$T$2</f>
        <v>0.51039999999999996</v>
      </c>
      <c r="X85" s="6">
        <f>Tabla1[[#This Row],[HOY]]+Tabla1[[#This Row],[IVA]]</f>
        <v>3.7004000000000001</v>
      </c>
      <c r="Y85" s="41">
        <f>Tabla1[[#This Row],[TOTAL]]*B85*$C$2</f>
        <v>254.29148800000002</v>
      </c>
      <c r="Z85" s="26">
        <v>529</v>
      </c>
      <c r="AA85" s="29">
        <v>0.25</v>
      </c>
      <c r="AB85" s="32">
        <f>Tabla1[[#This Row],[PRECIO ML]]*(1-Tabla1[[#This Row],[DESCUENTO]])</f>
        <v>396.75</v>
      </c>
      <c r="AC85" s="29">
        <v>0.19500000000000001</v>
      </c>
      <c r="AD85" s="26">
        <f>Tabla1[[#This Row],[PRECIO FINAL ML]]*Tabla1[[#This Row],[COMISIÓN ML]]</f>
        <v>77.366250000000008</v>
      </c>
      <c r="AE85" s="26"/>
      <c r="AF85" s="29"/>
      <c r="AG85" s="26">
        <f>(Tabla1[[#This Row],[PRECIO FINAL ML]]*Tabla1[[#This Row],[% ACOS]])/2</f>
        <v>0</v>
      </c>
      <c r="AH85" s="26">
        <f>Tabla1[[#This Row],[TOT COMISIÓN]]+Tabla1[[#This Row],[FIJO ML]]+Tabla1[[#This Row],[ACOS]]</f>
        <v>77.366250000000008</v>
      </c>
      <c r="AI85" s="26">
        <f>$AF$2*(1+$T$2)*$C$2</f>
        <v>1.1957279999999999</v>
      </c>
      <c r="AJ85" s="32">
        <f>Tabla1[[#This Row],[PRECIO FINAL ML]]-Tabla1[[#This Row],[DESCUENTO TOT]]-Tabla1[[#This Row],[ENVÍO]]</f>
        <v>318.18802199999999</v>
      </c>
    </row>
    <row r="86" spans="1:36" ht="18" customHeight="1" x14ac:dyDescent="0.25">
      <c r="A86" s="132"/>
      <c r="B86" s="5">
        <v>1</v>
      </c>
      <c r="C86" s="2" t="s">
        <v>211</v>
      </c>
      <c r="D86" s="5" t="s">
        <v>194</v>
      </c>
      <c r="E86" s="96"/>
      <c r="F86" s="96"/>
      <c r="G86" s="63"/>
      <c r="H86" s="117">
        <f>(H84*2)+(H85*2)</f>
        <v>12.68</v>
      </c>
      <c r="I86" s="117">
        <f>(I84*2)+(I85*2)</f>
        <v>12.68</v>
      </c>
      <c r="J86" s="117">
        <f>Tabla1[[#This Row],[HOY]]-Tabla1[[#This Row],[AYER]]</f>
        <v>0</v>
      </c>
      <c r="K86" s="63"/>
      <c r="L86" s="64"/>
      <c r="M86" s="64"/>
      <c r="N86" s="53" t="s">
        <v>212</v>
      </c>
      <c r="O86" s="9" t="s">
        <v>132</v>
      </c>
      <c r="P86" s="9">
        <v>25</v>
      </c>
      <c r="Q86" s="5"/>
      <c r="R86" s="2"/>
      <c r="S86" s="11" t="str">
        <f>IF(G84-1&lt;K84,"PAUSAR!!!",IF(G85-1&lt;K85,"PAUSAR!!!",""))</f>
        <v/>
      </c>
      <c r="T86" s="44" t="str">
        <f>IF(Tabla1[[#This Row],[UTILIDAD]]&lt;0,"PÉRDIDA!!!","")</f>
        <v/>
      </c>
      <c r="U86" s="60"/>
      <c r="V86" s="32">
        <f>Tabla1[[#This Row],[TOT VENTA]]-Tabla1[[#This Row],[COSTO]]</f>
        <v>65.490837999999997</v>
      </c>
      <c r="W86" s="6">
        <f>Tabla1[[#This Row],[HOY]]*0.16</f>
        <v>2.0287999999999999</v>
      </c>
      <c r="X86" s="6">
        <f>Tabla1[[#This Row],[HOY]]+Tabla1[[#This Row],[IVA]]</f>
        <v>14.7088</v>
      </c>
      <c r="Y86" s="41">
        <f>Tabla1[[#This Row],[TOTAL]]*B86*$C$2</f>
        <v>252.69718399999999</v>
      </c>
      <c r="Z86" s="26">
        <v>529</v>
      </c>
      <c r="AA86" s="29">
        <v>0.25</v>
      </c>
      <c r="AB86" s="32">
        <f>Tabla1[[#This Row],[PRECIO ML]]*(1-Tabla1[[#This Row],[DESCUENTO]])</f>
        <v>396.75</v>
      </c>
      <c r="AC86" s="29">
        <v>0.19500000000000001</v>
      </c>
      <c r="AD86" s="26">
        <f>Tabla1[[#This Row],[PRECIO FINAL ML]]*Tabla1[[#This Row],[COMISIÓN ML]]</f>
        <v>77.366250000000008</v>
      </c>
      <c r="AE86" s="26"/>
      <c r="AF86" s="29"/>
      <c r="AG86" s="26">
        <f>(Tabla1[[#This Row],[PRECIO FINAL ML]]*Tabla1[[#This Row],[% ACOS]])/2</f>
        <v>0</v>
      </c>
      <c r="AH86" s="26">
        <f>Tabla1[[#This Row],[TOT COMISIÓN]]+Tabla1[[#This Row],[FIJO ML]]+Tabla1[[#This Row],[ACOS]]</f>
        <v>77.366250000000008</v>
      </c>
      <c r="AI86" s="26">
        <f>$AF$2*(1+$T$2)*$C$2</f>
        <v>1.1957279999999999</v>
      </c>
      <c r="AJ86" s="32">
        <f>Tabla1[[#This Row],[PRECIO FINAL ML]]-Tabla1[[#This Row],[DESCUENTO TOT]]-Tabla1[[#This Row],[ENVÍO]]</f>
        <v>318.18802199999999</v>
      </c>
    </row>
    <row r="87" spans="1:36" ht="18" customHeight="1" x14ac:dyDescent="0.25">
      <c r="A87" s="132"/>
      <c r="B87" s="5">
        <v>2</v>
      </c>
      <c r="C87" s="2" t="s">
        <v>143</v>
      </c>
      <c r="D87" s="5" t="s">
        <v>194</v>
      </c>
      <c r="E87" s="5" t="s">
        <v>256</v>
      </c>
      <c r="F87" s="5" t="s">
        <v>452</v>
      </c>
      <c r="G87" s="5">
        <v>87</v>
      </c>
      <c r="H87" s="26">
        <v>7.89</v>
      </c>
      <c r="I87" s="26">
        <v>7.89</v>
      </c>
      <c r="J87" s="26">
        <f>Tabla1[[#This Row],[HOY]]-Tabla1[[#This Row],[AYER]]</f>
        <v>0</v>
      </c>
      <c r="K87" s="5">
        <v>50</v>
      </c>
      <c r="L87" s="54" t="s">
        <v>34</v>
      </c>
      <c r="M87" s="54"/>
      <c r="N87" s="53" t="s">
        <v>33</v>
      </c>
      <c r="O87" s="9" t="s">
        <v>132</v>
      </c>
      <c r="P87" s="9">
        <v>5</v>
      </c>
      <c r="Q87" s="5"/>
      <c r="R87" s="2" t="s">
        <v>35</v>
      </c>
      <c r="S87" s="11" t="str">
        <f>IF(B87="","",(IF((Tabla1[[#This Row],[STOCK]]-1)&lt;Tabla1[[#This Row],[INV MIN]],"PAUSAR!!!!","")))</f>
        <v/>
      </c>
      <c r="T87" s="44" t="str">
        <f>IF(Tabla1[[#This Row],[UTILIDAD]]&lt;0,"PÉRDIDA!!!","")</f>
        <v/>
      </c>
      <c r="U87" s="60"/>
      <c r="V87" s="32">
        <f>Tabla1[[#This Row],[TOT VENTA]]-Tabla1[[#This Row],[COSTO]]</f>
        <v>82.963808000000029</v>
      </c>
      <c r="W87" s="6">
        <f>Tabla1[[#This Row],[HOY]]*$T$2</f>
        <v>1.2624</v>
      </c>
      <c r="X87" s="6">
        <f>Tabla1[[#This Row],[HOY]]+Tabla1[[#This Row],[IVA]]</f>
        <v>9.1524000000000001</v>
      </c>
      <c r="Y87" s="41">
        <f>Tabla1[[#This Row],[TOTAL]]*B87*$C$2</f>
        <v>314.47646400000002</v>
      </c>
      <c r="Z87" s="26">
        <v>619</v>
      </c>
      <c r="AA87" s="29">
        <v>0.2</v>
      </c>
      <c r="AB87" s="32">
        <f>Tabla1[[#This Row],[PRECIO ML]]*(1-Tabla1[[#This Row],[DESCUENTO]])</f>
        <v>495.20000000000005</v>
      </c>
      <c r="AC87" s="29">
        <v>0.19500000000000001</v>
      </c>
      <c r="AD87" s="26">
        <f>Tabla1[[#This Row],[PRECIO FINAL ML]]*Tabla1[[#This Row],[COMISIÓN ML]]</f>
        <v>96.564000000000007</v>
      </c>
      <c r="AE87" s="26"/>
      <c r="AF87" s="29"/>
      <c r="AG87" s="26">
        <f>(Tabla1[[#This Row],[PRECIO FINAL ML]]*Tabla1[[#This Row],[% ACOS]])/2</f>
        <v>0</v>
      </c>
      <c r="AH87" s="26">
        <f>Tabla1[[#This Row],[TOT COMISIÓN]]+Tabla1[[#This Row],[FIJO ML]]+Tabla1[[#This Row],[ACOS]]</f>
        <v>96.564000000000007</v>
      </c>
      <c r="AI87" s="26">
        <f>$AF$2*(1+$T$2)*$C$2</f>
        <v>1.1957279999999999</v>
      </c>
      <c r="AJ87" s="32">
        <f>Tabla1[[#This Row],[PRECIO FINAL ML]]-Tabla1[[#This Row],[DESCUENTO TOT]]-Tabla1[[#This Row],[ENVÍO]]</f>
        <v>397.44027200000005</v>
      </c>
    </row>
    <row r="88" spans="1:36" ht="18" customHeight="1" x14ac:dyDescent="0.25">
      <c r="A88" s="132"/>
      <c r="B88" s="5">
        <v>2</v>
      </c>
      <c r="C88" s="2" t="s">
        <v>144</v>
      </c>
      <c r="D88" s="5" t="s">
        <v>194</v>
      </c>
      <c r="E88" s="5" t="s">
        <v>256</v>
      </c>
      <c r="F88" s="5" t="s">
        <v>455</v>
      </c>
      <c r="G88" s="5">
        <v>85</v>
      </c>
      <c r="H88" s="26">
        <v>8.2799999999999994</v>
      </c>
      <c r="I88" s="26">
        <v>8.2799999999999994</v>
      </c>
      <c r="J88" s="26">
        <f>Tabla1[[#This Row],[HOY]]-Tabla1[[#This Row],[AYER]]</f>
        <v>0</v>
      </c>
      <c r="K88" s="5">
        <v>50</v>
      </c>
      <c r="L88" s="54" t="s">
        <v>145</v>
      </c>
      <c r="M88" s="54"/>
      <c r="N88" s="53" t="s">
        <v>36</v>
      </c>
      <c r="O88" s="9" t="s">
        <v>132</v>
      </c>
      <c r="P88" s="9">
        <v>5</v>
      </c>
      <c r="Q88" s="5"/>
      <c r="R88" s="2" t="s">
        <v>37</v>
      </c>
      <c r="S88" s="11" t="str">
        <f>IF(B88="","",(IF((Tabla1[[#This Row],[STOCK]]-1)&lt;Tabla1[[#This Row],[INV MIN]],"PAUSAR!!!!","")))</f>
        <v/>
      </c>
      <c r="T88" s="44" t="str">
        <f>IF(Tabla1[[#This Row],[UTILIDAD]]&lt;0,"PÉRDIDA!!!","")</f>
        <v/>
      </c>
      <c r="U88" s="60"/>
      <c r="V88" s="32">
        <f>Tabla1[[#This Row],[TOT VENTA]]-Tabla1[[#This Row],[COSTO]]</f>
        <v>67.419344000000081</v>
      </c>
      <c r="W88" s="6">
        <f>Tabla1[[#This Row],[HOY]]*$T$2</f>
        <v>1.3248</v>
      </c>
      <c r="X88" s="6">
        <f>Tabla1[[#This Row],[HOY]]+Tabla1[[#This Row],[IVA]]</f>
        <v>9.6047999999999991</v>
      </c>
      <c r="Y88" s="41">
        <f>Tabla1[[#This Row],[TOTAL]]*B88*$C$2</f>
        <v>330.02092799999997</v>
      </c>
      <c r="Z88" s="26">
        <v>619</v>
      </c>
      <c r="AA88" s="29">
        <v>0.2</v>
      </c>
      <c r="AB88" s="32">
        <f>Tabla1[[#This Row],[PRECIO ML]]*(1-Tabla1[[#This Row],[DESCUENTO]])</f>
        <v>495.20000000000005</v>
      </c>
      <c r="AC88" s="29">
        <v>0.19500000000000001</v>
      </c>
      <c r="AD88" s="26">
        <f>Tabla1[[#This Row],[PRECIO FINAL ML]]*Tabla1[[#This Row],[COMISIÓN ML]]</f>
        <v>96.564000000000007</v>
      </c>
      <c r="AE88" s="26"/>
      <c r="AF88" s="29"/>
      <c r="AG88" s="26">
        <f>(Tabla1[[#This Row],[PRECIO FINAL ML]]*Tabla1[[#This Row],[% ACOS]])/2</f>
        <v>0</v>
      </c>
      <c r="AH88" s="26">
        <f>Tabla1[[#This Row],[TOT COMISIÓN]]+Tabla1[[#This Row],[FIJO ML]]+Tabla1[[#This Row],[ACOS]]</f>
        <v>96.564000000000007</v>
      </c>
      <c r="AI88" s="26">
        <f>$AF$2*(1+$T$2)*$C$2</f>
        <v>1.1957279999999999</v>
      </c>
      <c r="AJ88" s="32">
        <f>Tabla1[[#This Row],[PRECIO FINAL ML]]-Tabla1[[#This Row],[DESCUENTO TOT]]-Tabla1[[#This Row],[ENVÍO]]</f>
        <v>397.44027200000005</v>
      </c>
    </row>
    <row r="89" spans="1:36" ht="18" customHeight="1" x14ac:dyDescent="0.25">
      <c r="A89" s="132"/>
      <c r="B89" s="5">
        <v>1</v>
      </c>
      <c r="C89" s="2" t="s">
        <v>141</v>
      </c>
      <c r="D89" s="5" t="s">
        <v>194</v>
      </c>
      <c r="E89" s="5" t="s">
        <v>256</v>
      </c>
      <c r="F89" s="5" t="s">
        <v>453</v>
      </c>
      <c r="G89" s="5">
        <v>500</v>
      </c>
      <c r="H89" s="26">
        <v>7.43</v>
      </c>
      <c r="I89" s="26">
        <v>7.43</v>
      </c>
      <c r="J89" s="26">
        <f>Tabla1[[#This Row],[HOY]]-Tabla1[[#This Row],[AYER]]</f>
        <v>0</v>
      </c>
      <c r="K89" s="5">
        <v>50</v>
      </c>
      <c r="L89" s="54" t="s">
        <v>96</v>
      </c>
      <c r="M89" s="54"/>
      <c r="N89" s="128" t="s">
        <v>357</v>
      </c>
      <c r="O89" s="96" t="s">
        <v>357</v>
      </c>
      <c r="P89" s="96"/>
      <c r="Q89" s="5"/>
      <c r="R89" s="2"/>
      <c r="S89" s="11" t="str">
        <f>IF(B89="","",(IF((Tabla1[[#This Row],[STOCK]]-1)&lt;Tabla1[[#This Row],[INV MIN]],"PAUSAR!!!!","")))</f>
        <v/>
      </c>
      <c r="T89" s="57"/>
      <c r="U89" s="60"/>
      <c r="V89" s="65"/>
      <c r="W89" s="49"/>
      <c r="X89" s="49"/>
      <c r="Y89" s="61"/>
      <c r="Z89" s="66"/>
      <c r="AA89" s="67"/>
      <c r="AB89" s="65"/>
      <c r="AC89" s="67"/>
      <c r="AD89" s="66"/>
      <c r="AE89" s="66"/>
      <c r="AF89" s="67"/>
      <c r="AG89" s="66"/>
      <c r="AH89" s="66"/>
      <c r="AI89" s="66"/>
      <c r="AJ89" s="65"/>
    </row>
    <row r="90" spans="1:36" ht="18" customHeight="1" x14ac:dyDescent="0.25">
      <c r="A90" s="132"/>
      <c r="B90" s="5">
        <v>1</v>
      </c>
      <c r="C90" s="2" t="s">
        <v>142</v>
      </c>
      <c r="D90" s="5" t="s">
        <v>194</v>
      </c>
      <c r="E90" s="5" t="s">
        <v>256</v>
      </c>
      <c r="F90" s="5" t="s">
        <v>454</v>
      </c>
      <c r="G90" s="5">
        <v>500</v>
      </c>
      <c r="H90" s="26">
        <v>7.38</v>
      </c>
      <c r="I90" s="26">
        <v>7.38</v>
      </c>
      <c r="J90" s="26">
        <f>Tabla1[[#This Row],[HOY]]-Tabla1[[#This Row],[AYER]]</f>
        <v>0</v>
      </c>
      <c r="K90" s="5">
        <v>50</v>
      </c>
      <c r="L90" s="54" t="s">
        <v>97</v>
      </c>
      <c r="M90" s="54"/>
      <c r="N90" s="128" t="s">
        <v>357</v>
      </c>
      <c r="O90" s="96" t="s">
        <v>357</v>
      </c>
      <c r="P90" s="96"/>
      <c r="Q90" s="5"/>
      <c r="R90" s="2"/>
      <c r="S90" s="11" t="str">
        <f>IF(B90="","",(IF((Tabla1[[#This Row],[STOCK]]-1)&lt;Tabla1[[#This Row],[INV MIN]],"PAUSAR!!!!","")))</f>
        <v/>
      </c>
      <c r="T90" s="57"/>
      <c r="U90" s="60"/>
      <c r="V90" s="65"/>
      <c r="W90" s="49"/>
      <c r="X90" s="49"/>
      <c r="Y90" s="61"/>
      <c r="Z90" s="66"/>
      <c r="AA90" s="67"/>
      <c r="AB90" s="65"/>
      <c r="AC90" s="67"/>
      <c r="AD90" s="66"/>
      <c r="AE90" s="66"/>
      <c r="AF90" s="67"/>
      <c r="AG90" s="66"/>
      <c r="AH90" s="66"/>
      <c r="AI90" s="66"/>
      <c r="AJ90" s="65"/>
    </row>
    <row r="91" spans="1:36" ht="18" customHeight="1" x14ac:dyDescent="0.25">
      <c r="A91" s="132"/>
      <c r="B91" s="5">
        <v>1</v>
      </c>
      <c r="C91" s="2" t="s">
        <v>214</v>
      </c>
      <c r="D91" s="5" t="s">
        <v>194</v>
      </c>
      <c r="E91" s="96"/>
      <c r="F91" s="96"/>
      <c r="G91" s="63"/>
      <c r="H91" s="117">
        <f>(H89*2)+(H90*2)</f>
        <v>29.619999999999997</v>
      </c>
      <c r="I91" s="117">
        <f>(I89*2)+(I90*2)</f>
        <v>29.619999999999997</v>
      </c>
      <c r="J91" s="117">
        <f>Tabla1[[#This Row],[HOY]]-Tabla1[[#This Row],[AYER]]</f>
        <v>0</v>
      </c>
      <c r="K91" s="63"/>
      <c r="L91" s="64"/>
      <c r="M91" s="64"/>
      <c r="N91" s="53" t="s">
        <v>207</v>
      </c>
      <c r="O91" s="9" t="s">
        <v>132</v>
      </c>
      <c r="P91" s="9">
        <v>25</v>
      </c>
      <c r="Q91" s="5"/>
      <c r="R91" s="2"/>
      <c r="S91" s="11" t="str">
        <f>IF(G89-1&lt;K89,"PAUSAR!!!",IF(G90-1&lt;K90,"PAUSAR!!!",""))</f>
        <v/>
      </c>
      <c r="T91" s="44" t="str">
        <f>IF(Tabla1[[#This Row],[UTILIDAD]]&lt;0,"PÉRDIDA!!!","")</f>
        <v/>
      </c>
      <c r="U91" s="60"/>
      <c r="V91" s="32">
        <f>Tabla1[[#This Row],[TOT VENTA]]-Tabla1[[#This Row],[COSTO]]</f>
        <v>172.45781350000004</v>
      </c>
      <c r="W91" s="6">
        <f>Tabla1[[#This Row],[HOY]]*$T$2</f>
        <v>4.7391999999999994</v>
      </c>
      <c r="X91" s="6">
        <f>Tabla1[[#This Row],[HOY]]+Tabla1[[#This Row],[IVA]]</f>
        <v>34.359199999999994</v>
      </c>
      <c r="Y91" s="41">
        <f>Tabla1[[#This Row],[TOTAL]]*B91*$C$2</f>
        <v>590.29105599999991</v>
      </c>
      <c r="Z91" s="26">
        <v>1116.47</v>
      </c>
      <c r="AA91" s="29">
        <v>0.15</v>
      </c>
      <c r="AB91" s="32">
        <f>Tabla1[[#This Row],[PRECIO ML]]*(1-Tabla1[[#This Row],[DESCUENTO]])</f>
        <v>948.99950000000001</v>
      </c>
      <c r="AC91" s="29">
        <v>0.19500000000000001</v>
      </c>
      <c r="AD91" s="26">
        <f>Tabla1[[#This Row],[PRECIO FINAL ML]]*Tabla1[[#This Row],[COMISIÓN ML]]</f>
        <v>185.0549025</v>
      </c>
      <c r="AE91" s="26"/>
      <c r="AF91" s="29"/>
      <c r="AG91" s="26">
        <f>(Tabla1[[#This Row],[PRECIO FINAL ML]]*Tabla1[[#This Row],[% ACOS]])/2</f>
        <v>0</v>
      </c>
      <c r="AH91" s="26">
        <f>Tabla1[[#This Row],[TOT COMISIÓN]]+Tabla1[[#This Row],[FIJO ML]]+Tabla1[[#This Row],[ACOS]]</f>
        <v>185.0549025</v>
      </c>
      <c r="AI91" s="26">
        <f t="shared" ref="AI91:AI104" si="11">$AF$2*(1+$T$2)*$C$2</f>
        <v>1.1957279999999999</v>
      </c>
      <c r="AJ91" s="32">
        <f>Tabla1[[#This Row],[PRECIO FINAL ML]]-Tabla1[[#This Row],[DESCUENTO TOT]]-Tabla1[[#This Row],[ENVÍO]]</f>
        <v>762.74886949999996</v>
      </c>
    </row>
    <row r="92" spans="1:36" ht="18" customHeight="1" x14ac:dyDescent="0.25">
      <c r="A92" s="132"/>
      <c r="B92" s="5">
        <v>1</v>
      </c>
      <c r="C92" s="2" t="s">
        <v>215</v>
      </c>
      <c r="D92" s="5" t="s">
        <v>194</v>
      </c>
      <c r="E92" s="96"/>
      <c r="F92" s="96"/>
      <c r="G92" s="63"/>
      <c r="H92" s="117">
        <f>H133+H89+H90+(10*H105)+(10*H106)</f>
        <v>44.66</v>
      </c>
      <c r="I92" s="117">
        <f>I133+I89+I90+(10*I105)+(10*I106)</f>
        <v>44.66</v>
      </c>
      <c r="J92" s="117">
        <f>Tabla1[[#This Row],[HOY]]-Tabla1[[#This Row],[AYER]]</f>
        <v>0</v>
      </c>
      <c r="K92" s="63"/>
      <c r="L92" s="64"/>
      <c r="M92" s="64"/>
      <c r="N92" s="53" t="s">
        <v>216</v>
      </c>
      <c r="O92" s="9" t="s">
        <v>132</v>
      </c>
      <c r="P92" s="9">
        <v>12</v>
      </c>
      <c r="Q92" s="5"/>
      <c r="R92" s="2"/>
      <c r="S92" s="11" t="str">
        <f>IF(G89-1&lt;K89,"PAUSAR!!!",IF(G90-1&lt;K90,"PAUSAR!!!",IF(G133-1&lt;K133,"PAUSAR!!!",IF(G105-1&lt;K105,"PAUSAR!!!",IF(G106-1&lt;K106,"PAUSAR!!!","")))))</f>
        <v/>
      </c>
      <c r="T92" s="44" t="str">
        <f>IF(Tabla1[[#This Row],[UTILIDAD]]&lt;0,"PÉRDIDA!!!","")</f>
        <v/>
      </c>
      <c r="U92" s="60"/>
      <c r="V92" s="32">
        <f>Tabla1[[#This Row],[TOT VENTA]]-Tabla1[[#This Row],[COSTO]]</f>
        <v>155.28285650000021</v>
      </c>
      <c r="W92" s="6">
        <f>Tabla1[[#This Row],[HOY]]*$T$2</f>
        <v>7.1456</v>
      </c>
      <c r="X92" s="6">
        <f>Tabla1[[#This Row],[HOY]]+Tabla1[[#This Row],[IVA]]</f>
        <v>51.805599999999998</v>
      </c>
      <c r="Y92" s="41">
        <f>Tabla1[[#This Row],[TOTAL]]*B92*$C$2</f>
        <v>890.02020799999991</v>
      </c>
      <c r="Z92" s="26">
        <v>1529.41</v>
      </c>
      <c r="AA92" s="29">
        <v>0.15</v>
      </c>
      <c r="AB92" s="32">
        <f>Tabla1[[#This Row],[PRECIO ML]]*(1-Tabla1[[#This Row],[DESCUENTO]])</f>
        <v>1299.9985000000001</v>
      </c>
      <c r="AC92" s="29">
        <v>0.19500000000000001</v>
      </c>
      <c r="AD92" s="26">
        <f>Tabla1[[#This Row],[PRECIO FINAL ML]]*Tabla1[[#This Row],[COMISIÓN ML]]</f>
        <v>253.49970750000003</v>
      </c>
      <c r="AE92" s="26"/>
      <c r="AF92" s="29"/>
      <c r="AG92" s="26">
        <f>(Tabla1[[#This Row],[PRECIO FINAL ML]]*Tabla1[[#This Row],[% ACOS]])/2</f>
        <v>0</v>
      </c>
      <c r="AH92" s="26">
        <f>Tabla1[[#This Row],[TOT COMISIÓN]]+Tabla1[[#This Row],[FIJO ML]]+Tabla1[[#This Row],[ACOS]]</f>
        <v>253.49970750000003</v>
      </c>
      <c r="AI92" s="26">
        <f t="shared" si="11"/>
        <v>1.1957279999999999</v>
      </c>
      <c r="AJ92" s="32">
        <f>Tabla1[[#This Row],[PRECIO FINAL ML]]-Tabla1[[#This Row],[DESCUENTO TOT]]-Tabla1[[#This Row],[ENVÍO]]</f>
        <v>1045.3030645000001</v>
      </c>
    </row>
    <row r="93" spans="1:36" ht="18" customHeight="1" x14ac:dyDescent="0.25">
      <c r="A93" s="132"/>
      <c r="B93" s="5">
        <v>1</v>
      </c>
      <c r="C93" s="2" t="s">
        <v>473</v>
      </c>
      <c r="D93" s="5" t="s">
        <v>194</v>
      </c>
      <c r="E93" s="5" t="s">
        <v>256</v>
      </c>
      <c r="F93" s="5" t="s">
        <v>475</v>
      </c>
      <c r="G93" s="5">
        <v>500</v>
      </c>
      <c r="H93" s="26">
        <v>2.89</v>
      </c>
      <c r="I93" s="26">
        <v>2.89</v>
      </c>
      <c r="J93" s="26">
        <f>Tabla1[[#This Row],[HOY]]-Tabla1[[#This Row],[AYER]]</f>
        <v>0</v>
      </c>
      <c r="K93" s="5">
        <v>50</v>
      </c>
      <c r="L93" s="54" t="s">
        <v>476</v>
      </c>
      <c r="M93" s="54"/>
      <c r="N93" s="128" t="s">
        <v>357</v>
      </c>
      <c r="O93" s="96" t="s">
        <v>357</v>
      </c>
      <c r="P93" s="96"/>
      <c r="Q93" s="5"/>
      <c r="R93" s="2"/>
      <c r="S93" s="11" t="str">
        <f>IF(B93="","",(IF((Tabla1[[#This Row],[STOCK]]-1)&lt;Tabla1[[#This Row],[INV MIN]],"PAUSAR!!!!","")))</f>
        <v/>
      </c>
      <c r="T93" s="57"/>
      <c r="U93" s="60"/>
      <c r="V93" s="65"/>
      <c r="W93" s="49"/>
      <c r="X93" s="49"/>
      <c r="Y93" s="61"/>
      <c r="Z93" s="66"/>
      <c r="AA93" s="67"/>
      <c r="AB93" s="65"/>
      <c r="AC93" s="67"/>
      <c r="AD93" s="66"/>
      <c r="AE93" s="66"/>
      <c r="AF93" s="67"/>
      <c r="AG93" s="66"/>
      <c r="AH93" s="66"/>
      <c r="AI93" s="66"/>
      <c r="AJ93" s="65"/>
    </row>
    <row r="94" spans="1:36" ht="18" customHeight="1" x14ac:dyDescent="0.25">
      <c r="A94" s="132"/>
      <c r="B94" s="5">
        <v>1</v>
      </c>
      <c r="C94" s="2" t="s">
        <v>474</v>
      </c>
      <c r="D94" s="5" t="s">
        <v>194</v>
      </c>
      <c r="E94" s="5" t="s">
        <v>256</v>
      </c>
      <c r="F94" s="5" t="s">
        <v>477</v>
      </c>
      <c r="G94" s="5">
        <v>500</v>
      </c>
      <c r="H94" s="26">
        <v>3.13</v>
      </c>
      <c r="I94" s="26">
        <v>3.13</v>
      </c>
      <c r="J94" s="26">
        <f>Tabla1[[#This Row],[HOY]]-Tabla1[[#This Row],[AYER]]</f>
        <v>0</v>
      </c>
      <c r="K94" s="5">
        <v>50</v>
      </c>
      <c r="L94" s="54" t="s">
        <v>482</v>
      </c>
      <c r="M94" s="54"/>
      <c r="N94" s="128" t="s">
        <v>357</v>
      </c>
      <c r="O94" s="96" t="s">
        <v>357</v>
      </c>
      <c r="P94" s="96"/>
      <c r="Q94" s="5"/>
      <c r="R94" s="2"/>
      <c r="S94" s="11" t="str">
        <f>IF(B94="","",(IF((Tabla1[[#This Row],[STOCK]]-1)&lt;Tabla1[[#This Row],[INV MIN]],"PAUSAR!!!!","")))</f>
        <v/>
      </c>
      <c r="T94" s="57"/>
      <c r="U94" s="60"/>
      <c r="V94" s="65"/>
      <c r="W94" s="49"/>
      <c r="X94" s="49"/>
      <c r="Y94" s="61"/>
      <c r="Z94" s="66"/>
      <c r="AA94" s="67"/>
      <c r="AB94" s="65"/>
      <c r="AC94" s="67"/>
      <c r="AD94" s="66"/>
      <c r="AE94" s="66"/>
      <c r="AF94" s="67"/>
      <c r="AG94" s="66"/>
      <c r="AH94" s="66"/>
      <c r="AI94" s="66"/>
      <c r="AJ94" s="65"/>
    </row>
    <row r="95" spans="1:36" ht="18" customHeight="1" x14ac:dyDescent="0.25">
      <c r="A95" s="132"/>
      <c r="B95" s="5">
        <v>1</v>
      </c>
      <c r="C95" s="2" t="s">
        <v>472</v>
      </c>
      <c r="D95" s="5" t="s">
        <v>194</v>
      </c>
      <c r="E95" s="96"/>
      <c r="F95" s="96"/>
      <c r="G95" s="63"/>
      <c r="H95" s="117">
        <f>(H93*2)+(H94*2)</f>
        <v>12.04</v>
      </c>
      <c r="I95" s="117">
        <f>(I93*2)+(I94*2)</f>
        <v>12.04</v>
      </c>
      <c r="J95" s="117">
        <f>Tabla1[[#This Row],[HOY]]-Tabla1[[#This Row],[AYER]]</f>
        <v>0</v>
      </c>
      <c r="K95" s="96"/>
      <c r="L95" s="64"/>
      <c r="M95" s="64"/>
      <c r="N95" s="53" t="s">
        <v>478</v>
      </c>
      <c r="O95" s="9" t="s">
        <v>132</v>
      </c>
      <c r="P95" s="9">
        <v>12</v>
      </c>
      <c r="Q95" s="5"/>
      <c r="R95" s="2"/>
      <c r="S95" s="11" t="str">
        <f>IF(G93-1&lt;K93,"PAUSAR!!!",IF(G94-1&lt;K94,"PAUSAR!!!",""))</f>
        <v/>
      </c>
      <c r="T95" s="44" t="str">
        <f>IF(Tabla1[[#This Row],[UTILIDAD]]&lt;0,"PÉRDIDA!!!","")</f>
        <v/>
      </c>
      <c r="U95" s="60"/>
      <c r="V95" s="32">
        <f>Tabla1[[#This Row],[TOT VENTA]]-Tabla1[[#This Row],[COSTO]]</f>
        <v>160.55732500000002</v>
      </c>
      <c r="W95" s="26">
        <f>Tabla1[[#This Row],[HOY]]*0.16</f>
        <v>1.9263999999999999</v>
      </c>
      <c r="X95" s="26">
        <f>Tabla1[[#This Row],[HOY]]+Tabla1[[#This Row],[IVA]]</f>
        <v>13.966399999999998</v>
      </c>
      <c r="Y95" s="41">
        <f>Tabla1[[#This Row],[TOTAL]]*B95*$C$2</f>
        <v>239.94275199999996</v>
      </c>
      <c r="Z95" s="26">
        <v>587.05999999999995</v>
      </c>
      <c r="AA95" s="29">
        <v>0.15</v>
      </c>
      <c r="AB95" s="32">
        <f>Tabla1[[#This Row],[PRECIO ML]]*(1-Tabla1[[#This Row],[DESCUENTO]])</f>
        <v>499.00099999999992</v>
      </c>
      <c r="AC95" s="29">
        <v>0.19500000000000001</v>
      </c>
      <c r="AD95" s="26">
        <f>Tabla1[[#This Row],[PRECIO FINAL ML]]*Tabla1[[#This Row],[COMISIÓN ML]]</f>
        <v>97.305194999999983</v>
      </c>
      <c r="AE95" s="26"/>
      <c r="AF95" s="29"/>
      <c r="AG95" s="26">
        <f>(Tabla1[[#This Row],[PRECIO FINAL ML]]*Tabla1[[#This Row],[% ACOS]])/2</f>
        <v>0</v>
      </c>
      <c r="AH95" s="26">
        <f>Tabla1[[#This Row],[TOT COMISIÓN]]+Tabla1[[#This Row],[FIJO ML]]+Tabla1[[#This Row],[ACOS]]</f>
        <v>97.305194999999983</v>
      </c>
      <c r="AI95" s="26">
        <f>$AF$2*(1+$T$2)*$C$2</f>
        <v>1.1957279999999999</v>
      </c>
      <c r="AJ95" s="32">
        <f>Tabla1[[#This Row],[PRECIO FINAL ML]]-Tabla1[[#This Row],[DESCUENTO TOT]]-Tabla1[[#This Row],[ENVÍO]]</f>
        <v>400.50007699999998</v>
      </c>
    </row>
    <row r="96" spans="1:36" ht="18" customHeight="1" x14ac:dyDescent="0.25">
      <c r="A96" s="132"/>
      <c r="B96" s="5">
        <v>1</v>
      </c>
      <c r="C96" s="2" t="s">
        <v>479</v>
      </c>
      <c r="D96" s="5" t="s">
        <v>194</v>
      </c>
      <c r="E96" s="5" t="s">
        <v>256</v>
      </c>
      <c r="F96" s="5" t="s">
        <v>481</v>
      </c>
      <c r="G96" s="5">
        <v>500</v>
      </c>
      <c r="H96" s="26">
        <v>9.01</v>
      </c>
      <c r="I96" s="26">
        <v>9.01</v>
      </c>
      <c r="J96" s="26">
        <f>Tabla1[[#This Row],[HOY]]-Tabla1[[#This Row],[AYER]]</f>
        <v>0</v>
      </c>
      <c r="K96" s="5">
        <v>50</v>
      </c>
      <c r="L96" s="54" t="s">
        <v>483</v>
      </c>
      <c r="M96" s="54"/>
      <c r="N96" s="128" t="s">
        <v>357</v>
      </c>
      <c r="O96" s="96" t="s">
        <v>357</v>
      </c>
      <c r="P96" s="96"/>
      <c r="Q96" s="5"/>
      <c r="R96" s="2"/>
      <c r="S96" s="11" t="str">
        <f>IF(B96="","",(IF((Tabla1[[#This Row],[STOCK]]-1)&lt;Tabla1[[#This Row],[INV MIN]],"PAUSAR!!!!","")))</f>
        <v/>
      </c>
      <c r="T96" s="57"/>
      <c r="U96" s="60"/>
      <c r="V96" s="65"/>
      <c r="W96" s="49"/>
      <c r="X96" s="49"/>
      <c r="Y96" s="61"/>
      <c r="Z96" s="66"/>
      <c r="AA96" s="67"/>
      <c r="AB96" s="65"/>
      <c r="AC96" s="67"/>
      <c r="AD96" s="66"/>
      <c r="AE96" s="66"/>
      <c r="AF96" s="67"/>
      <c r="AG96" s="66"/>
      <c r="AH96" s="66"/>
      <c r="AI96" s="66"/>
      <c r="AJ96" s="65"/>
    </row>
    <row r="97" spans="1:36" ht="18" customHeight="1" x14ac:dyDescent="0.25">
      <c r="A97" s="132"/>
      <c r="B97" s="5">
        <v>1</v>
      </c>
      <c r="C97" s="2" t="s">
        <v>480</v>
      </c>
      <c r="D97" s="5" t="s">
        <v>194</v>
      </c>
      <c r="E97" s="5" t="s">
        <v>256</v>
      </c>
      <c r="F97" s="5" t="s">
        <v>485</v>
      </c>
      <c r="G97" s="5">
        <v>500</v>
      </c>
      <c r="H97" s="26">
        <v>9.4700000000000006</v>
      </c>
      <c r="I97" s="26">
        <v>9.4700000000000006</v>
      </c>
      <c r="J97" s="26">
        <f>Tabla1[[#This Row],[HOY]]-Tabla1[[#This Row],[AYER]]</f>
        <v>0</v>
      </c>
      <c r="K97" s="5">
        <v>50</v>
      </c>
      <c r="L97" s="54" t="s">
        <v>484</v>
      </c>
      <c r="M97" s="54"/>
      <c r="N97" s="128" t="s">
        <v>357</v>
      </c>
      <c r="O97" s="96" t="s">
        <v>357</v>
      </c>
      <c r="P97" s="96"/>
      <c r="Q97" s="5"/>
      <c r="R97" s="2"/>
      <c r="S97" s="11" t="str">
        <f>IF(B97="","",(IF((Tabla1[[#This Row],[STOCK]]-1)&lt;Tabla1[[#This Row],[INV MIN]],"PAUSAR!!!!","")))</f>
        <v/>
      </c>
      <c r="T97" s="57"/>
      <c r="U97" s="60"/>
      <c r="V97" s="65"/>
      <c r="W97" s="49"/>
      <c r="X97" s="49"/>
      <c r="Y97" s="61"/>
      <c r="Z97" s="66"/>
      <c r="AA97" s="67"/>
      <c r="AB97" s="65"/>
      <c r="AC97" s="67"/>
      <c r="AD97" s="66"/>
      <c r="AE97" s="66"/>
      <c r="AF97" s="67"/>
      <c r="AG97" s="66"/>
      <c r="AH97" s="66"/>
      <c r="AI97" s="66"/>
      <c r="AJ97" s="65"/>
    </row>
    <row r="98" spans="1:36" ht="18" customHeight="1" x14ac:dyDescent="0.25">
      <c r="A98" s="132"/>
      <c r="B98" s="5">
        <v>1</v>
      </c>
      <c r="C98" s="2" t="s">
        <v>486</v>
      </c>
      <c r="D98" s="5" t="s">
        <v>194</v>
      </c>
      <c r="E98" s="96"/>
      <c r="F98" s="96"/>
      <c r="G98" s="63"/>
      <c r="H98" s="117">
        <f>(H96)+(H97)</f>
        <v>18.48</v>
      </c>
      <c r="I98" s="117">
        <f>(I96)+(I97)</f>
        <v>18.48</v>
      </c>
      <c r="J98" s="117">
        <f>Tabla1[[#This Row],[HOY]]-Tabla1[[#This Row],[AYER]]</f>
        <v>0</v>
      </c>
      <c r="K98" s="96"/>
      <c r="L98" s="64"/>
      <c r="M98" s="64"/>
      <c r="N98" s="53" t="s">
        <v>487</v>
      </c>
      <c r="O98" s="8" t="s">
        <v>62</v>
      </c>
      <c r="P98" s="9">
        <v>5</v>
      </c>
      <c r="Q98" s="5"/>
      <c r="R98" s="2"/>
      <c r="S98" s="11" t="str">
        <f>IF(G96-1&lt;K96,"PAUSAR!!!",IF(G97-1&lt;K97,"PAUSAR!!!",""))</f>
        <v/>
      </c>
      <c r="T98" s="44" t="str">
        <f>IF(Tabla1[[#This Row],[UTILIDAD]]&lt;0,"PÉRDIDA!!!","")</f>
        <v/>
      </c>
      <c r="U98" s="60"/>
      <c r="V98" s="32">
        <f>Tabla1[[#This Row],[TOT VENTA]]-Tabla1[[#This Row],[COSTO]]</f>
        <v>112.87604800000008</v>
      </c>
      <c r="W98" s="6">
        <f>Tabla1[[#This Row],[HOY]]*$T$2</f>
        <v>2.9568000000000003</v>
      </c>
      <c r="X98" s="6">
        <f>Tabla1[[#This Row],[HOY]]+Tabla1[[#This Row],[IVA]]</f>
        <v>21.436800000000002</v>
      </c>
      <c r="Y98" s="41">
        <f>Tabla1[[#This Row],[TOTAL]]*B98*$C$2</f>
        <v>368.28422399999999</v>
      </c>
      <c r="Z98" s="26">
        <v>749</v>
      </c>
      <c r="AA98" s="29">
        <v>0.2</v>
      </c>
      <c r="AB98" s="32">
        <f>Tabla1[[#This Row],[PRECIO ML]]*(1-Tabla1[[#This Row],[DESCUENTO]])</f>
        <v>599.20000000000005</v>
      </c>
      <c r="AC98" s="29">
        <v>0.19500000000000001</v>
      </c>
      <c r="AD98" s="26">
        <f>Tabla1[[#This Row],[PRECIO FINAL ML]]*Tabla1[[#This Row],[COMISIÓN ML]]</f>
        <v>116.84400000000001</v>
      </c>
      <c r="AE98" s="26"/>
      <c r="AF98" s="29"/>
      <c r="AG98" s="26">
        <f>(Tabla1[[#This Row],[PRECIO FINAL ML]]*Tabla1[[#This Row],[% ACOS]])/2</f>
        <v>0</v>
      </c>
      <c r="AH98" s="26">
        <f>Tabla1[[#This Row],[TOT COMISIÓN]]+Tabla1[[#This Row],[FIJO ML]]+Tabla1[[#This Row],[ACOS]]</f>
        <v>116.84400000000001</v>
      </c>
      <c r="AI98" s="26">
        <f t="shared" si="11"/>
        <v>1.1957279999999999</v>
      </c>
      <c r="AJ98" s="32">
        <f>Tabla1[[#This Row],[PRECIO FINAL ML]]-Tabla1[[#This Row],[DESCUENTO TOT]]-Tabla1[[#This Row],[ENVÍO]]</f>
        <v>481.16027200000008</v>
      </c>
    </row>
    <row r="99" spans="1:36" ht="18" customHeight="1" x14ac:dyDescent="0.25">
      <c r="A99" s="132"/>
      <c r="B99" s="5">
        <v>1</v>
      </c>
      <c r="C99" s="2" t="s">
        <v>100</v>
      </c>
      <c r="D99" s="5" t="s">
        <v>194</v>
      </c>
      <c r="E99" s="5" t="s">
        <v>256</v>
      </c>
      <c r="F99" s="5" t="s">
        <v>492</v>
      </c>
      <c r="G99" s="5">
        <v>164</v>
      </c>
      <c r="H99" s="26">
        <v>88.07</v>
      </c>
      <c r="I99" s="26">
        <v>88.07</v>
      </c>
      <c r="J99" s="26">
        <f>Tabla1[[#This Row],[HOY]]-Tabla1[[#This Row],[AYER]]</f>
        <v>0</v>
      </c>
      <c r="K99" s="5">
        <v>15</v>
      </c>
      <c r="L99" s="54" t="s">
        <v>101</v>
      </c>
      <c r="M99" s="54"/>
      <c r="N99" s="53" t="s">
        <v>128</v>
      </c>
      <c r="O99" s="9" t="s">
        <v>132</v>
      </c>
      <c r="P99" s="9">
        <v>5</v>
      </c>
      <c r="Q99" s="5"/>
      <c r="R99" s="2"/>
      <c r="S99" s="11" t="str">
        <f>IF(B99="","",(IF((Tabla1[[#This Row],[STOCK]]-1)&lt;Tabla1[[#This Row],[INV MIN]],"PAUSAR!!!!","")))</f>
        <v/>
      </c>
      <c r="T99" s="44" t="str">
        <f>IF(Tabla1[[#This Row],[UTILIDAD]]&lt;0,"PÉRDIDA!!!","")</f>
        <v/>
      </c>
      <c r="U99" s="60"/>
      <c r="V99" s="32">
        <f>Tabla1[[#This Row],[TOT VENTA]]-Tabla1[[#This Row],[COSTO]]</f>
        <v>368.87485599999991</v>
      </c>
      <c r="W99" s="6">
        <f>Tabla1[[#This Row],[HOY]]*$T$2</f>
        <v>14.091199999999999</v>
      </c>
      <c r="X99" s="6">
        <f>Tabla1[[#This Row],[HOY]]+Tabla1[[#This Row],[IVA]]</f>
        <v>102.16119999999999</v>
      </c>
      <c r="Y99" s="41">
        <f>Tabla1[[#This Row],[TOTAL]]*B99*$C$2</f>
        <v>1755.1294159999998</v>
      </c>
      <c r="Z99" s="26">
        <v>3300</v>
      </c>
      <c r="AA99" s="29">
        <v>0.2</v>
      </c>
      <c r="AB99" s="32">
        <f>Tabla1[[#This Row],[PRECIO ML]]*(1-Tabla1[[#This Row],[DESCUENTO]])</f>
        <v>2640</v>
      </c>
      <c r="AC99" s="29">
        <v>0.19500000000000001</v>
      </c>
      <c r="AD99" s="26">
        <f>Tabla1[[#This Row],[PRECIO FINAL ML]]*Tabla1[[#This Row],[COMISIÓN ML]]</f>
        <v>514.80000000000007</v>
      </c>
      <c r="AE99" s="26"/>
      <c r="AF99" s="29"/>
      <c r="AG99" s="26">
        <f>(Tabla1[[#This Row],[PRECIO FINAL ML]]*Tabla1[[#This Row],[% ACOS]])/2</f>
        <v>0</v>
      </c>
      <c r="AH99" s="26">
        <f>Tabla1[[#This Row],[TOT COMISIÓN]]+Tabla1[[#This Row],[FIJO ML]]+Tabla1[[#This Row],[ACOS]]</f>
        <v>514.80000000000007</v>
      </c>
      <c r="AI99" s="26">
        <f t="shared" si="11"/>
        <v>1.1957279999999999</v>
      </c>
      <c r="AJ99" s="32">
        <f>Tabla1[[#This Row],[PRECIO FINAL ML]]-Tabla1[[#This Row],[DESCUENTO TOT]]-Tabla1[[#This Row],[ENVÍO]]</f>
        <v>2124.0042719999997</v>
      </c>
    </row>
    <row r="100" spans="1:36" ht="18" customHeight="1" x14ac:dyDescent="0.25">
      <c r="A100" s="132"/>
      <c r="B100" s="5">
        <v>1</v>
      </c>
      <c r="C100" s="2" t="s">
        <v>98</v>
      </c>
      <c r="D100" s="5" t="s">
        <v>194</v>
      </c>
      <c r="E100" s="5" t="s">
        <v>256</v>
      </c>
      <c r="F100" s="5" t="s">
        <v>493</v>
      </c>
      <c r="G100" s="5">
        <v>13</v>
      </c>
      <c r="H100" s="26">
        <v>88.5</v>
      </c>
      <c r="I100" s="26">
        <v>88.5</v>
      </c>
      <c r="J100" s="26">
        <f>Tabla1[[#This Row],[HOY]]-Tabla1[[#This Row],[AYER]]</f>
        <v>0</v>
      </c>
      <c r="K100" s="5">
        <v>15</v>
      </c>
      <c r="L100" s="54" t="s">
        <v>99</v>
      </c>
      <c r="M100" s="54"/>
      <c r="N100" s="53" t="s">
        <v>127</v>
      </c>
      <c r="O100" s="8" t="s">
        <v>62</v>
      </c>
      <c r="P100" s="8">
        <v>5</v>
      </c>
      <c r="Q100" s="5"/>
      <c r="R100" s="2"/>
      <c r="S100" s="11" t="str">
        <f>IF(B100="","",(IF((Tabla1[[#This Row],[STOCK]]-1)&lt;Tabla1[[#This Row],[INV MIN]],"PAUSAR!!!!","")))</f>
        <v>PAUSAR!!!!</v>
      </c>
      <c r="T100" s="44" t="str">
        <f>IF(Tabla1[[#This Row],[UTILIDAD]]&lt;0,"PÉRDIDA!!!","")</f>
        <v/>
      </c>
      <c r="U100" s="60"/>
      <c r="V100" s="32">
        <f>Tabla1[[#This Row],[TOT VENTA]]-Tabla1[[#This Row],[COSTO]]</f>
        <v>360.30547199999978</v>
      </c>
      <c r="W100" s="6">
        <f>Tabla1[[#This Row],[HOY]]*$T$2</f>
        <v>14.16</v>
      </c>
      <c r="X100" s="6">
        <f>Tabla1[[#This Row],[HOY]]+Tabla1[[#This Row],[IVA]]</f>
        <v>102.66</v>
      </c>
      <c r="Y100" s="41">
        <f>Tabla1[[#This Row],[TOTAL]]*B100*$C$2</f>
        <v>1763.6987999999999</v>
      </c>
      <c r="Z100" s="26">
        <v>3300</v>
      </c>
      <c r="AA100" s="29">
        <v>0.2</v>
      </c>
      <c r="AB100" s="32">
        <f>Tabla1[[#This Row],[PRECIO ML]]*(1-Tabla1[[#This Row],[DESCUENTO]])</f>
        <v>2640</v>
      </c>
      <c r="AC100" s="29">
        <v>0.19500000000000001</v>
      </c>
      <c r="AD100" s="26">
        <f>Tabla1[[#This Row],[PRECIO FINAL ML]]*Tabla1[[#This Row],[COMISIÓN ML]]</f>
        <v>514.80000000000007</v>
      </c>
      <c r="AE100" s="26"/>
      <c r="AF100" s="29"/>
      <c r="AG100" s="26">
        <f>(Tabla1[[#This Row],[PRECIO FINAL ML]]*Tabla1[[#This Row],[% ACOS]])/2</f>
        <v>0</v>
      </c>
      <c r="AH100" s="26">
        <f>Tabla1[[#This Row],[TOT COMISIÓN]]+Tabla1[[#This Row],[FIJO ML]]+Tabla1[[#This Row],[ACOS]]</f>
        <v>514.80000000000007</v>
      </c>
      <c r="AI100" s="26">
        <f t="shared" si="11"/>
        <v>1.1957279999999999</v>
      </c>
      <c r="AJ100" s="32">
        <f>Tabla1[[#This Row],[PRECIO FINAL ML]]-Tabla1[[#This Row],[DESCUENTO TOT]]-Tabla1[[#This Row],[ENVÍO]]</f>
        <v>2124.0042719999997</v>
      </c>
    </row>
    <row r="101" spans="1:36" ht="18" customHeight="1" x14ac:dyDescent="0.25">
      <c r="A101" s="132"/>
      <c r="B101" s="5">
        <v>1</v>
      </c>
      <c r="C101" s="2" t="s">
        <v>48</v>
      </c>
      <c r="D101" s="5" t="s">
        <v>194</v>
      </c>
      <c r="E101" s="5" t="s">
        <v>438</v>
      </c>
      <c r="F101" s="5" t="s">
        <v>494</v>
      </c>
      <c r="G101" s="5">
        <v>0</v>
      </c>
      <c r="H101" s="26">
        <v>363.07</v>
      </c>
      <c r="I101" s="26">
        <v>363.07</v>
      </c>
      <c r="J101" s="26">
        <f>Tabla1[[#This Row],[HOY]]-Tabla1[[#This Row],[AYER]]</f>
        <v>0</v>
      </c>
      <c r="K101" s="5">
        <v>10</v>
      </c>
      <c r="L101" s="54" t="s">
        <v>47</v>
      </c>
      <c r="M101" s="54"/>
      <c r="N101" s="53" t="s">
        <v>49</v>
      </c>
      <c r="O101" s="8" t="s">
        <v>62</v>
      </c>
      <c r="P101" s="8">
        <v>2</v>
      </c>
      <c r="Q101" s="5" t="s">
        <v>15</v>
      </c>
      <c r="R101" s="2"/>
      <c r="S101" s="11" t="str">
        <f>IF(B101="","",(IF((Tabla1[[#This Row],[STOCK]]-1)&lt;Tabla1[[#This Row],[INV MIN]],"PAUSAR!!!!","")))</f>
        <v>PAUSAR!!!!</v>
      </c>
      <c r="T101" s="44" t="str">
        <f>IF(Tabla1[[#This Row],[UTILIDAD]]&lt;0,"PÉRDIDA!!!","")</f>
        <v/>
      </c>
      <c r="U101" s="60"/>
      <c r="V101" s="32">
        <f>Tabla1[[#This Row],[TOT VENTA]]-Tabla1[[#This Row],[COSTO]]</f>
        <v>929.38415600000098</v>
      </c>
      <c r="W101" s="6">
        <f>Tabla1[[#This Row],[HOY]]*$T$2</f>
        <v>58.091200000000001</v>
      </c>
      <c r="X101" s="6">
        <f>Tabla1[[#This Row],[HOY]]+Tabla1[[#This Row],[IVA]]</f>
        <v>421.16120000000001</v>
      </c>
      <c r="Y101" s="41">
        <f>Tabla1[[#This Row],[TOTAL]]*B101*$C$2</f>
        <v>7235.5494159999998</v>
      </c>
      <c r="Z101" s="26">
        <v>12222</v>
      </c>
      <c r="AA101" s="29">
        <v>0.17</v>
      </c>
      <c r="AB101" s="32">
        <f>Tabla1[[#This Row],[PRECIO ML]]*(1-Tabla1[[#This Row],[DESCUENTO]])</f>
        <v>10144.26</v>
      </c>
      <c r="AC101" s="29">
        <v>0.19500000000000001</v>
      </c>
      <c r="AD101" s="26">
        <f>Tabla1[[#This Row],[PRECIO FINAL ML]]*Tabla1[[#This Row],[COMISIÓN ML]]</f>
        <v>1978.1307000000002</v>
      </c>
      <c r="AE101" s="26"/>
      <c r="AF101" s="29"/>
      <c r="AG101" s="26">
        <f>(Tabla1[[#This Row],[PRECIO FINAL ML]]*Tabla1[[#This Row],[% ACOS]])/2</f>
        <v>0</v>
      </c>
      <c r="AH101" s="26">
        <f>Tabla1[[#This Row],[TOT COMISIÓN]]+Tabla1[[#This Row],[FIJO ML]]+Tabla1[[#This Row],[ACOS]]</f>
        <v>1978.1307000000002</v>
      </c>
      <c r="AI101" s="26">
        <f t="shared" si="11"/>
        <v>1.1957279999999999</v>
      </c>
      <c r="AJ101" s="32">
        <f>Tabla1[[#This Row],[PRECIO FINAL ML]]-Tabla1[[#This Row],[DESCUENTO TOT]]-Tabla1[[#This Row],[ENVÍO]]</f>
        <v>8164.9335720000008</v>
      </c>
    </row>
    <row r="102" spans="1:36" ht="18" customHeight="1" x14ac:dyDescent="0.25">
      <c r="A102" s="132"/>
      <c r="B102" s="5">
        <v>1</v>
      </c>
      <c r="C102" s="2" t="s">
        <v>44</v>
      </c>
      <c r="D102" s="5" t="s">
        <v>194</v>
      </c>
      <c r="E102" s="5" t="s">
        <v>438</v>
      </c>
      <c r="F102" s="5" t="s">
        <v>495</v>
      </c>
      <c r="G102" s="5">
        <v>0</v>
      </c>
      <c r="H102" s="26">
        <v>365.97</v>
      </c>
      <c r="I102" s="26">
        <v>365.97</v>
      </c>
      <c r="J102" s="26">
        <f>Tabla1[[#This Row],[HOY]]-Tabla1[[#This Row],[AYER]]</f>
        <v>0</v>
      </c>
      <c r="K102" s="5">
        <v>10</v>
      </c>
      <c r="L102" s="54" t="s">
        <v>46</v>
      </c>
      <c r="M102" s="54"/>
      <c r="N102" s="53" t="s">
        <v>45</v>
      </c>
      <c r="O102" s="8" t="s">
        <v>62</v>
      </c>
      <c r="P102" s="8">
        <v>2</v>
      </c>
      <c r="Q102" s="56">
        <v>45320</v>
      </c>
      <c r="R102" s="2"/>
      <c r="S102" s="11" t="str">
        <f>IF(B102="","",(IF((Tabla1[[#This Row],[STOCK]]-1)&lt;Tabla1[[#This Row],[INV MIN]],"PAUSAR!!!!","")))</f>
        <v>PAUSAR!!!!</v>
      </c>
      <c r="T102" s="44" t="str">
        <f>IF(Tabla1[[#This Row],[UTILIDAD]]&lt;0,"PÉRDIDA!!!","")</f>
        <v/>
      </c>
      <c r="U102" s="60"/>
      <c r="V102" s="32">
        <f>Tabla1[[#This Row],[TOT VENTA]]-Tabla1[[#This Row],[COSTO]]</f>
        <v>871.5906359999999</v>
      </c>
      <c r="W102" s="6">
        <f>Tabla1[[#This Row],[HOY]]*$T$2</f>
        <v>58.555200000000006</v>
      </c>
      <c r="X102" s="6">
        <f>Tabla1[[#This Row],[HOY]]+Tabla1[[#This Row],[IVA]]</f>
        <v>424.52520000000004</v>
      </c>
      <c r="Y102" s="41">
        <f>Tabla1[[#This Row],[TOTAL]]*B102*$C$2</f>
        <v>7293.3429360000009</v>
      </c>
      <c r="Z102" s="26">
        <v>12222</v>
      </c>
      <c r="AA102" s="29">
        <v>0.17</v>
      </c>
      <c r="AB102" s="32">
        <f>Tabla1[[#This Row],[PRECIO ML]]*(1-Tabla1[[#This Row],[DESCUENTO]])</f>
        <v>10144.26</v>
      </c>
      <c r="AC102" s="29">
        <v>0.19500000000000001</v>
      </c>
      <c r="AD102" s="26">
        <f>Tabla1[[#This Row],[PRECIO FINAL ML]]*Tabla1[[#This Row],[COMISIÓN ML]]</f>
        <v>1978.1307000000002</v>
      </c>
      <c r="AE102" s="26"/>
      <c r="AF102" s="29"/>
      <c r="AG102" s="26">
        <f>(Tabla1[[#This Row],[PRECIO FINAL ML]]*Tabla1[[#This Row],[% ACOS]])/2</f>
        <v>0</v>
      </c>
      <c r="AH102" s="26">
        <f>Tabla1[[#This Row],[TOT COMISIÓN]]+Tabla1[[#This Row],[FIJO ML]]+Tabla1[[#This Row],[ACOS]]</f>
        <v>1978.1307000000002</v>
      </c>
      <c r="AI102" s="26">
        <f t="shared" si="11"/>
        <v>1.1957279999999999</v>
      </c>
      <c r="AJ102" s="32">
        <f>Tabla1[[#This Row],[PRECIO FINAL ML]]-Tabla1[[#This Row],[DESCUENTO TOT]]-Tabla1[[#This Row],[ENVÍO]]</f>
        <v>8164.9335720000008</v>
      </c>
    </row>
    <row r="103" spans="1:36" ht="18" customHeight="1" x14ac:dyDescent="0.25">
      <c r="A103" s="132"/>
      <c r="B103" s="5">
        <v>1</v>
      </c>
      <c r="C103" s="2" t="s">
        <v>27</v>
      </c>
      <c r="D103" s="5" t="s">
        <v>194</v>
      </c>
      <c r="E103" s="5" t="s">
        <v>256</v>
      </c>
      <c r="F103" s="5" t="s">
        <v>496</v>
      </c>
      <c r="G103" s="5">
        <v>0</v>
      </c>
      <c r="H103" s="26">
        <v>414.75</v>
      </c>
      <c r="I103" s="26">
        <v>414.75</v>
      </c>
      <c r="J103" s="26">
        <f>Tabla1[[#This Row],[HOY]]-Tabla1[[#This Row],[AYER]]</f>
        <v>0</v>
      </c>
      <c r="K103" s="5">
        <v>10</v>
      </c>
      <c r="L103" s="54" t="s">
        <v>28</v>
      </c>
      <c r="M103" s="54"/>
      <c r="N103" s="53" t="s">
        <v>29</v>
      </c>
      <c r="O103" s="8" t="s">
        <v>62</v>
      </c>
      <c r="P103" s="8">
        <v>2</v>
      </c>
      <c r="Q103" s="56">
        <v>45331</v>
      </c>
      <c r="R103" s="2"/>
      <c r="S103" s="11" t="str">
        <f>IF(B103="","",(IF((Tabla1[[#This Row],[STOCK]]-1)&lt;Tabla1[[#This Row],[INV MIN]],"PAUSAR!!!!","")))</f>
        <v>PAUSAR!!!!</v>
      </c>
      <c r="T103" s="44" t="str">
        <f>IF(Tabla1[[#This Row],[UTILIDAD]]&lt;0,"PÉRDIDA!!!","")</f>
        <v/>
      </c>
      <c r="U103" s="60"/>
      <c r="V103" s="32">
        <f>Tabla1[[#This Row],[TOT VENTA]]-Tabla1[[#This Row],[COSTO]]</f>
        <v>1715.8818719999981</v>
      </c>
      <c r="W103" s="6">
        <f>Tabla1[[#This Row],[HOY]]*$T$2</f>
        <v>66.36</v>
      </c>
      <c r="X103" s="6">
        <f>Tabla1[[#This Row],[HOY]]+Tabla1[[#This Row],[IVA]]</f>
        <v>481.11</v>
      </c>
      <c r="Y103" s="41">
        <f>Tabla1[[#This Row],[TOTAL]]*B103*$C$2</f>
        <v>8265.4698000000008</v>
      </c>
      <c r="Z103" s="26">
        <v>13479</v>
      </c>
      <c r="AA103" s="29">
        <v>0.08</v>
      </c>
      <c r="AB103" s="32">
        <f>Tabla1[[#This Row],[PRECIO ML]]*(1-Tabla1[[#This Row],[DESCUENTO]])</f>
        <v>12400.68</v>
      </c>
      <c r="AC103" s="29">
        <v>0.19500000000000001</v>
      </c>
      <c r="AD103" s="26">
        <f>Tabla1[[#This Row],[PRECIO FINAL ML]]*Tabla1[[#This Row],[COMISIÓN ML]]</f>
        <v>2418.1326000000004</v>
      </c>
      <c r="AE103" s="26"/>
      <c r="AF103" s="29"/>
      <c r="AG103" s="26">
        <f>(Tabla1[[#This Row],[PRECIO FINAL ML]]*Tabla1[[#This Row],[% ACOS]])/2</f>
        <v>0</v>
      </c>
      <c r="AH103" s="26">
        <f>Tabla1[[#This Row],[TOT COMISIÓN]]+Tabla1[[#This Row],[FIJO ML]]+Tabla1[[#This Row],[ACOS]]</f>
        <v>2418.1326000000004</v>
      </c>
      <c r="AI103" s="26">
        <f t="shared" si="11"/>
        <v>1.1957279999999999</v>
      </c>
      <c r="AJ103" s="32">
        <f>Tabla1[[#This Row],[PRECIO FINAL ML]]-Tabla1[[#This Row],[DESCUENTO TOT]]-Tabla1[[#This Row],[ENVÍO]]</f>
        <v>9981.3516719999989</v>
      </c>
    </row>
    <row r="104" spans="1:36" ht="18" customHeight="1" x14ac:dyDescent="0.25">
      <c r="A104" s="132"/>
      <c r="B104" s="5">
        <v>1</v>
      </c>
      <c r="C104" s="2" t="s">
        <v>102</v>
      </c>
      <c r="D104" s="5" t="s">
        <v>194</v>
      </c>
      <c r="E104" s="5" t="s">
        <v>256</v>
      </c>
      <c r="F104" s="5" t="s">
        <v>497</v>
      </c>
      <c r="G104" s="5">
        <v>18</v>
      </c>
      <c r="H104" s="26">
        <v>414.52</v>
      </c>
      <c r="I104" s="26">
        <v>414.52</v>
      </c>
      <c r="J104" s="26">
        <f>Tabla1[[#This Row],[HOY]]-Tabla1[[#This Row],[AYER]]</f>
        <v>0</v>
      </c>
      <c r="K104" s="5">
        <v>10</v>
      </c>
      <c r="L104" s="54" t="s">
        <v>103</v>
      </c>
      <c r="M104" s="54"/>
      <c r="N104" s="53" t="s">
        <v>129</v>
      </c>
      <c r="O104" s="9" t="s">
        <v>132</v>
      </c>
      <c r="P104" s="9">
        <v>2</v>
      </c>
      <c r="Q104" s="5"/>
      <c r="R104" s="2"/>
      <c r="S104" s="11" t="str">
        <f>IF(B104="","",(IF((Tabla1[[#This Row],[STOCK]]-1)&lt;Tabla1[[#This Row],[INV MIN]],"PAUSAR!!!!","")))</f>
        <v/>
      </c>
      <c r="T104" s="44" t="str">
        <f>IF(Tabla1[[#This Row],[UTILIDAD]]&lt;0,"PÉRDIDA!!!","")</f>
        <v/>
      </c>
      <c r="U104" s="60"/>
      <c r="V104" s="32">
        <f>Tabla1[[#This Row],[TOT VENTA]]-Tabla1[[#This Row],[COSTO]]</f>
        <v>1720.4654959999989</v>
      </c>
      <c r="W104" s="6">
        <f>Tabla1[[#This Row],[HOY]]*$T$2</f>
        <v>66.3232</v>
      </c>
      <c r="X104" s="6">
        <f>Tabla1[[#This Row],[HOY]]+Tabla1[[#This Row],[IVA]]</f>
        <v>480.84319999999997</v>
      </c>
      <c r="Y104" s="41">
        <f>Tabla1[[#This Row],[TOTAL]]*B104*$C$2</f>
        <v>8260.886176</v>
      </c>
      <c r="Z104" s="26">
        <v>13479</v>
      </c>
      <c r="AA104" s="29">
        <v>0.08</v>
      </c>
      <c r="AB104" s="32">
        <f>Tabla1[[#This Row],[PRECIO ML]]*(1-Tabla1[[#This Row],[DESCUENTO]])</f>
        <v>12400.68</v>
      </c>
      <c r="AC104" s="29">
        <v>0.19500000000000001</v>
      </c>
      <c r="AD104" s="26">
        <f>Tabla1[[#This Row],[PRECIO FINAL ML]]*Tabla1[[#This Row],[COMISIÓN ML]]</f>
        <v>2418.1326000000004</v>
      </c>
      <c r="AE104" s="26"/>
      <c r="AF104" s="29"/>
      <c r="AG104" s="26">
        <f>(Tabla1[[#This Row],[PRECIO FINAL ML]]*Tabla1[[#This Row],[% ACOS]])/2</f>
        <v>0</v>
      </c>
      <c r="AH104" s="26">
        <f>Tabla1[[#This Row],[TOT COMISIÓN]]+Tabla1[[#This Row],[FIJO ML]]+Tabla1[[#This Row],[ACOS]]</f>
        <v>2418.1326000000004</v>
      </c>
      <c r="AI104" s="26">
        <f t="shared" si="11"/>
        <v>1.1957279999999999</v>
      </c>
      <c r="AJ104" s="32">
        <f>Tabla1[[#This Row],[PRECIO FINAL ML]]-Tabla1[[#This Row],[DESCUENTO TOT]]-Tabla1[[#This Row],[ENVÍO]]</f>
        <v>9981.3516719999989</v>
      </c>
    </row>
    <row r="105" spans="1:36" ht="18" customHeight="1" x14ac:dyDescent="0.25">
      <c r="A105" s="132"/>
      <c r="B105" s="5">
        <v>1</v>
      </c>
      <c r="C105" s="2" t="s">
        <v>90</v>
      </c>
      <c r="D105" s="5" t="s">
        <v>194</v>
      </c>
      <c r="E105" s="5" t="s">
        <v>438</v>
      </c>
      <c r="F105" s="5" t="s">
        <v>498</v>
      </c>
      <c r="G105" s="5">
        <v>500</v>
      </c>
      <c r="H105" s="26">
        <v>1.42</v>
      </c>
      <c r="I105" s="26">
        <v>1.42</v>
      </c>
      <c r="J105" s="26">
        <f>Tabla1[[#This Row],[HOY]]-Tabla1[[#This Row],[AYER]]</f>
        <v>0</v>
      </c>
      <c r="K105" s="5">
        <v>100</v>
      </c>
      <c r="L105" s="54" t="s">
        <v>91</v>
      </c>
      <c r="M105" s="54"/>
      <c r="N105" s="53" t="s">
        <v>208</v>
      </c>
      <c r="O105" s="96" t="s">
        <v>357</v>
      </c>
      <c r="P105" s="96"/>
      <c r="Q105" s="5"/>
      <c r="R105" s="2"/>
      <c r="S105" s="11" t="str">
        <f>IF(B105="","",(IF((Tabla1[[#This Row],[STOCK]]-1)&lt;Tabla1[[#This Row],[INV MIN]],"PAUSAR!!!!","")))</f>
        <v/>
      </c>
      <c r="T105" s="57"/>
      <c r="U105" s="60"/>
      <c r="V105" s="65"/>
      <c r="W105" s="49"/>
      <c r="X105" s="49"/>
      <c r="Y105" s="61"/>
      <c r="Z105" s="66"/>
      <c r="AA105" s="67"/>
      <c r="AB105" s="65"/>
      <c r="AC105" s="67"/>
      <c r="AD105" s="66"/>
      <c r="AE105" s="66"/>
      <c r="AF105" s="67"/>
      <c r="AG105" s="66"/>
      <c r="AH105" s="66"/>
      <c r="AI105" s="66"/>
      <c r="AJ105" s="65"/>
    </row>
    <row r="106" spans="1:36" ht="18" customHeight="1" x14ac:dyDescent="0.25">
      <c r="A106" s="132"/>
      <c r="B106" s="5">
        <v>1</v>
      </c>
      <c r="C106" s="2" t="s">
        <v>92</v>
      </c>
      <c r="D106" s="5" t="s">
        <v>194</v>
      </c>
      <c r="E106" s="5" t="s">
        <v>438</v>
      </c>
      <c r="F106" s="5" t="s">
        <v>499</v>
      </c>
      <c r="G106" s="5">
        <v>500</v>
      </c>
      <c r="H106" s="26">
        <v>1.42</v>
      </c>
      <c r="I106" s="26">
        <v>1.42</v>
      </c>
      <c r="J106" s="26">
        <f>Tabla1[[#This Row],[HOY]]-Tabla1[[#This Row],[AYER]]</f>
        <v>0</v>
      </c>
      <c r="K106" s="5">
        <v>100</v>
      </c>
      <c r="L106" s="54" t="s">
        <v>93</v>
      </c>
      <c r="M106" s="54"/>
      <c r="N106" s="53" t="s">
        <v>209</v>
      </c>
      <c r="O106" s="96" t="s">
        <v>357</v>
      </c>
      <c r="P106" s="96"/>
      <c r="Q106" s="5"/>
      <c r="R106" s="2"/>
      <c r="S106" s="11" t="str">
        <f>IF(B106="","",(IF((Tabla1[[#This Row],[STOCK]]-1)&lt;Tabla1[[#This Row],[INV MIN]],"PAUSAR!!!!","")))</f>
        <v/>
      </c>
      <c r="T106" s="57"/>
      <c r="U106" s="60"/>
      <c r="V106" s="65"/>
      <c r="W106" s="49"/>
      <c r="X106" s="49"/>
      <c r="Y106" s="61"/>
      <c r="Z106" s="66"/>
      <c r="AA106" s="67"/>
      <c r="AB106" s="65"/>
      <c r="AC106" s="67"/>
      <c r="AD106" s="66"/>
      <c r="AE106" s="66"/>
      <c r="AF106" s="67"/>
      <c r="AG106" s="66"/>
      <c r="AH106" s="66"/>
      <c r="AI106" s="66"/>
      <c r="AJ106" s="65"/>
    </row>
    <row r="107" spans="1:36" ht="18" customHeight="1" x14ac:dyDescent="0.25">
      <c r="A107" s="132"/>
      <c r="B107" s="5">
        <v>5</v>
      </c>
      <c r="C107" s="2" t="s">
        <v>90</v>
      </c>
      <c r="D107" s="5" t="s">
        <v>194</v>
      </c>
      <c r="E107" s="96"/>
      <c r="F107" s="96"/>
      <c r="G107" s="63"/>
      <c r="H107" s="117">
        <f>B107*$H$105</f>
        <v>7.1</v>
      </c>
      <c r="I107" s="117">
        <f>B107*$I$105</f>
        <v>7.1</v>
      </c>
      <c r="J107" s="117">
        <f>Tabla1[[#This Row],[HOY]]-Tabla1[[#This Row],[AYER]]</f>
        <v>0</v>
      </c>
      <c r="K107" s="63"/>
      <c r="L107" s="64"/>
      <c r="M107" s="64"/>
      <c r="N107" s="53" t="s">
        <v>208</v>
      </c>
      <c r="O107" s="9" t="s">
        <v>132</v>
      </c>
      <c r="P107" s="9">
        <v>12</v>
      </c>
      <c r="Q107" s="5"/>
      <c r="R107" s="2"/>
      <c r="S107" s="11" t="str">
        <f>IF($G$105-1&lt;$K$105,"PAUSAR!!!",IF($G$106-1&lt;$K$106,"PAUSAR!!!",""))</f>
        <v/>
      </c>
      <c r="T107" s="44" t="str">
        <f>IF(Tabla1[[#This Row],[UTILIDAD]]&lt;0,"PÉRDIDA!!!","")</f>
        <v/>
      </c>
      <c r="U107" s="60"/>
      <c r="V107" s="32">
        <f>Tabla1[[#This Row],[TOT VENTA]]-Tabla1[[#This Row],[COSTO]]</f>
        <v>66.640382000000017</v>
      </c>
      <c r="W107" s="6">
        <f>Tabla1[[#This Row],[HOY]]*$T$2</f>
        <v>1.1359999999999999</v>
      </c>
      <c r="X107" s="6">
        <f>Tabla1[[#This Row],[HOY]]+Tabla1[[#This Row],[IVA]]</f>
        <v>8.2359999999999989</v>
      </c>
      <c r="Y107" s="41">
        <f>Tabla1[[#This Row],[TOTAL]]*$C$2</f>
        <v>141.49447999999998</v>
      </c>
      <c r="Z107" s="26">
        <v>282.64999999999998</v>
      </c>
      <c r="AA107" s="29">
        <v>0.08</v>
      </c>
      <c r="AB107" s="32">
        <f>Tabla1[[#This Row],[PRECIO ML]]*(1-Tabla1[[#This Row],[DESCUENTO]])</f>
        <v>260.03800000000001</v>
      </c>
      <c r="AC107" s="29">
        <v>0.19500000000000001</v>
      </c>
      <c r="AD107" s="26">
        <f>Tabla1[[#This Row],[PRECIO FINAL ML]]*Tabla1[[#This Row],[COMISIÓN ML]]</f>
        <v>50.707410000000003</v>
      </c>
      <c r="AE107" s="26"/>
      <c r="AF107" s="29"/>
      <c r="AG107" s="26">
        <f>(Tabla1[[#This Row],[PRECIO FINAL ML]]*Tabla1[[#This Row],[% ACOS]])/2</f>
        <v>0</v>
      </c>
      <c r="AH107" s="26">
        <f>Tabla1[[#This Row],[TOT COMISIÓN]]+Tabla1[[#This Row],[FIJO ML]]+Tabla1[[#This Row],[ACOS]]</f>
        <v>50.707410000000003</v>
      </c>
      <c r="AI107" s="26">
        <f t="shared" ref="AI107:AI130" si="12">$AF$2*(1+$T$2)*$C$2</f>
        <v>1.1957279999999999</v>
      </c>
      <c r="AJ107" s="32">
        <f>Tabla1[[#This Row],[PRECIO FINAL ML]]-Tabla1[[#This Row],[DESCUENTO TOT]]-Tabla1[[#This Row],[ENVÍO]]</f>
        <v>208.134862</v>
      </c>
    </row>
    <row r="108" spans="1:36" ht="18" customHeight="1" x14ac:dyDescent="0.25">
      <c r="A108" s="132"/>
      <c r="B108" s="5">
        <v>5</v>
      </c>
      <c r="C108" s="2" t="s">
        <v>92</v>
      </c>
      <c r="D108" s="5" t="s">
        <v>194</v>
      </c>
      <c r="E108" s="96"/>
      <c r="F108" s="96"/>
      <c r="G108" s="63"/>
      <c r="H108" s="117">
        <f>B108*$H$106</f>
        <v>7.1</v>
      </c>
      <c r="I108" s="117">
        <f>B108*$I$106</f>
        <v>7.1</v>
      </c>
      <c r="J108" s="117">
        <f>Tabla1[[#This Row],[HOY]]-Tabla1[[#This Row],[AYER]]</f>
        <v>0</v>
      </c>
      <c r="K108" s="63"/>
      <c r="L108" s="64"/>
      <c r="M108" s="64"/>
      <c r="N108" s="53" t="s">
        <v>209</v>
      </c>
      <c r="O108" s="9" t="s">
        <v>132</v>
      </c>
      <c r="P108" s="9">
        <v>12</v>
      </c>
      <c r="Q108" s="5"/>
      <c r="R108" s="2"/>
      <c r="S108" s="11" t="str">
        <f t="shared" ref="S108:S130" si="13">IF($G$105-1&lt;$K$105,"PAUSAR!!!",IF($G$106-1&lt;$K$106,"PAUSAR!!!",""))</f>
        <v/>
      </c>
      <c r="T108" s="44" t="str">
        <f>IF(Tabla1[[#This Row],[UTILIDAD]]&lt;0,"PÉRDIDA!!!","")</f>
        <v/>
      </c>
      <c r="U108" s="60"/>
      <c r="V108" s="32">
        <f>Tabla1[[#This Row],[TOT VENTA]]-Tabla1[[#This Row],[COSTO]]</f>
        <v>66.640382000000017</v>
      </c>
      <c r="W108" s="6">
        <f>Tabla1[[#This Row],[HOY]]*$T$2</f>
        <v>1.1359999999999999</v>
      </c>
      <c r="X108" s="6">
        <f>Tabla1[[#This Row],[HOY]]+Tabla1[[#This Row],[IVA]]</f>
        <v>8.2359999999999989</v>
      </c>
      <c r="Y108" s="41">
        <f>Tabla1[[#This Row],[TOTAL]]*$C$2</f>
        <v>141.49447999999998</v>
      </c>
      <c r="Z108" s="26">
        <v>282.64999999999998</v>
      </c>
      <c r="AA108" s="29">
        <v>0.08</v>
      </c>
      <c r="AB108" s="32">
        <f>Tabla1[[#This Row],[PRECIO ML]]*(1-Tabla1[[#This Row],[DESCUENTO]])</f>
        <v>260.03800000000001</v>
      </c>
      <c r="AC108" s="29">
        <v>0.19500000000000001</v>
      </c>
      <c r="AD108" s="26">
        <f>Tabla1[[#This Row],[PRECIO FINAL ML]]*Tabla1[[#This Row],[COMISIÓN ML]]</f>
        <v>50.707410000000003</v>
      </c>
      <c r="AE108" s="26"/>
      <c r="AF108" s="29"/>
      <c r="AG108" s="26">
        <f>(Tabla1[[#This Row],[PRECIO FINAL ML]]*Tabla1[[#This Row],[% ACOS]])/2</f>
        <v>0</v>
      </c>
      <c r="AH108" s="26">
        <f>Tabla1[[#This Row],[TOT COMISIÓN]]+Tabla1[[#This Row],[FIJO ML]]+Tabla1[[#This Row],[ACOS]]</f>
        <v>50.707410000000003</v>
      </c>
      <c r="AI108" s="26">
        <f t="shared" si="12"/>
        <v>1.1957279999999999</v>
      </c>
      <c r="AJ108" s="32">
        <f>Tabla1[[#This Row],[PRECIO FINAL ML]]-Tabla1[[#This Row],[DESCUENTO TOT]]-Tabla1[[#This Row],[ENVÍO]]</f>
        <v>208.134862</v>
      </c>
    </row>
    <row r="109" spans="1:36" ht="18" customHeight="1" x14ac:dyDescent="0.25">
      <c r="A109" s="132"/>
      <c r="B109" s="5">
        <v>10</v>
      </c>
      <c r="C109" s="2" t="s">
        <v>90</v>
      </c>
      <c r="D109" s="5" t="s">
        <v>194</v>
      </c>
      <c r="E109" s="96"/>
      <c r="F109" s="96"/>
      <c r="G109" s="63"/>
      <c r="H109" s="117">
        <f>B109*$H$105</f>
        <v>14.2</v>
      </c>
      <c r="I109" s="117">
        <f>B109*$I$105</f>
        <v>14.2</v>
      </c>
      <c r="J109" s="117">
        <f>Tabla1[[#This Row],[HOY]]-Tabla1[[#This Row],[AYER]]</f>
        <v>0</v>
      </c>
      <c r="K109" s="63"/>
      <c r="L109" s="64"/>
      <c r="M109" s="64"/>
      <c r="N109" s="53" t="s">
        <v>217</v>
      </c>
      <c r="O109" s="9" t="s">
        <v>132</v>
      </c>
      <c r="P109" s="9">
        <v>12</v>
      </c>
      <c r="Q109" s="5"/>
      <c r="R109" s="2"/>
      <c r="S109" s="11" t="str">
        <f t="shared" si="13"/>
        <v/>
      </c>
      <c r="T109" s="44" t="str">
        <f>IF(Tabla1[[#This Row],[UTILIDAD]]&lt;0,"PÉRDIDA!!!","")</f>
        <v/>
      </c>
      <c r="U109" s="60"/>
      <c r="V109" s="32">
        <f>Tabla1[[#This Row],[TOT VENTA]]-Tabla1[[#This Row],[COSTO]]</f>
        <v>54.895399500000053</v>
      </c>
      <c r="W109" s="6">
        <f>Tabla1[[#This Row],[HOY]]*$T$2</f>
        <v>2.2719999999999998</v>
      </c>
      <c r="X109" s="6">
        <f>Tabla1[[#This Row],[HOY]]+Tabla1[[#This Row],[IVA]]</f>
        <v>16.471999999999998</v>
      </c>
      <c r="Y109" s="41">
        <f>Tabla1[[#This Row],[TOTAL]]*$C$2</f>
        <v>282.98895999999996</v>
      </c>
      <c r="Z109" s="26">
        <v>495.55</v>
      </c>
      <c r="AA109" s="29">
        <v>0.15</v>
      </c>
      <c r="AB109" s="32">
        <f>Tabla1[[#This Row],[PRECIO ML]]*(1-Tabla1[[#This Row],[DESCUENTO]])</f>
        <v>421.21749999999997</v>
      </c>
      <c r="AC109" s="29">
        <v>0.19500000000000001</v>
      </c>
      <c r="AD109" s="26">
        <f>Tabla1[[#This Row],[PRECIO FINAL ML]]*Tabla1[[#This Row],[COMISIÓN ML]]</f>
        <v>82.137412499999996</v>
      </c>
      <c r="AE109" s="26"/>
      <c r="AF109" s="29"/>
      <c r="AG109" s="26">
        <f>(Tabla1[[#This Row],[PRECIO FINAL ML]]*Tabla1[[#This Row],[% ACOS]])/2</f>
        <v>0</v>
      </c>
      <c r="AH109" s="26">
        <f>Tabla1[[#This Row],[TOT COMISIÓN]]+Tabla1[[#This Row],[FIJO ML]]+Tabla1[[#This Row],[ACOS]]</f>
        <v>82.137412499999996</v>
      </c>
      <c r="AI109" s="26">
        <f t="shared" si="12"/>
        <v>1.1957279999999999</v>
      </c>
      <c r="AJ109" s="32">
        <f>Tabla1[[#This Row],[PRECIO FINAL ML]]-Tabla1[[#This Row],[DESCUENTO TOT]]-Tabla1[[#This Row],[ENVÍO]]</f>
        <v>337.88435950000002</v>
      </c>
    </row>
    <row r="110" spans="1:36" ht="18" customHeight="1" x14ac:dyDescent="0.25">
      <c r="A110" s="132"/>
      <c r="B110" s="5">
        <v>10</v>
      </c>
      <c r="C110" s="2" t="s">
        <v>92</v>
      </c>
      <c r="D110" s="5" t="s">
        <v>194</v>
      </c>
      <c r="E110" s="96"/>
      <c r="F110" s="96"/>
      <c r="G110" s="63"/>
      <c r="H110" s="117">
        <f>B110*$H$106</f>
        <v>14.2</v>
      </c>
      <c r="I110" s="117">
        <f>B110*$I$106</f>
        <v>14.2</v>
      </c>
      <c r="J110" s="117">
        <f>Tabla1[[#This Row],[HOY]]-Tabla1[[#This Row],[AYER]]</f>
        <v>0</v>
      </c>
      <c r="K110" s="63"/>
      <c r="L110" s="64"/>
      <c r="M110" s="64"/>
      <c r="N110" s="53" t="s">
        <v>227</v>
      </c>
      <c r="O110" s="9" t="s">
        <v>132</v>
      </c>
      <c r="P110" s="9">
        <v>12</v>
      </c>
      <c r="Q110" s="5"/>
      <c r="R110" s="2"/>
      <c r="S110" s="11" t="str">
        <f t="shared" si="13"/>
        <v/>
      </c>
      <c r="T110" s="44" t="str">
        <f>IF(Tabla1[[#This Row],[UTILIDAD]]&lt;0,"PÉRDIDA!!!","")</f>
        <v/>
      </c>
      <c r="U110" s="60"/>
      <c r="V110" s="32">
        <f>Tabla1[[#This Row],[TOT VENTA]]-Tabla1[[#This Row],[COSTO]]</f>
        <v>54.895399500000053</v>
      </c>
      <c r="W110" s="6">
        <f>Tabla1[[#This Row],[HOY]]*$T$2</f>
        <v>2.2719999999999998</v>
      </c>
      <c r="X110" s="6">
        <f>Tabla1[[#This Row],[HOY]]+Tabla1[[#This Row],[IVA]]</f>
        <v>16.471999999999998</v>
      </c>
      <c r="Y110" s="41">
        <f>Tabla1[[#This Row],[TOTAL]]*$C$2</f>
        <v>282.98895999999996</v>
      </c>
      <c r="Z110" s="26">
        <v>495.55</v>
      </c>
      <c r="AA110" s="29">
        <v>0.15</v>
      </c>
      <c r="AB110" s="32">
        <f>Tabla1[[#This Row],[PRECIO ML]]*(1-Tabla1[[#This Row],[DESCUENTO]])</f>
        <v>421.21749999999997</v>
      </c>
      <c r="AC110" s="29">
        <v>0.19500000000000001</v>
      </c>
      <c r="AD110" s="26">
        <f>Tabla1[[#This Row],[PRECIO FINAL ML]]*Tabla1[[#This Row],[COMISIÓN ML]]</f>
        <v>82.137412499999996</v>
      </c>
      <c r="AE110" s="26"/>
      <c r="AF110" s="29"/>
      <c r="AG110" s="26">
        <f>(Tabla1[[#This Row],[PRECIO FINAL ML]]*Tabla1[[#This Row],[% ACOS]])/2</f>
        <v>0</v>
      </c>
      <c r="AH110" s="26">
        <f>Tabla1[[#This Row],[TOT COMISIÓN]]+Tabla1[[#This Row],[FIJO ML]]+Tabla1[[#This Row],[ACOS]]</f>
        <v>82.137412499999996</v>
      </c>
      <c r="AI110" s="26">
        <f t="shared" si="12"/>
        <v>1.1957279999999999</v>
      </c>
      <c r="AJ110" s="32">
        <f>Tabla1[[#This Row],[PRECIO FINAL ML]]-Tabla1[[#This Row],[DESCUENTO TOT]]-Tabla1[[#This Row],[ENVÍO]]</f>
        <v>337.88435950000002</v>
      </c>
    </row>
    <row r="111" spans="1:36" ht="18" customHeight="1" x14ac:dyDescent="0.25">
      <c r="A111" s="132"/>
      <c r="B111" s="5">
        <v>15</v>
      </c>
      <c r="C111" s="2" t="s">
        <v>90</v>
      </c>
      <c r="D111" s="5" t="s">
        <v>194</v>
      </c>
      <c r="E111" s="96"/>
      <c r="F111" s="96"/>
      <c r="G111" s="63"/>
      <c r="H111" s="117">
        <f>B111*$H$105</f>
        <v>21.299999999999997</v>
      </c>
      <c r="I111" s="117">
        <f>B111*$I$105</f>
        <v>21.299999999999997</v>
      </c>
      <c r="J111" s="117">
        <f>Tabla1[[#This Row],[HOY]]-Tabla1[[#This Row],[AYER]]</f>
        <v>0</v>
      </c>
      <c r="K111" s="63"/>
      <c r="L111" s="64"/>
      <c r="M111" s="64"/>
      <c r="N111" s="53" t="s">
        <v>218</v>
      </c>
      <c r="O111" s="9" t="s">
        <v>132</v>
      </c>
      <c r="P111" s="9">
        <v>12</v>
      </c>
      <c r="Q111" s="5"/>
      <c r="R111" s="2"/>
      <c r="S111" s="11" t="str">
        <f t="shared" si="13"/>
        <v/>
      </c>
      <c r="T111" s="44" t="str">
        <f>IF(Tabla1[[#This Row],[UTILIDAD]]&lt;0,"PÉRDIDA!!!","")</f>
        <v/>
      </c>
      <c r="U111" s="60"/>
      <c r="V111" s="32">
        <f>Tabla1[[#This Row],[TOT VENTA]]-Tabla1[[#This Row],[COSTO]]</f>
        <v>45.586830000000134</v>
      </c>
      <c r="W111" s="6">
        <f>Tabla1[[#This Row],[HOY]]*$T$2</f>
        <v>3.4079999999999995</v>
      </c>
      <c r="X111" s="6">
        <f>Tabla1[[#This Row],[HOY]]+Tabla1[[#This Row],[IVA]]</f>
        <v>24.707999999999998</v>
      </c>
      <c r="Y111" s="41">
        <f>Tabla1[[#This Row],[TOTAL]]*$C$2</f>
        <v>424.48343999999997</v>
      </c>
      <c r="Z111" s="26">
        <v>636.33000000000004</v>
      </c>
      <c r="AA111" s="29">
        <v>0.08</v>
      </c>
      <c r="AB111" s="32">
        <f>Tabla1[[#This Row],[PRECIO ML]]*(1-Tabla1[[#This Row],[DESCUENTO]])</f>
        <v>585.42360000000008</v>
      </c>
      <c r="AC111" s="29">
        <v>0.19500000000000001</v>
      </c>
      <c r="AD111" s="26">
        <f>Tabla1[[#This Row],[PRECIO FINAL ML]]*Tabla1[[#This Row],[COMISIÓN ML]]</f>
        <v>114.15760200000003</v>
      </c>
      <c r="AE111" s="26"/>
      <c r="AF111" s="29"/>
      <c r="AG111" s="26">
        <f>(Tabla1[[#This Row],[PRECIO FINAL ML]]*Tabla1[[#This Row],[% ACOS]])/2</f>
        <v>0</v>
      </c>
      <c r="AH111" s="26">
        <f>Tabla1[[#This Row],[TOT COMISIÓN]]+Tabla1[[#This Row],[FIJO ML]]+Tabla1[[#This Row],[ACOS]]</f>
        <v>114.15760200000003</v>
      </c>
      <c r="AI111" s="26">
        <f t="shared" si="12"/>
        <v>1.1957279999999999</v>
      </c>
      <c r="AJ111" s="32">
        <f>Tabla1[[#This Row],[PRECIO FINAL ML]]-Tabla1[[#This Row],[DESCUENTO TOT]]-Tabla1[[#This Row],[ENVÍO]]</f>
        <v>470.07027000000011</v>
      </c>
    </row>
    <row r="112" spans="1:36" ht="18" customHeight="1" x14ac:dyDescent="0.25">
      <c r="A112" s="132"/>
      <c r="B112" s="5">
        <v>15</v>
      </c>
      <c r="C112" s="2" t="s">
        <v>92</v>
      </c>
      <c r="D112" s="5" t="s">
        <v>194</v>
      </c>
      <c r="E112" s="96"/>
      <c r="F112" s="96"/>
      <c r="G112" s="63"/>
      <c r="H112" s="117">
        <f>B112*$H$106</f>
        <v>21.299999999999997</v>
      </c>
      <c r="I112" s="117">
        <f>B112*$I$106</f>
        <v>21.299999999999997</v>
      </c>
      <c r="J112" s="117">
        <f>Tabla1[[#This Row],[HOY]]-Tabla1[[#This Row],[AYER]]</f>
        <v>0</v>
      </c>
      <c r="K112" s="63"/>
      <c r="L112" s="64"/>
      <c r="M112" s="64"/>
      <c r="N112" s="53" t="s">
        <v>228</v>
      </c>
      <c r="O112" s="9" t="s">
        <v>132</v>
      </c>
      <c r="P112" s="9">
        <v>12</v>
      </c>
      <c r="Q112" s="5"/>
      <c r="R112" s="2"/>
      <c r="S112" s="11" t="str">
        <f t="shared" si="13"/>
        <v/>
      </c>
      <c r="T112" s="44" t="str">
        <f>IF(Tabla1[[#This Row],[UTILIDAD]]&lt;0,"PÉRDIDA!!!","")</f>
        <v/>
      </c>
      <c r="U112" s="60"/>
      <c r="V112" s="32">
        <f>Tabla1[[#This Row],[TOT VENTA]]-Tabla1[[#This Row],[COSTO]]</f>
        <v>45.586830000000134</v>
      </c>
      <c r="W112" s="6">
        <f>Tabla1[[#This Row],[HOY]]*$T$2</f>
        <v>3.4079999999999995</v>
      </c>
      <c r="X112" s="6">
        <f>Tabla1[[#This Row],[HOY]]+Tabla1[[#This Row],[IVA]]</f>
        <v>24.707999999999998</v>
      </c>
      <c r="Y112" s="41">
        <f>Tabla1[[#This Row],[TOTAL]]*$C$2</f>
        <v>424.48343999999997</v>
      </c>
      <c r="Z112" s="26">
        <v>636.33000000000004</v>
      </c>
      <c r="AA112" s="29">
        <v>0.08</v>
      </c>
      <c r="AB112" s="32">
        <f>Tabla1[[#This Row],[PRECIO ML]]*(1-Tabla1[[#This Row],[DESCUENTO]])</f>
        <v>585.42360000000008</v>
      </c>
      <c r="AC112" s="29">
        <v>0.19500000000000001</v>
      </c>
      <c r="AD112" s="26">
        <f>Tabla1[[#This Row],[PRECIO FINAL ML]]*Tabla1[[#This Row],[COMISIÓN ML]]</f>
        <v>114.15760200000003</v>
      </c>
      <c r="AE112" s="26"/>
      <c r="AF112" s="29"/>
      <c r="AG112" s="26">
        <f>(Tabla1[[#This Row],[PRECIO FINAL ML]]*Tabla1[[#This Row],[% ACOS]])/2</f>
        <v>0</v>
      </c>
      <c r="AH112" s="26">
        <f>Tabla1[[#This Row],[TOT COMISIÓN]]+Tabla1[[#This Row],[FIJO ML]]+Tabla1[[#This Row],[ACOS]]</f>
        <v>114.15760200000003</v>
      </c>
      <c r="AI112" s="26">
        <f t="shared" si="12"/>
        <v>1.1957279999999999</v>
      </c>
      <c r="AJ112" s="32">
        <f>Tabla1[[#This Row],[PRECIO FINAL ML]]-Tabla1[[#This Row],[DESCUENTO TOT]]-Tabla1[[#This Row],[ENVÍO]]</f>
        <v>470.07027000000011</v>
      </c>
    </row>
    <row r="113" spans="1:36" ht="18" customHeight="1" x14ac:dyDescent="0.25">
      <c r="A113" s="132"/>
      <c r="B113" s="5">
        <v>20</v>
      </c>
      <c r="C113" s="2" t="s">
        <v>90</v>
      </c>
      <c r="D113" s="5" t="s">
        <v>194</v>
      </c>
      <c r="E113" s="96"/>
      <c r="F113" s="96"/>
      <c r="G113" s="63"/>
      <c r="H113" s="117">
        <f>B113*$H$105</f>
        <v>28.4</v>
      </c>
      <c r="I113" s="117">
        <f>B113*$I$105</f>
        <v>28.4</v>
      </c>
      <c r="J113" s="117">
        <f>Tabla1[[#This Row],[HOY]]-Tabla1[[#This Row],[AYER]]</f>
        <v>0</v>
      </c>
      <c r="K113" s="63"/>
      <c r="L113" s="64"/>
      <c r="M113" s="64"/>
      <c r="N113" s="53" t="s">
        <v>123</v>
      </c>
      <c r="O113" s="9" t="s">
        <v>132</v>
      </c>
      <c r="P113" s="9">
        <v>12</v>
      </c>
      <c r="Q113" s="5"/>
      <c r="R113" s="2"/>
      <c r="S113" s="11" t="str">
        <f t="shared" si="13"/>
        <v/>
      </c>
      <c r="T113" s="44" t="str">
        <f>IF(Tabla1[[#This Row],[UTILIDAD]]&lt;0,"PÉRDIDA!!!","")</f>
        <v/>
      </c>
      <c r="U113" s="60"/>
      <c r="V113" s="32">
        <f>Tabla1[[#This Row],[TOT VENTA]]-Tabla1[[#This Row],[COSTO]]</f>
        <v>47.590040000000045</v>
      </c>
      <c r="W113" s="6">
        <f>Tabla1[[#This Row],[HOY]]*$T$2</f>
        <v>4.5439999999999996</v>
      </c>
      <c r="X113" s="6">
        <f>Tabla1[[#This Row],[HOY]]+Tabla1[[#This Row],[IVA]]</f>
        <v>32.943999999999996</v>
      </c>
      <c r="Y113" s="41">
        <f>Tabla1[[#This Row],[TOTAL]]*$C$2</f>
        <v>565.97791999999993</v>
      </c>
      <c r="Z113" s="26">
        <v>867.82</v>
      </c>
      <c r="AA113" s="29">
        <v>0.12</v>
      </c>
      <c r="AB113" s="32">
        <f>Tabla1[[#This Row],[PRECIO ML]]*(1-Tabla1[[#This Row],[DESCUENTO]])</f>
        <v>763.6816</v>
      </c>
      <c r="AC113" s="29">
        <v>0.19500000000000001</v>
      </c>
      <c r="AD113" s="26">
        <f>Tabla1[[#This Row],[PRECIO FINAL ML]]*Tabla1[[#This Row],[COMISIÓN ML]]</f>
        <v>148.917912</v>
      </c>
      <c r="AE113" s="26"/>
      <c r="AF113" s="29"/>
      <c r="AG113" s="26">
        <f>(Tabla1[[#This Row],[PRECIO FINAL ML]]*Tabla1[[#This Row],[% ACOS]])/2</f>
        <v>0</v>
      </c>
      <c r="AH113" s="26">
        <f>Tabla1[[#This Row],[TOT COMISIÓN]]+Tabla1[[#This Row],[FIJO ML]]+Tabla1[[#This Row],[ACOS]]</f>
        <v>148.917912</v>
      </c>
      <c r="AI113" s="26">
        <f t="shared" si="12"/>
        <v>1.1957279999999999</v>
      </c>
      <c r="AJ113" s="32">
        <f>Tabla1[[#This Row],[PRECIO FINAL ML]]-Tabla1[[#This Row],[DESCUENTO TOT]]-Tabla1[[#This Row],[ENVÍO]]</f>
        <v>613.56795999999997</v>
      </c>
    </row>
    <row r="114" spans="1:36" ht="18" customHeight="1" x14ac:dyDescent="0.25">
      <c r="A114" s="132"/>
      <c r="B114" s="5">
        <v>20</v>
      </c>
      <c r="C114" s="2" t="s">
        <v>92</v>
      </c>
      <c r="D114" s="5" t="s">
        <v>194</v>
      </c>
      <c r="E114" s="96"/>
      <c r="F114" s="96"/>
      <c r="G114" s="63"/>
      <c r="H114" s="117">
        <f>B114*$H$106</f>
        <v>28.4</v>
      </c>
      <c r="I114" s="117">
        <f>B114*$I$106</f>
        <v>28.4</v>
      </c>
      <c r="J114" s="117">
        <f>Tabla1[[#This Row],[HOY]]-Tabla1[[#This Row],[AYER]]</f>
        <v>0</v>
      </c>
      <c r="K114" s="63"/>
      <c r="L114" s="64"/>
      <c r="M114" s="64"/>
      <c r="N114" s="53" t="s">
        <v>124</v>
      </c>
      <c r="O114" s="9" t="s">
        <v>132</v>
      </c>
      <c r="P114" s="9">
        <v>12</v>
      </c>
      <c r="Q114" s="5"/>
      <c r="R114" s="2"/>
      <c r="S114" s="11" t="str">
        <f t="shared" si="13"/>
        <v/>
      </c>
      <c r="T114" s="44" t="str">
        <f>IF(Tabla1[[#This Row],[UTILIDAD]]&lt;0,"PÉRDIDA!!!","")</f>
        <v/>
      </c>
      <c r="U114" s="60"/>
      <c r="V114" s="32">
        <f>Tabla1[[#This Row],[TOT VENTA]]-Tabla1[[#This Row],[COSTO]]</f>
        <v>47.590040000000045</v>
      </c>
      <c r="W114" s="6">
        <f>Tabla1[[#This Row],[HOY]]*$T$2</f>
        <v>4.5439999999999996</v>
      </c>
      <c r="X114" s="6">
        <f>Tabla1[[#This Row],[HOY]]+Tabla1[[#This Row],[IVA]]</f>
        <v>32.943999999999996</v>
      </c>
      <c r="Y114" s="41">
        <f>Tabla1[[#This Row],[TOTAL]]*$C$2</f>
        <v>565.97791999999993</v>
      </c>
      <c r="Z114" s="26">
        <v>867.82</v>
      </c>
      <c r="AA114" s="29">
        <v>0.12</v>
      </c>
      <c r="AB114" s="32">
        <f>Tabla1[[#This Row],[PRECIO ML]]*(1-Tabla1[[#This Row],[DESCUENTO]])</f>
        <v>763.6816</v>
      </c>
      <c r="AC114" s="29">
        <v>0.19500000000000001</v>
      </c>
      <c r="AD114" s="26">
        <f>Tabla1[[#This Row],[PRECIO FINAL ML]]*Tabla1[[#This Row],[COMISIÓN ML]]</f>
        <v>148.917912</v>
      </c>
      <c r="AE114" s="26"/>
      <c r="AF114" s="29"/>
      <c r="AG114" s="26">
        <f>(Tabla1[[#This Row],[PRECIO FINAL ML]]*Tabla1[[#This Row],[% ACOS]])/2</f>
        <v>0</v>
      </c>
      <c r="AH114" s="26">
        <f>Tabla1[[#This Row],[TOT COMISIÓN]]+Tabla1[[#This Row],[FIJO ML]]+Tabla1[[#This Row],[ACOS]]</f>
        <v>148.917912</v>
      </c>
      <c r="AI114" s="26">
        <f t="shared" si="12"/>
        <v>1.1957279999999999</v>
      </c>
      <c r="AJ114" s="32">
        <f>Tabla1[[#This Row],[PRECIO FINAL ML]]-Tabla1[[#This Row],[DESCUENTO TOT]]-Tabla1[[#This Row],[ENVÍO]]</f>
        <v>613.56795999999997</v>
      </c>
    </row>
    <row r="115" spans="1:36" ht="18" customHeight="1" x14ac:dyDescent="0.25">
      <c r="A115" s="132"/>
      <c r="B115" s="5">
        <v>25</v>
      </c>
      <c r="C115" s="2" t="s">
        <v>90</v>
      </c>
      <c r="D115" s="5" t="s">
        <v>194</v>
      </c>
      <c r="E115" s="96"/>
      <c r="F115" s="96"/>
      <c r="G115" s="63"/>
      <c r="H115" s="117">
        <f>B115*$H$105</f>
        <v>35.5</v>
      </c>
      <c r="I115" s="117">
        <f>B115*$I$105</f>
        <v>35.5</v>
      </c>
      <c r="J115" s="117">
        <f>Tabla1[[#This Row],[HOY]]-Tabla1[[#This Row],[AYER]]</f>
        <v>0</v>
      </c>
      <c r="K115" s="63"/>
      <c r="L115" s="64"/>
      <c r="M115" s="64"/>
      <c r="N115" s="53" t="s">
        <v>219</v>
      </c>
      <c r="O115" s="9" t="s">
        <v>132</v>
      </c>
      <c r="P115" s="9">
        <v>12</v>
      </c>
      <c r="Q115" s="5"/>
      <c r="R115" s="2"/>
      <c r="S115" s="11" t="str">
        <f t="shared" si="13"/>
        <v/>
      </c>
      <c r="T115" s="44" t="str">
        <f>IF(Tabla1[[#This Row],[UTILIDAD]]&lt;0,"PÉRDIDA!!!","")</f>
        <v/>
      </c>
      <c r="U115" s="60"/>
      <c r="V115" s="32">
        <f>Tabla1[[#This Row],[TOT VENTA]]-Tabla1[[#This Row],[COSTO]]</f>
        <v>51.528309000000036</v>
      </c>
      <c r="W115" s="6">
        <f>Tabla1[[#This Row],[HOY]]*$T$2</f>
        <v>5.68</v>
      </c>
      <c r="X115" s="6">
        <f>Tabla1[[#This Row],[HOY]]+Tabla1[[#This Row],[IVA]]</f>
        <v>41.18</v>
      </c>
      <c r="Y115" s="41">
        <f>Tabla1[[#This Row],[TOTAL]]*$C$2</f>
        <v>707.47239999999999</v>
      </c>
      <c r="Z115" s="26">
        <v>1037.74</v>
      </c>
      <c r="AA115" s="29">
        <v>0.09</v>
      </c>
      <c r="AB115" s="32">
        <f>Tabla1[[#This Row],[PRECIO ML]]*(1-Tabla1[[#This Row],[DESCUENTO]])</f>
        <v>944.34340000000009</v>
      </c>
      <c r="AC115" s="29">
        <v>0.19500000000000001</v>
      </c>
      <c r="AD115" s="26">
        <f>Tabla1[[#This Row],[PRECIO FINAL ML]]*Tabla1[[#This Row],[COMISIÓN ML]]</f>
        <v>184.14696300000003</v>
      </c>
      <c r="AE115" s="26"/>
      <c r="AF115" s="29"/>
      <c r="AG115" s="26">
        <f>(Tabla1[[#This Row],[PRECIO FINAL ML]]*Tabla1[[#This Row],[% ACOS]])/2</f>
        <v>0</v>
      </c>
      <c r="AH115" s="26">
        <f>Tabla1[[#This Row],[TOT COMISIÓN]]+Tabla1[[#This Row],[FIJO ML]]+Tabla1[[#This Row],[ACOS]]</f>
        <v>184.14696300000003</v>
      </c>
      <c r="AI115" s="26">
        <f t="shared" si="12"/>
        <v>1.1957279999999999</v>
      </c>
      <c r="AJ115" s="32">
        <f>Tabla1[[#This Row],[PRECIO FINAL ML]]-Tabla1[[#This Row],[DESCUENTO TOT]]-Tabla1[[#This Row],[ENVÍO]]</f>
        <v>759.00070900000003</v>
      </c>
    </row>
    <row r="116" spans="1:36" ht="18" customHeight="1" x14ac:dyDescent="0.25">
      <c r="A116" s="132"/>
      <c r="B116" s="5">
        <v>25</v>
      </c>
      <c r="C116" s="2" t="s">
        <v>92</v>
      </c>
      <c r="D116" s="5" t="s">
        <v>194</v>
      </c>
      <c r="E116" s="96"/>
      <c r="F116" s="96"/>
      <c r="G116" s="63"/>
      <c r="H116" s="117">
        <f>B116*$H$106</f>
        <v>35.5</v>
      </c>
      <c r="I116" s="117">
        <f>B116*$I$106</f>
        <v>35.5</v>
      </c>
      <c r="J116" s="117">
        <f>Tabla1[[#This Row],[HOY]]-Tabla1[[#This Row],[AYER]]</f>
        <v>0</v>
      </c>
      <c r="K116" s="63"/>
      <c r="L116" s="64"/>
      <c r="M116" s="64"/>
      <c r="N116" s="53" t="s">
        <v>229</v>
      </c>
      <c r="O116" s="9" t="s">
        <v>132</v>
      </c>
      <c r="P116" s="9">
        <v>12</v>
      </c>
      <c r="Q116" s="5"/>
      <c r="R116" s="2"/>
      <c r="S116" s="11" t="str">
        <f t="shared" si="13"/>
        <v/>
      </c>
      <c r="T116" s="44" t="str">
        <f>IF(Tabla1[[#This Row],[UTILIDAD]]&lt;0,"PÉRDIDA!!!","")</f>
        <v/>
      </c>
      <c r="U116" s="60"/>
      <c r="V116" s="32">
        <f>Tabla1[[#This Row],[TOT VENTA]]-Tabla1[[#This Row],[COSTO]]</f>
        <v>51.528309000000036</v>
      </c>
      <c r="W116" s="6">
        <f>Tabla1[[#This Row],[HOY]]*$T$2</f>
        <v>5.68</v>
      </c>
      <c r="X116" s="6">
        <f>Tabla1[[#This Row],[HOY]]+Tabla1[[#This Row],[IVA]]</f>
        <v>41.18</v>
      </c>
      <c r="Y116" s="41">
        <f>Tabla1[[#This Row],[TOTAL]]*$C$2</f>
        <v>707.47239999999999</v>
      </c>
      <c r="Z116" s="26">
        <v>1037.74</v>
      </c>
      <c r="AA116" s="29">
        <v>0.09</v>
      </c>
      <c r="AB116" s="32">
        <f>Tabla1[[#This Row],[PRECIO ML]]*(1-Tabla1[[#This Row],[DESCUENTO]])</f>
        <v>944.34340000000009</v>
      </c>
      <c r="AC116" s="29">
        <v>0.19500000000000001</v>
      </c>
      <c r="AD116" s="26">
        <f>Tabla1[[#This Row],[PRECIO FINAL ML]]*Tabla1[[#This Row],[COMISIÓN ML]]</f>
        <v>184.14696300000003</v>
      </c>
      <c r="AE116" s="26"/>
      <c r="AF116" s="29"/>
      <c r="AG116" s="26">
        <f>(Tabla1[[#This Row],[PRECIO FINAL ML]]*Tabla1[[#This Row],[% ACOS]])/2</f>
        <v>0</v>
      </c>
      <c r="AH116" s="26">
        <f>Tabla1[[#This Row],[TOT COMISIÓN]]+Tabla1[[#This Row],[FIJO ML]]+Tabla1[[#This Row],[ACOS]]</f>
        <v>184.14696300000003</v>
      </c>
      <c r="AI116" s="26">
        <f t="shared" si="12"/>
        <v>1.1957279999999999</v>
      </c>
      <c r="AJ116" s="32">
        <f>Tabla1[[#This Row],[PRECIO FINAL ML]]-Tabla1[[#This Row],[DESCUENTO TOT]]-Tabla1[[#This Row],[ENVÍO]]</f>
        <v>759.00070900000003</v>
      </c>
    </row>
    <row r="117" spans="1:36" ht="18" customHeight="1" x14ac:dyDescent="0.25">
      <c r="A117" s="132"/>
      <c r="B117" s="5">
        <v>30</v>
      </c>
      <c r="C117" s="2" t="s">
        <v>90</v>
      </c>
      <c r="D117" s="5" t="s">
        <v>194</v>
      </c>
      <c r="E117" s="96"/>
      <c r="F117" s="96"/>
      <c r="G117" s="63"/>
      <c r="H117" s="117">
        <f>B117*$H$105</f>
        <v>42.599999999999994</v>
      </c>
      <c r="I117" s="117">
        <f>B117*$I$105</f>
        <v>42.599999999999994</v>
      </c>
      <c r="J117" s="117">
        <f>Tabla1[[#This Row],[HOY]]-Tabla1[[#This Row],[AYER]]</f>
        <v>0</v>
      </c>
      <c r="K117" s="63"/>
      <c r="L117" s="64"/>
      <c r="M117" s="64"/>
      <c r="N117" s="53" t="s">
        <v>220</v>
      </c>
      <c r="O117" s="9" t="s">
        <v>132</v>
      </c>
      <c r="P117" s="9">
        <v>12</v>
      </c>
      <c r="Q117" s="5"/>
      <c r="R117" s="2"/>
      <c r="S117" s="11" t="str">
        <f t="shared" si="13"/>
        <v/>
      </c>
      <c r="T117" s="44" t="str">
        <f>IF(Tabla1[[#This Row],[UTILIDAD]]&lt;0,"PÉRDIDA!!!","")</f>
        <v/>
      </c>
      <c r="U117" s="60"/>
      <c r="V117" s="32">
        <f>Tabla1[[#This Row],[TOT VENTA]]-Tabla1[[#This Row],[COSTO]]</f>
        <v>52.360968500000126</v>
      </c>
      <c r="W117" s="6">
        <f>Tabla1[[#This Row],[HOY]]*$T$2</f>
        <v>6.8159999999999989</v>
      </c>
      <c r="X117" s="6">
        <f>Tabla1[[#This Row],[HOY]]+Tabla1[[#This Row],[IVA]]</f>
        <v>49.415999999999997</v>
      </c>
      <c r="Y117" s="41">
        <f>Tabla1[[#This Row],[TOTAL]]*$C$2</f>
        <v>848.96687999999995</v>
      </c>
      <c r="Z117" s="26">
        <v>1232.03</v>
      </c>
      <c r="AA117" s="29">
        <v>0.09</v>
      </c>
      <c r="AB117" s="32">
        <f>Tabla1[[#This Row],[PRECIO ML]]*(1-Tabla1[[#This Row],[DESCUENTO]])</f>
        <v>1121.1473000000001</v>
      </c>
      <c r="AC117" s="29">
        <v>0.19500000000000001</v>
      </c>
      <c r="AD117" s="26">
        <f>Tabla1[[#This Row],[PRECIO FINAL ML]]*Tabla1[[#This Row],[COMISIÓN ML]]</f>
        <v>218.62372350000001</v>
      </c>
      <c r="AE117" s="26"/>
      <c r="AF117" s="29"/>
      <c r="AG117" s="26">
        <f>(Tabla1[[#This Row],[PRECIO FINAL ML]]*Tabla1[[#This Row],[% ACOS]])/2</f>
        <v>0</v>
      </c>
      <c r="AH117" s="26">
        <f>Tabla1[[#This Row],[TOT COMISIÓN]]+Tabla1[[#This Row],[FIJO ML]]+Tabla1[[#This Row],[ACOS]]</f>
        <v>218.62372350000001</v>
      </c>
      <c r="AI117" s="26">
        <f t="shared" si="12"/>
        <v>1.1957279999999999</v>
      </c>
      <c r="AJ117" s="32">
        <f>Tabla1[[#This Row],[PRECIO FINAL ML]]-Tabla1[[#This Row],[DESCUENTO TOT]]-Tabla1[[#This Row],[ENVÍO]]</f>
        <v>901.32784850000007</v>
      </c>
    </row>
    <row r="118" spans="1:36" ht="18" customHeight="1" x14ac:dyDescent="0.25">
      <c r="A118" s="132"/>
      <c r="B118" s="5">
        <v>30</v>
      </c>
      <c r="C118" s="2" t="s">
        <v>92</v>
      </c>
      <c r="D118" s="5" t="s">
        <v>194</v>
      </c>
      <c r="E118" s="96"/>
      <c r="F118" s="96"/>
      <c r="G118" s="63"/>
      <c r="H118" s="117">
        <f>B118*$H$106</f>
        <v>42.599999999999994</v>
      </c>
      <c r="I118" s="117">
        <f>B118*$I$106</f>
        <v>42.599999999999994</v>
      </c>
      <c r="J118" s="117">
        <f>Tabla1[[#This Row],[HOY]]-Tabla1[[#This Row],[AYER]]</f>
        <v>0</v>
      </c>
      <c r="K118" s="63"/>
      <c r="L118" s="64"/>
      <c r="M118" s="64"/>
      <c r="N118" s="53" t="s">
        <v>230</v>
      </c>
      <c r="O118" s="9" t="s">
        <v>132</v>
      </c>
      <c r="P118" s="9">
        <v>12</v>
      </c>
      <c r="Q118" s="5"/>
      <c r="R118" s="2"/>
      <c r="S118" s="11" t="str">
        <f t="shared" si="13"/>
        <v/>
      </c>
      <c r="T118" s="44" t="str">
        <f>IF(Tabla1[[#This Row],[UTILIDAD]]&lt;0,"PÉRDIDA!!!","")</f>
        <v/>
      </c>
      <c r="U118" s="60"/>
      <c r="V118" s="32">
        <f>Tabla1[[#This Row],[TOT VENTA]]-Tabla1[[#This Row],[COSTO]]</f>
        <v>52.360968500000126</v>
      </c>
      <c r="W118" s="6">
        <f>Tabla1[[#This Row],[HOY]]*$T$2</f>
        <v>6.8159999999999989</v>
      </c>
      <c r="X118" s="6">
        <f>Tabla1[[#This Row],[HOY]]+Tabla1[[#This Row],[IVA]]</f>
        <v>49.415999999999997</v>
      </c>
      <c r="Y118" s="41">
        <f>Tabla1[[#This Row],[TOTAL]]*$C$2</f>
        <v>848.96687999999995</v>
      </c>
      <c r="Z118" s="26">
        <v>1232.03</v>
      </c>
      <c r="AA118" s="29">
        <v>0.09</v>
      </c>
      <c r="AB118" s="32">
        <f>Tabla1[[#This Row],[PRECIO ML]]*(1-Tabla1[[#This Row],[DESCUENTO]])</f>
        <v>1121.1473000000001</v>
      </c>
      <c r="AC118" s="29">
        <v>0.19500000000000001</v>
      </c>
      <c r="AD118" s="26">
        <f>Tabla1[[#This Row],[PRECIO FINAL ML]]*Tabla1[[#This Row],[COMISIÓN ML]]</f>
        <v>218.62372350000001</v>
      </c>
      <c r="AE118" s="26"/>
      <c r="AF118" s="29"/>
      <c r="AG118" s="26">
        <f>(Tabla1[[#This Row],[PRECIO FINAL ML]]*Tabla1[[#This Row],[% ACOS]])/2</f>
        <v>0</v>
      </c>
      <c r="AH118" s="26">
        <f>Tabla1[[#This Row],[TOT COMISIÓN]]+Tabla1[[#This Row],[FIJO ML]]+Tabla1[[#This Row],[ACOS]]</f>
        <v>218.62372350000001</v>
      </c>
      <c r="AI118" s="26">
        <f t="shared" si="12"/>
        <v>1.1957279999999999</v>
      </c>
      <c r="AJ118" s="32">
        <f>Tabla1[[#This Row],[PRECIO FINAL ML]]-Tabla1[[#This Row],[DESCUENTO TOT]]-Tabla1[[#This Row],[ENVÍO]]</f>
        <v>901.32784850000007</v>
      </c>
    </row>
    <row r="119" spans="1:36" ht="18" customHeight="1" x14ac:dyDescent="0.25">
      <c r="A119" s="132"/>
      <c r="B119" s="5">
        <v>35</v>
      </c>
      <c r="C119" s="2" t="s">
        <v>90</v>
      </c>
      <c r="D119" s="5" t="s">
        <v>194</v>
      </c>
      <c r="E119" s="96"/>
      <c r="F119" s="96"/>
      <c r="G119" s="63"/>
      <c r="H119" s="117">
        <f>B119*$H$105</f>
        <v>49.699999999999996</v>
      </c>
      <c r="I119" s="117">
        <f>B119*$I$105</f>
        <v>49.699999999999996</v>
      </c>
      <c r="J119" s="117">
        <f>Tabla1[[#This Row],[HOY]]-Tabla1[[#This Row],[AYER]]</f>
        <v>0</v>
      </c>
      <c r="K119" s="63"/>
      <c r="L119" s="64"/>
      <c r="M119" s="64"/>
      <c r="N119" s="53" t="s">
        <v>221</v>
      </c>
      <c r="O119" s="9" t="s">
        <v>132</v>
      </c>
      <c r="P119" s="9">
        <v>12</v>
      </c>
      <c r="Q119" s="5"/>
      <c r="R119" s="2"/>
      <c r="S119" s="11" t="str">
        <f t="shared" si="13"/>
        <v/>
      </c>
      <c r="T119" s="44" t="str">
        <f>IF(Tabla1[[#This Row],[UTILIDAD]]&lt;0,"PÉRDIDA!!!","")</f>
        <v/>
      </c>
      <c r="U119" s="60"/>
      <c r="V119" s="32">
        <f>Tabla1[[#This Row],[TOT VENTA]]-Tabla1[[#This Row],[COSTO]]</f>
        <v>50.204824000000031</v>
      </c>
      <c r="W119" s="6">
        <f>Tabla1[[#This Row],[HOY]]*$T$2</f>
        <v>7.9519999999999991</v>
      </c>
      <c r="X119" s="6">
        <f>Tabla1[[#This Row],[HOY]]+Tabla1[[#This Row],[IVA]]</f>
        <v>57.651999999999994</v>
      </c>
      <c r="Y119" s="41">
        <f>Tabla1[[#This Row],[TOTAL]]*$C$2</f>
        <v>990.4613599999999</v>
      </c>
      <c r="Z119" s="26">
        <v>1422.24</v>
      </c>
      <c r="AA119" s="29">
        <v>0.09</v>
      </c>
      <c r="AB119" s="32">
        <f>Tabla1[[#This Row],[PRECIO ML]]*(1-Tabla1[[#This Row],[DESCUENTO]])</f>
        <v>1294.2384</v>
      </c>
      <c r="AC119" s="29">
        <v>0.19500000000000001</v>
      </c>
      <c r="AD119" s="26">
        <f>Tabla1[[#This Row],[PRECIO FINAL ML]]*Tabla1[[#This Row],[COMISIÓN ML]]</f>
        <v>252.37648799999999</v>
      </c>
      <c r="AE119" s="26"/>
      <c r="AF119" s="29"/>
      <c r="AG119" s="26">
        <f>(Tabla1[[#This Row],[PRECIO FINAL ML]]*Tabla1[[#This Row],[% ACOS]])/2</f>
        <v>0</v>
      </c>
      <c r="AH119" s="26">
        <f>Tabla1[[#This Row],[TOT COMISIÓN]]+Tabla1[[#This Row],[FIJO ML]]+Tabla1[[#This Row],[ACOS]]</f>
        <v>252.37648799999999</v>
      </c>
      <c r="AI119" s="26">
        <f t="shared" si="12"/>
        <v>1.1957279999999999</v>
      </c>
      <c r="AJ119" s="32">
        <f>Tabla1[[#This Row],[PRECIO FINAL ML]]-Tabla1[[#This Row],[DESCUENTO TOT]]-Tabla1[[#This Row],[ENVÍO]]</f>
        <v>1040.6661839999999</v>
      </c>
    </row>
    <row r="120" spans="1:36" ht="18" customHeight="1" x14ac:dyDescent="0.25">
      <c r="A120" s="132"/>
      <c r="B120" s="5">
        <v>35</v>
      </c>
      <c r="C120" s="2" t="s">
        <v>92</v>
      </c>
      <c r="D120" s="5" t="s">
        <v>194</v>
      </c>
      <c r="E120" s="96"/>
      <c r="F120" s="96"/>
      <c r="G120" s="63"/>
      <c r="H120" s="117">
        <f>B120*$H$106</f>
        <v>49.699999999999996</v>
      </c>
      <c r="I120" s="117">
        <f>B120*$I$106</f>
        <v>49.699999999999996</v>
      </c>
      <c r="J120" s="117">
        <f>Tabla1[[#This Row],[HOY]]-Tabla1[[#This Row],[AYER]]</f>
        <v>0</v>
      </c>
      <c r="K120" s="63"/>
      <c r="L120" s="64"/>
      <c r="M120" s="64"/>
      <c r="N120" s="53" t="s">
        <v>231</v>
      </c>
      <c r="O120" s="9" t="s">
        <v>132</v>
      </c>
      <c r="P120" s="9">
        <v>12</v>
      </c>
      <c r="Q120" s="5"/>
      <c r="R120" s="2"/>
      <c r="S120" s="11" t="str">
        <f t="shared" si="13"/>
        <v/>
      </c>
      <c r="T120" s="44" t="str">
        <f>IF(Tabla1[[#This Row],[UTILIDAD]]&lt;0,"PÉRDIDA!!!","")</f>
        <v/>
      </c>
      <c r="U120" s="60"/>
      <c r="V120" s="32">
        <f>Tabla1[[#This Row],[TOT VENTA]]-Tabla1[[#This Row],[COSTO]]</f>
        <v>50.204824000000031</v>
      </c>
      <c r="W120" s="6">
        <f>Tabla1[[#This Row],[HOY]]*$T$2</f>
        <v>7.9519999999999991</v>
      </c>
      <c r="X120" s="6">
        <f>Tabla1[[#This Row],[HOY]]+Tabla1[[#This Row],[IVA]]</f>
        <v>57.651999999999994</v>
      </c>
      <c r="Y120" s="41">
        <f>Tabla1[[#This Row],[TOTAL]]*$C$2</f>
        <v>990.4613599999999</v>
      </c>
      <c r="Z120" s="26">
        <v>1422.24</v>
      </c>
      <c r="AA120" s="29">
        <v>0.09</v>
      </c>
      <c r="AB120" s="32">
        <f>Tabla1[[#This Row],[PRECIO ML]]*(1-Tabla1[[#This Row],[DESCUENTO]])</f>
        <v>1294.2384</v>
      </c>
      <c r="AC120" s="29">
        <v>0.19500000000000001</v>
      </c>
      <c r="AD120" s="26">
        <f>Tabla1[[#This Row],[PRECIO FINAL ML]]*Tabla1[[#This Row],[COMISIÓN ML]]</f>
        <v>252.37648799999999</v>
      </c>
      <c r="AE120" s="26"/>
      <c r="AF120" s="29"/>
      <c r="AG120" s="26">
        <f>(Tabla1[[#This Row],[PRECIO FINAL ML]]*Tabla1[[#This Row],[% ACOS]])/2</f>
        <v>0</v>
      </c>
      <c r="AH120" s="26">
        <f>Tabla1[[#This Row],[TOT COMISIÓN]]+Tabla1[[#This Row],[FIJO ML]]+Tabla1[[#This Row],[ACOS]]</f>
        <v>252.37648799999999</v>
      </c>
      <c r="AI120" s="26">
        <f t="shared" si="12"/>
        <v>1.1957279999999999</v>
      </c>
      <c r="AJ120" s="32">
        <f>Tabla1[[#This Row],[PRECIO FINAL ML]]-Tabla1[[#This Row],[DESCUENTO TOT]]-Tabla1[[#This Row],[ENVÍO]]</f>
        <v>1040.6661839999999</v>
      </c>
    </row>
    <row r="121" spans="1:36" ht="18" customHeight="1" x14ac:dyDescent="0.25">
      <c r="A121" s="132"/>
      <c r="B121" s="5">
        <v>40</v>
      </c>
      <c r="C121" s="2" t="s">
        <v>90</v>
      </c>
      <c r="D121" s="5" t="s">
        <v>194</v>
      </c>
      <c r="E121" s="96"/>
      <c r="F121" s="96"/>
      <c r="G121" s="63"/>
      <c r="H121" s="117">
        <f>B121*$H$105</f>
        <v>56.8</v>
      </c>
      <c r="I121" s="117">
        <f>B121*$I$105</f>
        <v>56.8</v>
      </c>
      <c r="J121" s="117">
        <f>Tabla1[[#This Row],[HOY]]-Tabla1[[#This Row],[AYER]]</f>
        <v>0</v>
      </c>
      <c r="K121" s="63"/>
      <c r="L121" s="64"/>
      <c r="M121" s="64"/>
      <c r="N121" s="53" t="s">
        <v>222</v>
      </c>
      <c r="O121" s="9" t="s">
        <v>132</v>
      </c>
      <c r="P121" s="9">
        <v>12</v>
      </c>
      <c r="Q121" s="5"/>
      <c r="R121" s="2"/>
      <c r="S121" s="11" t="str">
        <f t="shared" si="13"/>
        <v/>
      </c>
      <c r="T121" s="44" t="str">
        <f>IF(Tabla1[[#This Row],[UTILIDAD]]&lt;0,"PÉRDIDA!!!","")</f>
        <v/>
      </c>
      <c r="U121" s="60"/>
      <c r="V121" s="32">
        <f>Tabla1[[#This Row],[TOT VENTA]]-Tabla1[[#This Row],[COSTO]]</f>
        <v>58.09612600000014</v>
      </c>
      <c r="W121" s="6">
        <f>Tabla1[[#This Row],[HOY]]*$T$2</f>
        <v>9.0879999999999992</v>
      </c>
      <c r="X121" s="6">
        <f>Tabla1[[#This Row],[HOY]]+Tabla1[[#This Row],[IVA]]</f>
        <v>65.887999999999991</v>
      </c>
      <c r="Y121" s="41">
        <f>Tabla1[[#This Row],[TOTAL]]*$C$2</f>
        <v>1131.9558399999999</v>
      </c>
      <c r="Z121" s="26">
        <v>1608.49</v>
      </c>
      <c r="AA121" s="29">
        <v>0.08</v>
      </c>
      <c r="AB121" s="32">
        <f>Tabla1[[#This Row],[PRECIO ML]]*(1-Tabla1[[#This Row],[DESCUENTO]])</f>
        <v>1479.8108</v>
      </c>
      <c r="AC121" s="29">
        <v>0.19500000000000001</v>
      </c>
      <c r="AD121" s="26">
        <f>Tabla1[[#This Row],[PRECIO FINAL ML]]*Tabla1[[#This Row],[COMISIÓN ML]]</f>
        <v>288.563106</v>
      </c>
      <c r="AE121" s="26"/>
      <c r="AF121" s="29"/>
      <c r="AG121" s="26">
        <f>(Tabla1[[#This Row],[PRECIO FINAL ML]]*Tabla1[[#This Row],[% ACOS]])/2</f>
        <v>0</v>
      </c>
      <c r="AH121" s="26">
        <f>Tabla1[[#This Row],[TOT COMISIÓN]]+Tabla1[[#This Row],[FIJO ML]]+Tabla1[[#This Row],[ACOS]]</f>
        <v>288.563106</v>
      </c>
      <c r="AI121" s="26">
        <f t="shared" si="12"/>
        <v>1.1957279999999999</v>
      </c>
      <c r="AJ121" s="32">
        <f>Tabla1[[#This Row],[PRECIO FINAL ML]]-Tabla1[[#This Row],[DESCUENTO TOT]]-Tabla1[[#This Row],[ENVÍO]]</f>
        <v>1190.051966</v>
      </c>
    </row>
    <row r="122" spans="1:36" ht="18" customHeight="1" x14ac:dyDescent="0.25">
      <c r="A122" s="132"/>
      <c r="B122" s="5">
        <v>40</v>
      </c>
      <c r="C122" s="2" t="s">
        <v>92</v>
      </c>
      <c r="D122" s="5" t="s">
        <v>194</v>
      </c>
      <c r="E122" s="96"/>
      <c r="F122" s="96"/>
      <c r="G122" s="63"/>
      <c r="H122" s="117">
        <f>B122*$H$106</f>
        <v>56.8</v>
      </c>
      <c r="I122" s="117">
        <f>B122*$I$106</f>
        <v>56.8</v>
      </c>
      <c r="J122" s="117">
        <f>Tabla1[[#This Row],[HOY]]-Tabla1[[#This Row],[AYER]]</f>
        <v>0</v>
      </c>
      <c r="K122" s="63"/>
      <c r="L122" s="64"/>
      <c r="M122" s="64"/>
      <c r="N122" s="53" t="s">
        <v>232</v>
      </c>
      <c r="O122" s="9" t="s">
        <v>132</v>
      </c>
      <c r="P122" s="9">
        <v>12</v>
      </c>
      <c r="Q122" s="5"/>
      <c r="R122" s="2"/>
      <c r="S122" s="11" t="str">
        <f t="shared" si="13"/>
        <v/>
      </c>
      <c r="T122" s="44" t="str">
        <f>IF(Tabla1[[#This Row],[UTILIDAD]]&lt;0,"PÉRDIDA!!!","")</f>
        <v/>
      </c>
      <c r="U122" s="60"/>
      <c r="V122" s="32">
        <f>Tabla1[[#This Row],[TOT VENTA]]-Tabla1[[#This Row],[COSTO]]</f>
        <v>58.09612600000014</v>
      </c>
      <c r="W122" s="6">
        <f>Tabla1[[#This Row],[HOY]]*$T$2</f>
        <v>9.0879999999999992</v>
      </c>
      <c r="X122" s="6">
        <f>Tabla1[[#This Row],[HOY]]+Tabla1[[#This Row],[IVA]]</f>
        <v>65.887999999999991</v>
      </c>
      <c r="Y122" s="41">
        <f>Tabla1[[#This Row],[TOTAL]]*$C$2</f>
        <v>1131.9558399999999</v>
      </c>
      <c r="Z122" s="26">
        <v>1608.49</v>
      </c>
      <c r="AA122" s="29">
        <v>0.08</v>
      </c>
      <c r="AB122" s="32">
        <f>Tabla1[[#This Row],[PRECIO ML]]*(1-Tabla1[[#This Row],[DESCUENTO]])</f>
        <v>1479.8108</v>
      </c>
      <c r="AC122" s="29">
        <v>0.19500000000000001</v>
      </c>
      <c r="AD122" s="26">
        <f>Tabla1[[#This Row],[PRECIO FINAL ML]]*Tabla1[[#This Row],[COMISIÓN ML]]</f>
        <v>288.563106</v>
      </c>
      <c r="AE122" s="26"/>
      <c r="AF122" s="29"/>
      <c r="AG122" s="26">
        <f>(Tabla1[[#This Row],[PRECIO FINAL ML]]*Tabla1[[#This Row],[% ACOS]])/2</f>
        <v>0</v>
      </c>
      <c r="AH122" s="26">
        <f>Tabla1[[#This Row],[TOT COMISIÓN]]+Tabla1[[#This Row],[FIJO ML]]+Tabla1[[#This Row],[ACOS]]</f>
        <v>288.563106</v>
      </c>
      <c r="AI122" s="26">
        <f t="shared" si="12"/>
        <v>1.1957279999999999</v>
      </c>
      <c r="AJ122" s="32">
        <f>Tabla1[[#This Row],[PRECIO FINAL ML]]-Tabla1[[#This Row],[DESCUENTO TOT]]-Tabla1[[#This Row],[ENVÍO]]</f>
        <v>1190.051966</v>
      </c>
    </row>
    <row r="123" spans="1:36" ht="18" customHeight="1" x14ac:dyDescent="0.25">
      <c r="A123" s="132"/>
      <c r="B123" s="5">
        <v>45</v>
      </c>
      <c r="C123" s="2" t="s">
        <v>90</v>
      </c>
      <c r="D123" s="5" t="s">
        <v>194</v>
      </c>
      <c r="E123" s="96"/>
      <c r="F123" s="96"/>
      <c r="G123" s="63"/>
      <c r="H123" s="117">
        <f>B123*$H$105</f>
        <v>63.9</v>
      </c>
      <c r="I123" s="117">
        <f>B123*$I$105</f>
        <v>63.9</v>
      </c>
      <c r="J123" s="117">
        <f>Tabla1[[#This Row],[HOY]]-Tabla1[[#This Row],[AYER]]</f>
        <v>0</v>
      </c>
      <c r="K123" s="63"/>
      <c r="L123" s="64"/>
      <c r="M123" s="64"/>
      <c r="N123" s="53" t="s">
        <v>223</v>
      </c>
      <c r="O123" s="9" t="s">
        <v>132</v>
      </c>
      <c r="P123" s="9">
        <v>12</v>
      </c>
      <c r="Q123" s="5"/>
      <c r="R123" s="2"/>
      <c r="S123" s="11" t="str">
        <f t="shared" si="13"/>
        <v/>
      </c>
      <c r="T123" s="44" t="str">
        <f>IF(Tabla1[[#This Row],[UTILIDAD]]&lt;0,"PÉRDIDA!!!","")</f>
        <v/>
      </c>
      <c r="U123" s="60"/>
      <c r="V123" s="32">
        <f>Tabla1[[#This Row],[TOT VENTA]]-Tabla1[[#This Row],[COSTO]]</f>
        <v>58.559854000000314</v>
      </c>
      <c r="W123" s="6">
        <f>Tabla1[[#This Row],[HOY]]*$T$2</f>
        <v>10.224</v>
      </c>
      <c r="X123" s="6">
        <f>Tabla1[[#This Row],[HOY]]+Tabla1[[#This Row],[IVA]]</f>
        <v>74.123999999999995</v>
      </c>
      <c r="Y123" s="41">
        <f>Tabla1[[#This Row],[TOTAL]]*$C$2</f>
        <v>1273.4503199999999</v>
      </c>
      <c r="Z123" s="26">
        <v>1800.17</v>
      </c>
      <c r="AA123" s="29">
        <v>0.08</v>
      </c>
      <c r="AB123" s="32">
        <f>Tabla1[[#This Row],[PRECIO ML]]*(1-Tabla1[[#This Row],[DESCUENTO]])</f>
        <v>1656.1564000000001</v>
      </c>
      <c r="AC123" s="29">
        <v>0.19500000000000001</v>
      </c>
      <c r="AD123" s="26">
        <f>Tabla1[[#This Row],[PRECIO FINAL ML]]*Tabla1[[#This Row],[COMISIÓN ML]]</f>
        <v>322.95049800000004</v>
      </c>
      <c r="AE123" s="26"/>
      <c r="AF123" s="29"/>
      <c r="AG123" s="26">
        <f>(Tabla1[[#This Row],[PRECIO FINAL ML]]*Tabla1[[#This Row],[% ACOS]])/2</f>
        <v>0</v>
      </c>
      <c r="AH123" s="26">
        <f>Tabla1[[#This Row],[TOT COMISIÓN]]+Tabla1[[#This Row],[FIJO ML]]+Tabla1[[#This Row],[ACOS]]</f>
        <v>322.95049800000004</v>
      </c>
      <c r="AI123" s="26">
        <f t="shared" si="12"/>
        <v>1.1957279999999999</v>
      </c>
      <c r="AJ123" s="32">
        <f>Tabla1[[#This Row],[PRECIO FINAL ML]]-Tabla1[[#This Row],[DESCUENTO TOT]]-Tabla1[[#This Row],[ENVÍO]]</f>
        <v>1332.0101740000002</v>
      </c>
    </row>
    <row r="124" spans="1:36" ht="18" customHeight="1" x14ac:dyDescent="0.25">
      <c r="A124" s="132"/>
      <c r="B124" s="5">
        <v>45</v>
      </c>
      <c r="C124" s="2" t="s">
        <v>92</v>
      </c>
      <c r="D124" s="5" t="s">
        <v>194</v>
      </c>
      <c r="E124" s="96"/>
      <c r="F124" s="96"/>
      <c r="G124" s="63"/>
      <c r="H124" s="117">
        <f>B124*$H$106</f>
        <v>63.9</v>
      </c>
      <c r="I124" s="117">
        <f>B124*$I$106</f>
        <v>63.9</v>
      </c>
      <c r="J124" s="117">
        <f>Tabla1[[#This Row],[HOY]]-Tabla1[[#This Row],[AYER]]</f>
        <v>0</v>
      </c>
      <c r="K124" s="63"/>
      <c r="L124" s="64"/>
      <c r="M124" s="64"/>
      <c r="N124" s="53" t="s">
        <v>233</v>
      </c>
      <c r="O124" s="9" t="s">
        <v>132</v>
      </c>
      <c r="P124" s="9">
        <v>12</v>
      </c>
      <c r="Q124" s="5"/>
      <c r="R124" s="2"/>
      <c r="S124" s="11" t="str">
        <f t="shared" si="13"/>
        <v/>
      </c>
      <c r="T124" s="44" t="str">
        <f>IF(Tabla1[[#This Row],[UTILIDAD]]&lt;0,"PÉRDIDA!!!","")</f>
        <v/>
      </c>
      <c r="U124" s="60"/>
      <c r="V124" s="32">
        <f>Tabla1[[#This Row],[TOT VENTA]]-Tabla1[[#This Row],[COSTO]]</f>
        <v>58.559854000000314</v>
      </c>
      <c r="W124" s="6">
        <f>Tabla1[[#This Row],[HOY]]*$T$2</f>
        <v>10.224</v>
      </c>
      <c r="X124" s="6">
        <f>Tabla1[[#This Row],[HOY]]+Tabla1[[#This Row],[IVA]]</f>
        <v>74.123999999999995</v>
      </c>
      <c r="Y124" s="41">
        <f>Tabla1[[#This Row],[TOTAL]]*$C$2</f>
        <v>1273.4503199999999</v>
      </c>
      <c r="Z124" s="26">
        <v>1800.17</v>
      </c>
      <c r="AA124" s="29">
        <v>0.08</v>
      </c>
      <c r="AB124" s="32">
        <f>Tabla1[[#This Row],[PRECIO ML]]*(1-Tabla1[[#This Row],[DESCUENTO]])</f>
        <v>1656.1564000000001</v>
      </c>
      <c r="AC124" s="29">
        <v>0.19500000000000001</v>
      </c>
      <c r="AD124" s="26">
        <f>Tabla1[[#This Row],[PRECIO FINAL ML]]*Tabla1[[#This Row],[COMISIÓN ML]]</f>
        <v>322.95049800000004</v>
      </c>
      <c r="AE124" s="26"/>
      <c r="AF124" s="29"/>
      <c r="AG124" s="26">
        <f>(Tabla1[[#This Row],[PRECIO FINAL ML]]*Tabla1[[#This Row],[% ACOS]])/2</f>
        <v>0</v>
      </c>
      <c r="AH124" s="26">
        <f>Tabla1[[#This Row],[TOT COMISIÓN]]+Tabla1[[#This Row],[FIJO ML]]+Tabla1[[#This Row],[ACOS]]</f>
        <v>322.95049800000004</v>
      </c>
      <c r="AI124" s="26">
        <f t="shared" si="12"/>
        <v>1.1957279999999999</v>
      </c>
      <c r="AJ124" s="32">
        <f>Tabla1[[#This Row],[PRECIO FINAL ML]]-Tabla1[[#This Row],[DESCUENTO TOT]]-Tabla1[[#This Row],[ENVÍO]]</f>
        <v>1332.0101740000002</v>
      </c>
    </row>
    <row r="125" spans="1:36" ht="18" customHeight="1" x14ac:dyDescent="0.25">
      <c r="A125" s="132"/>
      <c r="B125" s="5">
        <v>50</v>
      </c>
      <c r="C125" s="2" t="s">
        <v>90</v>
      </c>
      <c r="D125" s="5" t="s">
        <v>194</v>
      </c>
      <c r="E125" s="96"/>
      <c r="F125" s="96"/>
      <c r="G125" s="63"/>
      <c r="H125" s="117">
        <f>B125*$H$105</f>
        <v>71</v>
      </c>
      <c r="I125" s="117">
        <f>B125*$I$105</f>
        <v>71</v>
      </c>
      <c r="J125" s="117">
        <f>Tabla1[[#This Row],[HOY]]-Tabla1[[#This Row],[AYER]]</f>
        <v>0</v>
      </c>
      <c r="K125" s="63"/>
      <c r="L125" s="64"/>
      <c r="M125" s="64"/>
      <c r="N125" s="53" t="s">
        <v>224</v>
      </c>
      <c r="O125" s="9" t="s">
        <v>132</v>
      </c>
      <c r="P125" s="9">
        <v>12</v>
      </c>
      <c r="Q125" s="5"/>
      <c r="R125" s="2"/>
      <c r="S125" s="11" t="str">
        <f t="shared" si="13"/>
        <v/>
      </c>
      <c r="T125" s="44" t="str">
        <f>IF(Tabla1[[#This Row],[UTILIDAD]]&lt;0,"PÉRDIDA!!!","")</f>
        <v/>
      </c>
      <c r="U125" s="60"/>
      <c r="V125" s="32">
        <f>Tabla1[[#This Row],[TOT VENTA]]-Tabla1[[#This Row],[COSTO]]</f>
        <v>61.37128400000006</v>
      </c>
      <c r="W125" s="6">
        <f>Tabla1[[#This Row],[HOY]]*$T$2</f>
        <v>11.36</v>
      </c>
      <c r="X125" s="6">
        <f>Tabla1[[#This Row],[HOY]]+Tabla1[[#This Row],[IVA]]</f>
        <v>82.36</v>
      </c>
      <c r="Y125" s="41">
        <f>Tabla1[[#This Row],[TOTAL]]*$C$2</f>
        <v>1414.9448</v>
      </c>
      <c r="Z125" s="26">
        <v>1995.02</v>
      </c>
      <c r="AA125" s="29">
        <v>0.08</v>
      </c>
      <c r="AB125" s="32">
        <f>Tabla1[[#This Row],[PRECIO ML]]*(1-Tabla1[[#This Row],[DESCUENTO]])</f>
        <v>1835.4184</v>
      </c>
      <c r="AC125" s="29">
        <v>0.19500000000000001</v>
      </c>
      <c r="AD125" s="26">
        <f>Tabla1[[#This Row],[PRECIO FINAL ML]]*Tabla1[[#This Row],[COMISIÓN ML]]</f>
        <v>357.906588</v>
      </c>
      <c r="AE125" s="26"/>
      <c r="AF125" s="29"/>
      <c r="AG125" s="26">
        <f>(Tabla1[[#This Row],[PRECIO FINAL ML]]*Tabla1[[#This Row],[% ACOS]])/2</f>
        <v>0</v>
      </c>
      <c r="AH125" s="26">
        <f>Tabla1[[#This Row],[TOT COMISIÓN]]+Tabla1[[#This Row],[FIJO ML]]+Tabla1[[#This Row],[ACOS]]</f>
        <v>357.906588</v>
      </c>
      <c r="AI125" s="26">
        <f t="shared" si="12"/>
        <v>1.1957279999999999</v>
      </c>
      <c r="AJ125" s="32">
        <f>Tabla1[[#This Row],[PRECIO FINAL ML]]-Tabla1[[#This Row],[DESCUENTO TOT]]-Tabla1[[#This Row],[ENVÍO]]</f>
        <v>1476.316084</v>
      </c>
    </row>
    <row r="126" spans="1:36" ht="18" customHeight="1" x14ac:dyDescent="0.25">
      <c r="A126" s="132"/>
      <c r="B126" s="5">
        <v>50</v>
      </c>
      <c r="C126" s="2" t="s">
        <v>92</v>
      </c>
      <c r="D126" s="5" t="s">
        <v>194</v>
      </c>
      <c r="E126" s="96"/>
      <c r="F126" s="96"/>
      <c r="G126" s="63"/>
      <c r="H126" s="117">
        <f>B126*$H$106</f>
        <v>71</v>
      </c>
      <c r="I126" s="117">
        <f>B126*$I$106</f>
        <v>71</v>
      </c>
      <c r="J126" s="117">
        <f>Tabla1[[#This Row],[HOY]]-Tabla1[[#This Row],[AYER]]</f>
        <v>0</v>
      </c>
      <c r="K126" s="63"/>
      <c r="L126" s="64"/>
      <c r="M126" s="64"/>
      <c r="N126" s="53" t="s">
        <v>234</v>
      </c>
      <c r="O126" s="9" t="s">
        <v>132</v>
      </c>
      <c r="P126" s="9">
        <v>12</v>
      </c>
      <c r="Q126" s="5"/>
      <c r="R126" s="2"/>
      <c r="S126" s="11" t="str">
        <f t="shared" si="13"/>
        <v/>
      </c>
      <c r="T126" s="44" t="str">
        <f>IF(Tabla1[[#This Row],[UTILIDAD]]&lt;0,"PÉRDIDA!!!","")</f>
        <v/>
      </c>
      <c r="U126" s="60"/>
      <c r="V126" s="32">
        <f>Tabla1[[#This Row],[TOT VENTA]]-Tabla1[[#This Row],[COSTO]]</f>
        <v>61.37128400000006</v>
      </c>
      <c r="W126" s="6">
        <f>Tabla1[[#This Row],[HOY]]*$T$2</f>
        <v>11.36</v>
      </c>
      <c r="X126" s="6">
        <f>Tabla1[[#This Row],[HOY]]+Tabla1[[#This Row],[IVA]]</f>
        <v>82.36</v>
      </c>
      <c r="Y126" s="41">
        <f>Tabla1[[#This Row],[TOTAL]]*$C$2</f>
        <v>1414.9448</v>
      </c>
      <c r="Z126" s="26">
        <v>1995.02</v>
      </c>
      <c r="AA126" s="29">
        <v>0.08</v>
      </c>
      <c r="AB126" s="32">
        <f>Tabla1[[#This Row],[PRECIO ML]]*(1-Tabla1[[#This Row],[DESCUENTO]])</f>
        <v>1835.4184</v>
      </c>
      <c r="AC126" s="29">
        <v>0.19500000000000001</v>
      </c>
      <c r="AD126" s="26">
        <f>Tabla1[[#This Row],[PRECIO FINAL ML]]*Tabla1[[#This Row],[COMISIÓN ML]]</f>
        <v>357.906588</v>
      </c>
      <c r="AE126" s="26"/>
      <c r="AF126" s="29"/>
      <c r="AG126" s="26">
        <f>(Tabla1[[#This Row],[PRECIO FINAL ML]]*Tabla1[[#This Row],[% ACOS]])/2</f>
        <v>0</v>
      </c>
      <c r="AH126" s="26">
        <f>Tabla1[[#This Row],[TOT COMISIÓN]]+Tabla1[[#This Row],[FIJO ML]]+Tabla1[[#This Row],[ACOS]]</f>
        <v>357.906588</v>
      </c>
      <c r="AI126" s="26">
        <f t="shared" si="12"/>
        <v>1.1957279999999999</v>
      </c>
      <c r="AJ126" s="32">
        <f>Tabla1[[#This Row],[PRECIO FINAL ML]]-Tabla1[[#This Row],[DESCUENTO TOT]]-Tabla1[[#This Row],[ENVÍO]]</f>
        <v>1476.316084</v>
      </c>
    </row>
    <row r="127" spans="1:36" ht="18" customHeight="1" x14ac:dyDescent="0.25">
      <c r="A127" s="132"/>
      <c r="B127" s="5">
        <v>60</v>
      </c>
      <c r="C127" s="2" t="s">
        <v>90</v>
      </c>
      <c r="D127" s="5" t="s">
        <v>194</v>
      </c>
      <c r="E127" s="96"/>
      <c r="F127" s="96"/>
      <c r="G127" s="63"/>
      <c r="H127" s="117">
        <f>B127*$H$105</f>
        <v>85.199999999999989</v>
      </c>
      <c r="I127" s="117">
        <f>B127*$I$105</f>
        <v>85.199999999999989</v>
      </c>
      <c r="J127" s="117">
        <f>Tabla1[[#This Row],[HOY]]-Tabla1[[#This Row],[AYER]]</f>
        <v>0</v>
      </c>
      <c r="K127" s="63"/>
      <c r="L127" s="64"/>
      <c r="M127" s="64"/>
      <c r="N127" s="53" t="s">
        <v>225</v>
      </c>
      <c r="O127" s="9" t="s">
        <v>132</v>
      </c>
      <c r="P127" s="9">
        <v>12</v>
      </c>
      <c r="Q127" s="5"/>
      <c r="R127" s="2"/>
      <c r="S127" s="11" t="str">
        <f t="shared" si="13"/>
        <v/>
      </c>
      <c r="T127" s="44" t="str">
        <f>IF(Tabla1[[#This Row],[UTILIDAD]]&lt;0,"PÉRDIDA!!!","")</f>
        <v/>
      </c>
      <c r="U127" s="60"/>
      <c r="V127" s="32">
        <f>Tabla1[[#This Row],[TOT VENTA]]-Tabla1[[#This Row],[COSTO]]</f>
        <v>69.319628000000193</v>
      </c>
      <c r="W127" s="6">
        <f>Tabla1[[#This Row],[HOY]]*$T$2</f>
        <v>13.631999999999998</v>
      </c>
      <c r="X127" s="6">
        <f>Tabla1[[#This Row],[HOY]]+Tabla1[[#This Row],[IVA]]</f>
        <v>98.831999999999994</v>
      </c>
      <c r="Y127" s="41">
        <f>Tabla1[[#This Row],[TOTAL]]*$C$2</f>
        <v>1697.9337599999999</v>
      </c>
      <c r="Z127" s="26">
        <v>2387.86</v>
      </c>
      <c r="AA127" s="29">
        <v>0.08</v>
      </c>
      <c r="AB127" s="32">
        <f>Tabla1[[#This Row],[PRECIO ML]]*(1-Tabla1[[#This Row],[DESCUENTO]])</f>
        <v>2196.8312000000001</v>
      </c>
      <c r="AC127" s="29">
        <v>0.19500000000000001</v>
      </c>
      <c r="AD127" s="26">
        <f>Tabla1[[#This Row],[PRECIO FINAL ML]]*Tabla1[[#This Row],[COMISIÓN ML]]</f>
        <v>428.38208400000002</v>
      </c>
      <c r="AE127" s="26"/>
      <c r="AF127" s="29"/>
      <c r="AG127" s="26">
        <f>(Tabla1[[#This Row],[PRECIO FINAL ML]]*Tabla1[[#This Row],[% ACOS]])/2</f>
        <v>0</v>
      </c>
      <c r="AH127" s="26">
        <f>Tabla1[[#This Row],[TOT COMISIÓN]]+Tabla1[[#This Row],[FIJO ML]]+Tabla1[[#This Row],[ACOS]]</f>
        <v>428.38208400000002</v>
      </c>
      <c r="AI127" s="26">
        <f t="shared" si="12"/>
        <v>1.1957279999999999</v>
      </c>
      <c r="AJ127" s="32">
        <f>Tabla1[[#This Row],[PRECIO FINAL ML]]-Tabla1[[#This Row],[DESCUENTO TOT]]-Tabla1[[#This Row],[ENVÍO]]</f>
        <v>1767.2533880000001</v>
      </c>
    </row>
    <row r="128" spans="1:36" ht="18" customHeight="1" x14ac:dyDescent="0.25">
      <c r="A128" s="132"/>
      <c r="B128" s="5">
        <v>60</v>
      </c>
      <c r="C128" s="2" t="s">
        <v>92</v>
      </c>
      <c r="D128" s="5" t="s">
        <v>194</v>
      </c>
      <c r="E128" s="96"/>
      <c r="F128" s="96"/>
      <c r="G128" s="63"/>
      <c r="H128" s="117">
        <f>B128*$H$106</f>
        <v>85.199999999999989</v>
      </c>
      <c r="I128" s="117">
        <f>B128*$I$106</f>
        <v>85.199999999999989</v>
      </c>
      <c r="J128" s="117">
        <f>Tabla1[[#This Row],[HOY]]-Tabla1[[#This Row],[AYER]]</f>
        <v>0</v>
      </c>
      <c r="K128" s="63"/>
      <c r="L128" s="64"/>
      <c r="M128" s="64"/>
      <c r="N128" s="53" t="s">
        <v>235</v>
      </c>
      <c r="O128" s="9" t="s">
        <v>132</v>
      </c>
      <c r="P128" s="9">
        <v>12</v>
      </c>
      <c r="Q128" s="5"/>
      <c r="R128" s="2"/>
      <c r="S128" s="11" t="str">
        <f t="shared" si="13"/>
        <v/>
      </c>
      <c r="T128" s="44" t="str">
        <f>IF(Tabla1[[#This Row],[UTILIDAD]]&lt;0,"PÉRDIDA!!!","")</f>
        <v/>
      </c>
      <c r="U128" s="60"/>
      <c r="V128" s="32">
        <f>Tabla1[[#This Row],[TOT VENTA]]-Tabla1[[#This Row],[COSTO]]</f>
        <v>69.319628000000193</v>
      </c>
      <c r="W128" s="6">
        <f>Tabla1[[#This Row],[HOY]]*$T$2</f>
        <v>13.631999999999998</v>
      </c>
      <c r="X128" s="6">
        <f>Tabla1[[#This Row],[HOY]]+Tabla1[[#This Row],[IVA]]</f>
        <v>98.831999999999994</v>
      </c>
      <c r="Y128" s="41">
        <f>Tabla1[[#This Row],[TOTAL]]*$C$2</f>
        <v>1697.9337599999999</v>
      </c>
      <c r="Z128" s="26">
        <v>2387.86</v>
      </c>
      <c r="AA128" s="29">
        <v>0.08</v>
      </c>
      <c r="AB128" s="32">
        <f>Tabla1[[#This Row],[PRECIO ML]]*(1-Tabla1[[#This Row],[DESCUENTO]])</f>
        <v>2196.8312000000001</v>
      </c>
      <c r="AC128" s="29">
        <v>0.19500000000000001</v>
      </c>
      <c r="AD128" s="26">
        <f>Tabla1[[#This Row],[PRECIO FINAL ML]]*Tabla1[[#This Row],[COMISIÓN ML]]</f>
        <v>428.38208400000002</v>
      </c>
      <c r="AE128" s="26"/>
      <c r="AF128" s="29"/>
      <c r="AG128" s="26">
        <f>(Tabla1[[#This Row],[PRECIO FINAL ML]]*Tabla1[[#This Row],[% ACOS]])/2</f>
        <v>0</v>
      </c>
      <c r="AH128" s="26">
        <f>Tabla1[[#This Row],[TOT COMISIÓN]]+Tabla1[[#This Row],[FIJO ML]]+Tabla1[[#This Row],[ACOS]]</f>
        <v>428.38208400000002</v>
      </c>
      <c r="AI128" s="26">
        <f t="shared" si="12"/>
        <v>1.1957279999999999</v>
      </c>
      <c r="AJ128" s="32">
        <f>Tabla1[[#This Row],[PRECIO FINAL ML]]-Tabla1[[#This Row],[DESCUENTO TOT]]-Tabla1[[#This Row],[ENVÍO]]</f>
        <v>1767.2533880000001</v>
      </c>
    </row>
    <row r="129" spans="1:36" ht="18" customHeight="1" x14ac:dyDescent="0.25">
      <c r="A129" s="132"/>
      <c r="B129" s="5">
        <v>70</v>
      </c>
      <c r="C129" s="2" t="s">
        <v>90</v>
      </c>
      <c r="D129" s="5" t="s">
        <v>194</v>
      </c>
      <c r="E129" s="96"/>
      <c r="F129" s="96"/>
      <c r="G129" s="63"/>
      <c r="H129" s="117">
        <f>B129*$H$105</f>
        <v>99.399999999999991</v>
      </c>
      <c r="I129" s="117">
        <f>B129*$I$105</f>
        <v>99.399999999999991</v>
      </c>
      <c r="J129" s="117">
        <f>Tabla1[[#This Row],[HOY]]-Tabla1[[#This Row],[AYER]]</f>
        <v>0</v>
      </c>
      <c r="K129" s="63"/>
      <c r="L129" s="64"/>
      <c r="M129" s="64"/>
      <c r="N129" s="53" t="s">
        <v>226</v>
      </c>
      <c r="O129" s="9" t="s">
        <v>132</v>
      </c>
      <c r="P129" s="9">
        <v>12</v>
      </c>
      <c r="Q129" s="5"/>
      <c r="R129" s="2"/>
      <c r="S129" s="11" t="str">
        <f t="shared" si="13"/>
        <v/>
      </c>
      <c r="T129" s="44" t="str">
        <f>IF(Tabla1[[#This Row],[UTILIDAD]]&lt;0,"PÉRDIDA!!!","")</f>
        <v/>
      </c>
      <c r="U129" s="60"/>
      <c r="V129" s="32">
        <f>Tabla1[[#This Row],[TOT VENTA]]-Tabla1[[#This Row],[COSTO]]</f>
        <v>81.074656000000459</v>
      </c>
      <c r="W129" s="6">
        <f>Tabla1[[#This Row],[HOY]]*$T$2</f>
        <v>15.903999999999998</v>
      </c>
      <c r="X129" s="6">
        <f>Tabla1[[#This Row],[HOY]]+Tabla1[[#This Row],[IVA]]</f>
        <v>115.30399999999999</v>
      </c>
      <c r="Y129" s="41">
        <f>Tabla1[[#This Row],[TOTAL]]*$C$2</f>
        <v>1980.9227199999998</v>
      </c>
      <c r="Z129" s="26">
        <v>2785.84</v>
      </c>
      <c r="AA129" s="29">
        <v>0.08</v>
      </c>
      <c r="AB129" s="32">
        <f>Tabla1[[#This Row],[PRECIO ML]]*(1-Tabla1[[#This Row],[DESCUENTO]])</f>
        <v>2562.9728000000005</v>
      </c>
      <c r="AC129" s="29">
        <v>0.19500000000000001</v>
      </c>
      <c r="AD129" s="26">
        <f>Tabla1[[#This Row],[PRECIO FINAL ML]]*Tabla1[[#This Row],[COMISIÓN ML]]</f>
        <v>499.77969600000011</v>
      </c>
      <c r="AE129" s="26"/>
      <c r="AF129" s="29"/>
      <c r="AG129" s="26">
        <f>(Tabla1[[#This Row],[PRECIO FINAL ML]]*Tabla1[[#This Row],[% ACOS]])/2</f>
        <v>0</v>
      </c>
      <c r="AH129" s="26">
        <f>Tabla1[[#This Row],[TOT COMISIÓN]]+Tabla1[[#This Row],[FIJO ML]]+Tabla1[[#This Row],[ACOS]]</f>
        <v>499.77969600000011</v>
      </c>
      <c r="AI129" s="26">
        <f t="shared" si="12"/>
        <v>1.1957279999999999</v>
      </c>
      <c r="AJ129" s="32">
        <f>Tabla1[[#This Row],[PRECIO FINAL ML]]-Tabla1[[#This Row],[DESCUENTO TOT]]-Tabla1[[#This Row],[ENVÍO]]</f>
        <v>2061.9973760000003</v>
      </c>
    </row>
    <row r="130" spans="1:36" ht="18" customHeight="1" x14ac:dyDescent="0.25">
      <c r="A130" s="133"/>
      <c r="B130" s="5">
        <v>70</v>
      </c>
      <c r="C130" s="2" t="s">
        <v>92</v>
      </c>
      <c r="D130" s="5" t="s">
        <v>194</v>
      </c>
      <c r="E130" s="96"/>
      <c r="F130" s="96"/>
      <c r="G130" s="63"/>
      <c r="H130" s="117">
        <f>B130*$H$106</f>
        <v>99.399999999999991</v>
      </c>
      <c r="I130" s="117">
        <f>B130*$I$106</f>
        <v>99.399999999999991</v>
      </c>
      <c r="J130" s="117">
        <f>Tabla1[[#This Row],[HOY]]-Tabla1[[#This Row],[AYER]]</f>
        <v>0</v>
      </c>
      <c r="K130" s="63"/>
      <c r="L130" s="64"/>
      <c r="M130" s="64"/>
      <c r="N130" s="53" t="s">
        <v>236</v>
      </c>
      <c r="O130" s="9" t="s">
        <v>132</v>
      </c>
      <c r="P130" s="9">
        <v>12</v>
      </c>
      <c r="Q130" s="5"/>
      <c r="R130" s="2"/>
      <c r="S130" s="11" t="str">
        <f t="shared" si="13"/>
        <v/>
      </c>
      <c r="T130" s="44" t="str">
        <f>IF(Tabla1[[#This Row],[UTILIDAD]]&lt;0,"PÉRDIDA!!!","")</f>
        <v/>
      </c>
      <c r="U130" s="60"/>
      <c r="V130" s="32">
        <f>Tabla1[[#This Row],[TOT VENTA]]-Tabla1[[#This Row],[COSTO]]</f>
        <v>81.074656000000459</v>
      </c>
      <c r="W130" s="6">
        <f>Tabla1[[#This Row],[HOY]]*$T$2</f>
        <v>15.903999999999998</v>
      </c>
      <c r="X130" s="6">
        <f>Tabla1[[#This Row],[HOY]]+Tabla1[[#This Row],[IVA]]</f>
        <v>115.30399999999999</v>
      </c>
      <c r="Y130" s="41">
        <f>Tabla1[[#This Row],[TOTAL]]*$C$2</f>
        <v>1980.9227199999998</v>
      </c>
      <c r="Z130" s="26">
        <v>2785.84</v>
      </c>
      <c r="AA130" s="29">
        <v>0.08</v>
      </c>
      <c r="AB130" s="32">
        <f>Tabla1[[#This Row],[PRECIO ML]]*(1-Tabla1[[#This Row],[DESCUENTO]])</f>
        <v>2562.9728000000005</v>
      </c>
      <c r="AC130" s="29">
        <v>0.19500000000000001</v>
      </c>
      <c r="AD130" s="26">
        <f>Tabla1[[#This Row],[PRECIO FINAL ML]]*Tabla1[[#This Row],[COMISIÓN ML]]</f>
        <v>499.77969600000011</v>
      </c>
      <c r="AE130" s="26"/>
      <c r="AF130" s="29"/>
      <c r="AG130" s="26">
        <f>(Tabla1[[#This Row],[PRECIO FINAL ML]]*Tabla1[[#This Row],[% ACOS]])/2</f>
        <v>0</v>
      </c>
      <c r="AH130" s="26">
        <f>Tabla1[[#This Row],[TOT COMISIÓN]]+Tabla1[[#This Row],[FIJO ML]]+Tabla1[[#This Row],[ACOS]]</f>
        <v>499.77969600000011</v>
      </c>
      <c r="AI130" s="26">
        <f t="shared" si="12"/>
        <v>1.1957279999999999</v>
      </c>
      <c r="AJ130" s="32">
        <f>Tabla1[[#This Row],[PRECIO FINAL ML]]-Tabla1[[#This Row],[DESCUENTO TOT]]-Tabla1[[#This Row],[ENVÍO]]</f>
        <v>2061.9973760000003</v>
      </c>
    </row>
    <row r="131" spans="1:36" ht="18" customHeight="1" x14ac:dyDescent="0.25">
      <c r="A131" s="12"/>
      <c r="E131" s="89"/>
      <c r="G131" s="3"/>
      <c r="H131" s="24"/>
      <c r="I131" s="24"/>
      <c r="J131" s="24"/>
      <c r="K131" s="3"/>
      <c r="L131" s="4"/>
      <c r="M131" s="4"/>
      <c r="N131" s="13"/>
      <c r="O131" s="3"/>
      <c r="P131" s="3"/>
      <c r="Q131" s="3"/>
      <c r="R131" s="3"/>
      <c r="S131" s="3"/>
      <c r="T131" s="43" t="str">
        <f>IF(Tabla1[[#This Row],[UTILIDAD]]&lt;0,"PÉRDIDA!!!","")</f>
        <v/>
      </c>
      <c r="U131" s="58"/>
      <c r="V131" s="36"/>
      <c r="W131" s="7"/>
      <c r="X131" s="7"/>
      <c r="Y131" s="42"/>
      <c r="Z131" s="24"/>
      <c r="AA131" s="27"/>
      <c r="AB131" s="7"/>
      <c r="AC131" s="27"/>
      <c r="AD131" s="24"/>
      <c r="AF131" s="27"/>
      <c r="AG131" s="24"/>
      <c r="AH131" s="24"/>
      <c r="AI131" s="24"/>
      <c r="AJ131" s="36"/>
    </row>
    <row r="132" spans="1:36" ht="18" customHeight="1" x14ac:dyDescent="0.25">
      <c r="A132" s="3"/>
      <c r="G132" s="3"/>
      <c r="H132" s="24"/>
      <c r="I132" s="24"/>
      <c r="J132" s="24"/>
      <c r="K132" s="3"/>
      <c r="L132" s="4"/>
      <c r="M132" s="4"/>
      <c r="N132" s="13"/>
      <c r="O132" s="3"/>
      <c r="P132" s="3"/>
      <c r="Q132" s="3"/>
      <c r="R132" s="3"/>
      <c r="S132" s="3"/>
      <c r="T132" s="43" t="str">
        <f>IF(Tabla1[[#This Row],[UTILIDAD]]&lt;0,"PÉRDIDA!!!","")</f>
        <v/>
      </c>
      <c r="U132" s="58"/>
      <c r="V132" s="36"/>
      <c r="W132" s="7"/>
      <c r="X132" s="7"/>
      <c r="Y132" s="42"/>
      <c r="Z132" s="24"/>
      <c r="AA132" s="27"/>
      <c r="AB132" s="7"/>
      <c r="AC132" s="27"/>
      <c r="AD132" s="24"/>
      <c r="AF132" s="27"/>
      <c r="AG132" s="24"/>
      <c r="AH132" s="24"/>
      <c r="AI132" s="24"/>
      <c r="AJ132" s="36"/>
    </row>
    <row r="133" spans="1:36" ht="18" customHeight="1" x14ac:dyDescent="0.25">
      <c r="A133" s="145" t="s">
        <v>137</v>
      </c>
      <c r="B133" s="5">
        <v>10</v>
      </c>
      <c r="C133" s="2" t="s">
        <v>106</v>
      </c>
      <c r="D133" s="5" t="s">
        <v>194</v>
      </c>
      <c r="E133" s="5" t="s">
        <v>256</v>
      </c>
      <c r="F133" s="5" t="s">
        <v>379</v>
      </c>
      <c r="G133" s="5">
        <v>500</v>
      </c>
      <c r="H133" s="26">
        <v>1.45</v>
      </c>
      <c r="I133" s="26">
        <v>1.45</v>
      </c>
      <c r="J133" s="26">
        <f>Tabla1[[#This Row],[HOY]]-Tabla1[[#This Row],[AYER]]</f>
        <v>0</v>
      </c>
      <c r="K133" s="5">
        <v>75</v>
      </c>
      <c r="L133" s="97" t="s">
        <v>107</v>
      </c>
      <c r="M133" s="97" t="s">
        <v>382</v>
      </c>
      <c r="N133" s="53" t="s">
        <v>248</v>
      </c>
      <c r="O133" s="9" t="s">
        <v>132</v>
      </c>
      <c r="P133" s="9">
        <v>12</v>
      </c>
      <c r="Q133" s="56"/>
      <c r="R133" s="2"/>
      <c r="S133" s="11" t="str">
        <f>IF(B133="","",(IF((Tabla1[[#This Row],[STOCK]]-1)&lt;Tabla1[[#This Row],[INV MIN]],"PAUSAR!!!!","")))</f>
        <v/>
      </c>
      <c r="T133" s="44" t="str">
        <f>IF(Tabla1[[#This Row],[UTILIDAD]]&lt;0,"PÉRDIDA!!!","")</f>
        <v/>
      </c>
      <c r="U133" s="60"/>
      <c r="V133" s="32">
        <f>Tabla1[[#This Row],[TOT VENTA]]-Tabla1[[#This Row],[COSTO]]</f>
        <v>51.277422000000001</v>
      </c>
      <c r="W133" s="6">
        <f>Tabla1[[#This Row],[HOY]]*$T$2</f>
        <v>0.23199999999999998</v>
      </c>
      <c r="X133" s="6">
        <f>Tabla1[[#This Row],[HOY]]+Tabla1[[#This Row],[IVA]]</f>
        <v>1.6819999999999999</v>
      </c>
      <c r="Y133" s="41">
        <f>Tabla1[[#This Row],[TOTAL]]*B133*$C$2</f>
        <v>288.9676</v>
      </c>
      <c r="Z133" s="26">
        <v>499</v>
      </c>
      <c r="AA133" s="29">
        <v>0.15</v>
      </c>
      <c r="AB133" s="32">
        <f>Tabla1[[#This Row],[PRECIO ML]]*(1-Tabla1[[#This Row],[DESCUENTO]])</f>
        <v>424.15</v>
      </c>
      <c r="AC133" s="29">
        <v>0.19500000000000001</v>
      </c>
      <c r="AD133" s="26">
        <f>Tabla1[[#This Row],[PRECIO FINAL ML]]*Tabla1[[#This Row],[COMISIÓN ML]]</f>
        <v>82.709249999999997</v>
      </c>
      <c r="AE133" s="26"/>
      <c r="AF133" s="29"/>
      <c r="AG133" s="26">
        <f>(Tabla1[[#This Row],[PRECIO FINAL ML]]*Tabla1[[#This Row],[% ACOS]])/2</f>
        <v>0</v>
      </c>
      <c r="AH133" s="26">
        <f>Tabla1[[#This Row],[TOT COMISIÓN]]+Tabla1[[#This Row],[FIJO ML]]+Tabla1[[#This Row],[ACOS]]</f>
        <v>82.709249999999997</v>
      </c>
      <c r="AI133" s="26">
        <f>$AF$2*(1+$T$2)*$C$2</f>
        <v>1.1957279999999999</v>
      </c>
      <c r="AJ133" s="32">
        <f>Tabla1[[#This Row],[PRECIO FINAL ML]]-Tabla1[[#This Row],[DESCUENTO TOT]]-Tabla1[[#This Row],[ENVÍO]]</f>
        <v>340.24502200000001</v>
      </c>
    </row>
    <row r="134" spans="1:36" ht="18" customHeight="1" x14ac:dyDescent="0.25">
      <c r="A134" s="146"/>
      <c r="B134" s="5">
        <v>4</v>
      </c>
      <c r="C134" s="2" t="s">
        <v>146</v>
      </c>
      <c r="D134" s="5" t="s">
        <v>194</v>
      </c>
      <c r="E134" s="5"/>
      <c r="F134" s="5"/>
      <c r="G134" s="5">
        <v>500</v>
      </c>
      <c r="H134" s="26">
        <v>3.55</v>
      </c>
      <c r="I134" s="26">
        <v>3.55</v>
      </c>
      <c r="J134" s="26">
        <f>Tabla1[[#This Row],[HOY]]-Tabla1[[#This Row],[AYER]]</f>
        <v>0</v>
      </c>
      <c r="K134" s="5">
        <v>75</v>
      </c>
      <c r="L134" s="54" t="s">
        <v>108</v>
      </c>
      <c r="M134" s="54"/>
      <c r="N134" s="53" t="s">
        <v>130</v>
      </c>
      <c r="O134" s="9" t="s">
        <v>132</v>
      </c>
      <c r="P134" s="9">
        <v>12</v>
      </c>
      <c r="Q134" s="56"/>
      <c r="R134" s="2"/>
      <c r="S134" s="11" t="str">
        <f>IF(B134="","",(IF((Tabla1[[#This Row],[STOCK]]-1)&lt;Tabla1[[#This Row],[INV MIN]],"PAUSAR!!!!","")))</f>
        <v/>
      </c>
      <c r="T134" s="44" t="str">
        <f>IF(Tabla1[[#This Row],[UTILIDAD]]&lt;0,"PÉRDIDA!!!","")</f>
        <v/>
      </c>
      <c r="U134" s="60"/>
      <c r="V134" s="32">
        <f>Tabla1[[#This Row],[TOT VENTA]]-Tabla1[[#This Row],[COSTO]]</f>
        <v>61.161922000000061</v>
      </c>
      <c r="W134" s="6">
        <f>Tabla1[[#This Row],[HOY]]*$T$2</f>
        <v>0.56799999999999995</v>
      </c>
      <c r="X134" s="6">
        <f>Tabla1[[#This Row],[HOY]]+Tabla1[[#This Row],[IVA]]</f>
        <v>4.1179999999999994</v>
      </c>
      <c r="Y134" s="41">
        <f>Tabla1[[#This Row],[TOTAL]]*B134*$C$2</f>
        <v>282.98895999999996</v>
      </c>
      <c r="Z134" s="26">
        <v>612.86</v>
      </c>
      <c r="AA134" s="29">
        <v>0.3</v>
      </c>
      <c r="AB134" s="32">
        <f>Tabla1[[#This Row],[PRECIO ML]]*(1-Tabla1[[#This Row],[DESCUENTO]])</f>
        <v>429.00200000000001</v>
      </c>
      <c r="AC134" s="29">
        <v>0.19500000000000001</v>
      </c>
      <c r="AD134" s="26">
        <f>Tabla1[[#This Row],[PRECIO FINAL ML]]*Tabla1[[#This Row],[COMISIÓN ML]]</f>
        <v>83.655390000000011</v>
      </c>
      <c r="AE134" s="26"/>
      <c r="AF134" s="29"/>
      <c r="AG134" s="26">
        <f>(Tabla1[[#This Row],[PRECIO FINAL ML]]*Tabla1[[#This Row],[% ACOS]])/2</f>
        <v>0</v>
      </c>
      <c r="AH134" s="26">
        <f>Tabla1[[#This Row],[TOT COMISIÓN]]+Tabla1[[#This Row],[FIJO ML]]+Tabla1[[#This Row],[ACOS]]</f>
        <v>83.655390000000011</v>
      </c>
      <c r="AI134" s="26">
        <f>$AF$2*(1+$T$2)*$C$2</f>
        <v>1.1957279999999999</v>
      </c>
      <c r="AJ134" s="32">
        <f>Tabla1[[#This Row],[PRECIO FINAL ML]]-Tabla1[[#This Row],[DESCUENTO TOT]]-Tabla1[[#This Row],[ENVÍO]]</f>
        <v>344.15088200000002</v>
      </c>
    </row>
    <row r="135" spans="1:36" ht="18" customHeight="1" x14ac:dyDescent="0.25">
      <c r="A135" s="146"/>
      <c r="B135" s="5">
        <v>1</v>
      </c>
      <c r="C135" s="2" t="s">
        <v>32</v>
      </c>
      <c r="D135" s="5" t="s">
        <v>194</v>
      </c>
      <c r="E135" s="5"/>
      <c r="F135" s="5"/>
      <c r="G135" s="5">
        <v>0</v>
      </c>
      <c r="H135" s="26">
        <v>31.96</v>
      </c>
      <c r="I135" s="26">
        <v>31.96</v>
      </c>
      <c r="J135" s="26">
        <f>Tabla1[[#This Row],[HOY]]-Tabla1[[#This Row],[AYER]]</f>
        <v>0</v>
      </c>
      <c r="K135" s="5">
        <v>25</v>
      </c>
      <c r="L135" s="54" t="s">
        <v>30</v>
      </c>
      <c r="M135" s="54"/>
      <c r="N135" s="53" t="s">
        <v>31</v>
      </c>
      <c r="O135" s="8" t="s">
        <v>62</v>
      </c>
      <c r="P135" s="8">
        <v>5</v>
      </c>
      <c r="Q135" s="5" t="s">
        <v>15</v>
      </c>
      <c r="R135" s="2"/>
      <c r="S135" s="11" t="str">
        <f>IF(B135="","",(IF((Tabla1[[#This Row],[STOCK]]-1)&lt;Tabla1[[#This Row],[INV MIN]],"PAUSAR!!!!","")))</f>
        <v>PAUSAR!!!!</v>
      </c>
      <c r="T135" s="44" t="str">
        <f>IF(Tabla1[[#This Row],[UTILIDAD]]&lt;0,"PÉRDIDA!!!","")</f>
        <v>PÉRDIDA!!!</v>
      </c>
      <c r="U135" s="60"/>
      <c r="V135" s="32">
        <f>Tabla1[[#This Row],[TOT VENTA]]-Tabla1[[#This Row],[COSTO]]</f>
        <v>-30.216376000000082</v>
      </c>
      <c r="W135" s="6">
        <f>Tabla1[[#This Row],[HOY]]*$T$2</f>
        <v>5.1135999999999999</v>
      </c>
      <c r="X135" s="6">
        <f>Tabla1[[#This Row],[HOY]]+Tabla1[[#This Row],[IVA]]</f>
        <v>37.073599999999999</v>
      </c>
      <c r="Y135" s="41">
        <f>Tabla1[[#This Row],[TOTAL]]*B135*$C$2</f>
        <v>636.92444799999998</v>
      </c>
      <c r="Z135" s="26">
        <v>899</v>
      </c>
      <c r="AA135" s="29">
        <v>0.16</v>
      </c>
      <c r="AB135" s="32">
        <f>Tabla1[[#This Row],[PRECIO ML]]*(1-Tabla1[[#This Row],[DESCUENTO]])</f>
        <v>755.16</v>
      </c>
      <c r="AC135" s="29">
        <v>0.19500000000000001</v>
      </c>
      <c r="AD135" s="26">
        <f>Tabla1[[#This Row],[PRECIO FINAL ML]]*Tabla1[[#This Row],[COMISIÓN ML]]</f>
        <v>147.25620000000001</v>
      </c>
      <c r="AE135" s="26"/>
      <c r="AF135" s="29"/>
      <c r="AG135" s="26">
        <f>(Tabla1[[#This Row],[PRECIO FINAL ML]]*Tabla1[[#This Row],[% ACOS]])/2</f>
        <v>0</v>
      </c>
      <c r="AH135" s="26">
        <f>Tabla1[[#This Row],[TOT COMISIÓN]]+Tabla1[[#This Row],[FIJO ML]]+Tabla1[[#This Row],[ACOS]]</f>
        <v>147.25620000000001</v>
      </c>
      <c r="AI135" s="26">
        <f>$AF$2*(1+$T$2)*$C$2</f>
        <v>1.1957279999999999</v>
      </c>
      <c r="AJ135" s="32">
        <f>Tabla1[[#This Row],[PRECIO FINAL ML]]-Tabla1[[#This Row],[DESCUENTO TOT]]-Tabla1[[#This Row],[ENVÍO]]</f>
        <v>606.7080719999999</v>
      </c>
    </row>
    <row r="136" spans="1:36" ht="18" customHeight="1" x14ac:dyDescent="0.25">
      <c r="A136" s="146"/>
      <c r="B136" s="5">
        <v>1</v>
      </c>
      <c r="C136" s="2" t="s">
        <v>104</v>
      </c>
      <c r="D136" s="5" t="s">
        <v>194</v>
      </c>
      <c r="E136" s="5"/>
      <c r="F136" s="5"/>
      <c r="G136" s="5">
        <v>102</v>
      </c>
      <c r="H136" s="26">
        <v>41.17</v>
      </c>
      <c r="I136" s="26">
        <v>41.17</v>
      </c>
      <c r="J136" s="26">
        <f>Tabla1[[#This Row],[HOY]]-Tabla1[[#This Row],[AYER]]</f>
        <v>0</v>
      </c>
      <c r="K136" s="5">
        <v>25</v>
      </c>
      <c r="L136" s="54" t="s">
        <v>105</v>
      </c>
      <c r="M136" s="54"/>
      <c r="N136" s="53" t="s">
        <v>249</v>
      </c>
      <c r="O136" s="9" t="s">
        <v>132</v>
      </c>
      <c r="P136" s="9">
        <v>5</v>
      </c>
      <c r="Q136" s="5"/>
      <c r="R136" s="2"/>
      <c r="S136" s="11" t="str">
        <f>IF(B136="","",(IF((Tabla1[[#This Row],[STOCK]]-1)&lt;Tabla1[[#This Row],[INV MIN]],"PAUSAR!!!!","")))</f>
        <v/>
      </c>
      <c r="T136" s="44" t="str">
        <f>IF(Tabla1[[#This Row],[UTILIDAD]]&lt;0,"PÉRDIDA!!!","")</f>
        <v/>
      </c>
      <c r="U136" s="60"/>
      <c r="V136" s="32">
        <f>Tabla1[[#This Row],[TOT VENTA]]-Tabla1[[#This Row],[COSTO]]</f>
        <v>93.242225999999846</v>
      </c>
      <c r="W136" s="6">
        <f>Tabla1[[#This Row],[HOY]]*$T$2</f>
        <v>6.5872000000000002</v>
      </c>
      <c r="X136" s="6">
        <f>Tabla1[[#This Row],[HOY]]+Tabla1[[#This Row],[IVA]]</f>
        <v>47.757200000000005</v>
      </c>
      <c r="Y136" s="41">
        <f>Tabla1[[#This Row],[TOTAL]]*B136*$C$2</f>
        <v>820.46869600000002</v>
      </c>
      <c r="Z136" s="26">
        <v>1277</v>
      </c>
      <c r="AA136" s="29">
        <v>0.11</v>
      </c>
      <c r="AB136" s="32">
        <f>Tabla1[[#This Row],[PRECIO ML]]*(1-Tabla1[[#This Row],[DESCUENTO]])</f>
        <v>1136.53</v>
      </c>
      <c r="AC136" s="29">
        <v>0.19500000000000001</v>
      </c>
      <c r="AD136" s="26">
        <f>Tabla1[[#This Row],[PRECIO FINAL ML]]*Tabla1[[#This Row],[COMISIÓN ML]]</f>
        <v>221.62335000000002</v>
      </c>
      <c r="AE136" s="26"/>
      <c r="AF136" s="29"/>
      <c r="AG136" s="26">
        <f>(Tabla1[[#This Row],[PRECIO FINAL ML]]*Tabla1[[#This Row],[% ACOS]])/2</f>
        <v>0</v>
      </c>
      <c r="AH136" s="26">
        <f>Tabla1[[#This Row],[TOT COMISIÓN]]+Tabla1[[#This Row],[FIJO ML]]+Tabla1[[#This Row],[ACOS]]</f>
        <v>221.62335000000002</v>
      </c>
      <c r="AI136" s="26">
        <f>$AF$2*(1+$T$2)*$C$2</f>
        <v>1.1957279999999999</v>
      </c>
      <c r="AJ136" s="32">
        <f>Tabla1[[#This Row],[PRECIO FINAL ML]]-Tabla1[[#This Row],[DESCUENTO TOT]]-Tabla1[[#This Row],[ENVÍO]]</f>
        <v>913.71092199999987</v>
      </c>
    </row>
    <row r="137" spans="1:36" ht="18" customHeight="1" x14ac:dyDescent="0.25">
      <c r="A137" s="146"/>
      <c r="B137" s="5">
        <v>1</v>
      </c>
      <c r="C137" s="2" t="s">
        <v>16</v>
      </c>
      <c r="D137" s="5" t="s">
        <v>194</v>
      </c>
      <c r="E137" s="5"/>
      <c r="F137" s="5"/>
      <c r="G137" s="5">
        <v>105</v>
      </c>
      <c r="H137" s="26">
        <v>41.24</v>
      </c>
      <c r="I137" s="26">
        <v>41.24</v>
      </c>
      <c r="J137" s="26">
        <f>Tabla1[[#This Row],[HOY]]-Tabla1[[#This Row],[AYER]]</f>
        <v>0</v>
      </c>
      <c r="K137" s="5">
        <v>25</v>
      </c>
      <c r="L137" s="54" t="s">
        <v>13</v>
      </c>
      <c r="M137" s="54"/>
      <c r="N137" s="53" t="s">
        <v>9</v>
      </c>
      <c r="O137" s="9" t="s">
        <v>132</v>
      </c>
      <c r="P137" s="9">
        <v>5</v>
      </c>
      <c r="Q137" s="5"/>
      <c r="R137" s="2"/>
      <c r="S137" s="11" t="str">
        <f>IF(B137="","",(IF((Tabla1[[#This Row],[STOCK]]-1)&lt;Tabla1[[#This Row],[INV MIN]],"PAUSAR!!!!","")))</f>
        <v/>
      </c>
      <c r="T137" s="44" t="str">
        <f>IF(Tabla1[[#This Row],[UTILIDAD]]&lt;0,"PÉRDIDA!!!","")</f>
        <v/>
      </c>
      <c r="U137" s="60"/>
      <c r="V137" s="32">
        <f>Tabla1[[#This Row],[TOT VENTA]]-Tabla1[[#This Row],[COSTO]]</f>
        <v>46.340559999999982</v>
      </c>
      <c r="W137" s="6">
        <f>Tabla1[[#This Row],[HOY]]*$T$2</f>
        <v>6.5984000000000007</v>
      </c>
      <c r="X137" s="6">
        <f>Tabla1[[#This Row],[HOY]]+Tabla1[[#This Row],[IVA]]</f>
        <v>47.8384</v>
      </c>
      <c r="Y137" s="41">
        <f>Tabla1[[#This Row],[TOTAL]]*B137*$C$2</f>
        <v>821.86371199999996</v>
      </c>
      <c r="Z137" s="26">
        <v>1200</v>
      </c>
      <c r="AA137" s="29">
        <v>0.1</v>
      </c>
      <c r="AB137" s="32">
        <f>Tabla1[[#This Row],[PRECIO ML]]*(1-Tabla1[[#This Row],[DESCUENTO]])</f>
        <v>1080</v>
      </c>
      <c r="AC137" s="29">
        <v>0.19500000000000001</v>
      </c>
      <c r="AD137" s="26">
        <f>Tabla1[[#This Row],[PRECIO FINAL ML]]*Tabla1[[#This Row],[COMISIÓN ML]]</f>
        <v>210.6</v>
      </c>
      <c r="AE137" s="26"/>
      <c r="AF137" s="29"/>
      <c r="AG137" s="26">
        <f>(Tabla1[[#This Row],[PRECIO FINAL ML]]*Tabla1[[#This Row],[% ACOS]])/2</f>
        <v>0</v>
      </c>
      <c r="AH137" s="26">
        <f>Tabla1[[#This Row],[TOT COMISIÓN]]+Tabla1[[#This Row],[FIJO ML]]+Tabla1[[#This Row],[ACOS]]</f>
        <v>210.6</v>
      </c>
      <c r="AI137" s="26">
        <f>$AF$2*(1+$T$2)*$C$2</f>
        <v>1.1957279999999999</v>
      </c>
      <c r="AJ137" s="32">
        <f>Tabla1[[#This Row],[PRECIO FINAL ML]]-Tabla1[[#This Row],[DESCUENTO TOT]]-Tabla1[[#This Row],[ENVÍO]]</f>
        <v>868.20427199999995</v>
      </c>
    </row>
    <row r="138" spans="1:36" ht="18" customHeight="1" x14ac:dyDescent="0.25">
      <c r="A138" s="146"/>
      <c r="B138" s="5">
        <v>1</v>
      </c>
      <c r="C138" s="2" t="s">
        <v>463</v>
      </c>
      <c r="D138" s="5" t="s">
        <v>194</v>
      </c>
      <c r="E138" s="5" t="s">
        <v>194</v>
      </c>
      <c r="F138" s="5" t="s">
        <v>464</v>
      </c>
      <c r="G138" s="5">
        <v>0</v>
      </c>
      <c r="H138" s="26">
        <v>19.27</v>
      </c>
      <c r="I138" s="26">
        <v>19.27</v>
      </c>
      <c r="J138" s="26">
        <f>Tabla1[[#This Row],[HOY]]-Tabla1[[#This Row],[AYER]]</f>
        <v>0</v>
      </c>
      <c r="K138" s="5">
        <v>50</v>
      </c>
      <c r="L138" s="54" t="s">
        <v>465</v>
      </c>
      <c r="M138" s="54"/>
      <c r="N138" s="116"/>
      <c r="O138" s="8" t="s">
        <v>62</v>
      </c>
      <c r="P138" s="8"/>
      <c r="Q138" s="5"/>
      <c r="R138" s="2"/>
      <c r="S138" s="11" t="str">
        <f>IF(B138="","",(IF((Tabla1[[#This Row],[STOCK]]-1)&lt;Tabla1[[#This Row],[INV MIN]],"PAUSAR!!!!","")))</f>
        <v>PAUSAR!!!!</v>
      </c>
      <c r="T138" s="44" t="str">
        <f>IF(Tabla1[[#This Row],[UTILIDAD]]&lt;0,"PÉRDIDA!!!","")</f>
        <v>PÉRDIDA!!!</v>
      </c>
      <c r="U138" s="60"/>
      <c r="V138" s="32">
        <f>Tabla1[[#This Row],[TOT VENTA]]-Tabla1[[#This Row],[COSTO]]</f>
        <v>-384.02797600000002</v>
      </c>
      <c r="W138" s="6">
        <f>Tabla1[[#This Row],[HOY]]*$T$2</f>
        <v>3.0832000000000002</v>
      </c>
      <c r="X138" s="6">
        <f>Tabla1[[#This Row],[HOY]]+Tabla1[[#This Row],[IVA]]</f>
        <v>22.353200000000001</v>
      </c>
      <c r="Y138" s="41">
        <f>Tabla1[[#This Row],[TOTAL]]*B138*$C$2</f>
        <v>384.02797600000002</v>
      </c>
      <c r="Z138" s="26"/>
      <c r="AA138" s="29"/>
      <c r="AB138" s="32">
        <f>Tabla1[[#This Row],[PRECIO ML]]*(1-Tabla1[[#This Row],[DESCUENTO]])</f>
        <v>0</v>
      </c>
      <c r="AC138" s="29">
        <v>0.19500000000000001</v>
      </c>
      <c r="AD138" s="26">
        <f>Tabla1[[#This Row],[PRECIO FINAL ML]]*Tabla1[[#This Row],[COMISIÓN ML]]</f>
        <v>0</v>
      </c>
      <c r="AE138" s="26"/>
      <c r="AF138" s="29"/>
      <c r="AG138" s="26">
        <f>(Tabla1[[#This Row],[PRECIO FINAL ML]]*Tabla1[[#This Row],[% ACOS]])/2</f>
        <v>0</v>
      </c>
      <c r="AH138" s="26">
        <f>Tabla1[[#This Row],[TOT COMISIÓN]]+Tabla1[[#This Row],[FIJO ML]]+Tabla1[[#This Row],[ACOS]]</f>
        <v>0</v>
      </c>
      <c r="AI138" s="115"/>
      <c r="AJ138" s="32">
        <f>Tabla1[[#This Row],[PRECIO FINAL ML]]-Tabla1[[#This Row],[DESCUENTO TOT]]-Tabla1[[#This Row],[ENVÍO]]</f>
        <v>0</v>
      </c>
    </row>
    <row r="139" spans="1:36" ht="18" customHeight="1" x14ac:dyDescent="0.25">
      <c r="A139" s="146"/>
      <c r="B139" s="5">
        <v>1</v>
      </c>
      <c r="C139" s="2" t="s">
        <v>414</v>
      </c>
      <c r="D139" s="5" t="s">
        <v>194</v>
      </c>
      <c r="E139" s="5" t="s">
        <v>256</v>
      </c>
      <c r="F139" s="5" t="s">
        <v>466</v>
      </c>
      <c r="G139" s="5">
        <v>400</v>
      </c>
      <c r="H139" s="26">
        <v>85.67</v>
      </c>
      <c r="I139" s="26">
        <v>85.67</v>
      </c>
      <c r="J139" s="26">
        <f>Tabla1[[#This Row],[HOY]]-Tabla1[[#This Row],[AYER]]</f>
        <v>0</v>
      </c>
      <c r="K139" s="5">
        <v>50</v>
      </c>
      <c r="L139" s="54" t="s">
        <v>467</v>
      </c>
      <c r="M139" s="54"/>
      <c r="N139" s="116"/>
      <c r="O139" s="8" t="s">
        <v>62</v>
      </c>
      <c r="P139" s="8"/>
      <c r="Q139" s="5"/>
      <c r="R139" s="2"/>
      <c r="S139" s="11" t="str">
        <f>IF(B139="","",(IF((Tabla1[[#This Row],[STOCK]]-1)&lt;Tabla1[[#This Row],[INV MIN]],"PAUSAR!!!!","")))</f>
        <v/>
      </c>
      <c r="T139" s="44" t="str">
        <f>IF(Tabla1[[#This Row],[UTILIDAD]]&lt;0,"PÉRDIDA!!!","")</f>
        <v>PÉRDIDA!!!</v>
      </c>
      <c r="U139" s="60"/>
      <c r="V139" s="32">
        <f>Tabla1[[#This Row],[TOT VENTA]]-Tabla1[[#This Row],[COSTO]]</f>
        <v>-1707.3002960000001</v>
      </c>
      <c r="W139" s="6">
        <f>Tabla1[[#This Row],[HOY]]*$T$2</f>
        <v>13.7072</v>
      </c>
      <c r="X139" s="6">
        <f>Tabla1[[#This Row],[HOY]]+Tabla1[[#This Row],[IVA]]</f>
        <v>99.377200000000002</v>
      </c>
      <c r="Y139" s="41">
        <f>Tabla1[[#This Row],[TOTAL]]*B139*$C$2</f>
        <v>1707.3002960000001</v>
      </c>
      <c r="Z139" s="26"/>
      <c r="AA139" s="29"/>
      <c r="AB139" s="32">
        <f>Tabla1[[#This Row],[PRECIO ML]]*(1-Tabla1[[#This Row],[DESCUENTO]])</f>
        <v>0</v>
      </c>
      <c r="AC139" s="29">
        <v>0.19500000000000001</v>
      </c>
      <c r="AD139" s="26">
        <f>Tabla1[[#This Row],[PRECIO FINAL ML]]*Tabla1[[#This Row],[COMISIÓN ML]]</f>
        <v>0</v>
      </c>
      <c r="AE139" s="26"/>
      <c r="AF139" s="29"/>
      <c r="AG139" s="26">
        <f>(Tabla1[[#This Row],[PRECIO FINAL ML]]*Tabla1[[#This Row],[% ACOS]])/2</f>
        <v>0</v>
      </c>
      <c r="AH139" s="26">
        <f>Tabla1[[#This Row],[TOT COMISIÓN]]+Tabla1[[#This Row],[FIJO ML]]+Tabla1[[#This Row],[ACOS]]</f>
        <v>0</v>
      </c>
      <c r="AI139" s="115"/>
      <c r="AJ139" s="32">
        <f>Tabla1[[#This Row],[PRECIO FINAL ML]]-Tabla1[[#This Row],[DESCUENTO TOT]]-Tabla1[[#This Row],[ENVÍO]]</f>
        <v>0</v>
      </c>
    </row>
    <row r="140" spans="1:36" ht="18" customHeight="1" x14ac:dyDescent="0.25">
      <c r="A140" s="146"/>
      <c r="B140" s="5"/>
      <c r="C140" s="2"/>
      <c r="D140" s="5"/>
      <c r="E140" s="5"/>
      <c r="F140" s="5"/>
      <c r="G140" s="5"/>
      <c r="H140" s="26"/>
      <c r="I140" s="26"/>
      <c r="J140" s="26">
        <f>Tabla1[[#This Row],[HOY]]-Tabla1[[#This Row],[AYER]]</f>
        <v>0</v>
      </c>
      <c r="K140" s="5"/>
      <c r="L140" s="54"/>
      <c r="M140" s="54"/>
      <c r="N140" s="116"/>
      <c r="O140" s="8" t="s">
        <v>62</v>
      </c>
      <c r="P140" s="8"/>
      <c r="Q140" s="5"/>
      <c r="R140" s="2"/>
      <c r="S140" s="11" t="str">
        <f>IF(B140="","",(IF((Tabla1[[#This Row],[STOCK]]-1)&lt;Tabla1[[#This Row],[INV MIN]],"PAUSAR!!!!","")))</f>
        <v/>
      </c>
      <c r="T140" s="44" t="str">
        <f>IF(Tabla1[[#This Row],[UTILIDAD]]&lt;0,"PÉRDIDA!!!","")</f>
        <v/>
      </c>
      <c r="U140" s="60"/>
      <c r="V140" s="32">
        <f>Tabla1[[#This Row],[TOT VENTA]]-Tabla1[[#This Row],[COSTO]]</f>
        <v>0</v>
      </c>
      <c r="W140" s="6">
        <f>Tabla1[[#This Row],[HOY]]*$T$2</f>
        <v>0</v>
      </c>
      <c r="X140" s="6">
        <f>Tabla1[[#This Row],[HOY]]+Tabla1[[#This Row],[IVA]]</f>
        <v>0</v>
      </c>
      <c r="Y140" s="41">
        <f>Tabla1[[#This Row],[TOTAL]]*B140*$C$2</f>
        <v>0</v>
      </c>
      <c r="Z140" s="26"/>
      <c r="AA140" s="29"/>
      <c r="AB140" s="32">
        <f>Tabla1[[#This Row],[PRECIO ML]]*(1-Tabla1[[#This Row],[DESCUENTO]])</f>
        <v>0</v>
      </c>
      <c r="AC140" s="29">
        <v>0.19500000000000001</v>
      </c>
      <c r="AD140" s="26">
        <f>Tabla1[[#This Row],[PRECIO FINAL ML]]*Tabla1[[#This Row],[COMISIÓN ML]]</f>
        <v>0</v>
      </c>
      <c r="AE140" s="26"/>
      <c r="AF140" s="29"/>
      <c r="AG140" s="26">
        <f>(Tabla1[[#This Row],[PRECIO FINAL ML]]*Tabla1[[#This Row],[% ACOS]])/2</f>
        <v>0</v>
      </c>
      <c r="AH140" s="26">
        <f>Tabla1[[#This Row],[TOT COMISIÓN]]+Tabla1[[#This Row],[FIJO ML]]+Tabla1[[#This Row],[ACOS]]</f>
        <v>0</v>
      </c>
      <c r="AI140" s="115"/>
      <c r="AJ140" s="32">
        <f>Tabla1[[#This Row],[PRECIO FINAL ML]]-Tabla1[[#This Row],[DESCUENTO TOT]]-Tabla1[[#This Row],[ENVÍO]]</f>
        <v>0</v>
      </c>
    </row>
    <row r="141" spans="1:36" ht="18" customHeight="1" x14ac:dyDescent="0.25">
      <c r="A141" s="146"/>
      <c r="B141" s="5"/>
      <c r="C141" s="2"/>
      <c r="D141" s="5"/>
      <c r="E141" s="5"/>
      <c r="F141" s="5"/>
      <c r="G141" s="5"/>
      <c r="H141" s="26"/>
      <c r="I141" s="26"/>
      <c r="J141" s="26">
        <f>Tabla1[[#This Row],[HOY]]-Tabla1[[#This Row],[AYER]]</f>
        <v>0</v>
      </c>
      <c r="K141" s="5"/>
      <c r="L141" s="54"/>
      <c r="M141" s="54"/>
      <c r="N141" s="116"/>
      <c r="O141" s="8" t="s">
        <v>62</v>
      </c>
      <c r="P141" s="8"/>
      <c r="Q141" s="5"/>
      <c r="R141" s="2"/>
      <c r="S141" s="11" t="str">
        <f>IF(B141="","",(IF((Tabla1[[#This Row],[STOCK]]-1)&lt;Tabla1[[#This Row],[INV MIN]],"PAUSAR!!!!","")))</f>
        <v/>
      </c>
      <c r="T141" s="44" t="str">
        <f>IF(Tabla1[[#This Row],[UTILIDAD]]&lt;0,"PÉRDIDA!!!","")</f>
        <v/>
      </c>
      <c r="U141" s="60"/>
      <c r="V141" s="32">
        <f>Tabla1[[#This Row],[TOT VENTA]]-Tabla1[[#This Row],[COSTO]]</f>
        <v>0</v>
      </c>
      <c r="W141" s="6">
        <f>Tabla1[[#This Row],[HOY]]*$T$2</f>
        <v>0</v>
      </c>
      <c r="X141" s="6">
        <f>Tabla1[[#This Row],[HOY]]+Tabla1[[#This Row],[IVA]]</f>
        <v>0</v>
      </c>
      <c r="Y141" s="41">
        <f>Tabla1[[#This Row],[TOTAL]]*B141*$C$2</f>
        <v>0</v>
      </c>
      <c r="Z141" s="26"/>
      <c r="AA141" s="29"/>
      <c r="AB141" s="32">
        <f>Tabla1[[#This Row],[PRECIO ML]]*(1-Tabla1[[#This Row],[DESCUENTO]])</f>
        <v>0</v>
      </c>
      <c r="AC141" s="29">
        <v>0.19500000000000001</v>
      </c>
      <c r="AD141" s="26">
        <f>Tabla1[[#This Row],[PRECIO FINAL ML]]*Tabla1[[#This Row],[COMISIÓN ML]]</f>
        <v>0</v>
      </c>
      <c r="AE141" s="26"/>
      <c r="AF141" s="29"/>
      <c r="AG141" s="26">
        <f>(Tabla1[[#This Row],[PRECIO FINAL ML]]*Tabla1[[#This Row],[% ACOS]])/2</f>
        <v>0</v>
      </c>
      <c r="AH141" s="26">
        <f>Tabla1[[#This Row],[TOT COMISIÓN]]+Tabla1[[#This Row],[FIJO ML]]+Tabla1[[#This Row],[ACOS]]</f>
        <v>0</v>
      </c>
      <c r="AI141" s="115"/>
      <c r="AJ141" s="32">
        <f>Tabla1[[#This Row],[PRECIO FINAL ML]]-Tabla1[[#This Row],[DESCUENTO TOT]]-Tabla1[[#This Row],[ENVÍO]]</f>
        <v>0</v>
      </c>
    </row>
    <row r="142" spans="1:36" ht="18" customHeight="1" x14ac:dyDescent="0.25">
      <c r="A142" s="146"/>
      <c r="B142" s="5"/>
      <c r="C142" s="2"/>
      <c r="D142" s="5"/>
      <c r="E142" s="5"/>
      <c r="F142" s="5"/>
      <c r="G142" s="5"/>
      <c r="H142" s="26"/>
      <c r="I142" s="26"/>
      <c r="J142" s="26">
        <f>Tabla1[[#This Row],[HOY]]-Tabla1[[#This Row],[AYER]]</f>
        <v>0</v>
      </c>
      <c r="K142" s="5"/>
      <c r="L142" s="54"/>
      <c r="M142" s="54"/>
      <c r="N142" s="116"/>
      <c r="O142" s="8" t="s">
        <v>62</v>
      </c>
      <c r="P142" s="8"/>
      <c r="Q142" s="5"/>
      <c r="R142" s="2"/>
      <c r="S142" s="11" t="str">
        <f>IF(B142="","",(IF((Tabla1[[#This Row],[STOCK]]-1)&lt;Tabla1[[#This Row],[INV MIN]],"PAUSAR!!!!","")))</f>
        <v/>
      </c>
      <c r="T142" s="44" t="str">
        <f>IF(Tabla1[[#This Row],[UTILIDAD]]&lt;0,"PÉRDIDA!!!","")</f>
        <v/>
      </c>
      <c r="U142" s="60"/>
      <c r="V142" s="32">
        <f>Tabla1[[#This Row],[TOT VENTA]]-Tabla1[[#This Row],[COSTO]]</f>
        <v>0</v>
      </c>
      <c r="W142" s="6">
        <f>Tabla1[[#This Row],[HOY]]*$T$2</f>
        <v>0</v>
      </c>
      <c r="X142" s="6">
        <f>Tabla1[[#This Row],[HOY]]+Tabla1[[#This Row],[IVA]]</f>
        <v>0</v>
      </c>
      <c r="Y142" s="41">
        <f>Tabla1[[#This Row],[TOTAL]]*B142*$C$2</f>
        <v>0</v>
      </c>
      <c r="Z142" s="26"/>
      <c r="AA142" s="29"/>
      <c r="AB142" s="32">
        <f>Tabla1[[#This Row],[PRECIO ML]]*(1-Tabla1[[#This Row],[DESCUENTO]])</f>
        <v>0</v>
      </c>
      <c r="AC142" s="29">
        <v>0.19500000000000001</v>
      </c>
      <c r="AD142" s="26">
        <f>Tabla1[[#This Row],[PRECIO FINAL ML]]*Tabla1[[#This Row],[COMISIÓN ML]]</f>
        <v>0</v>
      </c>
      <c r="AE142" s="26"/>
      <c r="AF142" s="29"/>
      <c r="AG142" s="26">
        <f>(Tabla1[[#This Row],[PRECIO FINAL ML]]*Tabla1[[#This Row],[% ACOS]])/2</f>
        <v>0</v>
      </c>
      <c r="AH142" s="26">
        <f>Tabla1[[#This Row],[TOT COMISIÓN]]+Tabla1[[#This Row],[FIJO ML]]+Tabla1[[#This Row],[ACOS]]</f>
        <v>0</v>
      </c>
      <c r="AI142" s="115"/>
      <c r="AJ142" s="32">
        <f>Tabla1[[#This Row],[PRECIO FINAL ML]]-Tabla1[[#This Row],[DESCUENTO TOT]]-Tabla1[[#This Row],[ENVÍO]]</f>
        <v>0</v>
      </c>
    </row>
    <row r="143" spans="1:36" ht="18" customHeight="1" x14ac:dyDescent="0.25">
      <c r="A143" s="146"/>
      <c r="B143" s="5"/>
      <c r="C143" s="2"/>
      <c r="D143" s="5"/>
      <c r="E143" s="5"/>
      <c r="F143" s="5"/>
      <c r="G143" s="5"/>
      <c r="H143" s="26"/>
      <c r="I143" s="26"/>
      <c r="J143" s="26">
        <f>Tabla1[[#This Row],[HOY]]-Tabla1[[#This Row],[AYER]]</f>
        <v>0</v>
      </c>
      <c r="K143" s="5"/>
      <c r="L143" s="54"/>
      <c r="M143" s="54"/>
      <c r="N143" s="116"/>
      <c r="O143" s="8" t="s">
        <v>62</v>
      </c>
      <c r="P143" s="8"/>
      <c r="Q143" s="5"/>
      <c r="R143" s="2"/>
      <c r="S143" s="11" t="str">
        <f>IF(B143="","",(IF((Tabla1[[#This Row],[STOCK]]-1)&lt;Tabla1[[#This Row],[INV MIN]],"PAUSAR!!!!","")))</f>
        <v/>
      </c>
      <c r="T143" s="44" t="str">
        <f>IF(Tabla1[[#This Row],[UTILIDAD]]&lt;0,"PÉRDIDA!!!","")</f>
        <v/>
      </c>
      <c r="U143" s="60"/>
      <c r="V143" s="32">
        <f>Tabla1[[#This Row],[TOT VENTA]]-Tabla1[[#This Row],[COSTO]]</f>
        <v>0</v>
      </c>
      <c r="W143" s="6">
        <f>Tabla1[[#This Row],[HOY]]*$T$2</f>
        <v>0</v>
      </c>
      <c r="X143" s="6">
        <f>Tabla1[[#This Row],[HOY]]+Tabla1[[#This Row],[IVA]]</f>
        <v>0</v>
      </c>
      <c r="Y143" s="41">
        <f>Tabla1[[#This Row],[TOTAL]]*B143*$C$2</f>
        <v>0</v>
      </c>
      <c r="Z143" s="26"/>
      <c r="AA143" s="29"/>
      <c r="AB143" s="32">
        <f>Tabla1[[#This Row],[PRECIO ML]]*(1-Tabla1[[#This Row],[DESCUENTO]])</f>
        <v>0</v>
      </c>
      <c r="AC143" s="29">
        <v>0.19500000000000001</v>
      </c>
      <c r="AD143" s="26">
        <f>Tabla1[[#This Row],[PRECIO FINAL ML]]*Tabla1[[#This Row],[COMISIÓN ML]]</f>
        <v>0</v>
      </c>
      <c r="AE143" s="26"/>
      <c r="AF143" s="29"/>
      <c r="AG143" s="26">
        <f>(Tabla1[[#This Row],[PRECIO FINAL ML]]*Tabla1[[#This Row],[% ACOS]])/2</f>
        <v>0</v>
      </c>
      <c r="AH143" s="26">
        <f>Tabla1[[#This Row],[TOT COMISIÓN]]+Tabla1[[#This Row],[FIJO ML]]+Tabla1[[#This Row],[ACOS]]</f>
        <v>0</v>
      </c>
      <c r="AI143" s="115"/>
      <c r="AJ143" s="32">
        <f>Tabla1[[#This Row],[PRECIO FINAL ML]]-Tabla1[[#This Row],[DESCUENTO TOT]]-Tabla1[[#This Row],[ENVÍO]]</f>
        <v>0</v>
      </c>
    </row>
    <row r="144" spans="1:36" ht="18" customHeight="1" x14ac:dyDescent="0.25">
      <c r="A144" s="146"/>
      <c r="B144" s="5"/>
      <c r="C144" s="2"/>
      <c r="D144" s="5"/>
      <c r="E144" s="5"/>
      <c r="F144" s="5"/>
      <c r="G144" s="5"/>
      <c r="H144" s="26"/>
      <c r="I144" s="26"/>
      <c r="J144" s="26">
        <f>Tabla1[[#This Row],[HOY]]-Tabla1[[#This Row],[AYER]]</f>
        <v>0</v>
      </c>
      <c r="K144" s="5"/>
      <c r="L144" s="54"/>
      <c r="M144" s="54"/>
      <c r="N144" s="116"/>
      <c r="O144" s="8" t="s">
        <v>62</v>
      </c>
      <c r="P144" s="8"/>
      <c r="Q144" s="5"/>
      <c r="R144" s="2"/>
      <c r="S144" s="11" t="str">
        <f>IF(B144="","",(IF((Tabla1[[#This Row],[STOCK]]-1)&lt;Tabla1[[#This Row],[INV MIN]],"PAUSAR!!!!","")))</f>
        <v/>
      </c>
      <c r="T144" s="44" t="str">
        <f>IF(Tabla1[[#This Row],[UTILIDAD]]&lt;0,"PÉRDIDA!!!","")</f>
        <v/>
      </c>
      <c r="U144" s="60"/>
      <c r="V144" s="32">
        <f>Tabla1[[#This Row],[TOT VENTA]]-Tabla1[[#This Row],[COSTO]]</f>
        <v>0</v>
      </c>
      <c r="W144" s="6">
        <f>Tabla1[[#This Row],[HOY]]*$T$2</f>
        <v>0</v>
      </c>
      <c r="X144" s="6">
        <f>Tabla1[[#This Row],[HOY]]+Tabla1[[#This Row],[IVA]]</f>
        <v>0</v>
      </c>
      <c r="Y144" s="41">
        <f>Tabla1[[#This Row],[TOTAL]]*B144*$C$2</f>
        <v>0</v>
      </c>
      <c r="Z144" s="26"/>
      <c r="AA144" s="29"/>
      <c r="AB144" s="32">
        <f>Tabla1[[#This Row],[PRECIO ML]]*(1-Tabla1[[#This Row],[DESCUENTO]])</f>
        <v>0</v>
      </c>
      <c r="AC144" s="29">
        <v>0.19500000000000001</v>
      </c>
      <c r="AD144" s="26">
        <f>Tabla1[[#This Row],[PRECIO FINAL ML]]*Tabla1[[#This Row],[COMISIÓN ML]]</f>
        <v>0</v>
      </c>
      <c r="AE144" s="26"/>
      <c r="AF144" s="29"/>
      <c r="AG144" s="26">
        <f>(Tabla1[[#This Row],[PRECIO FINAL ML]]*Tabla1[[#This Row],[% ACOS]])/2</f>
        <v>0</v>
      </c>
      <c r="AH144" s="26">
        <f>Tabla1[[#This Row],[TOT COMISIÓN]]+Tabla1[[#This Row],[FIJO ML]]+Tabla1[[#This Row],[ACOS]]</f>
        <v>0</v>
      </c>
      <c r="AI144" s="115"/>
      <c r="AJ144" s="32">
        <f>Tabla1[[#This Row],[PRECIO FINAL ML]]-Tabla1[[#This Row],[DESCUENTO TOT]]-Tabla1[[#This Row],[ENVÍO]]</f>
        <v>0</v>
      </c>
    </row>
    <row r="145" spans="1:36" ht="18" customHeight="1" x14ac:dyDescent="0.25">
      <c r="A145" s="146"/>
      <c r="B145" s="5"/>
      <c r="C145" s="2"/>
      <c r="D145" s="5"/>
      <c r="E145" s="5"/>
      <c r="F145" s="5"/>
      <c r="G145" s="5"/>
      <c r="H145" s="26"/>
      <c r="I145" s="26"/>
      <c r="J145" s="26">
        <f>Tabla1[[#This Row],[HOY]]-Tabla1[[#This Row],[AYER]]</f>
        <v>0</v>
      </c>
      <c r="K145" s="5"/>
      <c r="L145" s="54"/>
      <c r="M145" s="54"/>
      <c r="N145" s="116"/>
      <c r="O145" s="8" t="s">
        <v>62</v>
      </c>
      <c r="P145" s="8"/>
      <c r="Q145" s="5"/>
      <c r="R145" s="2"/>
      <c r="S145" s="11" t="str">
        <f>IF(B145="","",(IF((Tabla1[[#This Row],[STOCK]]-1)&lt;Tabla1[[#This Row],[INV MIN]],"PAUSAR!!!!","")))</f>
        <v/>
      </c>
      <c r="T145" s="44" t="str">
        <f>IF(Tabla1[[#This Row],[UTILIDAD]]&lt;0,"PÉRDIDA!!!","")</f>
        <v/>
      </c>
      <c r="U145" s="60"/>
      <c r="V145" s="32">
        <f>Tabla1[[#This Row],[TOT VENTA]]-Tabla1[[#This Row],[COSTO]]</f>
        <v>0</v>
      </c>
      <c r="W145" s="6">
        <f>Tabla1[[#This Row],[HOY]]*$T$2</f>
        <v>0</v>
      </c>
      <c r="X145" s="6">
        <f>Tabla1[[#This Row],[HOY]]+Tabla1[[#This Row],[IVA]]</f>
        <v>0</v>
      </c>
      <c r="Y145" s="41">
        <f>Tabla1[[#This Row],[TOTAL]]*B145*$C$2</f>
        <v>0</v>
      </c>
      <c r="Z145" s="26"/>
      <c r="AA145" s="29"/>
      <c r="AB145" s="32">
        <f>Tabla1[[#This Row],[PRECIO ML]]*(1-Tabla1[[#This Row],[DESCUENTO]])</f>
        <v>0</v>
      </c>
      <c r="AC145" s="29">
        <v>0.19500000000000001</v>
      </c>
      <c r="AD145" s="26">
        <f>Tabla1[[#This Row],[PRECIO FINAL ML]]*Tabla1[[#This Row],[COMISIÓN ML]]</f>
        <v>0</v>
      </c>
      <c r="AE145" s="26"/>
      <c r="AF145" s="29"/>
      <c r="AG145" s="26">
        <f>(Tabla1[[#This Row],[PRECIO FINAL ML]]*Tabla1[[#This Row],[% ACOS]])/2</f>
        <v>0</v>
      </c>
      <c r="AH145" s="26">
        <f>Tabla1[[#This Row],[TOT COMISIÓN]]+Tabla1[[#This Row],[FIJO ML]]+Tabla1[[#This Row],[ACOS]]</f>
        <v>0</v>
      </c>
      <c r="AI145" s="115"/>
      <c r="AJ145" s="32">
        <f>Tabla1[[#This Row],[PRECIO FINAL ML]]-Tabla1[[#This Row],[DESCUENTO TOT]]-Tabla1[[#This Row],[ENVÍO]]</f>
        <v>0</v>
      </c>
    </row>
    <row r="146" spans="1:36" ht="18" customHeight="1" x14ac:dyDescent="0.25">
      <c r="A146" s="146"/>
      <c r="B146" s="5"/>
      <c r="C146" s="2"/>
      <c r="D146" s="5"/>
      <c r="E146" s="5"/>
      <c r="F146" s="5"/>
      <c r="G146" s="5"/>
      <c r="H146" s="26"/>
      <c r="I146" s="26"/>
      <c r="J146" s="26">
        <f>Tabla1[[#This Row],[HOY]]-Tabla1[[#This Row],[AYER]]</f>
        <v>0</v>
      </c>
      <c r="K146" s="5"/>
      <c r="L146" s="54"/>
      <c r="M146" s="54"/>
      <c r="N146" s="116"/>
      <c r="O146" s="8" t="s">
        <v>62</v>
      </c>
      <c r="P146" s="8"/>
      <c r="Q146" s="5"/>
      <c r="R146" s="2"/>
      <c r="S146" s="11" t="str">
        <f>IF(B146="","",(IF((Tabla1[[#This Row],[STOCK]]-1)&lt;Tabla1[[#This Row],[INV MIN]],"PAUSAR!!!!","")))</f>
        <v/>
      </c>
      <c r="T146" s="44" t="str">
        <f>IF(Tabla1[[#This Row],[UTILIDAD]]&lt;0,"PÉRDIDA!!!","")</f>
        <v/>
      </c>
      <c r="U146" s="60"/>
      <c r="V146" s="32">
        <f>Tabla1[[#This Row],[TOT VENTA]]-Tabla1[[#This Row],[COSTO]]</f>
        <v>0</v>
      </c>
      <c r="W146" s="6">
        <f>Tabla1[[#This Row],[HOY]]*$T$2</f>
        <v>0</v>
      </c>
      <c r="X146" s="6">
        <f>Tabla1[[#This Row],[HOY]]+Tabla1[[#This Row],[IVA]]</f>
        <v>0</v>
      </c>
      <c r="Y146" s="41">
        <f>Tabla1[[#This Row],[TOTAL]]*B146*$C$2</f>
        <v>0</v>
      </c>
      <c r="Z146" s="26"/>
      <c r="AA146" s="29"/>
      <c r="AB146" s="32">
        <f>Tabla1[[#This Row],[PRECIO ML]]*(1-Tabla1[[#This Row],[DESCUENTO]])</f>
        <v>0</v>
      </c>
      <c r="AC146" s="29">
        <v>0.19500000000000001</v>
      </c>
      <c r="AD146" s="26">
        <f>Tabla1[[#This Row],[PRECIO FINAL ML]]*Tabla1[[#This Row],[COMISIÓN ML]]</f>
        <v>0</v>
      </c>
      <c r="AE146" s="26"/>
      <c r="AF146" s="29"/>
      <c r="AG146" s="26">
        <f>(Tabla1[[#This Row],[PRECIO FINAL ML]]*Tabla1[[#This Row],[% ACOS]])/2</f>
        <v>0</v>
      </c>
      <c r="AH146" s="26">
        <f>Tabla1[[#This Row],[TOT COMISIÓN]]+Tabla1[[#This Row],[FIJO ML]]+Tabla1[[#This Row],[ACOS]]</f>
        <v>0</v>
      </c>
      <c r="AI146" s="115"/>
      <c r="AJ146" s="32">
        <f>Tabla1[[#This Row],[PRECIO FINAL ML]]-Tabla1[[#This Row],[DESCUENTO TOT]]-Tabla1[[#This Row],[ENVÍO]]</f>
        <v>0</v>
      </c>
    </row>
    <row r="147" spans="1:36" ht="18" customHeight="1" x14ac:dyDescent="0.25">
      <c r="A147" s="146"/>
      <c r="B147" s="5"/>
      <c r="C147" s="2"/>
      <c r="D147" s="5"/>
      <c r="E147" s="5"/>
      <c r="F147" s="5"/>
      <c r="G147" s="5"/>
      <c r="H147" s="26"/>
      <c r="I147" s="26"/>
      <c r="J147" s="26">
        <f>Tabla1[[#This Row],[HOY]]-Tabla1[[#This Row],[AYER]]</f>
        <v>0</v>
      </c>
      <c r="K147" s="5"/>
      <c r="L147" s="54"/>
      <c r="M147" s="54"/>
      <c r="N147" s="116"/>
      <c r="O147" s="8" t="s">
        <v>62</v>
      </c>
      <c r="P147" s="8"/>
      <c r="Q147" s="5"/>
      <c r="R147" s="2"/>
      <c r="S147" s="11" t="str">
        <f>IF(B147="","",(IF((Tabla1[[#This Row],[STOCK]]-1)&lt;Tabla1[[#This Row],[INV MIN]],"PAUSAR!!!!","")))</f>
        <v/>
      </c>
      <c r="T147" s="44" t="str">
        <f>IF(Tabla1[[#This Row],[UTILIDAD]]&lt;0,"PÉRDIDA!!!","")</f>
        <v/>
      </c>
      <c r="U147" s="60"/>
      <c r="V147" s="32">
        <f>Tabla1[[#This Row],[TOT VENTA]]-Tabla1[[#This Row],[COSTO]]</f>
        <v>0</v>
      </c>
      <c r="W147" s="6">
        <f>Tabla1[[#This Row],[HOY]]*$T$2</f>
        <v>0</v>
      </c>
      <c r="X147" s="6">
        <f>Tabla1[[#This Row],[HOY]]+Tabla1[[#This Row],[IVA]]</f>
        <v>0</v>
      </c>
      <c r="Y147" s="41">
        <f>Tabla1[[#This Row],[TOTAL]]*B147*$C$2</f>
        <v>0</v>
      </c>
      <c r="Z147" s="26"/>
      <c r="AA147" s="29"/>
      <c r="AB147" s="32">
        <f>Tabla1[[#This Row],[PRECIO ML]]*(1-Tabla1[[#This Row],[DESCUENTO]])</f>
        <v>0</v>
      </c>
      <c r="AC147" s="29">
        <v>0.19500000000000001</v>
      </c>
      <c r="AD147" s="26">
        <f>Tabla1[[#This Row],[PRECIO FINAL ML]]*Tabla1[[#This Row],[COMISIÓN ML]]</f>
        <v>0</v>
      </c>
      <c r="AE147" s="26"/>
      <c r="AF147" s="29"/>
      <c r="AG147" s="26">
        <f>(Tabla1[[#This Row],[PRECIO FINAL ML]]*Tabla1[[#This Row],[% ACOS]])/2</f>
        <v>0</v>
      </c>
      <c r="AH147" s="26">
        <f>Tabla1[[#This Row],[TOT COMISIÓN]]+Tabla1[[#This Row],[FIJO ML]]+Tabla1[[#This Row],[ACOS]]</f>
        <v>0</v>
      </c>
      <c r="AI147" s="115"/>
      <c r="AJ147" s="32">
        <f>Tabla1[[#This Row],[PRECIO FINAL ML]]-Tabla1[[#This Row],[DESCUENTO TOT]]-Tabla1[[#This Row],[ENVÍO]]</f>
        <v>0</v>
      </c>
    </row>
    <row r="148" spans="1:36" ht="18" customHeight="1" x14ac:dyDescent="0.25">
      <c r="A148" s="146"/>
      <c r="B148" s="5"/>
      <c r="C148" s="2"/>
      <c r="D148" s="5"/>
      <c r="E148" s="5"/>
      <c r="F148" s="5"/>
      <c r="G148" s="5"/>
      <c r="H148" s="26"/>
      <c r="I148" s="26"/>
      <c r="J148" s="26">
        <f>Tabla1[[#This Row],[HOY]]-Tabla1[[#This Row],[AYER]]</f>
        <v>0</v>
      </c>
      <c r="K148" s="5"/>
      <c r="L148" s="54"/>
      <c r="M148" s="54"/>
      <c r="N148" s="116"/>
      <c r="O148" s="8" t="s">
        <v>62</v>
      </c>
      <c r="P148" s="8"/>
      <c r="Q148" s="5"/>
      <c r="R148" s="2"/>
      <c r="S148" s="11" t="str">
        <f>IF(B148="","",(IF((Tabla1[[#This Row],[STOCK]]-1)&lt;Tabla1[[#This Row],[INV MIN]],"PAUSAR!!!!","")))</f>
        <v/>
      </c>
      <c r="T148" s="44" t="str">
        <f>IF(Tabla1[[#This Row],[UTILIDAD]]&lt;0,"PÉRDIDA!!!","")</f>
        <v/>
      </c>
      <c r="U148" s="60"/>
      <c r="V148" s="32">
        <f>Tabla1[[#This Row],[TOT VENTA]]-Tabla1[[#This Row],[COSTO]]</f>
        <v>0</v>
      </c>
      <c r="W148" s="6">
        <f>Tabla1[[#This Row],[HOY]]*$T$2</f>
        <v>0</v>
      </c>
      <c r="X148" s="6">
        <f>Tabla1[[#This Row],[HOY]]+Tabla1[[#This Row],[IVA]]</f>
        <v>0</v>
      </c>
      <c r="Y148" s="41">
        <f>Tabla1[[#This Row],[TOTAL]]*B148*$C$2</f>
        <v>0</v>
      </c>
      <c r="Z148" s="26"/>
      <c r="AA148" s="29"/>
      <c r="AB148" s="32">
        <f>Tabla1[[#This Row],[PRECIO ML]]*(1-Tabla1[[#This Row],[DESCUENTO]])</f>
        <v>0</v>
      </c>
      <c r="AC148" s="29">
        <v>0.19500000000000001</v>
      </c>
      <c r="AD148" s="26">
        <f>Tabla1[[#This Row],[PRECIO FINAL ML]]*Tabla1[[#This Row],[COMISIÓN ML]]</f>
        <v>0</v>
      </c>
      <c r="AE148" s="26"/>
      <c r="AF148" s="29"/>
      <c r="AG148" s="26">
        <f>(Tabla1[[#This Row],[PRECIO FINAL ML]]*Tabla1[[#This Row],[% ACOS]])/2</f>
        <v>0</v>
      </c>
      <c r="AH148" s="26">
        <f>Tabla1[[#This Row],[TOT COMISIÓN]]+Tabla1[[#This Row],[FIJO ML]]+Tabla1[[#This Row],[ACOS]]</f>
        <v>0</v>
      </c>
      <c r="AI148" s="115"/>
      <c r="AJ148" s="32">
        <f>Tabla1[[#This Row],[PRECIO FINAL ML]]-Tabla1[[#This Row],[DESCUENTO TOT]]-Tabla1[[#This Row],[ENVÍO]]</f>
        <v>0</v>
      </c>
    </row>
    <row r="149" spans="1:36" ht="18" customHeight="1" x14ac:dyDescent="0.25">
      <c r="A149" s="146"/>
      <c r="B149" s="5"/>
      <c r="C149" s="2"/>
      <c r="D149" s="5"/>
      <c r="E149" s="5"/>
      <c r="F149" s="5"/>
      <c r="G149" s="5"/>
      <c r="H149" s="26"/>
      <c r="I149" s="26"/>
      <c r="J149" s="26">
        <f>Tabla1[[#This Row],[HOY]]-Tabla1[[#This Row],[AYER]]</f>
        <v>0</v>
      </c>
      <c r="K149" s="5"/>
      <c r="L149" s="54"/>
      <c r="M149" s="54"/>
      <c r="N149" s="116"/>
      <c r="O149" s="8" t="s">
        <v>62</v>
      </c>
      <c r="P149" s="8"/>
      <c r="Q149" s="5"/>
      <c r="R149" s="2"/>
      <c r="S149" s="11" t="str">
        <f>IF(B149="","",(IF((Tabla1[[#This Row],[STOCK]]-1)&lt;Tabla1[[#This Row],[INV MIN]],"PAUSAR!!!!","")))</f>
        <v/>
      </c>
      <c r="T149" s="44" t="str">
        <f>IF(Tabla1[[#This Row],[UTILIDAD]]&lt;0,"PÉRDIDA!!!","")</f>
        <v/>
      </c>
      <c r="U149" s="60"/>
      <c r="V149" s="32">
        <f>Tabla1[[#This Row],[TOT VENTA]]-Tabla1[[#This Row],[COSTO]]</f>
        <v>0</v>
      </c>
      <c r="W149" s="6">
        <f>Tabla1[[#This Row],[HOY]]*$T$2</f>
        <v>0</v>
      </c>
      <c r="X149" s="6">
        <f>Tabla1[[#This Row],[HOY]]+Tabla1[[#This Row],[IVA]]</f>
        <v>0</v>
      </c>
      <c r="Y149" s="41">
        <f>Tabla1[[#This Row],[TOTAL]]*B149*$C$2</f>
        <v>0</v>
      </c>
      <c r="Z149" s="26"/>
      <c r="AA149" s="29"/>
      <c r="AB149" s="32">
        <f>Tabla1[[#This Row],[PRECIO ML]]*(1-Tabla1[[#This Row],[DESCUENTO]])</f>
        <v>0</v>
      </c>
      <c r="AC149" s="29">
        <v>0.19500000000000001</v>
      </c>
      <c r="AD149" s="26">
        <f>Tabla1[[#This Row],[PRECIO FINAL ML]]*Tabla1[[#This Row],[COMISIÓN ML]]</f>
        <v>0</v>
      </c>
      <c r="AE149" s="26"/>
      <c r="AF149" s="29"/>
      <c r="AG149" s="26">
        <f>(Tabla1[[#This Row],[PRECIO FINAL ML]]*Tabla1[[#This Row],[% ACOS]])/2</f>
        <v>0</v>
      </c>
      <c r="AH149" s="26">
        <f>Tabla1[[#This Row],[TOT COMISIÓN]]+Tabla1[[#This Row],[FIJO ML]]+Tabla1[[#This Row],[ACOS]]</f>
        <v>0</v>
      </c>
      <c r="AI149" s="115"/>
      <c r="AJ149" s="32">
        <f>Tabla1[[#This Row],[PRECIO FINAL ML]]-Tabla1[[#This Row],[DESCUENTO TOT]]-Tabla1[[#This Row],[ENVÍO]]</f>
        <v>0</v>
      </c>
    </row>
    <row r="150" spans="1:36" ht="18" customHeight="1" x14ac:dyDescent="0.25">
      <c r="A150" s="3"/>
      <c r="E150" s="89"/>
      <c r="G150" s="3"/>
      <c r="H150" s="24"/>
      <c r="I150" s="24"/>
      <c r="J150" s="24"/>
      <c r="K150" s="3"/>
      <c r="L150" s="4"/>
      <c r="M150" s="4"/>
      <c r="N150" s="13"/>
      <c r="O150" s="3"/>
      <c r="P150" s="3"/>
      <c r="Q150" s="3"/>
      <c r="R150" s="4"/>
      <c r="S150" s="4"/>
      <c r="T150" s="43" t="str">
        <f>IF(Tabla1[[#This Row],[UTILIDAD]]&lt;0,"PÉRDIDA!!!","")</f>
        <v/>
      </c>
      <c r="U150" s="58"/>
      <c r="V150" s="36"/>
      <c r="W150" s="7"/>
      <c r="X150" s="7"/>
      <c r="Y150" s="42"/>
      <c r="Z150" s="24"/>
      <c r="AA150" s="27"/>
      <c r="AB150" s="7"/>
      <c r="AC150" s="27"/>
      <c r="AD150" s="24"/>
      <c r="AF150" s="27"/>
      <c r="AG150" s="24"/>
      <c r="AH150" s="24"/>
      <c r="AI150" s="24"/>
      <c r="AJ150" s="36"/>
    </row>
    <row r="151" spans="1:36" ht="18" customHeight="1" x14ac:dyDescent="0.25">
      <c r="A151" s="136" t="s">
        <v>136</v>
      </c>
      <c r="B151" s="5">
        <v>1</v>
      </c>
      <c r="C151" s="2" t="s">
        <v>109</v>
      </c>
      <c r="D151" s="5" t="s">
        <v>194</v>
      </c>
      <c r="E151" s="5" t="s">
        <v>331</v>
      </c>
      <c r="F151" s="5"/>
      <c r="G151" s="5">
        <v>178</v>
      </c>
      <c r="H151" s="26">
        <v>179.41</v>
      </c>
      <c r="I151" s="26">
        <v>179.41</v>
      </c>
      <c r="J151" s="26">
        <f>Tabla1[[#This Row],[HOY]]-Tabla1[[#This Row],[AYER]]</f>
        <v>0</v>
      </c>
      <c r="K151" s="5">
        <v>10</v>
      </c>
      <c r="L151" s="2" t="s">
        <v>110</v>
      </c>
      <c r="M151" s="2"/>
      <c r="N151" s="53" t="s">
        <v>250</v>
      </c>
      <c r="O151" s="9" t="s">
        <v>132</v>
      </c>
      <c r="P151" s="9">
        <v>5</v>
      </c>
      <c r="Q151" s="5"/>
      <c r="R151" s="2"/>
      <c r="S151" s="11" t="str">
        <f>IF(B151="","",(IF((Tabla1[[#This Row],[STOCK]]-1)&lt;Tabla1[[#This Row],[INV MIN]],"PAUSAR!!!!","")))</f>
        <v/>
      </c>
      <c r="T151" s="44" t="str">
        <f>IF(Tabla1[[#This Row],[UTILIDAD]]&lt;0,"PÉRDIDA!!!","")</f>
        <v/>
      </c>
      <c r="U151" s="60"/>
      <c r="V151" s="32">
        <f>Tabla1[[#This Row],[TOT VENTA]]-Tabla1[[#This Row],[COSTO]]</f>
        <v>266.79279199999974</v>
      </c>
      <c r="W151" s="6">
        <f>Tabla1[[#This Row],[HOY]]*$T$2</f>
        <v>28.7056</v>
      </c>
      <c r="X151" s="6">
        <f>Tabla1[[#This Row],[HOY]]+Tabla1[[#This Row],[IVA]]</f>
        <v>208.1156</v>
      </c>
      <c r="Y151" s="41">
        <f>Tabla1[[#This Row],[TOTAL]]*B151*$C$2</f>
        <v>3575.4260079999999</v>
      </c>
      <c r="Z151" s="26">
        <v>7300</v>
      </c>
      <c r="AA151" s="29">
        <v>0.18</v>
      </c>
      <c r="AB151" s="32">
        <f>Tabla1[[#This Row],[PRECIO ML]]*(1-Tabla1[[#This Row],[DESCUENTO]])</f>
        <v>5986</v>
      </c>
      <c r="AC151" s="29">
        <v>0.19500000000000001</v>
      </c>
      <c r="AD151" s="26">
        <f>Tabla1[[#This Row],[PRECIO FINAL ML]]*Tabla1[[#This Row],[COMISIÓN ML]]</f>
        <v>1167.27</v>
      </c>
      <c r="AE151" s="26"/>
      <c r="AF151" s="29"/>
      <c r="AG151" s="26">
        <f>(Tabla1[[#This Row],[PRECIO FINAL ML]]*Tabla1[[#This Row],[% ACOS]])/2</f>
        <v>0</v>
      </c>
      <c r="AH151" s="26">
        <f>Tabla1[[#This Row],[TOT COMISIÓN]]+Tabla1[[#This Row],[FIJO ML]]+Tabla1[[#This Row],[ACOS]]</f>
        <v>1167.27</v>
      </c>
      <c r="AI151" s="26">
        <f>$AF$4*(1+$T$2)*$C$2</f>
        <v>976.51119999999992</v>
      </c>
      <c r="AJ151" s="32">
        <f>Tabla1[[#This Row],[PRECIO FINAL ML]]-Tabla1[[#This Row],[DESCUENTO TOT]]-Tabla1[[#This Row],[ENVÍO]]</f>
        <v>3842.2187999999996</v>
      </c>
    </row>
    <row r="152" spans="1:36" ht="18" customHeight="1" x14ac:dyDescent="0.25">
      <c r="A152" s="137"/>
      <c r="B152" s="5">
        <v>1</v>
      </c>
      <c r="C152" s="2" t="s">
        <v>111</v>
      </c>
      <c r="D152" s="5" t="s">
        <v>194</v>
      </c>
      <c r="E152" s="5" t="s">
        <v>331</v>
      </c>
      <c r="F152" s="5"/>
      <c r="G152" s="5">
        <v>57</v>
      </c>
      <c r="H152" s="26">
        <v>273.37</v>
      </c>
      <c r="I152" s="26">
        <v>273.37</v>
      </c>
      <c r="J152" s="26">
        <f>Tabla1[[#This Row],[HOY]]-Tabla1[[#This Row],[AYER]]</f>
        <v>0</v>
      </c>
      <c r="K152" s="5">
        <v>10</v>
      </c>
      <c r="L152" s="2" t="s">
        <v>112</v>
      </c>
      <c r="M152" s="2"/>
      <c r="N152" s="53" t="s">
        <v>251</v>
      </c>
      <c r="O152" s="9" t="s">
        <v>132</v>
      </c>
      <c r="P152" s="9">
        <v>5</v>
      </c>
      <c r="Q152" s="5"/>
      <c r="R152" s="2"/>
      <c r="S152" s="11" t="str">
        <f>IF(B152="","",(IF((Tabla1[[#This Row],[STOCK]]-1)&lt;Tabla1[[#This Row],[INV MIN]],"PAUSAR!!!!","")))</f>
        <v/>
      </c>
      <c r="T152" s="44" t="str">
        <f>IF(Tabla1[[#This Row],[UTILIDAD]]&lt;0,"PÉRDIDA!!!","")</f>
        <v/>
      </c>
      <c r="U152" s="60"/>
      <c r="V152" s="32">
        <f>Tabla1[[#This Row],[TOT VENTA]]-Tabla1[[#This Row],[COSTO]]</f>
        <v>136.94674400000076</v>
      </c>
      <c r="W152" s="6">
        <f>Tabla1[[#This Row],[HOY]]*$T$2</f>
        <v>43.739200000000004</v>
      </c>
      <c r="X152" s="6">
        <f>Tabla1[[#This Row],[HOY]]+Tabla1[[#This Row],[IVA]]</f>
        <v>317.10919999999999</v>
      </c>
      <c r="Y152" s="41">
        <f>Tabla1[[#This Row],[TOTAL]]*B152*$C$2</f>
        <v>5447.9360559999996</v>
      </c>
      <c r="Z152" s="26">
        <v>9940</v>
      </c>
      <c r="AA152" s="29">
        <v>0.18</v>
      </c>
      <c r="AB152" s="32">
        <f>Tabla1[[#This Row],[PRECIO ML]]*(1-Tabla1[[#This Row],[DESCUENTO]])</f>
        <v>8150.8</v>
      </c>
      <c r="AC152" s="29">
        <v>0.19500000000000001</v>
      </c>
      <c r="AD152" s="26">
        <f>Tabla1[[#This Row],[PRECIO FINAL ML]]*Tabla1[[#This Row],[COMISIÓN ML]]</f>
        <v>1589.4060000000002</v>
      </c>
      <c r="AE152" s="26"/>
      <c r="AF152" s="29"/>
      <c r="AG152" s="26">
        <f>(Tabla1[[#This Row],[PRECIO FINAL ML]]*Tabla1[[#This Row],[% ACOS]])/2</f>
        <v>0</v>
      </c>
      <c r="AH152" s="26">
        <f>Tabla1[[#This Row],[TOT COMISIÓN]]+Tabla1[[#This Row],[FIJO ML]]+Tabla1[[#This Row],[ACOS]]</f>
        <v>1589.4060000000002</v>
      </c>
      <c r="AI152" s="26">
        <f>$AF$4*(1+$T$2)*$C$2</f>
        <v>976.51119999999992</v>
      </c>
      <c r="AJ152" s="32">
        <f>Tabla1[[#This Row],[PRECIO FINAL ML]]-Tabla1[[#This Row],[DESCUENTO TOT]]-Tabla1[[#This Row],[ENVÍO]]</f>
        <v>5584.8828000000003</v>
      </c>
    </row>
  </sheetData>
  <mergeCells count="8">
    <mergeCell ref="P4:Q4"/>
    <mergeCell ref="A84:A130"/>
    <mergeCell ref="A24:A43"/>
    <mergeCell ref="A151:A152"/>
    <mergeCell ref="A6:A21"/>
    <mergeCell ref="A73:A81"/>
    <mergeCell ref="A46:A70"/>
    <mergeCell ref="A133:A149"/>
  </mergeCells>
  <phoneticPr fontId="4" type="noConversion"/>
  <conditionalFormatting sqref="R1:S4 V5:V152">
    <cfRule type="cellIs" dxfId="2" priority="1" operator="lessThan">
      <formula>0</formula>
    </cfRule>
  </conditionalFormatting>
  <conditionalFormatting sqref="S153:S1048576">
    <cfRule type="cellIs" dxfId="1" priority="3" operator="lessThan">
      <formula>0</formula>
    </cfRule>
  </conditionalFormatting>
  <conditionalFormatting sqref="AJ6:AJ152">
    <cfRule type="cellIs" dxfId="0" priority="2" operator="lessThan">
      <formula>0</formula>
    </cfRule>
  </conditionalFormatting>
  <hyperlinks>
    <hyperlink ref="N10" r:id="rId1" xr:uid="{6ECD1E9F-4222-4FB4-8B4E-F4D6E8309C7C}"/>
    <hyperlink ref="N8" r:id="rId2" xr:uid="{6CB0A121-94EF-40C9-ACBB-86A6B5844033}"/>
    <hyperlink ref="N9" r:id="rId3" xr:uid="{49DB1D82-7151-4087-A9F1-B94C38FFF802}"/>
    <hyperlink ref="N11" r:id="rId4" xr:uid="{EB18F57A-86AB-464F-93CD-9047B7279244}"/>
    <hyperlink ref="N12" r:id="rId5" xr:uid="{639E1EFB-9F5C-4BB8-BD51-69D44805065A}"/>
    <hyperlink ref="N13" r:id="rId6" xr:uid="{DFFADD48-31FF-420A-A845-5A3CABD62250}"/>
    <hyperlink ref="N14" r:id="rId7" xr:uid="{AD153B76-8CFD-413C-B696-46E7147037D2}"/>
    <hyperlink ref="N15" r:id="rId8" xr:uid="{02D2C928-FA60-4222-87B7-FEE5EEF52A48}"/>
    <hyperlink ref="N17" r:id="rId9" xr:uid="{4C887226-72FF-4C50-B71B-C857AFDEFDC0}"/>
    <hyperlink ref="N16" r:id="rId10" xr:uid="{713036CA-A7CD-470D-9789-DE697B246540}"/>
    <hyperlink ref="N18" r:id="rId11" xr:uid="{EAE0F78C-F76F-4A02-B05A-2049E59FD6BE}"/>
    <hyperlink ref="N19" r:id="rId12" xr:uid="{9E07E102-A613-4EE9-9122-D2BB5721B1F0}"/>
    <hyperlink ref="N20" r:id="rId13" xr:uid="{AD1F5499-CFB6-449C-83CB-43A66A949280}"/>
    <hyperlink ref="L8" r:id="rId14" xr:uid="{E8E53B94-770D-47F7-BDCC-63DB14D5B4DA}"/>
    <hyperlink ref="L9" r:id="rId15" xr:uid="{8BDF0A54-817F-4619-A016-BD0098E96193}"/>
    <hyperlink ref="L11" r:id="rId16" xr:uid="{AD7035CF-9ECC-42C8-8E19-A27E751B334D}"/>
    <hyperlink ref="L12" r:id="rId17" xr:uid="{854CE76E-C339-441C-A69E-EACAA27113D7}"/>
    <hyperlink ref="L13" r:id="rId18" xr:uid="{98900D71-AA00-441E-A0F5-3A0674FF1E14}"/>
    <hyperlink ref="L14" r:id="rId19" xr:uid="{8095AE0F-ED8A-4148-8EAA-BA56D2EAA5D3}"/>
    <hyperlink ref="L15" r:id="rId20" xr:uid="{41208AD5-ED53-4281-A02A-06F9132F8027}"/>
    <hyperlink ref="L16" r:id="rId21" xr:uid="{80D2229B-9D60-422F-BD58-EA004E8852FE}"/>
    <hyperlink ref="L17" r:id="rId22" xr:uid="{3DACAEFE-9E78-44B3-8C06-A33E3331C1E9}"/>
    <hyperlink ref="L18" r:id="rId23" xr:uid="{834DE319-D60D-4E08-9C00-CE0982053339}"/>
    <hyperlink ref="L20" r:id="rId24" xr:uid="{BB1D12D1-B96A-4386-8DD1-46B9300A97AA}"/>
    <hyperlink ref="L21" r:id="rId25" xr:uid="{7EA877C1-F720-482D-9246-CB4F989D1962}"/>
    <hyperlink ref="L10" r:id="rId26" xr:uid="{7D1E6B8D-24DA-4E95-9B1D-0ECD4FFDB751}"/>
    <hyperlink ref="L19" r:id="rId27" xr:uid="{CA7DDB3A-BFEE-4B2D-95AA-29859BE8038C}"/>
    <hyperlink ref="L24" r:id="rId28" xr:uid="{A27B2F0B-7120-4610-8C46-6257373C8722}"/>
    <hyperlink ref="L39" r:id="rId29" xr:uid="{EB000608-292F-4E37-A827-5A0B39AB703A}"/>
    <hyperlink ref="L40" r:id="rId30" xr:uid="{250DD0F0-3CD6-479A-BC16-9A240244E31D}"/>
    <hyperlink ref="L41" r:id="rId31" xr:uid="{C5E52939-0187-4A13-8FDF-84BC22CDBACB}"/>
    <hyperlink ref="N24" r:id="rId32" xr:uid="{6ED20C84-FCE5-4601-8B4F-6F60282784E2}"/>
    <hyperlink ref="N39" r:id="rId33" xr:uid="{5A68F7FA-47F4-482A-8ACC-57DFE80E5416}"/>
    <hyperlink ref="N40" r:id="rId34" xr:uid="{8C4F337C-D8A5-4A09-B00D-7890BAB27E7D}"/>
    <hyperlink ref="N41" r:id="rId35" xr:uid="{EE3F55BD-4ABC-4396-9FC3-BB856BE7474E}"/>
    <hyperlink ref="L65" r:id="rId36" xr:uid="{96544EDE-CE04-4897-8890-49694D53FE7B}"/>
    <hyperlink ref="L66" r:id="rId37" xr:uid="{460F2556-04D2-4EAE-82A9-5723597FABEE}"/>
    <hyperlink ref="L67" r:id="rId38" xr:uid="{6C3CAF88-84F3-4F11-997E-7F6CF1588D35}"/>
    <hyperlink ref="N65" r:id="rId39" xr:uid="{A2102533-C5DB-4093-B3E9-0DA60EC0C7C3}"/>
    <hyperlink ref="N66" r:id="rId40" xr:uid="{A729A467-A83B-475D-B558-D7B4894F9ED1}"/>
    <hyperlink ref="N67" r:id="rId41" xr:uid="{93CE5F16-8C0E-4FC3-B41A-42E96BAB09F0}"/>
    <hyperlink ref="L77" r:id="rId42" xr:uid="{B57A84ED-BC0F-4C26-983E-9D17669DB770}"/>
    <hyperlink ref="L78" r:id="rId43" xr:uid="{2DBF00E0-3E30-4A49-9FBB-E0C673DFBE3F}"/>
    <hyperlink ref="L79" r:id="rId44" xr:uid="{1D6B9083-0BE3-4E12-9483-3AFE9377D5A4}"/>
    <hyperlink ref="L80" r:id="rId45" xr:uid="{35C0A033-6FD1-4913-8776-B702B502CA08}"/>
    <hyperlink ref="L81" r:id="rId46" xr:uid="{2CB1C43D-18BA-4AE5-9AAA-F52FC9868270}"/>
    <hyperlink ref="N81" r:id="rId47" xr:uid="{6045A8D4-51E9-4033-AB0C-229BBADF586A}"/>
    <hyperlink ref="N77" r:id="rId48" xr:uid="{81397FF7-2A5F-4B16-89F5-549A3EE9355D}"/>
    <hyperlink ref="N78" r:id="rId49" xr:uid="{A0EBF47C-A429-4428-B79F-A1D9EC339BF4}"/>
    <hyperlink ref="N79" r:id="rId50" xr:uid="{C4BE59CB-EB7C-40E8-B31F-8F39D575D09C}"/>
    <hyperlink ref="N80" r:id="rId51" xr:uid="{C1268C2F-189E-4F02-AEB4-73FF6A7F70C8}"/>
    <hyperlink ref="L84" r:id="rId52" xr:uid="{F42DFF0D-C58F-4C4E-A502-DEB357B7E4CC}"/>
    <hyperlink ref="L85" r:id="rId53" xr:uid="{CBCC8717-559B-4B9D-B600-B5D26DF5CCD2}"/>
    <hyperlink ref="L87" r:id="rId54" xr:uid="{AB93026D-9212-4695-81E2-760A05AC760E}"/>
    <hyperlink ref="L88" r:id="rId55" xr:uid="{B5708FF1-306D-4674-A00E-8E678F256F32}"/>
    <hyperlink ref="L89" r:id="rId56" xr:uid="{434B79AC-76DF-4D6B-AB5F-792313B6DAC8}"/>
    <hyperlink ref="L90" r:id="rId57" xr:uid="{33439A72-4527-4533-977C-C633947D320C}"/>
    <hyperlink ref="L99" r:id="rId58" xr:uid="{B3B212E5-D827-4FD5-94C8-794C8502CA81}"/>
    <hyperlink ref="L100" r:id="rId59" xr:uid="{59367440-45AD-44ED-855A-403F817117BB}"/>
    <hyperlink ref="L101" r:id="rId60" xr:uid="{D998EEFB-7FD5-4404-B36F-4808ADC7E465}"/>
    <hyperlink ref="L102" r:id="rId61" xr:uid="{79F10D38-B69D-4275-84EB-93BC9670EFCE}"/>
    <hyperlink ref="L103" r:id="rId62" xr:uid="{FADBB639-74F8-418B-AFB5-D93367C886AC}"/>
    <hyperlink ref="L104" r:id="rId63" xr:uid="{06809A5F-08EF-4743-944C-AF976C09FADD}"/>
    <hyperlink ref="L105" r:id="rId64" xr:uid="{84F14C72-470B-467C-9186-83690F734B9D}"/>
    <hyperlink ref="L106" r:id="rId65" xr:uid="{28FC40C8-F2C1-4CAA-968F-E5AA0A713835}"/>
    <hyperlink ref="N84" r:id="rId66" xr:uid="{47FA2DF2-CB9A-4BA6-A5EA-7342C2349F2A}"/>
    <hyperlink ref="N85" r:id="rId67" xr:uid="{5D4423A8-075F-4FD1-8395-4017C6BB65A9}"/>
    <hyperlink ref="N87" r:id="rId68" xr:uid="{5603B255-8437-4379-AF55-3513917E5729}"/>
    <hyperlink ref="N88" r:id="rId69" xr:uid="{299F2094-3A32-4EE3-BC65-9E812C81786C}"/>
    <hyperlink ref="N99" r:id="rId70" xr:uid="{1F09B00E-9FC1-4B09-953A-5ECB044CD8E5}"/>
    <hyperlink ref="N100" r:id="rId71" xr:uid="{6BA85A06-E1C0-411E-8729-B00E89FC3E7E}"/>
    <hyperlink ref="N101" r:id="rId72" xr:uid="{6C8A9AC4-3FB9-4A81-AE35-7EEF5A63E609}"/>
    <hyperlink ref="N102" r:id="rId73" xr:uid="{923CDB75-7C13-4DE9-895C-4268F3933067}"/>
    <hyperlink ref="N103" r:id="rId74" xr:uid="{358C4831-73EF-4F76-999D-E51B28904DA6}"/>
    <hyperlink ref="N104" r:id="rId75" xr:uid="{93164F17-F58D-443A-9BCF-272141C26543}"/>
    <hyperlink ref="N105" r:id="rId76" xr:uid="{E2A06C87-C7EB-4712-BE27-508A1DD9CBA0}"/>
    <hyperlink ref="N106" r:id="rId77" xr:uid="{B2A36DC9-221A-44D1-A435-84067957A5E7}"/>
    <hyperlink ref="N86" r:id="rId78" xr:uid="{5B4C8DB8-EBFD-4B13-A27A-603313DF0CBA}"/>
    <hyperlink ref="N91" r:id="rId79" xr:uid="{C59635EA-22AA-433D-8FB4-4FE5611FD6F7}"/>
    <hyperlink ref="N92" r:id="rId80" xr:uid="{EBEF63E8-BE88-41A1-9C30-EC0A9ED5D266}"/>
    <hyperlink ref="N107" r:id="rId81" xr:uid="{FB6FAABE-837A-471D-A6B3-CDA20B762F27}"/>
    <hyperlink ref="N108" r:id="rId82" xr:uid="{FA3470D4-17F6-4516-AAB8-F6D54410F2BF}"/>
    <hyperlink ref="N109" r:id="rId83" xr:uid="{85342C4B-8F27-4B6D-8478-1EF4EF93345A}"/>
    <hyperlink ref="N111" r:id="rId84" xr:uid="{A0B08DCB-FFF7-4E87-A8B4-0908CA6447F7}"/>
    <hyperlink ref="N113" r:id="rId85" xr:uid="{AFEB6F25-2B9E-4454-B12A-0ADE87AB65EA}"/>
    <hyperlink ref="N115" r:id="rId86" xr:uid="{0A01F4EB-1114-4D92-BE41-5496A3458224}"/>
    <hyperlink ref="N117" r:id="rId87" xr:uid="{D87C5FB3-019B-4042-B091-9CBF18F545BA}"/>
    <hyperlink ref="N127" r:id="rId88" xr:uid="{BF0B03AF-14BF-41CD-9271-222FECAEAC17}"/>
    <hyperlink ref="N119" r:id="rId89" xr:uid="{43912B6C-D315-445D-8D68-14431D4D7C6D}"/>
    <hyperlink ref="N121" r:id="rId90" xr:uid="{2D917488-9D3C-43B0-8EDD-76E16693A2E0}"/>
    <hyperlink ref="N123" r:id="rId91" xr:uid="{E1F1058B-74FB-47A6-ACB8-8B4E1B24F7E1}"/>
    <hyperlink ref="N125" r:id="rId92" xr:uid="{13A37FC1-0470-4146-8ACA-F13E40804DB3}"/>
    <hyperlink ref="N129" r:id="rId93" xr:uid="{BC915B3B-B99F-42EB-9EC3-63949C181D82}"/>
    <hyperlink ref="N110" r:id="rId94" xr:uid="{FDEDB078-B97E-425F-9D07-3A09D80F0C16}"/>
    <hyperlink ref="N112" r:id="rId95" xr:uid="{55F139B7-6EE6-49FC-B60D-86CEC620D7E3}"/>
    <hyperlink ref="N114" r:id="rId96" xr:uid="{162632B1-F234-49B7-A532-868FE8385B62}"/>
    <hyperlink ref="N118" r:id="rId97" xr:uid="{AC5ADCAA-2B8F-454D-AD8A-A93388CE9265}"/>
    <hyperlink ref="N120" r:id="rId98" xr:uid="{D9A8A543-EB36-492F-9670-6B00DE8AA236}"/>
    <hyperlink ref="N122" r:id="rId99" xr:uid="{23A9E608-8FCE-45EC-A664-EC28D491BDBD}"/>
    <hyperlink ref="N124" r:id="rId100" xr:uid="{BA36EB1B-B02A-4ED6-AF45-3967F5B0218B}"/>
    <hyperlink ref="N126" r:id="rId101" xr:uid="{880C2831-02E5-467C-9C4E-FE069C142809}"/>
    <hyperlink ref="N128" r:id="rId102" xr:uid="{3A53A631-DA6D-479D-88BB-0C17B48CDD61}"/>
    <hyperlink ref="N130" r:id="rId103" xr:uid="{A1A3E690-79BC-4488-8D3D-4DBADFFE8BF7}"/>
    <hyperlink ref="N116" r:id="rId104" xr:uid="{8BA7E82F-7C94-4FEA-94AC-7B50FBF298DB}"/>
    <hyperlink ref="L133" r:id="rId105" xr:uid="{5D09C447-E481-4196-8B98-0B16CF2579F5}"/>
    <hyperlink ref="L134" r:id="rId106" xr:uid="{F4AAA0FC-03FB-47C4-9001-B599AE65FD02}"/>
    <hyperlink ref="L135" r:id="rId107" xr:uid="{9C8C0F59-9804-4E9E-93A1-A6308DE1E269}"/>
    <hyperlink ref="L136" r:id="rId108" xr:uid="{04FB740F-1B97-4C28-ADDD-6C7A0BBEB684}"/>
    <hyperlink ref="N134" r:id="rId109" xr:uid="{7175F30D-7221-4137-8BD9-2A60FC6B04BD}"/>
    <hyperlink ref="N135" r:id="rId110" xr:uid="{17370182-0622-4F97-978B-D98E75D03C8A}"/>
    <hyperlink ref="L51" r:id="rId111" xr:uid="{8960F908-85EC-45B3-8E0C-35DC58370A67}"/>
    <hyperlink ref="N51" r:id="rId112" xr:uid="{12B8C005-578B-4347-8220-04DE8125EBC5}"/>
    <hyperlink ref="L50" r:id="rId113" xr:uid="{7C4463F6-F1AF-4181-90EF-5409B5424760}"/>
    <hyperlink ref="N50" r:id="rId114" xr:uid="{61FEACB0-0536-4C2D-B68B-585D2B174776}"/>
    <hyperlink ref="L53" r:id="rId115" xr:uid="{F2CB9587-C9B1-4BF0-BC87-2C4E7E7F2D39}"/>
    <hyperlink ref="N53" r:id="rId116" xr:uid="{8067B771-D1B0-4D24-AAB9-F31282A6D546}"/>
    <hyperlink ref="L49" r:id="rId117" xr:uid="{67E2D011-5CDB-433D-AF3F-595C628DCCE6}"/>
    <hyperlink ref="N133" r:id="rId118" xr:uid="{5E347065-BD19-4102-B609-DA6F7A53A304}"/>
    <hyperlink ref="N136" r:id="rId119" xr:uid="{77ECB43E-DC8B-43E5-AF81-598E94670427}"/>
    <hyperlink ref="N151" r:id="rId120" xr:uid="{C3D1A99A-3639-4B5D-B73B-7233B3E172D2}"/>
    <hyperlink ref="N152" r:id="rId121" xr:uid="{50550799-A5AD-4F26-8DD1-5E57E266674D}"/>
    <hyperlink ref="N49" r:id="rId122" xr:uid="{EE6B1EDC-4C6B-411E-ACBA-DCF0C8B6DFEB}"/>
    <hyperlink ref="N30" r:id="rId123" xr:uid="{21C0A53E-D66C-46F1-A5D7-5CE0307CCBE4}"/>
    <hyperlink ref="N31" r:id="rId124" xr:uid="{79FD6FAD-9228-482B-9CF3-E0EA6C93A389}"/>
    <hyperlink ref="N32" r:id="rId125" xr:uid="{921405EE-412E-4036-A404-A8803321A8E8}"/>
    <hyperlink ref="L48" r:id="rId126" xr:uid="{30085D5D-B04F-4BB3-8AD1-9E186D108374}"/>
    <hyperlink ref="N48" r:id="rId127" xr:uid="{72A39119-83DE-445A-B5C1-65ED866F975F}"/>
    <hyperlink ref="L47" r:id="rId128" xr:uid="{A6E57803-C5AC-427D-BE6F-E4C06BBE325C}"/>
    <hyperlink ref="N47" r:id="rId129" xr:uid="{5BBEA702-6D85-4522-B967-E7E6AC6B45D8}"/>
    <hyperlink ref="L46" r:id="rId130" xr:uid="{F0A3ACC2-F728-476C-B1FB-2692FA1B7B8F}"/>
    <hyperlink ref="N46" r:id="rId131" xr:uid="{C72D15D8-359B-4D01-A9A8-5B8EDAF683B5}"/>
    <hyperlink ref="L52" r:id="rId132" xr:uid="{048AB04A-5C3A-4540-BACE-03D69B8FA043}"/>
    <hyperlink ref="N52" r:id="rId133" xr:uid="{929BB702-5FAA-4F45-BC15-CA45F288D71E}"/>
    <hyperlink ref="L54" r:id="rId134" xr:uid="{737C318F-D199-4279-A400-E317254B88D7}"/>
    <hyperlink ref="N54" r:id="rId135" xr:uid="{CC2EF8D9-46D0-47A6-B15B-9670A43E5EB1}"/>
    <hyperlink ref="L59" r:id="rId136" xr:uid="{FF6D7983-E3D1-40E1-9266-03B0E719A62E}"/>
    <hyperlink ref="N59" r:id="rId137" xr:uid="{1AA84108-4359-4579-A04A-598537A2990E}"/>
    <hyperlink ref="L57" r:id="rId138" xr:uid="{BB6E57AC-8978-46B3-BB92-2A1E59D199CE}"/>
    <hyperlink ref="L58" r:id="rId139" xr:uid="{2CA5082D-6BCF-4CDB-B13E-AFFF9DD1FE02}"/>
    <hyperlink ref="N57" r:id="rId140" xr:uid="{C0588E85-94C8-4CB7-8268-8B65674ADB71}"/>
    <hyperlink ref="N58" r:id="rId141" xr:uid="{6D3AEA88-7990-4C8A-863D-2290891668D5}"/>
    <hyperlink ref="L68" r:id="rId142" xr:uid="{50F842F0-64A2-48A1-B834-B6C7650178B7}"/>
    <hyperlink ref="N68" r:id="rId143" xr:uid="{D42555FC-30DF-4305-B583-62D9B02F7D85}"/>
    <hyperlink ref="L60" r:id="rId144" xr:uid="{F807BB88-5AD5-46C5-817D-7E9568850ACD}"/>
    <hyperlink ref="L61" r:id="rId145" xr:uid="{83741652-189A-4092-91BC-16C64CEDDDB0}"/>
    <hyperlink ref="L62" r:id="rId146" xr:uid="{B61FB252-DB58-4003-8201-0FF6C99E3DDD}"/>
    <hyperlink ref="L63" r:id="rId147" xr:uid="{EEE16857-E8D7-493F-874A-942EA3226F81}"/>
    <hyperlink ref="N60" r:id="rId148" xr:uid="{7C8F872F-1083-4E5F-A2DD-DE02274BF102}"/>
    <hyperlink ref="N62" r:id="rId149" xr:uid="{E3F81F45-AA76-47D1-BA56-ECEFA1BB9626}"/>
    <hyperlink ref="L64" r:id="rId150" xr:uid="{064C79B2-E491-413A-B7EB-90332A43DECB}"/>
    <hyperlink ref="N64" r:id="rId151" xr:uid="{8C9206E3-A5C3-47D1-87B1-03CC4DB89150}"/>
    <hyperlink ref="L76" r:id="rId152" xr:uid="{DA24AD9A-2BE5-4E8B-9A03-79697940424A}"/>
    <hyperlink ref="N76" r:id="rId153" xr:uid="{7DE62BA9-220E-4FC4-A872-86159C15A804}"/>
    <hyperlink ref="L73" r:id="rId154" xr:uid="{24F0AA5A-6A17-4ADF-A7AE-FAEB8776F521}"/>
    <hyperlink ref="L36" r:id="rId155" xr:uid="{E5147D59-4C44-49EE-BDBD-5902BEF7FCB6}"/>
    <hyperlink ref="L37" r:id="rId156" xr:uid="{296ABA25-F1AB-4886-9558-86CC709D171E}"/>
    <hyperlink ref="N36" r:id="rId157" xr:uid="{5F55848F-D5B9-4B4A-8EC9-3692071ACA3A}"/>
    <hyperlink ref="N37" r:id="rId158" xr:uid="{30BADBB8-333F-4CFF-ADD8-B30E96D68E68}"/>
    <hyperlink ref="N38" r:id="rId159" xr:uid="{C198C65F-CF28-4CE6-B62E-D08FDC27B8C0}"/>
    <hyperlink ref="N73" r:id="rId160" xr:uid="{9C813D84-5429-4830-BD73-B2B3038243B3}"/>
    <hyperlink ref="L74" r:id="rId161" xr:uid="{4FC23669-7701-48C2-ADFB-BDBFCAB7F0BB}"/>
    <hyperlink ref="N74" r:id="rId162" xr:uid="{98F8A41D-281B-4135-9A17-CFE3EA3F0A38}"/>
    <hyperlink ref="N7" r:id="rId163" xr:uid="{664A0B8D-B71F-4962-B7A6-4444B5D609E9}"/>
    <hyperlink ref="L7" r:id="rId164" xr:uid="{307FCAE7-712C-49A4-8DF1-72591A03991B}"/>
    <hyperlink ref="N6" r:id="rId165" xr:uid="{592871F0-58E6-4371-A594-A8994A796DF6}"/>
    <hyperlink ref="L6" r:id="rId166" xr:uid="{6B90B558-54E3-4B30-A468-7A0AB600B2FF}"/>
    <hyperlink ref="N137" r:id="rId167" display="https://articulo.mercadolibre.com.mx/MLM-2803316258-bateria-sellada-recargable-12v-7ah-agm-vrla-_JM" xr:uid="{2D99E967-6B63-451D-B3D9-54BAD5DFF3F9}"/>
    <hyperlink ref="L137" r:id="rId168" display="https://articulo.mercadolibre.com.mx/MLM-1959403553-4-pares-de-conectores-dobles-mc-4-modulo-fotovoltaico-_JM" xr:uid="{F9C6C41C-BC06-4630-A77D-B09C857B89F6}"/>
    <hyperlink ref="L138" r:id="rId169" xr:uid="{FE4EC49A-C499-4080-81EB-85AA391B48D3}"/>
    <hyperlink ref="L139" r:id="rId170" xr:uid="{895E1008-7B6E-453F-B0AA-F981233817CD}"/>
    <hyperlink ref="L93" r:id="rId171" xr:uid="{565E1D12-7BDC-498D-B77A-2C3528430463}"/>
    <hyperlink ref="N95" r:id="rId172" xr:uid="{78157794-417F-4883-9591-2CA92280B2AA}"/>
    <hyperlink ref="L94" r:id="rId173" xr:uid="{9F55A877-4CB8-482C-93B2-60A231056A38}"/>
    <hyperlink ref="L96" r:id="rId174" xr:uid="{AE328E10-98B4-4674-9E01-8030E1682534}"/>
    <hyperlink ref="L97" r:id="rId175" xr:uid="{E046AC7B-3894-4387-A6E3-AB32D6D05368}"/>
    <hyperlink ref="N98" r:id="rId176" xr:uid="{33AA76E7-F13E-4724-B140-5357BA838892}"/>
    <hyperlink ref="L69" r:id="rId177" xr:uid="{BA4EA15B-6FE9-4F9A-935A-638E834DC624}"/>
    <hyperlink ref="N69" r:id="rId178" xr:uid="{ABBF9651-8077-4808-A11C-736408895D2B}"/>
    <hyperlink ref="L70" r:id="rId179" xr:uid="{B1CF24CC-5C29-4026-B90C-FCD6C9D6D8B1}"/>
    <hyperlink ref="N70" r:id="rId180" xr:uid="{8A287894-DD4F-4D14-ACCC-FA1A756860B9}"/>
    <hyperlink ref="L25" r:id="rId181" xr:uid="{9CD02768-0207-4505-B5F4-826408574E57}"/>
    <hyperlink ref="L26" r:id="rId182" xr:uid="{DEE2B266-A472-4A18-80FE-A4E163CF1E36}"/>
    <hyperlink ref="N25" r:id="rId183" xr:uid="{3D46A42D-8009-4EC5-A6B7-3C9BB04AB28B}"/>
    <hyperlink ref="N26" r:id="rId184" xr:uid="{02219ED9-2279-41D9-80B7-C60AB7710121}"/>
    <hyperlink ref="L27" r:id="rId185" xr:uid="{4F00B654-0CE8-4CA5-AFB1-8E50B8D7676E}"/>
    <hyperlink ref="L28" r:id="rId186" xr:uid="{DDC1342A-EFA6-4FF7-921D-25CF76B74046}"/>
    <hyperlink ref="L29" r:id="rId187" xr:uid="{4892DFDD-3E8B-4F87-BB0E-7EE615F4F447}"/>
    <hyperlink ref="N27" r:id="rId188" xr:uid="{6C10127F-59D6-4246-B7F2-C46E10348ABC}"/>
    <hyperlink ref="N28" r:id="rId189" xr:uid="{4CDD00C5-5C09-41D1-AB7F-BAF4A305E2FF}"/>
    <hyperlink ref="N29" r:id="rId190" xr:uid="{1959DBDD-3061-4E61-8655-2FCC65213C8B}"/>
    <hyperlink ref="L33" r:id="rId191" xr:uid="{3FE7F36C-111E-422D-A9F3-A671C93E361E}"/>
    <hyperlink ref="L34" r:id="rId192" xr:uid="{09FEAF09-05F8-4864-80C4-356D03F04EF8}"/>
    <hyperlink ref="L35" r:id="rId193" xr:uid="{D472B8BA-21CC-47A1-83A4-A315D0B680DA}"/>
    <hyperlink ref="N34" r:id="rId194" xr:uid="{24F71310-7C2B-470B-8175-F8B86B5D002F}"/>
    <hyperlink ref="N33" r:id="rId195" xr:uid="{C79EF9BB-2314-45F0-B24B-9E2F1C660E3A}"/>
    <hyperlink ref="N35" r:id="rId196" xr:uid="{E20B0D32-40B6-4C9D-A81B-B576B1B98057}"/>
    <hyperlink ref="L42" r:id="rId197" xr:uid="{904ECFA3-0774-4C72-8E05-9849B4E0E314}"/>
    <hyperlink ref="N42" r:id="rId198" xr:uid="{818C051F-2A0A-4781-8845-BF246C9A1388}"/>
  </hyperlinks>
  <pageMargins left="0.7" right="0.7" top="0.75" bottom="0.75" header="0.3" footer="0.3"/>
  <pageSetup orientation="portrait" horizontalDpi="4294967293" r:id="rId199"/>
  <tableParts count="1">
    <tablePart r:id="rId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28F4-3878-4FFE-8138-6312C3755CC7}">
  <dimension ref="A1:P46"/>
  <sheetViews>
    <sheetView workbookViewId="0">
      <selection activeCell="A20" sqref="A20:A21"/>
    </sheetView>
  </sheetViews>
  <sheetFormatPr baseColWidth="10" defaultRowHeight="15" x14ac:dyDescent="0.25"/>
  <cols>
    <col min="1" max="1" width="17.28515625" style="92" bestFit="1" customWidth="1"/>
    <col min="2" max="2" width="3.42578125" style="92" customWidth="1"/>
    <col min="3" max="3" width="5.85546875" style="92" customWidth="1"/>
    <col min="4" max="4" width="11.7109375" style="98" bestFit="1" customWidth="1"/>
    <col min="5" max="5" width="12" style="98" bestFit="1" customWidth="1"/>
    <col min="6" max="6" width="17.42578125" style="99" bestFit="1" customWidth="1"/>
    <col min="7" max="7" width="92.140625" style="100" bestFit="1" customWidth="1"/>
    <col min="8" max="8" width="10.28515625" style="101" bestFit="1" customWidth="1"/>
    <col min="9" max="9" width="15.7109375" style="92" bestFit="1" customWidth="1"/>
    <col min="10" max="11" width="11.5703125" style="92" customWidth="1"/>
    <col min="12" max="12" width="12.85546875" style="92" bestFit="1" customWidth="1"/>
    <col min="13" max="15" width="11.42578125" style="92"/>
    <col min="16" max="16" width="15.85546875" style="92" bestFit="1" customWidth="1"/>
    <col min="17" max="16384" width="11.42578125" style="92"/>
  </cols>
  <sheetData>
    <row r="1" spans="1:16" ht="41.25" customHeight="1" x14ac:dyDescent="0.25"/>
    <row r="2" spans="1:16" ht="18.75" x14ac:dyDescent="0.3">
      <c r="G2" s="102" t="s">
        <v>388</v>
      </c>
      <c r="H2" s="147">
        <f ca="1">TODAY()</f>
        <v>45313</v>
      </c>
      <c r="I2" s="147"/>
      <c r="J2" s="147"/>
      <c r="N2" s="148" t="s">
        <v>389</v>
      </c>
      <c r="O2" s="148"/>
      <c r="P2" s="103">
        <f>SUM(P8:P1048576)</f>
        <v>44648.220413439994</v>
      </c>
    </row>
    <row r="3" spans="1:16" x14ac:dyDescent="0.25">
      <c r="F3" s="92"/>
      <c r="G3" s="102" t="s">
        <v>390</v>
      </c>
      <c r="H3" s="149"/>
      <c r="I3" s="149"/>
      <c r="J3" s="149"/>
      <c r="K3" s="105" t="s">
        <v>391</v>
      </c>
      <c r="L3" s="92">
        <f>INVENTARIO!C2</f>
        <v>17.18</v>
      </c>
      <c r="M3" s="100"/>
      <c r="P3" s="106" t="s">
        <v>174</v>
      </c>
    </row>
    <row r="4" spans="1:16" x14ac:dyDescent="0.25">
      <c r="A4" s="90" t="s">
        <v>392</v>
      </c>
      <c r="F4" s="92"/>
      <c r="G4" s="102" t="s">
        <v>393</v>
      </c>
      <c r="H4" s="150" t="s">
        <v>394</v>
      </c>
      <c r="I4" s="150"/>
      <c r="J4" s="150"/>
      <c r="K4" s="105" t="s">
        <v>170</v>
      </c>
      <c r="L4" s="101">
        <v>16</v>
      </c>
      <c r="M4" s="104" t="s">
        <v>395</v>
      </c>
      <c r="P4" s="107" t="s">
        <v>396</v>
      </c>
    </row>
    <row r="5" spans="1:16" x14ac:dyDescent="0.25">
      <c r="A5" s="127">
        <v>12</v>
      </c>
      <c r="B5" s="92" t="s">
        <v>395</v>
      </c>
    </row>
    <row r="6" spans="1:16" s="106" customFormat="1" x14ac:dyDescent="0.25">
      <c r="A6" s="106" t="s">
        <v>397</v>
      </c>
      <c r="F6" s="107"/>
      <c r="G6" s="105"/>
      <c r="H6" s="108"/>
      <c r="I6" s="106" t="s">
        <v>398</v>
      </c>
      <c r="J6" s="106" t="s">
        <v>399</v>
      </c>
      <c r="K6" s="106" t="s">
        <v>400</v>
      </c>
      <c r="L6" s="106" t="s">
        <v>400</v>
      </c>
      <c r="M6" s="106" t="s">
        <v>401</v>
      </c>
      <c r="N6" s="106" t="s">
        <v>402</v>
      </c>
      <c r="O6" s="106" t="s">
        <v>403</v>
      </c>
      <c r="P6" s="106" t="s">
        <v>404</v>
      </c>
    </row>
    <row r="7" spans="1:16" s="106" customFormat="1" x14ac:dyDescent="0.25">
      <c r="A7" s="106" t="s">
        <v>171</v>
      </c>
      <c r="D7" s="106" t="s">
        <v>405</v>
      </c>
      <c r="E7" s="106" t="s">
        <v>406</v>
      </c>
      <c r="F7" s="106" t="s">
        <v>407</v>
      </c>
      <c r="G7" s="105" t="s">
        <v>408</v>
      </c>
      <c r="H7" s="108" t="s">
        <v>409</v>
      </c>
      <c r="I7" s="106" t="s">
        <v>171</v>
      </c>
      <c r="J7" s="106" t="s">
        <v>171</v>
      </c>
      <c r="K7" s="106" t="s">
        <v>171</v>
      </c>
      <c r="L7" s="106" t="s">
        <v>174</v>
      </c>
      <c r="M7" s="106" t="s">
        <v>174</v>
      </c>
      <c r="N7" s="106" t="s">
        <v>174</v>
      </c>
      <c r="O7" s="106" t="s">
        <v>174</v>
      </c>
      <c r="P7" s="106" t="s">
        <v>174</v>
      </c>
    </row>
    <row r="8" spans="1:16" x14ac:dyDescent="0.25">
      <c r="D8" s="123"/>
      <c r="E8" s="123"/>
      <c r="F8" s="123"/>
      <c r="G8" s="105" t="s">
        <v>468</v>
      </c>
      <c r="I8" s="92" t="str">
        <f>IF(H8="","",(A8+(A8*($A$5/100))))</f>
        <v/>
      </c>
      <c r="J8" s="92" t="str">
        <f t="shared" ref="J8:J32" si="0">IF(H8="","",(I8*($L$4/100)))</f>
        <v/>
      </c>
      <c r="K8" s="92" t="str">
        <f>IF(H8="","",((I8+J8)*H8))</f>
        <v/>
      </c>
      <c r="L8" s="92" t="str">
        <f>IF(H8="","",(K8*$L$3))</f>
        <v/>
      </c>
      <c r="M8" s="92">
        <v>0</v>
      </c>
      <c r="N8" s="92" t="str">
        <f>IF(H8="","",(M8*($L$4/100)))</f>
        <v/>
      </c>
      <c r="O8" s="92" t="str">
        <f>IF(H8="","",(H8*(M8+N8)))</f>
        <v/>
      </c>
      <c r="P8" s="92" t="str">
        <f>IF(H8="","",(L8+O8))</f>
        <v/>
      </c>
    </row>
    <row r="9" spans="1:16" x14ac:dyDescent="0.25">
      <c r="A9" s="119">
        <f>INVENTARIO!I16</f>
        <v>102.14</v>
      </c>
      <c r="D9" s="110" t="s">
        <v>194</v>
      </c>
      <c r="E9" s="110" t="s">
        <v>257</v>
      </c>
      <c r="F9" s="110" t="s">
        <v>268</v>
      </c>
      <c r="G9" s="111" t="s">
        <v>410</v>
      </c>
      <c r="H9" s="112">
        <v>1</v>
      </c>
      <c r="I9" s="109">
        <f>IF(H9="","",(A9+(A9*($A$5/100))))</f>
        <v>114.3968</v>
      </c>
      <c r="J9" s="109">
        <f t="shared" ref="J9" si="1">IF(H9="","",(I9*($L$4/100)))</f>
        <v>18.303488000000002</v>
      </c>
      <c r="K9" s="109">
        <f>IF(H9="","",((I9+J9)*H9))</f>
        <v>132.700288</v>
      </c>
      <c r="L9" s="109">
        <f>IF(H9="","",(K9*$L$3))</f>
        <v>2279.7909478400002</v>
      </c>
      <c r="M9" s="109">
        <v>90</v>
      </c>
      <c r="N9" s="109">
        <f>IF(H9="","",(M9*($L$4/100)))</f>
        <v>14.4</v>
      </c>
      <c r="O9" s="109">
        <f>IF(H9="","",(H9*(M9+N9)))</f>
        <v>104.4</v>
      </c>
      <c r="P9" s="109">
        <f>IF(H9="","",(L9+O9))</f>
        <v>2384.1909478400003</v>
      </c>
    </row>
    <row r="10" spans="1:16" x14ac:dyDescent="0.25">
      <c r="A10" s="119">
        <f>INVENTARIO!I37</f>
        <v>69.17</v>
      </c>
      <c r="D10" s="110" t="s">
        <v>194</v>
      </c>
      <c r="E10" s="110" t="s">
        <v>275</v>
      </c>
      <c r="F10" s="110" t="s">
        <v>415</v>
      </c>
      <c r="G10" s="111" t="s">
        <v>416</v>
      </c>
      <c r="H10" s="112">
        <v>1</v>
      </c>
      <c r="I10" s="109">
        <f t="shared" ref="I10:I32" si="2">IF(H10="","",(A10+(A10*($A$5/100))))</f>
        <v>77.470399999999998</v>
      </c>
      <c r="J10" s="109">
        <f t="shared" si="0"/>
        <v>12.395263999999999</v>
      </c>
      <c r="K10" s="109">
        <f t="shared" ref="K10:K32" si="3">IF(H10="","",((I10+J10)*H10))</f>
        <v>89.865663999999995</v>
      </c>
      <c r="L10" s="109">
        <f t="shared" ref="L10:L32" si="4">IF(H10="","",(K10*$L$3))</f>
        <v>1543.8921075199999</v>
      </c>
      <c r="M10" s="109">
        <v>45</v>
      </c>
      <c r="N10" s="109">
        <f t="shared" ref="N10:N32" si="5">IF(H10="","",(M10*($L$4/100)))</f>
        <v>7.2</v>
      </c>
      <c r="O10" s="109">
        <f t="shared" ref="O10:O32" si="6">IF(H10="","",(H10*(M10+N10)))</f>
        <v>52.2</v>
      </c>
      <c r="P10" s="109">
        <f t="shared" ref="P10:P32" si="7">IF(H10="","",(L10+O10))</f>
        <v>1596.0921075199999</v>
      </c>
    </row>
    <row r="11" spans="1:16" x14ac:dyDescent="0.25">
      <c r="A11" s="114">
        <v>138.83000000000001</v>
      </c>
      <c r="D11" s="124" t="s">
        <v>194</v>
      </c>
      <c r="E11" s="124" t="s">
        <v>275</v>
      </c>
      <c r="F11" s="124" t="s">
        <v>443</v>
      </c>
      <c r="G11" s="111" t="s">
        <v>444</v>
      </c>
      <c r="H11" s="125">
        <v>1</v>
      </c>
      <c r="I11" s="126">
        <f t="shared" ref="I11:I12" si="8">IF(H11="","",(A11+(A11*($A$5/100))))</f>
        <v>155.48960000000002</v>
      </c>
      <c r="J11" s="126">
        <f t="shared" ref="J11:J12" si="9">IF(H11="","",(I11*($L$4/100)))</f>
        <v>24.878336000000004</v>
      </c>
      <c r="K11" s="126">
        <f t="shared" ref="K11:K12" si="10">IF(H11="","",((I11+J11)*H11))</f>
        <v>180.36793600000004</v>
      </c>
      <c r="L11" s="126">
        <f t="shared" ref="L11:L12" si="11">IF(H11="","",(K11*$L$3))</f>
        <v>3098.7211404800005</v>
      </c>
      <c r="M11" s="126">
        <v>90</v>
      </c>
      <c r="N11" s="126">
        <f t="shared" ref="N11:N12" si="12">IF(H11="","",(M11*($L$4/100)))</f>
        <v>14.4</v>
      </c>
      <c r="O11" s="126">
        <f t="shared" ref="O11:O12" si="13">IF(H11="","",(H11*(M11+N11)))</f>
        <v>104.4</v>
      </c>
      <c r="P11" s="126">
        <f t="shared" ref="P11:P12" si="14">IF(H11="","",(L11+O11))</f>
        <v>3203.1211404800006</v>
      </c>
    </row>
    <row r="12" spans="1:16" x14ac:dyDescent="0.25">
      <c r="A12" s="119">
        <f>INVENTARIO!I68</f>
        <v>242.43</v>
      </c>
      <c r="D12" s="110" t="s">
        <v>194</v>
      </c>
      <c r="E12" s="110" t="s">
        <v>256</v>
      </c>
      <c r="F12" s="110" t="s">
        <v>426</v>
      </c>
      <c r="G12" s="111" t="s">
        <v>427</v>
      </c>
      <c r="H12" s="112">
        <v>4</v>
      </c>
      <c r="I12" s="109">
        <f t="shared" si="8"/>
        <v>271.52160000000003</v>
      </c>
      <c r="J12" s="109">
        <f t="shared" si="9"/>
        <v>43.443456000000005</v>
      </c>
      <c r="K12" s="109">
        <f t="shared" si="10"/>
        <v>1259.8602240000002</v>
      </c>
      <c r="L12" s="109">
        <f t="shared" si="11"/>
        <v>21644.398648320002</v>
      </c>
      <c r="M12" s="109">
        <v>45</v>
      </c>
      <c r="N12" s="109">
        <f t="shared" si="12"/>
        <v>7.2</v>
      </c>
      <c r="O12" s="109">
        <f t="shared" si="13"/>
        <v>208.8</v>
      </c>
      <c r="P12" s="109">
        <f t="shared" si="14"/>
        <v>21853.198648320002</v>
      </c>
    </row>
    <row r="13" spans="1:16" x14ac:dyDescent="0.25">
      <c r="D13" s="123"/>
      <c r="E13" s="123"/>
      <c r="F13" s="123"/>
      <c r="G13" s="105" t="s">
        <v>470</v>
      </c>
      <c r="I13" s="92" t="str">
        <f t="shared" ref="I13:I21" si="15">IF(H13="","",(A13+(A13*($A$5/100))))</f>
        <v/>
      </c>
      <c r="J13" s="92" t="str">
        <f t="shared" ref="J13:J21" si="16">IF(H13="","",(I13*($L$4/100)))</f>
        <v/>
      </c>
      <c r="K13" s="92" t="str">
        <f t="shared" ref="K13:K21" si="17">IF(H13="","",((I13+J13)*H13))</f>
        <v/>
      </c>
      <c r="L13" s="92" t="str">
        <f t="shared" ref="L13:L21" si="18">IF(H13="","",(K13*$L$3))</f>
        <v/>
      </c>
      <c r="M13" s="92">
        <v>0</v>
      </c>
      <c r="N13" s="92" t="str">
        <f t="shared" ref="N13:N21" si="19">IF(H13="","",(M13*($L$4/100)))</f>
        <v/>
      </c>
      <c r="O13" s="92" t="str">
        <f t="shared" ref="O13:O21" si="20">IF(H13="","",(H13*(M13+N13)))</f>
        <v/>
      </c>
      <c r="P13" s="92" t="str">
        <f t="shared" ref="P13:P21" si="21">IF(H13="","",(L13+O13))</f>
        <v/>
      </c>
    </row>
    <row r="14" spans="1:16" x14ac:dyDescent="0.25">
      <c r="A14" s="119">
        <f>INVENTARIO!I133</f>
        <v>1.45</v>
      </c>
      <c r="D14" s="110" t="s">
        <v>194</v>
      </c>
      <c r="E14" s="110" t="s">
        <v>256</v>
      </c>
      <c r="F14" s="110" t="s">
        <v>448</v>
      </c>
      <c r="G14" s="111" t="s">
        <v>449</v>
      </c>
      <c r="H14" s="112">
        <v>2</v>
      </c>
      <c r="I14" s="109">
        <f t="shared" ref="I14" si="22">IF(H14="","",(A14+(A14*($A$5/100))))</f>
        <v>1.6239999999999999</v>
      </c>
      <c r="J14" s="109">
        <f t="shared" ref="J14" si="23">IF(H14="","",(I14*($L$4/100)))</f>
        <v>0.25983999999999996</v>
      </c>
      <c r="K14" s="109">
        <f t="shared" ref="K14" si="24">IF(H14="","",((I14+J14)*H14))</f>
        <v>3.7676799999999995</v>
      </c>
      <c r="L14" s="109">
        <f t="shared" ref="L14" si="25">IF(H14="","",(K14*$L$3))</f>
        <v>64.728742399999987</v>
      </c>
      <c r="M14" s="109">
        <v>0</v>
      </c>
      <c r="N14" s="109">
        <f t="shared" ref="N14" si="26">IF(H14="","",(M14*($L$4/100)))</f>
        <v>0</v>
      </c>
      <c r="O14" s="109">
        <f t="shared" ref="O14" si="27">IF(H14="","",(H14*(M14+N14)))</f>
        <v>0</v>
      </c>
      <c r="P14" s="109">
        <f t="shared" ref="P14" si="28">IF(H14="","",(L14+O14))</f>
        <v>64.728742399999987</v>
      </c>
    </row>
    <row r="15" spans="1:16" x14ac:dyDescent="0.25">
      <c r="A15" s="119">
        <f>INVENTARIO!I89</f>
        <v>7.43</v>
      </c>
      <c r="D15" s="110" t="s">
        <v>194</v>
      </c>
      <c r="E15" s="110" t="s">
        <v>256</v>
      </c>
      <c r="F15" s="110" t="s">
        <v>428</v>
      </c>
      <c r="G15" s="111" t="s">
        <v>429</v>
      </c>
      <c r="H15" s="112">
        <v>2</v>
      </c>
      <c r="I15" s="109">
        <f t="shared" ref="I15" si="29">IF(H15="","",(A15+(A15*($A$5/100))))</f>
        <v>8.3216000000000001</v>
      </c>
      <c r="J15" s="109">
        <f t="shared" ref="J15" si="30">IF(H15="","",(I15*($L$4/100)))</f>
        <v>1.331456</v>
      </c>
      <c r="K15" s="109">
        <f t="shared" ref="K15" si="31">IF(H15="","",((I15+J15)*H15))</f>
        <v>19.306111999999999</v>
      </c>
      <c r="L15" s="109">
        <f t="shared" ref="L15" si="32">IF(H15="","",(K15*$L$3))</f>
        <v>331.67900415999998</v>
      </c>
      <c r="M15" s="109">
        <v>0</v>
      </c>
      <c r="N15" s="109">
        <f t="shared" ref="N15" si="33">IF(H15="","",(M15*($L$4/100)))</f>
        <v>0</v>
      </c>
      <c r="O15" s="109">
        <f t="shared" ref="O15" si="34">IF(H15="","",(H15*(M15+N15)))</f>
        <v>0</v>
      </c>
      <c r="P15" s="109">
        <f t="shared" ref="P15" si="35">IF(H15="","",(L15+O15))</f>
        <v>331.67900415999998</v>
      </c>
    </row>
    <row r="16" spans="1:16" x14ac:dyDescent="0.25">
      <c r="A16" s="119">
        <f>INVENTARIO!I90</f>
        <v>7.38</v>
      </c>
      <c r="D16" s="110" t="s">
        <v>194</v>
      </c>
      <c r="E16" s="110" t="s">
        <v>256</v>
      </c>
      <c r="F16" s="110" t="s">
        <v>430</v>
      </c>
      <c r="G16" s="111" t="s">
        <v>431</v>
      </c>
      <c r="H16" s="112">
        <v>2</v>
      </c>
      <c r="I16" s="109">
        <f t="shared" si="15"/>
        <v>8.2655999999999992</v>
      </c>
      <c r="J16" s="109">
        <f t="shared" si="16"/>
        <v>1.3224959999999999</v>
      </c>
      <c r="K16" s="109">
        <f t="shared" si="17"/>
        <v>19.176191999999997</v>
      </c>
      <c r="L16" s="109">
        <f t="shared" si="18"/>
        <v>329.44697855999993</v>
      </c>
      <c r="M16" s="109">
        <v>0</v>
      </c>
      <c r="N16" s="109">
        <f t="shared" si="19"/>
        <v>0</v>
      </c>
      <c r="O16" s="109">
        <f t="shared" si="20"/>
        <v>0</v>
      </c>
      <c r="P16" s="109">
        <f t="shared" si="21"/>
        <v>329.44697855999993</v>
      </c>
    </row>
    <row r="17" spans="1:16" x14ac:dyDescent="0.25">
      <c r="A17" s="119">
        <f>INVENTARIO!I96</f>
        <v>9.01</v>
      </c>
      <c r="D17" s="110" t="s">
        <v>194</v>
      </c>
      <c r="E17" s="110" t="s">
        <v>256</v>
      </c>
      <c r="F17" s="110" t="s">
        <v>432</v>
      </c>
      <c r="G17" s="111" t="s">
        <v>433</v>
      </c>
      <c r="H17" s="112">
        <v>1</v>
      </c>
      <c r="I17" s="109">
        <f t="shared" si="15"/>
        <v>10.091200000000001</v>
      </c>
      <c r="J17" s="109">
        <f t="shared" si="16"/>
        <v>1.614592</v>
      </c>
      <c r="K17" s="109">
        <f t="shared" si="17"/>
        <v>11.705792000000001</v>
      </c>
      <c r="L17" s="109">
        <f t="shared" si="18"/>
        <v>201.10550656000001</v>
      </c>
      <c r="M17" s="109">
        <v>0</v>
      </c>
      <c r="N17" s="109">
        <f t="shared" si="19"/>
        <v>0</v>
      </c>
      <c r="O17" s="109">
        <f t="shared" si="20"/>
        <v>0</v>
      </c>
      <c r="P17" s="109">
        <f t="shared" si="21"/>
        <v>201.10550656000001</v>
      </c>
    </row>
    <row r="18" spans="1:16" x14ac:dyDescent="0.25">
      <c r="A18" s="119">
        <f>INVENTARIO!I97</f>
        <v>9.4700000000000006</v>
      </c>
      <c r="D18" s="110" t="s">
        <v>194</v>
      </c>
      <c r="E18" s="110" t="s">
        <v>256</v>
      </c>
      <c r="F18" s="110" t="s">
        <v>434</v>
      </c>
      <c r="G18" s="111" t="s">
        <v>435</v>
      </c>
      <c r="H18" s="112">
        <v>1</v>
      </c>
      <c r="I18" s="109">
        <f t="shared" si="15"/>
        <v>10.606400000000001</v>
      </c>
      <c r="J18" s="109">
        <f t="shared" si="16"/>
        <v>1.6970240000000001</v>
      </c>
      <c r="K18" s="109">
        <f t="shared" si="17"/>
        <v>12.303424000000001</v>
      </c>
      <c r="L18" s="109">
        <f t="shared" si="18"/>
        <v>211.37282432000003</v>
      </c>
      <c r="M18" s="109">
        <v>0</v>
      </c>
      <c r="N18" s="109">
        <f t="shared" si="19"/>
        <v>0</v>
      </c>
      <c r="O18" s="109">
        <f t="shared" si="20"/>
        <v>0</v>
      </c>
      <c r="P18" s="109">
        <f t="shared" si="21"/>
        <v>211.37282432000003</v>
      </c>
    </row>
    <row r="19" spans="1:16" x14ac:dyDescent="0.25">
      <c r="A19" s="119">
        <f>INVENTARIO!I93</f>
        <v>2.89</v>
      </c>
      <c r="D19" s="110" t="s">
        <v>194</v>
      </c>
      <c r="E19" s="110" t="s">
        <v>256</v>
      </c>
      <c r="F19" s="110" t="s">
        <v>436</v>
      </c>
      <c r="G19" s="111" t="s">
        <v>437</v>
      </c>
      <c r="H19" s="112">
        <v>2</v>
      </c>
      <c r="I19" s="109">
        <f t="shared" si="15"/>
        <v>3.2368000000000001</v>
      </c>
      <c r="J19" s="109">
        <f t="shared" si="16"/>
        <v>0.51788800000000001</v>
      </c>
      <c r="K19" s="109">
        <f t="shared" si="17"/>
        <v>7.5093760000000005</v>
      </c>
      <c r="L19" s="109">
        <f t="shared" si="18"/>
        <v>129.01107967999999</v>
      </c>
      <c r="M19" s="109">
        <v>0</v>
      </c>
      <c r="N19" s="109">
        <f t="shared" si="19"/>
        <v>0</v>
      </c>
      <c r="O19" s="109">
        <f t="shared" si="20"/>
        <v>0</v>
      </c>
      <c r="P19" s="109">
        <f t="shared" si="21"/>
        <v>129.01107967999999</v>
      </c>
    </row>
    <row r="20" spans="1:16" x14ac:dyDescent="0.25">
      <c r="A20" s="119">
        <f>INVENTARIO!I105</f>
        <v>1.42</v>
      </c>
      <c r="D20" s="110" t="s">
        <v>194</v>
      </c>
      <c r="E20" s="110" t="s">
        <v>438</v>
      </c>
      <c r="F20" s="110" t="s">
        <v>439</v>
      </c>
      <c r="G20" s="111" t="s">
        <v>440</v>
      </c>
      <c r="H20" s="112">
        <v>25</v>
      </c>
      <c r="I20" s="109">
        <f t="shared" si="15"/>
        <v>1.5903999999999998</v>
      </c>
      <c r="J20" s="109">
        <f t="shared" si="16"/>
        <v>0.25446399999999997</v>
      </c>
      <c r="K20" s="109">
        <f t="shared" si="17"/>
        <v>46.121599999999994</v>
      </c>
      <c r="L20" s="109">
        <f t="shared" si="18"/>
        <v>792.36908799999992</v>
      </c>
      <c r="M20" s="109">
        <v>0</v>
      </c>
      <c r="N20" s="109">
        <f t="shared" si="19"/>
        <v>0</v>
      </c>
      <c r="O20" s="109">
        <f t="shared" si="20"/>
        <v>0</v>
      </c>
      <c r="P20" s="109">
        <f t="shared" si="21"/>
        <v>792.36908799999992</v>
      </c>
    </row>
    <row r="21" spans="1:16" x14ac:dyDescent="0.25">
      <c r="A21" s="119">
        <f>INVENTARIO!I106</f>
        <v>1.42</v>
      </c>
      <c r="D21" s="110" t="s">
        <v>194</v>
      </c>
      <c r="E21" s="110" t="s">
        <v>438</v>
      </c>
      <c r="F21" s="110" t="s">
        <v>441</v>
      </c>
      <c r="G21" s="111" t="s">
        <v>442</v>
      </c>
      <c r="H21" s="112">
        <v>25</v>
      </c>
      <c r="I21" s="109">
        <f t="shared" si="15"/>
        <v>1.5903999999999998</v>
      </c>
      <c r="J21" s="109">
        <f t="shared" si="16"/>
        <v>0.25446399999999997</v>
      </c>
      <c r="K21" s="109">
        <f t="shared" si="17"/>
        <v>46.121599999999994</v>
      </c>
      <c r="L21" s="109">
        <f t="shared" si="18"/>
        <v>792.36908799999992</v>
      </c>
      <c r="M21" s="109">
        <v>0</v>
      </c>
      <c r="N21" s="109">
        <f t="shared" si="19"/>
        <v>0</v>
      </c>
      <c r="O21" s="109">
        <f t="shared" si="20"/>
        <v>0</v>
      </c>
      <c r="P21" s="109">
        <f t="shared" si="21"/>
        <v>792.36908799999992</v>
      </c>
    </row>
    <row r="22" spans="1:16" x14ac:dyDescent="0.25">
      <c r="D22" s="123"/>
      <c r="E22" s="123"/>
      <c r="F22" s="123"/>
      <c r="G22" s="105" t="s">
        <v>471</v>
      </c>
      <c r="I22" s="92" t="str">
        <f t="shared" ref="I22:I24" si="36">IF(H22="","",(A22+(A22*($A$5/100))))</f>
        <v/>
      </c>
      <c r="J22" s="92" t="str">
        <f t="shared" ref="J22:J24" si="37">IF(H22="","",(I22*($L$4/100)))</f>
        <v/>
      </c>
      <c r="K22" s="92" t="str">
        <f t="shared" ref="K22:K24" si="38">IF(H22="","",((I22+J22)*H22))</f>
        <v/>
      </c>
      <c r="L22" s="92" t="str">
        <f t="shared" ref="L22:L24" si="39">IF(H22="","",(K22*$L$3))</f>
        <v/>
      </c>
      <c r="M22" s="92">
        <v>0</v>
      </c>
      <c r="N22" s="92" t="str">
        <f t="shared" ref="N22:N24" si="40">IF(H22="","",(M22*($L$4/100)))</f>
        <v/>
      </c>
      <c r="O22" s="92" t="str">
        <f t="shared" ref="O22:O24" si="41">IF(H22="","",(H22*(M22+N22)))</f>
        <v/>
      </c>
      <c r="P22" s="92" t="str">
        <f t="shared" ref="P22:P24" si="42">IF(H22="","",(L22+O22))</f>
        <v/>
      </c>
    </row>
    <row r="23" spans="1:16" x14ac:dyDescent="0.25">
      <c r="A23" s="114">
        <v>48.33</v>
      </c>
      <c r="D23" s="110" t="s">
        <v>194</v>
      </c>
      <c r="E23" s="110" t="s">
        <v>417</v>
      </c>
      <c r="F23" s="110" t="s">
        <v>418</v>
      </c>
      <c r="G23" s="111" t="s">
        <v>419</v>
      </c>
      <c r="H23" s="112">
        <v>1</v>
      </c>
      <c r="I23" s="109">
        <f t="shared" si="36"/>
        <v>54.129599999999996</v>
      </c>
      <c r="J23" s="109">
        <f t="shared" si="37"/>
        <v>8.660736</v>
      </c>
      <c r="K23" s="109">
        <f t="shared" si="38"/>
        <v>62.790335999999996</v>
      </c>
      <c r="L23" s="109">
        <f t="shared" si="39"/>
        <v>1078.7379724799998</v>
      </c>
      <c r="M23" s="109">
        <v>52</v>
      </c>
      <c r="N23" s="109">
        <f t="shared" si="40"/>
        <v>8.32</v>
      </c>
      <c r="O23" s="109">
        <f t="shared" si="41"/>
        <v>60.32</v>
      </c>
      <c r="P23" s="109">
        <f t="shared" si="42"/>
        <v>1139.0579724799998</v>
      </c>
    </row>
    <row r="24" spans="1:16" x14ac:dyDescent="0.25">
      <c r="A24" s="114">
        <v>10.75</v>
      </c>
      <c r="D24" s="110" t="s">
        <v>194</v>
      </c>
      <c r="E24" s="110" t="s">
        <v>256</v>
      </c>
      <c r="F24" s="110" t="s">
        <v>422</v>
      </c>
      <c r="G24" s="111" t="s">
        <v>423</v>
      </c>
      <c r="H24" s="112">
        <v>1</v>
      </c>
      <c r="I24" s="109">
        <f t="shared" si="36"/>
        <v>12.04</v>
      </c>
      <c r="J24" s="109">
        <f t="shared" si="37"/>
        <v>1.9263999999999999</v>
      </c>
      <c r="K24" s="109">
        <f t="shared" si="38"/>
        <v>13.966399999999998</v>
      </c>
      <c r="L24" s="109">
        <f t="shared" si="39"/>
        <v>239.94275199999996</v>
      </c>
      <c r="M24" s="109">
        <v>0</v>
      </c>
      <c r="N24" s="109">
        <f t="shared" si="40"/>
        <v>0</v>
      </c>
      <c r="O24" s="109">
        <f t="shared" si="41"/>
        <v>0</v>
      </c>
      <c r="P24" s="109">
        <f t="shared" si="42"/>
        <v>239.94275199999996</v>
      </c>
    </row>
    <row r="25" spans="1:16" x14ac:dyDescent="0.25">
      <c r="A25" s="114"/>
      <c r="D25" s="120"/>
      <c r="E25" s="120"/>
      <c r="F25" s="120"/>
      <c r="G25" s="121"/>
      <c r="H25" s="122"/>
      <c r="I25" s="109" t="str">
        <f t="shared" ref="I25:I28" si="43">IF(H25="","",(A25+(A25*($A$5/100))))</f>
        <v/>
      </c>
      <c r="J25" s="109" t="str">
        <f t="shared" ref="J25:J28" si="44">IF(H25="","",(I25*($L$4/100)))</f>
        <v/>
      </c>
      <c r="K25" s="109" t="str">
        <f t="shared" ref="K25:K28" si="45">IF(H25="","",((I25+J25)*H25))</f>
        <v/>
      </c>
      <c r="L25" s="109" t="str">
        <f t="shared" ref="L25:L28" si="46">IF(H25="","",(K25*$L$3))</f>
        <v/>
      </c>
      <c r="M25" s="109">
        <v>0</v>
      </c>
      <c r="N25" s="109" t="str">
        <f t="shared" ref="N25:N28" si="47">IF(H25="","",(M25*($L$4/100)))</f>
        <v/>
      </c>
      <c r="O25" s="109" t="str">
        <f t="shared" ref="O25:O28" si="48">IF(H25="","",(H25*(M25+N25)))</f>
        <v/>
      </c>
      <c r="P25" s="109" t="str">
        <f t="shared" ref="P25:P28" si="49">IF(H25="","",(L25+O25))</f>
        <v/>
      </c>
    </row>
    <row r="26" spans="1:16" x14ac:dyDescent="0.25">
      <c r="A26" s="114"/>
      <c r="D26" s="120"/>
      <c r="E26" s="120"/>
      <c r="F26" s="120"/>
      <c r="G26" s="121"/>
      <c r="H26" s="122"/>
      <c r="I26" s="109" t="str">
        <f t="shared" si="43"/>
        <v/>
      </c>
      <c r="J26" s="109" t="str">
        <f t="shared" si="44"/>
        <v/>
      </c>
      <c r="K26" s="109" t="str">
        <f t="shared" si="45"/>
        <v/>
      </c>
      <c r="L26" s="109" t="str">
        <f t="shared" si="46"/>
        <v/>
      </c>
      <c r="M26" s="109">
        <v>0</v>
      </c>
      <c r="N26" s="109" t="str">
        <f t="shared" si="47"/>
        <v/>
      </c>
      <c r="O26" s="109" t="str">
        <f t="shared" si="48"/>
        <v/>
      </c>
      <c r="P26" s="109" t="str">
        <f t="shared" si="49"/>
        <v/>
      </c>
    </row>
    <row r="27" spans="1:16" x14ac:dyDescent="0.25">
      <c r="A27" s="114"/>
      <c r="D27" s="120"/>
      <c r="E27" s="120"/>
      <c r="F27" s="120"/>
      <c r="G27" s="121"/>
      <c r="H27" s="122"/>
      <c r="I27" s="109" t="str">
        <f t="shared" si="43"/>
        <v/>
      </c>
      <c r="J27" s="109" t="str">
        <f t="shared" si="44"/>
        <v/>
      </c>
      <c r="K27" s="109" t="str">
        <f t="shared" si="45"/>
        <v/>
      </c>
      <c r="L27" s="109" t="str">
        <f t="shared" si="46"/>
        <v/>
      </c>
      <c r="M27" s="109">
        <v>0</v>
      </c>
      <c r="N27" s="109" t="str">
        <f t="shared" si="47"/>
        <v/>
      </c>
      <c r="O27" s="109" t="str">
        <f t="shared" si="48"/>
        <v/>
      </c>
      <c r="P27" s="109" t="str">
        <f t="shared" si="49"/>
        <v/>
      </c>
    </row>
    <row r="28" spans="1:16" x14ac:dyDescent="0.25">
      <c r="A28" s="114"/>
      <c r="D28" s="110"/>
      <c r="E28" s="110"/>
      <c r="F28" s="110"/>
      <c r="G28" s="111"/>
      <c r="H28" s="112"/>
      <c r="I28" s="109" t="str">
        <f t="shared" si="43"/>
        <v/>
      </c>
      <c r="J28" s="109" t="str">
        <f t="shared" si="44"/>
        <v/>
      </c>
      <c r="K28" s="109" t="str">
        <f t="shared" si="45"/>
        <v/>
      </c>
      <c r="L28" s="109" t="str">
        <f t="shared" si="46"/>
        <v/>
      </c>
      <c r="M28" s="109">
        <v>0</v>
      </c>
      <c r="N28" s="109" t="str">
        <f t="shared" si="47"/>
        <v/>
      </c>
      <c r="O28" s="109" t="str">
        <f t="shared" si="48"/>
        <v/>
      </c>
      <c r="P28" s="109" t="str">
        <f t="shared" si="49"/>
        <v/>
      </c>
    </row>
    <row r="29" spans="1:16" x14ac:dyDescent="0.25">
      <c r="A29" s="114">
        <v>12.46</v>
      </c>
      <c r="D29" s="110" t="s">
        <v>194</v>
      </c>
      <c r="E29" s="110" t="s">
        <v>256</v>
      </c>
      <c r="F29" s="110" t="s">
        <v>420</v>
      </c>
      <c r="G29" s="111" t="s">
        <v>421</v>
      </c>
      <c r="H29" s="112">
        <v>1</v>
      </c>
      <c r="I29" s="109">
        <f t="shared" si="2"/>
        <v>13.955200000000001</v>
      </c>
      <c r="J29" s="109">
        <f t="shared" si="0"/>
        <v>2.2328320000000001</v>
      </c>
      <c r="K29" s="109">
        <f t="shared" si="3"/>
        <v>16.188032</v>
      </c>
      <c r="L29" s="109">
        <f t="shared" si="4"/>
        <v>278.11038975999998</v>
      </c>
      <c r="M29" s="109">
        <v>0</v>
      </c>
      <c r="N29" s="109">
        <f t="shared" si="5"/>
        <v>0</v>
      </c>
      <c r="O29" s="109">
        <f t="shared" si="6"/>
        <v>0</v>
      </c>
      <c r="P29" s="109">
        <f t="shared" si="7"/>
        <v>278.11038975999998</v>
      </c>
    </row>
    <row r="30" spans="1:16" x14ac:dyDescent="0.25">
      <c r="A30" s="114">
        <v>143.52000000000001</v>
      </c>
      <c r="D30" s="110" t="s">
        <v>194</v>
      </c>
      <c r="E30" s="110" t="s">
        <v>256</v>
      </c>
      <c r="F30" s="110" t="s">
        <v>424</v>
      </c>
      <c r="G30" s="111" t="s">
        <v>425</v>
      </c>
      <c r="H30" s="112">
        <v>1</v>
      </c>
      <c r="I30" s="109">
        <f t="shared" si="2"/>
        <v>160.7424</v>
      </c>
      <c r="J30" s="109">
        <f t="shared" si="0"/>
        <v>25.718783999999999</v>
      </c>
      <c r="K30" s="109">
        <f t="shared" si="3"/>
        <v>186.461184</v>
      </c>
      <c r="L30" s="109">
        <f t="shared" si="4"/>
        <v>3203.4031411199999</v>
      </c>
      <c r="M30" s="109">
        <v>90</v>
      </c>
      <c r="N30" s="109">
        <f t="shared" si="5"/>
        <v>14.4</v>
      </c>
      <c r="O30" s="109">
        <f t="shared" si="6"/>
        <v>104.4</v>
      </c>
      <c r="P30" s="109">
        <f t="shared" si="7"/>
        <v>3307.80314112</v>
      </c>
    </row>
    <row r="31" spans="1:16" x14ac:dyDescent="0.25">
      <c r="A31" s="109"/>
      <c r="D31" s="110"/>
      <c r="E31" s="110"/>
      <c r="F31" s="110"/>
      <c r="G31" s="111"/>
      <c r="H31" s="112"/>
      <c r="I31" s="109"/>
      <c r="J31" s="109"/>
      <c r="K31" s="109"/>
      <c r="L31" s="109"/>
      <c r="M31" s="109"/>
      <c r="N31" s="109"/>
      <c r="O31" s="109"/>
      <c r="P31" s="109"/>
    </row>
    <row r="32" spans="1:16" x14ac:dyDescent="0.25">
      <c r="A32" s="109">
        <v>181.79</v>
      </c>
      <c r="D32" s="110" t="s">
        <v>194</v>
      </c>
      <c r="E32" s="110" t="s">
        <v>445</v>
      </c>
      <c r="F32" s="110" t="s">
        <v>446</v>
      </c>
      <c r="G32" s="111" t="s">
        <v>447</v>
      </c>
      <c r="H32" s="112">
        <v>1</v>
      </c>
      <c r="I32" s="109">
        <f t="shared" si="2"/>
        <v>203.60479999999998</v>
      </c>
      <c r="J32" s="109">
        <f t="shared" si="0"/>
        <v>32.576768000000001</v>
      </c>
      <c r="K32" s="109">
        <f t="shared" si="3"/>
        <v>236.18156799999997</v>
      </c>
      <c r="L32" s="109">
        <f t="shared" si="4"/>
        <v>4057.5993382399993</v>
      </c>
      <c r="M32" s="109">
        <v>90</v>
      </c>
      <c r="N32" s="109">
        <f t="shared" si="5"/>
        <v>14.4</v>
      </c>
      <c r="O32" s="109">
        <f t="shared" si="6"/>
        <v>104.4</v>
      </c>
      <c r="P32" s="109">
        <f t="shared" si="7"/>
        <v>4161.9993382399989</v>
      </c>
    </row>
    <row r="33" spans="1:16" x14ac:dyDescent="0.25">
      <c r="A33" s="109"/>
      <c r="D33" s="110"/>
      <c r="E33" s="110"/>
      <c r="F33" s="110"/>
      <c r="G33" s="118" t="s">
        <v>469</v>
      </c>
      <c r="H33" s="112"/>
      <c r="I33" s="109" t="str">
        <f t="shared" ref="I33:I46" si="50">IF(H33="","",(A33+(A33*($A$5/100))))</f>
        <v/>
      </c>
      <c r="J33" s="109" t="str">
        <f t="shared" ref="J33:J46" si="51">IF(H33="","",(I33*($L$4/100)))</f>
        <v/>
      </c>
      <c r="K33" s="109" t="str">
        <f t="shared" ref="K33:K46" si="52">IF(H33="","",((I33+J33)*H33))</f>
        <v/>
      </c>
      <c r="L33" s="109" t="str">
        <f t="shared" ref="L33:L46" si="53">IF(H33="","",(K33*$L$3))</f>
        <v/>
      </c>
      <c r="M33" s="109">
        <v>0</v>
      </c>
      <c r="N33" s="109" t="str">
        <f t="shared" ref="N33:N46" si="54">IF(H33="","",(M33*($L$4/100)))</f>
        <v/>
      </c>
      <c r="O33" s="109" t="str">
        <f t="shared" ref="O33:O46" si="55">IF(H33="","",(H33*(M33+N33)))</f>
        <v/>
      </c>
      <c r="P33" s="109" t="str">
        <f t="shared" ref="P33:P46" si="56">IF(H33="","",(L33+O33))</f>
        <v/>
      </c>
    </row>
    <row r="34" spans="1:16" x14ac:dyDescent="0.25">
      <c r="A34" s="114">
        <f>INVENTARIO!I138</f>
        <v>19.27</v>
      </c>
      <c r="D34" s="110" t="s">
        <v>194</v>
      </c>
      <c r="E34" s="110" t="s">
        <v>194</v>
      </c>
      <c r="F34" s="110" t="s">
        <v>411</v>
      </c>
      <c r="G34" s="111" t="s">
        <v>412</v>
      </c>
      <c r="H34" s="112">
        <v>4</v>
      </c>
      <c r="I34" s="109">
        <f t="shared" si="50"/>
        <v>21.5824</v>
      </c>
      <c r="J34" s="109">
        <f t="shared" si="51"/>
        <v>3.4531840000000003</v>
      </c>
      <c r="K34" s="109">
        <f t="shared" si="52"/>
        <v>100.142336</v>
      </c>
      <c r="L34" s="109">
        <f t="shared" si="53"/>
        <v>1720.4453324799999</v>
      </c>
      <c r="M34" s="109">
        <v>0</v>
      </c>
      <c r="N34" s="109">
        <f t="shared" si="54"/>
        <v>0</v>
      </c>
      <c r="O34" s="109">
        <f t="shared" si="55"/>
        <v>0</v>
      </c>
      <c r="P34" s="109">
        <f t="shared" si="56"/>
        <v>1720.4453324799999</v>
      </c>
    </row>
    <row r="35" spans="1:16" x14ac:dyDescent="0.25">
      <c r="A35" s="114">
        <f>INVENTARIO!I139</f>
        <v>85.67</v>
      </c>
      <c r="D35" s="110" t="s">
        <v>194</v>
      </c>
      <c r="E35" s="110" t="s">
        <v>194</v>
      </c>
      <c r="F35" s="110" t="s">
        <v>413</v>
      </c>
      <c r="G35" s="111" t="s">
        <v>414</v>
      </c>
      <c r="H35" s="112">
        <v>1</v>
      </c>
      <c r="I35" s="109">
        <f t="shared" si="50"/>
        <v>95.950400000000002</v>
      </c>
      <c r="J35" s="109">
        <f t="shared" si="51"/>
        <v>15.352064</v>
      </c>
      <c r="K35" s="109">
        <f t="shared" si="52"/>
        <v>111.302464</v>
      </c>
      <c r="L35" s="109">
        <f t="shared" si="53"/>
        <v>1912.1763315200001</v>
      </c>
      <c r="M35" s="109">
        <v>0</v>
      </c>
      <c r="N35" s="109">
        <f t="shared" si="54"/>
        <v>0</v>
      </c>
      <c r="O35" s="109">
        <f t="shared" si="55"/>
        <v>0</v>
      </c>
      <c r="P35" s="109">
        <f t="shared" si="56"/>
        <v>1912.1763315200001</v>
      </c>
    </row>
    <row r="36" spans="1:16" x14ac:dyDescent="0.25">
      <c r="A36" s="109"/>
      <c r="D36" s="110"/>
      <c r="E36" s="110"/>
      <c r="F36" s="110"/>
      <c r="G36" s="111"/>
      <c r="H36" s="112"/>
      <c r="I36" s="109" t="str">
        <f t="shared" si="50"/>
        <v/>
      </c>
      <c r="J36" s="109" t="str">
        <f t="shared" si="51"/>
        <v/>
      </c>
      <c r="K36" s="109" t="str">
        <f t="shared" si="52"/>
        <v/>
      </c>
      <c r="L36" s="109" t="str">
        <f t="shared" si="53"/>
        <v/>
      </c>
      <c r="M36" s="109">
        <v>0</v>
      </c>
      <c r="N36" s="109" t="str">
        <f t="shared" si="54"/>
        <v/>
      </c>
      <c r="O36" s="109" t="str">
        <f t="shared" si="55"/>
        <v/>
      </c>
      <c r="P36" s="109" t="str">
        <f t="shared" si="56"/>
        <v/>
      </c>
    </row>
    <row r="37" spans="1:16" x14ac:dyDescent="0.25">
      <c r="A37" s="109"/>
      <c r="D37" s="110"/>
      <c r="E37" s="110"/>
      <c r="F37" s="110"/>
      <c r="G37" s="111"/>
      <c r="H37" s="112"/>
      <c r="I37" s="109" t="str">
        <f t="shared" si="50"/>
        <v/>
      </c>
      <c r="J37" s="109" t="str">
        <f t="shared" si="51"/>
        <v/>
      </c>
      <c r="K37" s="109" t="str">
        <f t="shared" si="52"/>
        <v/>
      </c>
      <c r="L37" s="109" t="str">
        <f t="shared" si="53"/>
        <v/>
      </c>
      <c r="M37" s="109">
        <v>0</v>
      </c>
      <c r="N37" s="109" t="str">
        <f t="shared" si="54"/>
        <v/>
      </c>
      <c r="O37" s="109" t="str">
        <f t="shared" si="55"/>
        <v/>
      </c>
      <c r="P37" s="109" t="str">
        <f t="shared" si="56"/>
        <v/>
      </c>
    </row>
    <row r="38" spans="1:16" x14ac:dyDescent="0.25">
      <c r="A38" s="109"/>
      <c r="D38" s="110"/>
      <c r="E38" s="110"/>
      <c r="F38" s="110"/>
      <c r="G38" s="111"/>
      <c r="H38" s="112"/>
      <c r="I38" s="109" t="str">
        <f t="shared" si="50"/>
        <v/>
      </c>
      <c r="J38" s="109" t="str">
        <f t="shared" si="51"/>
        <v/>
      </c>
      <c r="K38" s="109" t="str">
        <f t="shared" si="52"/>
        <v/>
      </c>
      <c r="L38" s="109" t="str">
        <f t="shared" si="53"/>
        <v/>
      </c>
      <c r="M38" s="109">
        <v>0</v>
      </c>
      <c r="N38" s="109" t="str">
        <f t="shared" si="54"/>
        <v/>
      </c>
      <c r="O38" s="109" t="str">
        <f t="shared" si="55"/>
        <v/>
      </c>
      <c r="P38" s="109" t="str">
        <f t="shared" si="56"/>
        <v/>
      </c>
    </row>
    <row r="39" spans="1:16" x14ac:dyDescent="0.25">
      <c r="A39" s="109"/>
      <c r="D39" s="110"/>
      <c r="E39" s="110"/>
      <c r="F39" s="110"/>
      <c r="G39" s="111"/>
      <c r="H39" s="112"/>
      <c r="I39" s="109" t="str">
        <f t="shared" si="50"/>
        <v/>
      </c>
      <c r="J39" s="109" t="str">
        <f t="shared" si="51"/>
        <v/>
      </c>
      <c r="K39" s="109" t="str">
        <f t="shared" si="52"/>
        <v/>
      </c>
      <c r="L39" s="109" t="str">
        <f t="shared" si="53"/>
        <v/>
      </c>
      <c r="M39" s="109">
        <v>0</v>
      </c>
      <c r="N39" s="109" t="str">
        <f t="shared" si="54"/>
        <v/>
      </c>
      <c r="O39" s="109" t="str">
        <f t="shared" si="55"/>
        <v/>
      </c>
      <c r="P39" s="109" t="str">
        <f t="shared" si="56"/>
        <v/>
      </c>
    </row>
    <row r="40" spans="1:16" x14ac:dyDescent="0.25">
      <c r="A40" s="109"/>
      <c r="D40" s="110"/>
      <c r="E40" s="110"/>
      <c r="F40" s="110"/>
      <c r="G40" s="111"/>
      <c r="H40" s="112"/>
      <c r="I40" s="109" t="str">
        <f t="shared" si="50"/>
        <v/>
      </c>
      <c r="J40" s="109" t="str">
        <f t="shared" si="51"/>
        <v/>
      </c>
      <c r="K40" s="109" t="str">
        <f t="shared" si="52"/>
        <v/>
      </c>
      <c r="L40" s="109" t="str">
        <f t="shared" si="53"/>
        <v/>
      </c>
      <c r="M40" s="109">
        <v>0</v>
      </c>
      <c r="N40" s="109" t="str">
        <f t="shared" si="54"/>
        <v/>
      </c>
      <c r="O40" s="109" t="str">
        <f t="shared" si="55"/>
        <v/>
      </c>
      <c r="P40" s="109" t="str">
        <f t="shared" si="56"/>
        <v/>
      </c>
    </row>
    <row r="41" spans="1:16" x14ac:dyDescent="0.25">
      <c r="A41" s="109"/>
      <c r="D41" s="110"/>
      <c r="E41" s="110"/>
      <c r="F41" s="110"/>
      <c r="G41" s="111"/>
      <c r="H41" s="112"/>
      <c r="I41" s="109" t="str">
        <f t="shared" si="50"/>
        <v/>
      </c>
      <c r="J41" s="109" t="str">
        <f t="shared" si="51"/>
        <v/>
      </c>
      <c r="K41" s="109" t="str">
        <f t="shared" si="52"/>
        <v/>
      </c>
      <c r="L41" s="109" t="str">
        <f t="shared" si="53"/>
        <v/>
      </c>
      <c r="M41" s="109">
        <v>0</v>
      </c>
      <c r="N41" s="109" t="str">
        <f t="shared" si="54"/>
        <v/>
      </c>
      <c r="O41" s="109" t="str">
        <f t="shared" si="55"/>
        <v/>
      </c>
      <c r="P41" s="109" t="str">
        <f t="shared" si="56"/>
        <v/>
      </c>
    </row>
    <row r="42" spans="1:16" x14ac:dyDescent="0.25">
      <c r="A42" s="109"/>
      <c r="D42" s="110"/>
      <c r="E42" s="110"/>
      <c r="F42" s="110"/>
      <c r="G42" s="111"/>
      <c r="H42" s="112"/>
      <c r="I42" s="109" t="str">
        <f t="shared" si="50"/>
        <v/>
      </c>
      <c r="J42" s="109" t="str">
        <f t="shared" si="51"/>
        <v/>
      </c>
      <c r="K42" s="109" t="str">
        <f t="shared" si="52"/>
        <v/>
      </c>
      <c r="L42" s="109" t="str">
        <f t="shared" si="53"/>
        <v/>
      </c>
      <c r="M42" s="109">
        <v>0</v>
      </c>
      <c r="N42" s="109" t="str">
        <f t="shared" si="54"/>
        <v/>
      </c>
      <c r="O42" s="109" t="str">
        <f t="shared" si="55"/>
        <v/>
      </c>
      <c r="P42" s="109" t="str">
        <f t="shared" si="56"/>
        <v/>
      </c>
    </row>
    <row r="43" spans="1:16" x14ac:dyDescent="0.25">
      <c r="A43" s="109"/>
      <c r="D43" s="110"/>
      <c r="E43" s="110"/>
      <c r="F43" s="110"/>
      <c r="G43" s="111"/>
      <c r="H43" s="112"/>
      <c r="I43" s="109" t="str">
        <f t="shared" si="50"/>
        <v/>
      </c>
      <c r="J43" s="109" t="str">
        <f t="shared" si="51"/>
        <v/>
      </c>
      <c r="K43" s="109" t="str">
        <f t="shared" si="52"/>
        <v/>
      </c>
      <c r="L43" s="109" t="str">
        <f t="shared" si="53"/>
        <v/>
      </c>
      <c r="M43" s="109">
        <v>0</v>
      </c>
      <c r="N43" s="109" t="str">
        <f t="shared" si="54"/>
        <v/>
      </c>
      <c r="O43" s="109" t="str">
        <f t="shared" si="55"/>
        <v/>
      </c>
      <c r="P43" s="109" t="str">
        <f t="shared" si="56"/>
        <v/>
      </c>
    </row>
    <row r="44" spans="1:16" x14ac:dyDescent="0.25">
      <c r="A44" s="109"/>
      <c r="D44" s="110"/>
      <c r="E44" s="110"/>
      <c r="F44" s="110"/>
      <c r="G44" s="111"/>
      <c r="H44" s="112"/>
      <c r="I44" s="109" t="str">
        <f t="shared" si="50"/>
        <v/>
      </c>
      <c r="J44" s="109" t="str">
        <f t="shared" si="51"/>
        <v/>
      </c>
      <c r="K44" s="109" t="str">
        <f t="shared" si="52"/>
        <v/>
      </c>
      <c r="L44" s="109" t="str">
        <f t="shared" si="53"/>
        <v/>
      </c>
      <c r="M44" s="109">
        <v>0</v>
      </c>
      <c r="N44" s="109" t="str">
        <f t="shared" si="54"/>
        <v/>
      </c>
      <c r="O44" s="109" t="str">
        <f t="shared" si="55"/>
        <v/>
      </c>
      <c r="P44" s="109" t="str">
        <f t="shared" si="56"/>
        <v/>
      </c>
    </row>
    <row r="45" spans="1:16" x14ac:dyDescent="0.25">
      <c r="A45" s="109"/>
      <c r="D45" s="110"/>
      <c r="E45" s="110"/>
      <c r="F45" s="110"/>
      <c r="G45" s="111"/>
      <c r="H45" s="112"/>
      <c r="I45" s="109" t="str">
        <f t="shared" si="50"/>
        <v/>
      </c>
      <c r="J45" s="109" t="str">
        <f t="shared" si="51"/>
        <v/>
      </c>
      <c r="K45" s="109" t="str">
        <f t="shared" si="52"/>
        <v/>
      </c>
      <c r="L45" s="109" t="str">
        <f t="shared" si="53"/>
        <v/>
      </c>
      <c r="M45" s="109">
        <v>0</v>
      </c>
      <c r="N45" s="109" t="str">
        <f t="shared" si="54"/>
        <v/>
      </c>
      <c r="O45" s="109" t="str">
        <f t="shared" si="55"/>
        <v/>
      </c>
      <c r="P45" s="109" t="str">
        <f t="shared" si="56"/>
        <v/>
      </c>
    </row>
    <row r="46" spans="1:16" x14ac:dyDescent="0.25">
      <c r="A46" s="109"/>
      <c r="D46" s="110"/>
      <c r="E46" s="110"/>
      <c r="F46" s="110"/>
      <c r="G46" s="113"/>
      <c r="H46" s="112"/>
      <c r="I46" s="109" t="str">
        <f t="shared" si="50"/>
        <v/>
      </c>
      <c r="J46" s="109" t="str">
        <f t="shared" si="51"/>
        <v/>
      </c>
      <c r="K46" s="109" t="str">
        <f t="shared" si="52"/>
        <v/>
      </c>
      <c r="L46" s="109" t="str">
        <f t="shared" si="53"/>
        <v/>
      </c>
      <c r="M46" s="109">
        <v>0</v>
      </c>
      <c r="N46" s="109" t="str">
        <f t="shared" si="54"/>
        <v/>
      </c>
      <c r="O46" s="109" t="str">
        <f t="shared" si="55"/>
        <v/>
      </c>
      <c r="P46" s="109" t="str">
        <f t="shared" si="56"/>
        <v/>
      </c>
    </row>
  </sheetData>
  <mergeCells count="4">
    <mergeCell ref="H2:J2"/>
    <mergeCell ref="N2:O2"/>
    <mergeCell ref="H3:J3"/>
    <mergeCell ref="H4:J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F276-C57C-4451-AF25-D964931E9F4A}">
  <dimension ref="B12:D13"/>
  <sheetViews>
    <sheetView workbookViewId="0">
      <selection activeCell="A13" sqref="A13"/>
    </sheetView>
  </sheetViews>
  <sheetFormatPr baseColWidth="10" defaultRowHeight="15" x14ac:dyDescent="0.25"/>
  <cols>
    <col min="1" max="1" width="11.42578125" style="93"/>
    <col min="2" max="2" width="21.42578125" style="92" bestFit="1" customWidth="1"/>
    <col min="3" max="3" width="11.42578125" style="95"/>
    <col min="4" max="4" width="15" style="92" bestFit="1" customWidth="1"/>
    <col min="5" max="16384" width="11.42578125" style="93"/>
  </cols>
  <sheetData>
    <row r="12" spans="2:4" s="91" customFormat="1" x14ac:dyDescent="0.25">
      <c r="B12" s="90" t="s">
        <v>350</v>
      </c>
      <c r="C12" s="94" t="s">
        <v>351</v>
      </c>
      <c r="D12" s="90" t="s">
        <v>349</v>
      </c>
    </row>
    <row r="13" spans="2:4" x14ac:dyDescent="0.25">
      <c r="B13" s="92">
        <v>5199</v>
      </c>
      <c r="C13" s="95">
        <v>0.25</v>
      </c>
      <c r="D13" s="92">
        <f>B13/(1-C13)</f>
        <v>6932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SFV ISLA 2.2kWh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Eick López</dc:creator>
  <cp:lastModifiedBy>Francisco Vazquez Fresan</cp:lastModifiedBy>
  <cp:lastPrinted>2024-01-13T20:36:58Z</cp:lastPrinted>
  <dcterms:created xsi:type="dcterms:W3CDTF">2024-01-02T15:33:05Z</dcterms:created>
  <dcterms:modified xsi:type="dcterms:W3CDTF">2024-01-22T19:16:12Z</dcterms:modified>
</cp:coreProperties>
</file>