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DF/"/>
    </mc:Choice>
  </mc:AlternateContent>
  <xr:revisionPtr revIDLastSave="0" documentId="13_ncr:1_{B6A703FF-1B11-1045-A5A2-D94B33A405D8}" xr6:coauthVersionLast="47" xr6:coauthVersionMax="47" xr10:uidLastSave="{00000000-0000-0000-0000-000000000000}"/>
  <bookViews>
    <workbookView xWindow="380" yWindow="500" windowWidth="28040" windowHeight="15940" xr2:uid="{698BF56D-CA27-E741-A78B-A382F864983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G26" i="1"/>
  <c r="H26" i="1"/>
  <c r="M25" i="1"/>
  <c r="N24" i="1"/>
  <c r="L26" i="1"/>
  <c r="L27" i="1"/>
  <c r="L28" i="1"/>
  <c r="L29" i="1"/>
  <c r="L30" i="1"/>
  <c r="L31" i="1"/>
  <c r="L32" i="1"/>
  <c r="L33" i="1"/>
  <c r="L34" i="1"/>
  <c r="L35" i="1"/>
  <c r="L36" i="1"/>
  <c r="L25" i="1"/>
  <c r="G25" i="1"/>
  <c r="E23" i="1"/>
  <c r="D23" i="1"/>
  <c r="C23" i="1"/>
  <c r="E22" i="1"/>
  <c r="D22" i="1"/>
  <c r="C22" i="1"/>
  <c r="F23" i="1"/>
  <c r="F24" i="1" s="1"/>
  <c r="G22" i="1" s="1"/>
  <c r="H22" i="1" s="1"/>
  <c r="F22" i="1"/>
  <c r="I3" i="1"/>
  <c r="K9" i="1"/>
  <c r="R4" i="1"/>
  <c r="H3" i="1"/>
  <c r="O4" i="1"/>
  <c r="R5" i="1" s="1"/>
  <c r="F8" i="1"/>
  <c r="F9" i="1"/>
  <c r="F10" i="1"/>
  <c r="F11" i="1"/>
  <c r="E8" i="1"/>
  <c r="E9" i="1"/>
  <c r="E10" i="1"/>
  <c r="E11" i="1"/>
  <c r="F21" i="1"/>
  <c r="G21" i="1" s="1"/>
  <c r="J12" i="1"/>
  <c r="J11" i="1"/>
  <c r="J8" i="1"/>
  <c r="J9" i="1"/>
  <c r="J10" i="1"/>
  <c r="J7" i="1"/>
  <c r="D6" i="1"/>
  <c r="F7" i="1" s="1"/>
  <c r="E21" i="1"/>
  <c r="D21" i="1"/>
  <c r="C21" i="1"/>
  <c r="F16" i="1"/>
  <c r="C6" i="1"/>
  <c r="E7" i="1" s="1"/>
  <c r="O27" i="1" l="1"/>
  <c r="O21" i="1"/>
  <c r="N22" i="1"/>
  <c r="D30" i="1" s="1"/>
  <c r="M26" i="1"/>
  <c r="H21" i="1"/>
  <c r="L21" i="1"/>
  <c r="K13" i="1"/>
  <c r="L13" i="1" s="1"/>
  <c r="M13" i="1" s="1"/>
  <c r="K7" i="1"/>
  <c r="L7" i="1" s="1"/>
  <c r="M7" i="1" s="1"/>
  <c r="K16" i="1"/>
  <c r="L16" i="1" s="1"/>
  <c r="M16" i="1" s="1"/>
  <c r="K11" i="1"/>
  <c r="L11" i="1" s="1"/>
  <c r="M11" i="1" s="1"/>
  <c r="K15" i="1"/>
  <c r="L15" i="1" s="1"/>
  <c r="M15" i="1" s="1"/>
  <c r="K17" i="1"/>
  <c r="L17" i="1" s="1"/>
  <c r="M17" i="1" s="1"/>
  <c r="K12" i="1"/>
  <c r="L12" i="1" s="1"/>
  <c r="M12" i="1" s="1"/>
  <c r="K10" i="1"/>
  <c r="L10" i="1" s="1"/>
  <c r="M10" i="1" s="1"/>
  <c r="K14" i="1"/>
  <c r="L14" i="1" s="1"/>
  <c r="M14" i="1" s="1"/>
  <c r="K8" i="1"/>
  <c r="L8" i="1" s="1"/>
  <c r="M8" i="1" s="1"/>
  <c r="K18" i="1"/>
  <c r="L18" i="1" s="1"/>
  <c r="M18" i="1" s="1"/>
  <c r="L9" i="1"/>
  <c r="M9" i="1" s="1"/>
  <c r="Q24" i="1" l="1"/>
  <c r="O22" i="1"/>
  <c r="D27" i="1" s="1"/>
  <c r="D28" i="1"/>
  <c r="N7" i="1" a="1"/>
  <c r="N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<sst xmlns="http://schemas.openxmlformats.org/spreadsheetml/2006/main" count="37" uniqueCount="35">
  <si>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PART 1</t>
  </si>
  <si>
    <t>DETERMINATION OF CENTRE IN X AXIS</t>
  </si>
  <si>
    <t>M = 1</t>
  </si>
  <si>
    <t>seeing orders -1 and 1</t>
  </si>
  <si>
    <t>M = -1 (px)</t>
  </si>
  <si>
    <t>centre (px)</t>
  </si>
  <si>
    <t xml:space="preserve">direct estimation </t>
  </si>
  <si>
    <t xml:space="preserve">Minima </t>
  </si>
  <si>
    <t>-</t>
  </si>
  <si>
    <t>+</t>
  </si>
  <si>
    <t>(LINEAR REGRESSION)</t>
  </si>
  <si>
    <t>Microscope</t>
  </si>
  <si>
    <t>objective</t>
  </si>
  <si>
    <t>f'</t>
  </si>
  <si>
    <t>eyepiece</t>
  </si>
  <si>
    <t>magnification</t>
  </si>
  <si>
    <t>mm</t>
  </si>
  <si>
    <t>x1</t>
  </si>
  <si>
    <t>x2</t>
  </si>
  <si>
    <t>slit 1</t>
  </si>
  <si>
    <t>w (magnified)</t>
  </si>
  <si>
    <t xml:space="preserve">m+1 - m = </t>
  </si>
  <si>
    <t>lambda =</t>
  </si>
  <si>
    <t>m</t>
  </si>
  <si>
    <t>x</t>
  </si>
  <si>
    <t>r</t>
  </si>
  <si>
    <t>dr</t>
  </si>
  <si>
    <t xml:space="preserve">dr </t>
  </si>
  <si>
    <t>linear estimation</t>
  </si>
  <si>
    <t>dx</t>
  </si>
  <si>
    <t>centre (+-1)</t>
  </si>
  <si>
    <t xml:space="preserve">dd </t>
  </si>
  <si>
    <t>CONTRAST</t>
  </si>
  <si>
    <t>ea</t>
  </si>
  <si>
    <t xml:space="preserve">etot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</si>
</sst>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A2-9BA7-E241-9204-914C0A3D7DA6}">
  <dimension ref="B2:R38"/>
  <sheetViews>
    <sheetView tabSelected="1" topLeftCell="A2" workbookViewId="0">
      <selection activeCell="H29" sqref="H29"/>
    </sheetView>
  </sheetViews>
  <sheetFormatPr baseColWidth="10" defaultRowHeight="16" x14ac:dyDescent="0.2"/>
  <cols>
    <col min="4" max="4" width="12.33203125" bestFit="1" customWidth="1"/>
    <col min="7" max="8" width="12.1640625" bestFit="1" customWidth="1"/>
    <col min="12" max="12" width="12.83203125" bestFit="1" customWidth="1"/>
    <col min="13" max="14" width="12.1640625" bestFit="1" customWidth="1"/>
    <col min="15" max="15" width="12" bestFit="1" customWidth="1"/>
    <col min="18" max="18" width="12.1640625" bestFit="1" customWidth="1"/>
  </cols>
  <sheetData>
    <row r="2" spans="2:18" x14ac:dyDescent="0.2">
      <c r="B2" t="s">
        <v>0</v>
      </c>
      <c r="F2" t="s">
        <v>4</v>
      </c>
      <c r="G2" t="s">
        <v>2</v>
      </c>
      <c r="H2" t="s">
        <v>30</v>
      </c>
      <c r="I2" t="s">
        <v>5</v>
      </c>
      <c r="K2" t="s">
        <v>6</v>
      </c>
      <c r="M2" t="s">
        <v>28</v>
      </c>
    </row>
    <row r="3" spans="2:18" x14ac:dyDescent="0.2">
      <c r="B3" t="s">
        <v>1</v>
      </c>
      <c r="E3" t="s">
        <v>3</v>
      </c>
      <c r="F3">
        <v>419.8</v>
      </c>
      <c r="G3">
        <v>569.70000000000005</v>
      </c>
      <c r="H3">
        <f>F3+(G3-F3)/2</f>
        <v>494.75</v>
      </c>
      <c r="I3">
        <f>M3</f>
        <v>495.09</v>
      </c>
      <c r="K3">
        <v>492.8</v>
      </c>
      <c r="M3">
        <v>495.09</v>
      </c>
    </row>
    <row r="4" spans="2:18" x14ac:dyDescent="0.2">
      <c r="N4" t="s">
        <v>27</v>
      </c>
      <c r="O4">
        <f>1 * 0.00000465</f>
        <v>4.6500000000000004E-6</v>
      </c>
      <c r="Q4" t="s">
        <v>31</v>
      </c>
      <c r="R4">
        <f>SQRT(1 + 0.39^2)</f>
        <v>1.0733592129385203</v>
      </c>
    </row>
    <row r="5" spans="2:18" x14ac:dyDescent="0.2">
      <c r="B5" t="s">
        <v>7</v>
      </c>
      <c r="C5" t="s">
        <v>8</v>
      </c>
      <c r="D5" t="s">
        <v>9</v>
      </c>
      <c r="R5">
        <f>O4*R4</f>
        <v>4.9911203401641203E-6</v>
      </c>
    </row>
    <row r="6" spans="2:18" x14ac:dyDescent="0.2">
      <c r="B6">
        <v>1</v>
      </c>
      <c r="C6">
        <f>F3</f>
        <v>419.8</v>
      </c>
      <c r="D6">
        <f>G3</f>
        <v>569.70000000000005</v>
      </c>
      <c r="I6" t="s">
        <v>10</v>
      </c>
    </row>
    <row r="7" spans="2:18" x14ac:dyDescent="0.2">
      <c r="B7">
        <v>2</v>
      </c>
      <c r="C7">
        <v>346.8</v>
      </c>
      <c r="D7">
        <v>644.70000000000005</v>
      </c>
      <c r="E7">
        <f>ABS(C7-C6)</f>
        <v>73</v>
      </c>
      <c r="F7">
        <f>D7-D6</f>
        <v>75</v>
      </c>
      <c r="J7">
        <f>-B6</f>
        <v>-1</v>
      </c>
      <c r="K7">
        <f>C6-$I$3</f>
        <v>-75.289999999999964</v>
      </c>
      <c r="L7">
        <f>K7*0.00000465</f>
        <v>-3.5009849999999987E-4</v>
      </c>
      <c r="M7">
        <f>L7*1000000</f>
        <v>-350.09849999999989</v>
      </c>
      <c r="N7" cm="1">
        <f t="array" ref="N7:O11">LINEST(L7:L18,J7:J18,TRUE,TRUE)</f>
        <v>3.487857692307692E-4</v>
      </c>
      <c r="O7">
        <v>7.7500000003298316E-9</v>
      </c>
    </row>
    <row r="8" spans="2:18" x14ac:dyDescent="0.2">
      <c r="B8">
        <v>3</v>
      </c>
      <c r="C8">
        <v>272.89999999999998</v>
      </c>
      <c r="D8">
        <v>720.7</v>
      </c>
      <c r="E8">
        <f t="shared" ref="E8:E11" si="0">ABS(C8-C7)</f>
        <v>73.900000000000034</v>
      </c>
      <c r="F8">
        <f t="shared" ref="F8:F11" si="1">D8-D7</f>
        <v>76</v>
      </c>
      <c r="J8">
        <f t="shared" ref="J8:J12" si="2">-B7</f>
        <v>-2</v>
      </c>
      <c r="K8">
        <f t="shared" ref="K8:K12" si="3">C7-$I$3</f>
        <v>-148.28999999999996</v>
      </c>
      <c r="L8">
        <f t="shared" ref="L8:L18" si="4">K8*0.00000465</f>
        <v>-6.8954849999999985E-4</v>
      </c>
      <c r="M8">
        <f t="shared" ref="M8:M18" si="5">L8*1000000</f>
        <v>-689.54849999999988</v>
      </c>
      <c r="N8">
        <v>4.7056708164553954E-7</v>
      </c>
      <c r="O8">
        <v>1.8325954921860779E-6</v>
      </c>
    </row>
    <row r="9" spans="2:18" x14ac:dyDescent="0.2">
      <c r="B9">
        <v>4</v>
      </c>
      <c r="C9">
        <v>193.9</v>
      </c>
      <c r="D9">
        <v>795.6</v>
      </c>
      <c r="E9">
        <f t="shared" si="0"/>
        <v>78.999999999999972</v>
      </c>
      <c r="F9">
        <f t="shared" si="1"/>
        <v>74.899999999999977</v>
      </c>
      <c r="J9">
        <f t="shared" si="2"/>
        <v>-3</v>
      </c>
      <c r="K9">
        <f t="shared" si="3"/>
        <v>-222.19</v>
      </c>
      <c r="L9">
        <f t="shared" si="4"/>
        <v>-1.0331835E-3</v>
      </c>
      <c r="M9">
        <f t="shared" si="5"/>
        <v>-1033.1834999999999</v>
      </c>
      <c r="N9">
        <v>0.99998179806048582</v>
      </c>
      <c r="O9">
        <v>6.3482970043759594E-6</v>
      </c>
    </row>
    <row r="10" spans="2:18" x14ac:dyDescent="0.2">
      <c r="B10">
        <v>5</v>
      </c>
      <c r="C10">
        <v>118.9</v>
      </c>
      <c r="D10">
        <v>870.6</v>
      </c>
      <c r="E10">
        <f t="shared" si="0"/>
        <v>75</v>
      </c>
      <c r="F10">
        <f t="shared" si="1"/>
        <v>75</v>
      </c>
      <c r="J10">
        <f t="shared" si="2"/>
        <v>-4</v>
      </c>
      <c r="K10">
        <f t="shared" si="3"/>
        <v>-301.18999999999994</v>
      </c>
      <c r="L10">
        <f t="shared" si="4"/>
        <v>-1.4005334999999998E-3</v>
      </c>
      <c r="M10">
        <f t="shared" si="5"/>
        <v>-1400.5334999999998</v>
      </c>
      <c r="N10">
        <v>549382.00255194795</v>
      </c>
      <c r="O10">
        <v>10</v>
      </c>
    </row>
    <row r="11" spans="2:18" x14ac:dyDescent="0.2">
      <c r="B11">
        <v>6</v>
      </c>
      <c r="C11">
        <v>44</v>
      </c>
      <c r="D11">
        <v>943.5</v>
      </c>
      <c r="E11">
        <f t="shared" si="0"/>
        <v>74.900000000000006</v>
      </c>
      <c r="F11">
        <f t="shared" si="1"/>
        <v>72.899999999999977</v>
      </c>
      <c r="J11">
        <f t="shared" si="2"/>
        <v>-5</v>
      </c>
      <c r="K11">
        <f t="shared" si="3"/>
        <v>-376.18999999999994</v>
      </c>
      <c r="L11">
        <f t="shared" si="4"/>
        <v>-1.7492834999999999E-3</v>
      </c>
      <c r="M11">
        <f t="shared" si="5"/>
        <v>-1749.2834999999998</v>
      </c>
      <c r="N11">
        <v>2.2140575332857698E-5</v>
      </c>
      <c r="O11">
        <v>4.0300874855768782E-10</v>
      </c>
    </row>
    <row r="12" spans="2:18" x14ac:dyDescent="0.2">
      <c r="D12">
        <v>948.5</v>
      </c>
      <c r="J12">
        <f t="shared" si="2"/>
        <v>-6</v>
      </c>
      <c r="K12">
        <f t="shared" si="3"/>
        <v>-451.09</v>
      </c>
      <c r="L12">
        <f t="shared" si="4"/>
        <v>-2.0975684999999999E-3</v>
      </c>
      <c r="M12">
        <f t="shared" si="5"/>
        <v>-2097.5684999999999</v>
      </c>
    </row>
    <row r="13" spans="2:18" x14ac:dyDescent="0.2">
      <c r="J13">
        <v>1</v>
      </c>
      <c r="K13">
        <f>D6-$I$3</f>
        <v>74.61000000000007</v>
      </c>
      <c r="L13">
        <f t="shared" si="4"/>
        <v>3.4693650000000033E-4</v>
      </c>
      <c r="M13">
        <f t="shared" si="5"/>
        <v>346.93650000000031</v>
      </c>
    </row>
    <row r="14" spans="2:18" x14ac:dyDescent="0.2">
      <c r="J14">
        <v>2</v>
      </c>
      <c r="K14">
        <f t="shared" ref="K14:K18" si="6">D7-$I$3</f>
        <v>149.61000000000007</v>
      </c>
      <c r="L14">
        <f t="shared" si="4"/>
        <v>6.9568650000000043E-4</v>
      </c>
      <c r="M14">
        <f t="shared" si="5"/>
        <v>695.68650000000048</v>
      </c>
    </row>
    <row r="15" spans="2:18" x14ac:dyDescent="0.2">
      <c r="D15" t="s">
        <v>13</v>
      </c>
      <c r="F15" t="s">
        <v>15</v>
      </c>
      <c r="J15">
        <v>3</v>
      </c>
      <c r="K15">
        <f t="shared" si="6"/>
        <v>225.61000000000007</v>
      </c>
      <c r="L15">
        <f t="shared" si="4"/>
        <v>1.0490865000000005E-3</v>
      </c>
      <c r="M15">
        <f t="shared" si="5"/>
        <v>1049.0865000000006</v>
      </c>
    </row>
    <row r="16" spans="2:18" x14ac:dyDescent="0.2">
      <c r="B16" t="s">
        <v>11</v>
      </c>
      <c r="C16" t="s">
        <v>12</v>
      </c>
      <c r="D16">
        <v>60</v>
      </c>
      <c r="E16" t="s">
        <v>16</v>
      </c>
      <c r="F16">
        <f>D17/D16</f>
        <v>2.5</v>
      </c>
      <c r="J16">
        <v>4</v>
      </c>
      <c r="K16">
        <f t="shared" si="6"/>
        <v>300.51000000000005</v>
      </c>
      <c r="L16">
        <f t="shared" si="4"/>
        <v>1.3973715000000003E-3</v>
      </c>
      <c r="M16">
        <f t="shared" si="5"/>
        <v>1397.3715000000002</v>
      </c>
    </row>
    <row r="17" spans="2:17" x14ac:dyDescent="0.2">
      <c r="C17" t="s">
        <v>14</v>
      </c>
      <c r="D17">
        <v>150</v>
      </c>
      <c r="E17" t="s">
        <v>16</v>
      </c>
      <c r="J17">
        <v>5</v>
      </c>
      <c r="K17">
        <f t="shared" si="6"/>
        <v>375.51000000000005</v>
      </c>
      <c r="L17">
        <f t="shared" si="4"/>
        <v>1.7461215000000004E-3</v>
      </c>
      <c r="M17">
        <f t="shared" si="5"/>
        <v>1746.1215000000004</v>
      </c>
    </row>
    <row r="18" spans="2:17" x14ac:dyDescent="0.2">
      <c r="C18" t="s">
        <v>19</v>
      </c>
      <c r="J18">
        <v>6</v>
      </c>
      <c r="K18">
        <f t="shared" si="6"/>
        <v>448.41</v>
      </c>
      <c r="L18">
        <f t="shared" si="4"/>
        <v>2.0851065000000004E-3</v>
      </c>
      <c r="M18">
        <f t="shared" si="5"/>
        <v>2085.1065000000003</v>
      </c>
    </row>
    <row r="19" spans="2:17" x14ac:dyDescent="0.2">
      <c r="B19" t="s">
        <v>17</v>
      </c>
      <c r="C19">
        <v>58.88</v>
      </c>
      <c r="D19">
        <v>38.83</v>
      </c>
      <c r="E19">
        <v>44.91</v>
      </c>
    </row>
    <row r="20" spans="2:17" x14ac:dyDescent="0.2">
      <c r="B20" t="s">
        <v>18</v>
      </c>
      <c r="C20">
        <v>198.6</v>
      </c>
      <c r="D20">
        <v>176.2</v>
      </c>
      <c r="E20">
        <v>183.6</v>
      </c>
    </row>
    <row r="21" spans="2:17" x14ac:dyDescent="0.2">
      <c r="B21" t="s">
        <v>20</v>
      </c>
      <c r="C21">
        <f>C20-C19</f>
        <v>139.72</v>
      </c>
      <c r="D21">
        <f>D20-D19</f>
        <v>137.37</v>
      </c>
      <c r="E21">
        <f>E20-E19</f>
        <v>138.69</v>
      </c>
      <c r="F21">
        <f>AVERAGE(C21:E21)</f>
        <v>138.59333333333333</v>
      </c>
      <c r="G21">
        <f>F21/F16</f>
        <v>55.437333333333335</v>
      </c>
      <c r="H21">
        <f>G21*O4</f>
        <v>2.5778360000000002E-4</v>
      </c>
      <c r="K21" t="s">
        <v>21</v>
      </c>
      <c r="L21">
        <f>AVERAGE(E7:F11)*0.00000465</f>
        <v>3.4856399999999999E-4</v>
      </c>
      <c r="N21" s="3">
        <f>0.15 * L22/N7</f>
        <v>2.7180008005795933E-4</v>
      </c>
      <c r="O21" s="3">
        <f>N21/O4</f>
        <v>58.45163011999125</v>
      </c>
    </row>
    <row r="22" spans="2:17" x14ac:dyDescent="0.2">
      <c r="C22">
        <f>C21*O4/F16</f>
        <v>2.5987920000000004E-4</v>
      </c>
      <c r="D22">
        <f>D21*O4/F16</f>
        <v>2.5550820000000001E-4</v>
      </c>
      <c r="E22">
        <f>E21*O4/F16</f>
        <v>2.5796340000000002E-4</v>
      </c>
      <c r="F22">
        <f>SQRT(1^2 + 1^2)</f>
        <v>1.4142135623730951</v>
      </c>
      <c r="G22">
        <f>F24/F16</f>
        <v>1.3000309091219171</v>
      </c>
      <c r="H22">
        <f>G22*O4</f>
        <v>6.0451437274169154E-6</v>
      </c>
      <c r="K22" t="s">
        <v>22</v>
      </c>
      <c r="L22" s="1">
        <v>6.3200000000000005E-7</v>
      </c>
      <c r="N22" s="3">
        <f>N8*N21/N7</f>
        <v>3.6670122965732179E-7</v>
      </c>
      <c r="O22" s="3">
        <f>N22/O4</f>
        <v>7.8860479496198232E-2</v>
      </c>
    </row>
    <row r="23" spans="2:17" x14ac:dyDescent="0.2">
      <c r="C23">
        <f>C21/2.5</f>
        <v>55.887999999999998</v>
      </c>
      <c r="D23">
        <f>D21/2.5</f>
        <v>54.948</v>
      </c>
      <c r="E23">
        <f>E21/2.5</f>
        <v>55.475999999999999</v>
      </c>
      <c r="F23">
        <f>_xlfn.T.INV.2T(0.05,2)*_xlfn.STDEV.S(C21,D21,E21)/SQRT(3)</f>
        <v>2.9262608016378575</v>
      </c>
    </row>
    <row r="24" spans="2:17" x14ac:dyDescent="0.2">
      <c r="F24">
        <f>(F22^2+F23^2)^0.5</f>
        <v>3.2500772728047926</v>
      </c>
      <c r="M24" t="s">
        <v>33</v>
      </c>
      <c r="N24" s="1">
        <f>_xlfn.T.INV.2T(0.05,11)*_xlfn.STDEV.S(L25:L36)/SQRT(12)</f>
        <v>1.0090575229808513E-6</v>
      </c>
      <c r="P24" t="s">
        <v>34</v>
      </c>
      <c r="Q24" s="1">
        <f>(N24^2+N22^2)^0.5</f>
        <v>1.073623247008206E-6</v>
      </c>
    </row>
    <row r="25" spans="2:17" x14ac:dyDescent="0.2">
      <c r="G25">
        <f>_xlfn.VAR.S(C23,E23,D23)</f>
        <v>0.22202133333333224</v>
      </c>
      <c r="L25" s="1">
        <f>(L7/(J7*$L$22*0.15))^-1</f>
        <v>2.7078093736477031E-4</v>
      </c>
      <c r="M25">
        <f>_xlfn.VAR.S(L25:L36)</f>
        <v>2.5221961969745685E-12</v>
      </c>
    </row>
    <row r="26" spans="2:17" x14ac:dyDescent="0.2">
      <c r="G26">
        <f>_xlfn.VAR.S(C22,D22,E22)</f>
        <v>4.8006562800000658E-12</v>
      </c>
      <c r="H26" s="3">
        <f>H22^2</f>
        <v>3.6543762685128076E-11</v>
      </c>
      <c r="L26" s="1">
        <f t="shared" ref="L26:L36" si="7">(L8/(J8*$L$22*0.15))^-1</f>
        <v>2.7496252982930143E-4</v>
      </c>
      <c r="M26" s="4">
        <f>ABS((N21-H21)/SQRT(M25+G26))</f>
        <v>5.179630993517911</v>
      </c>
    </row>
    <row r="27" spans="2:17" x14ac:dyDescent="0.2">
      <c r="B27" t="s">
        <v>32</v>
      </c>
      <c r="D27" s="5">
        <f>ABS((G21-O21)/SQRT(G25+O22^2))</f>
        <v>6.3094258050848575</v>
      </c>
      <c r="L27" s="1">
        <f t="shared" si="7"/>
        <v>2.7526571998101021E-4</v>
      </c>
      <c r="O27" s="3">
        <f>H21-N21</f>
        <v>-1.4016480057959309E-5</v>
      </c>
    </row>
    <row r="28" spans="2:17" x14ac:dyDescent="0.2">
      <c r="D28" s="4">
        <f>ABS((H21-N21)/SQRT(G26+N22^2))</f>
        <v>6.3094258050848007</v>
      </c>
      <c r="L28" s="1">
        <f t="shared" si="7"/>
        <v>2.7075396625643022E-4</v>
      </c>
    </row>
    <row r="29" spans="2:17" x14ac:dyDescent="0.2">
      <c r="L29" s="1">
        <f t="shared" si="7"/>
        <v>2.7096808493305978E-4</v>
      </c>
    </row>
    <row r="30" spans="2:17" x14ac:dyDescent="0.2">
      <c r="D30" s="3">
        <f>ABS(H21-N21)/SQRT(H22^2+N22^2)</f>
        <v>2.3143805136445041</v>
      </c>
      <c r="L30" s="1">
        <f t="shared" si="7"/>
        <v>2.7117112027569068E-4</v>
      </c>
    </row>
    <row r="31" spans="2:17" x14ac:dyDescent="0.2">
      <c r="L31" s="1">
        <f t="shared" si="7"/>
        <v>2.732488510145226E-4</v>
      </c>
    </row>
    <row r="32" spans="2:17" x14ac:dyDescent="0.2">
      <c r="L32" s="1">
        <f t="shared" si="7"/>
        <v>2.7253655202451088E-4</v>
      </c>
    </row>
    <row r="33" spans="12:12" x14ac:dyDescent="0.2">
      <c r="L33" s="1">
        <f t="shared" si="7"/>
        <v>2.7109299376171545E-4</v>
      </c>
    </row>
    <row r="34" spans="12:12" x14ac:dyDescent="0.2">
      <c r="L34" s="1">
        <f t="shared" si="7"/>
        <v>2.7136663371193697E-4</v>
      </c>
    </row>
    <row r="35" spans="12:12" x14ac:dyDescent="0.2">
      <c r="L35" s="1">
        <f t="shared" si="7"/>
        <v>2.7145877305788857E-4</v>
      </c>
    </row>
    <row r="36" spans="12:12" x14ac:dyDescent="0.2">
      <c r="L36" s="1">
        <f t="shared" si="7"/>
        <v>2.7279182142494877E-4</v>
      </c>
    </row>
    <row r="37" spans="12:12" x14ac:dyDescent="0.2">
      <c r="L37" s="1"/>
    </row>
    <row r="38" spans="12:12" x14ac:dyDescent="0.2">
      <c r="L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8762-F4EE-DE41-93D2-E1D408575418}">
  <dimension ref="A1:C13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29</v>
      </c>
    </row>
    <row r="2" spans="1:3" x14ac:dyDescent="0.2">
      <c r="A2" s="2">
        <v>-1</v>
      </c>
      <c r="B2" s="2">
        <v>419.8</v>
      </c>
      <c r="C2">
        <v>1</v>
      </c>
    </row>
    <row r="3" spans="1:3" x14ac:dyDescent="0.2">
      <c r="A3" s="2">
        <v>-2</v>
      </c>
      <c r="B3" s="2">
        <v>346.8</v>
      </c>
      <c r="C3">
        <v>1</v>
      </c>
    </row>
    <row r="4" spans="1:3" x14ac:dyDescent="0.2">
      <c r="A4" s="2">
        <v>-3</v>
      </c>
      <c r="B4" s="2">
        <v>272.89999999999998</v>
      </c>
      <c r="C4">
        <v>1</v>
      </c>
    </row>
    <row r="5" spans="1:3" x14ac:dyDescent="0.2">
      <c r="A5" s="2">
        <v>-4</v>
      </c>
      <c r="B5" s="2">
        <v>193.9</v>
      </c>
      <c r="C5">
        <v>1</v>
      </c>
    </row>
    <row r="6" spans="1:3" x14ac:dyDescent="0.2">
      <c r="A6" s="2">
        <v>-5</v>
      </c>
      <c r="B6" s="2">
        <v>118.9</v>
      </c>
      <c r="C6">
        <v>1</v>
      </c>
    </row>
    <row r="7" spans="1:3" x14ac:dyDescent="0.2">
      <c r="A7" s="2">
        <v>-6</v>
      </c>
      <c r="B7" s="2">
        <v>44</v>
      </c>
      <c r="C7">
        <v>1</v>
      </c>
    </row>
    <row r="8" spans="1:3" x14ac:dyDescent="0.2">
      <c r="A8" s="2">
        <v>1</v>
      </c>
      <c r="B8">
        <v>569.70000000000005</v>
      </c>
      <c r="C8">
        <v>1</v>
      </c>
    </row>
    <row r="9" spans="1:3" x14ac:dyDescent="0.2">
      <c r="A9" s="2">
        <v>2</v>
      </c>
      <c r="B9">
        <v>644.70000000000005</v>
      </c>
      <c r="C9">
        <v>1</v>
      </c>
    </row>
    <row r="10" spans="1:3" x14ac:dyDescent="0.2">
      <c r="A10" s="2">
        <v>3</v>
      </c>
      <c r="B10">
        <v>720.7</v>
      </c>
      <c r="C10">
        <v>1</v>
      </c>
    </row>
    <row r="11" spans="1:3" x14ac:dyDescent="0.2">
      <c r="A11" s="2">
        <v>4</v>
      </c>
      <c r="B11">
        <v>795.6</v>
      </c>
      <c r="C11">
        <v>1</v>
      </c>
    </row>
    <row r="12" spans="1:3" x14ac:dyDescent="0.2">
      <c r="A12" s="2">
        <v>5</v>
      </c>
      <c r="B12">
        <v>870.6</v>
      </c>
      <c r="C12">
        <v>1</v>
      </c>
    </row>
    <row r="13" spans="1:3" x14ac:dyDescent="0.2">
      <c r="A13" s="2">
        <v>6</v>
      </c>
      <c r="B13">
        <v>943.5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D-0F5D-D245-AEBB-7C146E29B317}">
  <dimension ref="A1:C13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23</v>
      </c>
      <c r="B1" t="s">
        <v>25</v>
      </c>
      <c r="C1" t="s">
        <v>26</v>
      </c>
    </row>
    <row r="2" spans="1:3" x14ac:dyDescent="0.2">
      <c r="A2">
        <v>-6</v>
      </c>
      <c r="B2">
        <v>-2.0967780000000001E-3</v>
      </c>
      <c r="C2">
        <v>4.6500000000000004E-6</v>
      </c>
    </row>
    <row r="3" spans="1:3" x14ac:dyDescent="0.2">
      <c r="A3">
        <v>-5</v>
      </c>
      <c r="B3" s="2">
        <v>-1.7484930000000001E-3</v>
      </c>
      <c r="C3">
        <v>4.6500000000000004E-6</v>
      </c>
    </row>
    <row r="4" spans="1:3" x14ac:dyDescent="0.2">
      <c r="A4">
        <v>-4</v>
      </c>
      <c r="B4">
        <v>-1.399743E-3</v>
      </c>
      <c r="C4">
        <v>4.6500000000000004E-6</v>
      </c>
    </row>
    <row r="5" spans="1:3" x14ac:dyDescent="0.2">
      <c r="A5">
        <v>-3</v>
      </c>
      <c r="B5">
        <v>-1.0323929999999999E-3</v>
      </c>
      <c r="C5">
        <v>4.6500000000000004E-6</v>
      </c>
    </row>
    <row r="6" spans="1:3" x14ac:dyDescent="0.2">
      <c r="A6">
        <v>-2</v>
      </c>
      <c r="B6">
        <v>-6.8875799999999982E-4</v>
      </c>
      <c r="C6">
        <v>4.6500000000000004E-6</v>
      </c>
    </row>
    <row r="7" spans="1:3" x14ac:dyDescent="0.2">
      <c r="A7">
        <v>-1</v>
      </c>
      <c r="B7">
        <v>-3.4930799999999978E-4</v>
      </c>
      <c r="C7">
        <v>4.6500000000000004E-6</v>
      </c>
    </row>
    <row r="8" spans="1:3" x14ac:dyDescent="0.2">
      <c r="A8">
        <v>1</v>
      </c>
      <c r="B8">
        <v>3.4772700000000042E-4</v>
      </c>
      <c r="C8">
        <v>4.6500000000000004E-6</v>
      </c>
    </row>
    <row r="9" spans="1:3" x14ac:dyDescent="0.2">
      <c r="A9">
        <v>2</v>
      </c>
      <c r="B9">
        <v>6.9647700000000047E-4</v>
      </c>
      <c r="C9">
        <v>4.6500000000000004E-6</v>
      </c>
    </row>
    <row r="10" spans="1:3" x14ac:dyDescent="0.2">
      <c r="A10">
        <v>3</v>
      </c>
      <c r="B10">
        <v>1.0498770000000005E-3</v>
      </c>
      <c r="C10">
        <v>4.6500000000000004E-6</v>
      </c>
    </row>
    <row r="11" spans="1:3" x14ac:dyDescent="0.2">
      <c r="A11">
        <v>4</v>
      </c>
      <c r="B11">
        <v>1.3981620000000003E-3</v>
      </c>
      <c r="C11">
        <v>4.6500000000000004E-6</v>
      </c>
    </row>
    <row r="12" spans="1:3" x14ac:dyDescent="0.2">
      <c r="A12">
        <v>5</v>
      </c>
      <c r="B12">
        <v>1.7469120000000004E-3</v>
      </c>
      <c r="C12">
        <v>4.6500000000000004E-6</v>
      </c>
    </row>
    <row r="13" spans="1:3" x14ac:dyDescent="0.2">
      <c r="A13">
        <v>6</v>
      </c>
      <c r="B13">
        <v>2.0858970000000002E-3</v>
      </c>
      <c r="C13">
        <v>4.6500000000000004E-6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2022-10-26T12:41:22Z</dcterms:created>
  <dcterms:modified xsi:type="dcterms:W3CDTF">2022-11-02T19:41:02Z</dcterms:modified>
</cp:coreProperties>
</file>